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defaultThemeVersion="124226"/>
  <mc:AlternateContent xmlns:mc="http://schemas.openxmlformats.org/markup-compatibility/2006">
    <mc:Choice Requires="x15">
      <x15ac:absPath xmlns:x15ac="http://schemas.microsoft.com/office/spreadsheetml/2010/11/ac" url="R:\Projects\Enviva\2019 Projects\Ahoskie Expansion\Deliverables\2021-1222 Final RAI Response and Application to DAQ\Appendix C - PTE Calcs\"/>
    </mc:Choice>
  </mc:AlternateContent>
  <xr:revisionPtr revIDLastSave="0" documentId="13_ncr:1_{EEE5ACBE-4F31-4DAE-96BD-E2B17B138A83}" xr6:coauthVersionLast="46" xr6:coauthVersionMax="46" xr10:uidLastSave="{00000000-0000-0000-0000-000000000000}"/>
  <bookViews>
    <workbookView xWindow="-108" yWindow="-108" windowWidth="30936" windowHeight="16896" tabRatio="914" xr2:uid="{07130A97-7A41-4DDF-BAA1-06151605BCC0}"/>
  </bookViews>
  <sheets>
    <sheet name="1-FW Summary" sheetId="4" r:id="rId1"/>
    <sheet name="2-FW HAP" sheetId="5" r:id="rId2"/>
    <sheet name="3a-RTO - Dryer GHM DHM" sheetId="61" r:id="rId3"/>
    <sheet name="3b-Dryer (Furnace Bypass)" sheetId="76" r:id="rId4"/>
    <sheet name="3c-Dryer (Furnace Idle)" sheetId="77" r:id="rId5"/>
    <sheet name="4-Dryer Duct Burners" sheetId="74" r:id="rId6"/>
    <sheet name="5-RCO - PC-PM-DSHM" sheetId="125" r:id="rId7"/>
    <sheet name="6 - Bark Hog" sheetId="87" r:id="rId8"/>
    <sheet name="7-Dried Wood Handling" sheetId="112" r:id="rId9"/>
    <sheet name="8 - Baghouses and Cyclones" sheetId="82" r:id="rId10"/>
    <sheet name="9 - Material Handling" sheetId="84" r:id="rId11"/>
    <sheet name="10 - Storage Piles" sheetId="83" r:id="rId12"/>
    <sheet name="11 - IES-GN, IES-FWP" sheetId="85" r:id="rId13"/>
    <sheet name="12 - Diesel Storage Tanks" sheetId="131" r:id="rId14"/>
    <sheet name="13a - Paved Roads" sheetId="69" r:id="rId15"/>
    <sheet name="13b - Unpaved Roads" sheetId="111" r:id="rId16"/>
    <sheet name="14 - Boilers" sheetId="130" r:id="rId17"/>
  </sheets>
  <definedNames>
    <definedName name="_Key1" hidden="1">#REF!</definedName>
    <definedName name="_Key2" hidden="1">#REF!</definedName>
    <definedName name="_Order1" hidden="1">255</definedName>
    <definedName name="_Order2" hidden="1">255</definedName>
    <definedName name="_Sort" hidden="1">#REF!</definedName>
    <definedName name="anscount" hidden="1">1</definedName>
    <definedName name="kb" hidden="1">{#N/A,#N/A,FALSE,"F1-Currrent";#N/A,#N/A,FALSE,"F2-Current";#N/A,#N/A,FALSE,"F2-Proposed";#N/A,#N/A,FALSE,"F3-Current";#N/A,#N/A,FALSE,"F4-Current";#N/A,#N/A,FALSE,"F4-Proposed";#N/A,#N/A,FALSE,"Controls"}</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g" hidden="1">{#N/A,#N/A,FALSE,"F1-Currrent";#N/A,#N/A,FALSE,"F2-Current";#N/A,#N/A,FALSE,"F2-Proposed";#N/A,#N/A,FALSE,"F3-Current";#N/A,#N/A,FALSE,"F4-Current";#N/A,#N/A,FALSE,"F4-Proposed";#N/A,#N/A,FALSE,"Controls"}</definedName>
    <definedName name="_xlnm.Print_Area" localSheetId="11">'10 - Storage Piles'!$A$1:$S$40</definedName>
    <definedName name="_xlnm.Print_Area" localSheetId="12">'11 - IES-GN, IES-FWP'!$A$1:$H$92</definedName>
    <definedName name="_xlnm.Print_Area" localSheetId="13">'12 - Diesel Storage Tanks'!$A$1:$J$63</definedName>
    <definedName name="_xlnm.Print_Area" localSheetId="14">'13a - Paved Roads'!$A$1:$S$40</definedName>
    <definedName name="_xlnm.Print_Area" localSheetId="15">'13b - Unpaved Roads'!$A$1:$J$50</definedName>
    <definedName name="_xlnm.Print_Area" localSheetId="16">'14 - Boilers'!$A$1:$H$90</definedName>
    <definedName name="_xlnm.Print_Area" localSheetId="0">'1-FW Summary'!$A$1:$M$37</definedName>
    <definedName name="_xlnm.Print_Area" localSheetId="1">'2-FW HAP'!$A$1:$O$67</definedName>
    <definedName name="_xlnm.Print_Area" localSheetId="2">'3a-RTO - Dryer GHM DHM'!$A$1:$I$246</definedName>
    <definedName name="_xlnm.Print_Area" localSheetId="3">'3b-Dryer (Furnace Bypass)'!$A$1:$J$102</definedName>
    <definedName name="_xlnm.Print_Area" localSheetId="4">'3c-Dryer (Furnace Idle)'!$A$1:$J$104</definedName>
    <definedName name="_xlnm.Print_Area" localSheetId="5">'4-Dryer Duct Burners'!$A$1:$I$89</definedName>
    <definedName name="_xlnm.Print_Area" localSheetId="6">'5-RCO - PC-PM-DSHM'!$A$1:$H$188</definedName>
    <definedName name="_xlnm.Print_Area" localSheetId="7">'6 - Bark Hog'!$A$1:$F$34</definedName>
    <definedName name="_xlnm.Print_Area" localSheetId="8">'7-Dried Wood Handling'!$A$1:$E$28</definedName>
    <definedName name="_xlnm.Print_Area" localSheetId="9">'8 - Baghouses and Cyclones'!$A$1:$P$25</definedName>
    <definedName name="_xlnm.Print_Area" localSheetId="10">'9 - Material Handling'!$A$1:$R$43</definedName>
    <definedName name="_xlnm.Print_Titles" localSheetId="12">'11 - IES-GN, IES-FWP'!$1:$4</definedName>
    <definedName name="_xlnm.Print_Titles" localSheetId="13">'12 - Diesel Storage Tanks'!$1:$4</definedName>
    <definedName name="_xlnm.Print_Titles" localSheetId="16">'14 - Boilers'!$1:$4</definedName>
    <definedName name="_xlnm.Print_Titles" localSheetId="2">'3a-RTO - Dryer GHM DHM'!$1:$4</definedName>
    <definedName name="_xlnm.Print_Titles" localSheetId="3">'3b-Dryer (Furnace Bypass)'!$1:$3</definedName>
    <definedName name="_xlnm.Print_Titles" localSheetId="4">'3c-Dryer (Furnace Idle)'!$1:$3</definedName>
    <definedName name="_xlnm.Print_Titles" localSheetId="5">'4-Dryer Duct Burners'!$1:$3</definedName>
    <definedName name="_xlnm.Print_Titles" localSheetId="6">'5-RCO - PC-PM-DSHM'!$1:$4</definedName>
    <definedName name="_xlnm.Print_Titles" localSheetId="9">'8 - Baghouses and Cyclones'!$1:$4</definedName>
    <definedName name="ptemax" hidden="1">{#N/A,#N/A,FALSE,"Summary";#N/A,#N/A,FALSE,"Fixed (94)";#N/A,#N/A,FALSE,"fixed (P)";#N/A,#N/A,FALSE,"ExtFloat(94)";#N/A,#N/A,FALSE,"ExtFloat(P)";#N/A,#N/A,FALSE,"IntFloat(94)";#N/A,#N/A,FALSE,"IntFloat(P)";#N/A,#N/A,FALSE,"LD(94)";#N/A,#N/A,FALSE,"LD(P)";#N/A,#N/A,FALSE,"Fugitives";#N/A,#N/A,FALSE,"Speciate (94)";#N/A,#N/A,FALSE,"Speciate (P)"}</definedName>
    <definedName name="sencount" hidden="1">2</definedName>
    <definedName name="TableName">"Dummy"</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_LBHR">"(lb/hr)"</definedName>
    <definedName name="UNIT_LBTON">"(lb/ton)"</definedName>
    <definedName name="wrn.67input." localSheetId="11" hidden="1">{#N/A,#N/A,FALSE,"Emission Calcs";#N/A,#N/A,FALSE,"Equipment Summary";#N/A,#N/A,FALSE,"PRODUCTION SUMMARY "}</definedName>
    <definedName name="wrn.67input." localSheetId="12" hidden="1">{#N/A,#N/A,FALSE,"Emission Calcs";#N/A,#N/A,FALSE,"Equipment Summary";#N/A,#N/A,FALSE,"PRODUCTION SUMMARY "}</definedName>
    <definedName name="wrn.67input." localSheetId="13" hidden="1">{#N/A,#N/A,FALSE,"Emission Calcs";#N/A,#N/A,FALSE,"Equipment Summary";#N/A,#N/A,FALSE,"PRODUCTION SUMMARY "}</definedName>
    <definedName name="wrn.67input." localSheetId="14" hidden="1">{#N/A,#N/A,FALSE,"Emission Calcs";#N/A,#N/A,FALSE,"Equipment Summary";#N/A,#N/A,FALSE,"PRODUCTION SUMMARY "}</definedName>
    <definedName name="wrn.67input." localSheetId="15" hidden="1">{#N/A,#N/A,FALSE,"Emission Calcs";#N/A,#N/A,FALSE,"Equipment Summary";#N/A,#N/A,FALSE,"PRODUCTION SUMMARY "}</definedName>
    <definedName name="wrn.67input." localSheetId="16" hidden="1">{#N/A,#N/A,FALSE,"Emission Calcs";#N/A,#N/A,FALSE,"Equipment Summary";#N/A,#N/A,FALSE,"PRODUCTION SUMMARY "}</definedName>
    <definedName name="wrn.67input." localSheetId="3" hidden="1">{#N/A,#N/A,FALSE,"Emission Calcs";#N/A,#N/A,FALSE,"Equipment Summary";#N/A,#N/A,FALSE,"PRODUCTION SUMMARY "}</definedName>
    <definedName name="wrn.67input." localSheetId="5" hidden="1">{#N/A,#N/A,FALSE,"Emission Calcs";#N/A,#N/A,FALSE,"Equipment Summary";#N/A,#N/A,FALSE,"PRODUCTION SUMMARY "}</definedName>
    <definedName name="wrn.67input." localSheetId="6" hidden="1">{#N/A,#N/A,FALSE,"Emission Calcs";#N/A,#N/A,FALSE,"Equipment Summary";#N/A,#N/A,FALSE,"PRODUCTION SUMMARY "}</definedName>
    <definedName name="wrn.67input." localSheetId="8" hidden="1">{#N/A,#N/A,FALSE,"Emission Calcs";#N/A,#N/A,FALSE,"Equipment Summary";#N/A,#N/A,FALSE,"PRODUCTION SUMMARY "}</definedName>
    <definedName name="wrn.67input." localSheetId="9" hidden="1">{#N/A,#N/A,FALSE,"Emission Calcs";#N/A,#N/A,FALSE,"Equipment Summary";#N/A,#N/A,FALSE,"PRODUCTION SUMMARY "}</definedName>
    <definedName name="wrn.67input." localSheetId="10" hidden="1">{#N/A,#N/A,FALSE,"Emission Calcs";#N/A,#N/A,FALSE,"Equipment Summary";#N/A,#N/A,FALSE,"PRODUCTION SUMMARY "}</definedName>
    <definedName name="wrn.67input." hidden="1">{#N/A,#N/A,FALSE,"Emission Calcs";#N/A,#N/A,FALSE,"Equipment Summary";#N/A,#N/A,FALSE,"PRODUCTION SUMMARY "}</definedName>
    <definedName name="wrn.All._.sheets." localSheetId="11" hidden="1">{#N/A,#N/A,FALSE,"Criteria summary";#N/A,#N/A,FALSE,"Boiler 2";#N/A,#N/A,FALSE,"IGG3";#N/A,#N/A,FALSE,"Line Pair 130-140";#N/A,#N/A,FALSE,"Line Pair 150-160";#N/A,#N/A,FALSE,"Line Pair 170-180"}</definedName>
    <definedName name="wrn.All._.sheets." localSheetId="12" hidden="1">{#N/A,#N/A,FALSE,"Criteria summary";#N/A,#N/A,FALSE,"Boiler 2";#N/A,#N/A,FALSE,"IGG3";#N/A,#N/A,FALSE,"Line Pair 130-140";#N/A,#N/A,FALSE,"Line Pair 150-160";#N/A,#N/A,FALSE,"Line Pair 170-180"}</definedName>
    <definedName name="wrn.All._.sheets." localSheetId="13" hidden="1">{#N/A,#N/A,FALSE,"Criteria summary";#N/A,#N/A,FALSE,"Boiler 2";#N/A,#N/A,FALSE,"IGG3";#N/A,#N/A,FALSE,"Line Pair 130-140";#N/A,#N/A,FALSE,"Line Pair 150-160";#N/A,#N/A,FALSE,"Line Pair 170-180"}</definedName>
    <definedName name="wrn.All._.sheets." localSheetId="14" hidden="1">{#N/A,#N/A,FALSE,"Criteria summary";#N/A,#N/A,FALSE,"Boiler 2";#N/A,#N/A,FALSE,"IGG3";#N/A,#N/A,FALSE,"Line Pair 130-140";#N/A,#N/A,FALSE,"Line Pair 150-160";#N/A,#N/A,FALSE,"Line Pair 170-180"}</definedName>
    <definedName name="wrn.All._.sheets." localSheetId="15" hidden="1">{#N/A,#N/A,FALSE,"Criteria summary";#N/A,#N/A,FALSE,"Boiler 2";#N/A,#N/A,FALSE,"IGG3";#N/A,#N/A,FALSE,"Line Pair 130-140";#N/A,#N/A,FALSE,"Line Pair 150-160";#N/A,#N/A,FALSE,"Line Pair 170-180"}</definedName>
    <definedName name="wrn.All._.sheets." localSheetId="16" hidden="1">{#N/A,#N/A,FALSE,"Criteria summary";#N/A,#N/A,FALSE,"Boiler 2";#N/A,#N/A,FALSE,"IGG3";#N/A,#N/A,FALSE,"Line Pair 130-140";#N/A,#N/A,FALSE,"Line Pair 150-160";#N/A,#N/A,FALSE,"Line Pair 170-180"}</definedName>
    <definedName name="wrn.All._.sheets." localSheetId="3" hidden="1">{#N/A,#N/A,FALSE,"Criteria summary";#N/A,#N/A,FALSE,"Boiler 2";#N/A,#N/A,FALSE,"IGG3";#N/A,#N/A,FALSE,"Line Pair 130-140";#N/A,#N/A,FALSE,"Line Pair 150-160";#N/A,#N/A,FALSE,"Line Pair 170-180"}</definedName>
    <definedName name="wrn.All._.sheets." localSheetId="5" hidden="1">{#N/A,#N/A,FALSE,"Criteria summary";#N/A,#N/A,FALSE,"Boiler 2";#N/A,#N/A,FALSE,"IGG3";#N/A,#N/A,FALSE,"Line Pair 130-140";#N/A,#N/A,FALSE,"Line Pair 150-160";#N/A,#N/A,FALSE,"Line Pair 170-180"}</definedName>
    <definedName name="wrn.All._.sheets." localSheetId="6" hidden="1">{#N/A,#N/A,FALSE,"Criteria summary";#N/A,#N/A,FALSE,"Boiler 2";#N/A,#N/A,FALSE,"IGG3";#N/A,#N/A,FALSE,"Line Pair 130-140";#N/A,#N/A,FALSE,"Line Pair 150-160";#N/A,#N/A,FALSE,"Line Pair 170-180"}</definedName>
    <definedName name="wrn.All._.sheets." localSheetId="8" hidden="1">{#N/A,#N/A,FALSE,"Criteria summary";#N/A,#N/A,FALSE,"Boiler 2";#N/A,#N/A,FALSE,"IGG3";#N/A,#N/A,FALSE,"Line Pair 130-140";#N/A,#N/A,FALSE,"Line Pair 150-160";#N/A,#N/A,FALSE,"Line Pair 170-180"}</definedName>
    <definedName name="wrn.All._.sheets." localSheetId="9" hidden="1">{#N/A,#N/A,FALSE,"Criteria summary";#N/A,#N/A,FALSE,"Boiler 2";#N/A,#N/A,FALSE,"IGG3";#N/A,#N/A,FALSE,"Line Pair 130-140";#N/A,#N/A,FALSE,"Line Pair 150-160";#N/A,#N/A,FALSE,"Line Pair 170-180"}</definedName>
    <definedName name="wrn.All._.sheets." localSheetId="10" hidden="1">{#N/A,#N/A,FALSE,"Criteria summary";#N/A,#N/A,FALSE,"Boiler 2";#N/A,#N/A,FALSE,"IGG3";#N/A,#N/A,FALSE,"Line Pair 130-140";#N/A,#N/A,FALSE,"Line Pair 150-160";#N/A,#N/A,FALSE,"Line Pair 170-180"}</definedName>
    <definedName name="wrn.All._.sheets." hidden="1">{#N/A,#N/A,FALSE,"Criteria summary";#N/A,#N/A,FALSE,"Boiler 2";#N/A,#N/A,FALSE,"IGG3";#N/A,#N/A,FALSE,"Line Pair 130-140";#N/A,#N/A,FALSE,"Line Pair 150-160";#N/A,#N/A,FALSE,"Line Pair 170-180"}</definedName>
    <definedName name="wrn.Appendix._.A." localSheetId="11"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2"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3"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4"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5"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6"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3"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5"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6"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8"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9"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0"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11" hidden="1">{#N/A,#N/A,TRUE,"(B-1) LimeKiln";#N/A,#N/A,TRUE,"(B-2) LimeSlaker";#N/A,#N/A,TRUE,"(B-3) Combo";#N/A,#N/A,TRUE,"(B-4) CRF";#N/A,#N/A,TRUE,"(B-5) SDT";#N/A,#N/A,TRUE,"(B-6) Fuel Oil";#N/A,#N/A,TRUE,"(B-7) NaturalGas"}</definedName>
    <definedName name="wrn.Appendix._.B." localSheetId="12" hidden="1">{#N/A,#N/A,TRUE,"(B-1) LimeKiln";#N/A,#N/A,TRUE,"(B-2) LimeSlaker";#N/A,#N/A,TRUE,"(B-3) Combo";#N/A,#N/A,TRUE,"(B-4) CRF";#N/A,#N/A,TRUE,"(B-5) SDT";#N/A,#N/A,TRUE,"(B-6) Fuel Oil";#N/A,#N/A,TRUE,"(B-7) NaturalGas"}</definedName>
    <definedName name="wrn.Appendix._.B." localSheetId="13" hidden="1">{#N/A,#N/A,TRUE,"(B-1) LimeKiln";#N/A,#N/A,TRUE,"(B-2) LimeSlaker";#N/A,#N/A,TRUE,"(B-3) Combo";#N/A,#N/A,TRUE,"(B-4) CRF";#N/A,#N/A,TRUE,"(B-5) SDT";#N/A,#N/A,TRUE,"(B-6) Fuel Oil";#N/A,#N/A,TRUE,"(B-7) NaturalGas"}</definedName>
    <definedName name="wrn.Appendix._.B." localSheetId="14" hidden="1">{#N/A,#N/A,TRUE,"(B-1) LimeKiln";#N/A,#N/A,TRUE,"(B-2) LimeSlaker";#N/A,#N/A,TRUE,"(B-3) Combo";#N/A,#N/A,TRUE,"(B-4) CRF";#N/A,#N/A,TRUE,"(B-5) SDT";#N/A,#N/A,TRUE,"(B-6) Fuel Oil";#N/A,#N/A,TRUE,"(B-7) NaturalGas"}</definedName>
    <definedName name="wrn.Appendix._.B." localSheetId="15" hidden="1">{#N/A,#N/A,TRUE,"(B-1) LimeKiln";#N/A,#N/A,TRUE,"(B-2) LimeSlaker";#N/A,#N/A,TRUE,"(B-3) Combo";#N/A,#N/A,TRUE,"(B-4) CRF";#N/A,#N/A,TRUE,"(B-5) SDT";#N/A,#N/A,TRUE,"(B-6) Fuel Oil";#N/A,#N/A,TRUE,"(B-7) NaturalGas"}</definedName>
    <definedName name="wrn.Appendix._.B." localSheetId="16" hidden="1">{#N/A,#N/A,TRUE,"(B-1) LimeKiln";#N/A,#N/A,TRUE,"(B-2) LimeSlaker";#N/A,#N/A,TRUE,"(B-3) Combo";#N/A,#N/A,TRUE,"(B-4) CRF";#N/A,#N/A,TRUE,"(B-5) SDT";#N/A,#N/A,TRUE,"(B-6) Fuel Oil";#N/A,#N/A,TRUE,"(B-7) NaturalGas"}</definedName>
    <definedName name="wrn.Appendix._.B." localSheetId="3" hidden="1">{#N/A,#N/A,TRUE,"(B-1) LimeKiln";#N/A,#N/A,TRUE,"(B-2) LimeSlaker";#N/A,#N/A,TRUE,"(B-3) Combo";#N/A,#N/A,TRUE,"(B-4) CRF";#N/A,#N/A,TRUE,"(B-5) SDT";#N/A,#N/A,TRUE,"(B-6) Fuel Oil";#N/A,#N/A,TRUE,"(B-7) NaturalGas"}</definedName>
    <definedName name="wrn.Appendix._.B." localSheetId="5" hidden="1">{#N/A,#N/A,TRUE,"(B-1) LimeKiln";#N/A,#N/A,TRUE,"(B-2) LimeSlaker";#N/A,#N/A,TRUE,"(B-3) Combo";#N/A,#N/A,TRUE,"(B-4) CRF";#N/A,#N/A,TRUE,"(B-5) SDT";#N/A,#N/A,TRUE,"(B-6) Fuel Oil";#N/A,#N/A,TRUE,"(B-7) NaturalGas"}</definedName>
    <definedName name="wrn.Appendix._.B." localSheetId="6" hidden="1">{#N/A,#N/A,TRUE,"(B-1) LimeKiln";#N/A,#N/A,TRUE,"(B-2) LimeSlaker";#N/A,#N/A,TRUE,"(B-3) Combo";#N/A,#N/A,TRUE,"(B-4) CRF";#N/A,#N/A,TRUE,"(B-5) SDT";#N/A,#N/A,TRUE,"(B-6) Fuel Oil";#N/A,#N/A,TRUE,"(B-7) NaturalGas"}</definedName>
    <definedName name="wrn.Appendix._.B." localSheetId="8" hidden="1">{#N/A,#N/A,TRUE,"(B-1) LimeKiln";#N/A,#N/A,TRUE,"(B-2) LimeSlaker";#N/A,#N/A,TRUE,"(B-3) Combo";#N/A,#N/A,TRUE,"(B-4) CRF";#N/A,#N/A,TRUE,"(B-5) SDT";#N/A,#N/A,TRUE,"(B-6) Fuel Oil";#N/A,#N/A,TRUE,"(B-7) NaturalGas"}</definedName>
    <definedName name="wrn.Appendix._.B." localSheetId="9" hidden="1">{#N/A,#N/A,TRUE,"(B-1) LimeKiln";#N/A,#N/A,TRUE,"(B-2) LimeSlaker";#N/A,#N/A,TRUE,"(B-3) Combo";#N/A,#N/A,TRUE,"(B-4) CRF";#N/A,#N/A,TRUE,"(B-5) SDT";#N/A,#N/A,TRUE,"(B-6) Fuel Oil";#N/A,#N/A,TRUE,"(B-7) NaturalGas"}</definedName>
    <definedName name="wrn.Appendix._.B." localSheetId="10" hidden="1">{#N/A,#N/A,TRUE,"(B-1) LimeKiln";#N/A,#N/A,TRUE,"(B-2) LimeSlaker";#N/A,#N/A,TRUE,"(B-3) Combo";#N/A,#N/A,TRUE,"(B-4) CRF";#N/A,#N/A,TRUE,"(B-5) SDT";#N/A,#N/A,TRUE,"(B-6) Fuel Oil";#N/A,#N/A,TRUE,"(B-7) NaturalGas"}</definedName>
    <definedName name="wrn.Appendix._.B." hidden="1">{#N/A,#N/A,TRUE,"(B-1) LimeKiln";#N/A,#N/A,TRUE,"(B-2) LimeSlaker";#N/A,#N/A,TRUE,"(B-3) Combo";#N/A,#N/A,TRUE,"(B-4) CRF";#N/A,#N/A,TRUE,"(B-5) SDT";#N/A,#N/A,TRUE,"(B-6) Fuel Oil";#N/A,#N/A,TRUE,"(B-7) NaturalGas"}</definedName>
    <definedName name="wrn.Appendix._.S." localSheetId="11" hidden="1">{#N/A,#N/A,TRUE,"Introduction";#N/A,#N/A,TRUE,"Emissions Inventory";#N/A,#N/A,TRUE,"Source Data"}</definedName>
    <definedName name="wrn.Appendix._.S." localSheetId="12" hidden="1">{#N/A,#N/A,TRUE,"Introduction";#N/A,#N/A,TRUE,"Emissions Inventory";#N/A,#N/A,TRUE,"Source Data"}</definedName>
    <definedName name="wrn.Appendix._.S." localSheetId="13" hidden="1">{#N/A,#N/A,TRUE,"Introduction";#N/A,#N/A,TRUE,"Emissions Inventory";#N/A,#N/A,TRUE,"Source Data"}</definedName>
    <definedName name="wrn.Appendix._.S." localSheetId="14" hidden="1">{#N/A,#N/A,TRUE,"Introduction";#N/A,#N/A,TRUE,"Emissions Inventory";#N/A,#N/A,TRUE,"Source Data"}</definedName>
    <definedName name="wrn.Appendix._.S." localSheetId="15" hidden="1">{#N/A,#N/A,TRUE,"Introduction";#N/A,#N/A,TRUE,"Emissions Inventory";#N/A,#N/A,TRUE,"Source Data"}</definedName>
    <definedName name="wrn.Appendix._.S." localSheetId="16" hidden="1">{#N/A,#N/A,TRUE,"Introduction";#N/A,#N/A,TRUE,"Emissions Inventory";#N/A,#N/A,TRUE,"Source Data"}</definedName>
    <definedName name="wrn.Appendix._.S." localSheetId="3" hidden="1">{#N/A,#N/A,TRUE,"Introduction";#N/A,#N/A,TRUE,"Emissions Inventory";#N/A,#N/A,TRUE,"Source Data"}</definedName>
    <definedName name="wrn.Appendix._.S." localSheetId="5" hidden="1">{#N/A,#N/A,TRUE,"Introduction";#N/A,#N/A,TRUE,"Emissions Inventory";#N/A,#N/A,TRUE,"Source Data"}</definedName>
    <definedName name="wrn.Appendix._.S." localSheetId="6" hidden="1">{#N/A,#N/A,TRUE,"Introduction";#N/A,#N/A,TRUE,"Emissions Inventory";#N/A,#N/A,TRUE,"Source Data"}</definedName>
    <definedName name="wrn.Appendix._.S." localSheetId="8" hidden="1">{#N/A,#N/A,TRUE,"Introduction";#N/A,#N/A,TRUE,"Emissions Inventory";#N/A,#N/A,TRUE,"Source Data"}</definedName>
    <definedName name="wrn.Appendix._.S." localSheetId="9" hidden="1">{#N/A,#N/A,TRUE,"Introduction";#N/A,#N/A,TRUE,"Emissions Inventory";#N/A,#N/A,TRUE,"Source Data"}</definedName>
    <definedName name="wrn.Appendix._.S." localSheetId="10" hidden="1">{#N/A,#N/A,TRUE,"Introduction";#N/A,#N/A,TRUE,"Emissions Inventory";#N/A,#N/A,TRUE,"Source Data"}</definedName>
    <definedName name="wrn.Appendix._.S." hidden="1">{#N/A,#N/A,TRUE,"Introduction";#N/A,#N/A,TRUE,"Emissions Inventory";#N/A,#N/A,TRUE,"Source Data"}</definedName>
    <definedName name="wrn.Comb._.Toxics." localSheetId="11"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2"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3"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4"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5"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6"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3"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5"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6"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8"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9" hidden="1">{"Comb Toxic 4T",#N/A,TRUE,"Combustion toxics";"Comb Toxic 5T",#N/A,TRUE,"Combustion toxics";"Comb Toxic 6T",#N/A,TRUE,"Combustion toxics";"Comb. Toxic 7T",#N/A,TRUE,"Combustion toxics";"Comb Toxics Boilers",#N/A,TRUE,"Combustion toxics";"Comb Toxic Total",#N/A,TRUE,"Combustion toxics"}</definedName>
    <definedName name="wrn.Comb._.Toxics." localSheetId="10" hidden="1">{"Comb Toxic 4T",#N/A,TRUE,"Combustion toxics";"Comb Toxic 5T",#N/A,TRUE,"Combustion toxics";"Comb Toxic 6T",#N/A,TRUE,"Combustion toxics";"Comb. Toxic 7T",#N/A,TRUE,"Combustion toxics";"Comb Toxics Boilers",#N/A,TRUE,"Combustion toxics";"Comb Toxic Total",#N/A,TRUE,"Combustion toxics"}</definedName>
    <definedName name="wrn.Comb._.Toxics." hidden="1">{"Comb Toxic 4T",#N/A,TRUE,"Combustion toxics";"Comb Toxic 5T",#N/A,TRUE,"Combustion toxics";"Comb Toxic 6T",#N/A,TRUE,"Combustion toxics";"Comb. Toxic 7T",#N/A,TRUE,"Combustion toxics";"Comb Toxics Boilers",#N/A,TRUE,"Combustion toxics";"Comb Toxic Total",#N/A,TRUE,"Combustion toxics"}</definedName>
    <definedName name="wrn.COMPLETEPRINT." localSheetId="11" hidden="1">{#N/A,#N/A,FALSE,"Rates";#N/A,#N/A,FALSE,"Summary";#N/A,#N/A,FALSE,"Boilers";#N/A,#N/A,FALSE,"Cyclones";#N/A,#N/A,FALSE,"Saws";#N/A,#N/A,FALSE,"Drops";#N/A,#N/A,FALSE,"Piles";#N/A,#N/A,FALSE,"Roads";#N/A,#N/A,FALSE,"Tanks";#N/A,#N/A,FALSE,"Kilns";#N/A,#N/A,FALSE,"Model"}</definedName>
    <definedName name="wrn.COMPLETEPRINT." localSheetId="12" hidden="1">{#N/A,#N/A,FALSE,"Rates";#N/A,#N/A,FALSE,"Summary";#N/A,#N/A,FALSE,"Boilers";#N/A,#N/A,FALSE,"Cyclones";#N/A,#N/A,FALSE,"Saws";#N/A,#N/A,FALSE,"Drops";#N/A,#N/A,FALSE,"Piles";#N/A,#N/A,FALSE,"Roads";#N/A,#N/A,FALSE,"Tanks";#N/A,#N/A,FALSE,"Kilns";#N/A,#N/A,FALSE,"Model"}</definedName>
    <definedName name="wrn.COMPLETEPRINT." localSheetId="13" hidden="1">{#N/A,#N/A,FALSE,"Rates";#N/A,#N/A,FALSE,"Summary";#N/A,#N/A,FALSE,"Boilers";#N/A,#N/A,FALSE,"Cyclones";#N/A,#N/A,FALSE,"Saws";#N/A,#N/A,FALSE,"Drops";#N/A,#N/A,FALSE,"Piles";#N/A,#N/A,FALSE,"Roads";#N/A,#N/A,FALSE,"Tanks";#N/A,#N/A,FALSE,"Kilns";#N/A,#N/A,FALSE,"Model"}</definedName>
    <definedName name="wrn.COMPLETEPRINT." localSheetId="14" hidden="1">{#N/A,#N/A,FALSE,"Rates";#N/A,#N/A,FALSE,"Summary";#N/A,#N/A,FALSE,"Boilers";#N/A,#N/A,FALSE,"Cyclones";#N/A,#N/A,FALSE,"Saws";#N/A,#N/A,FALSE,"Drops";#N/A,#N/A,FALSE,"Piles";#N/A,#N/A,FALSE,"Roads";#N/A,#N/A,FALSE,"Tanks";#N/A,#N/A,FALSE,"Kilns";#N/A,#N/A,FALSE,"Model"}</definedName>
    <definedName name="wrn.COMPLETEPRINT." localSheetId="15" hidden="1">{#N/A,#N/A,FALSE,"Rates";#N/A,#N/A,FALSE,"Summary";#N/A,#N/A,FALSE,"Boilers";#N/A,#N/A,FALSE,"Cyclones";#N/A,#N/A,FALSE,"Saws";#N/A,#N/A,FALSE,"Drops";#N/A,#N/A,FALSE,"Piles";#N/A,#N/A,FALSE,"Roads";#N/A,#N/A,FALSE,"Tanks";#N/A,#N/A,FALSE,"Kilns";#N/A,#N/A,FALSE,"Model"}</definedName>
    <definedName name="wrn.COMPLETEPRINT." localSheetId="16" hidden="1">{#N/A,#N/A,FALSE,"Rates";#N/A,#N/A,FALSE,"Summary";#N/A,#N/A,FALSE,"Boilers";#N/A,#N/A,FALSE,"Cyclones";#N/A,#N/A,FALSE,"Saws";#N/A,#N/A,FALSE,"Drops";#N/A,#N/A,FALSE,"Piles";#N/A,#N/A,FALSE,"Roads";#N/A,#N/A,FALSE,"Tanks";#N/A,#N/A,FALSE,"Kilns";#N/A,#N/A,FALSE,"Model"}</definedName>
    <definedName name="wrn.COMPLETEPRINT." localSheetId="3" hidden="1">{#N/A,#N/A,FALSE,"Rates";#N/A,#N/A,FALSE,"Summary";#N/A,#N/A,FALSE,"Boilers";#N/A,#N/A,FALSE,"Cyclones";#N/A,#N/A,FALSE,"Saws";#N/A,#N/A,FALSE,"Drops";#N/A,#N/A,FALSE,"Piles";#N/A,#N/A,FALSE,"Roads";#N/A,#N/A,FALSE,"Tanks";#N/A,#N/A,FALSE,"Kilns";#N/A,#N/A,FALSE,"Model"}</definedName>
    <definedName name="wrn.COMPLETEPRINT." localSheetId="5" hidden="1">{#N/A,#N/A,FALSE,"Rates";#N/A,#N/A,FALSE,"Summary";#N/A,#N/A,FALSE,"Boilers";#N/A,#N/A,FALSE,"Cyclones";#N/A,#N/A,FALSE,"Saws";#N/A,#N/A,FALSE,"Drops";#N/A,#N/A,FALSE,"Piles";#N/A,#N/A,FALSE,"Roads";#N/A,#N/A,FALSE,"Tanks";#N/A,#N/A,FALSE,"Kilns";#N/A,#N/A,FALSE,"Model"}</definedName>
    <definedName name="wrn.COMPLETEPRINT." localSheetId="6" hidden="1">{#N/A,#N/A,FALSE,"Rates";#N/A,#N/A,FALSE,"Summary";#N/A,#N/A,FALSE,"Boilers";#N/A,#N/A,FALSE,"Cyclones";#N/A,#N/A,FALSE,"Saws";#N/A,#N/A,FALSE,"Drops";#N/A,#N/A,FALSE,"Piles";#N/A,#N/A,FALSE,"Roads";#N/A,#N/A,FALSE,"Tanks";#N/A,#N/A,FALSE,"Kilns";#N/A,#N/A,FALSE,"Model"}</definedName>
    <definedName name="wrn.COMPLETEPRINT." localSheetId="8" hidden="1">{#N/A,#N/A,FALSE,"Rates";#N/A,#N/A,FALSE,"Summary";#N/A,#N/A,FALSE,"Boilers";#N/A,#N/A,FALSE,"Cyclones";#N/A,#N/A,FALSE,"Saws";#N/A,#N/A,FALSE,"Drops";#N/A,#N/A,FALSE,"Piles";#N/A,#N/A,FALSE,"Roads";#N/A,#N/A,FALSE,"Tanks";#N/A,#N/A,FALSE,"Kilns";#N/A,#N/A,FALSE,"Model"}</definedName>
    <definedName name="wrn.COMPLETEPRINT." localSheetId="9" hidden="1">{#N/A,#N/A,FALSE,"Rates";#N/A,#N/A,FALSE,"Summary";#N/A,#N/A,FALSE,"Boilers";#N/A,#N/A,FALSE,"Cyclones";#N/A,#N/A,FALSE,"Saws";#N/A,#N/A,FALSE,"Drops";#N/A,#N/A,FALSE,"Piles";#N/A,#N/A,FALSE,"Roads";#N/A,#N/A,FALSE,"Tanks";#N/A,#N/A,FALSE,"Kilns";#N/A,#N/A,FALSE,"Model"}</definedName>
    <definedName name="wrn.COMPLETEPRINT." localSheetId="10"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Full._.Report." localSheetId="11"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2"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3"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4"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5"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6"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3"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5"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6"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8"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9"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localSheetId="10"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Full._.Report." hidden="1">{#N/A,#N/A,FALSE,"Summary- Criteria";"Waste inputs and flows",#N/A,FALSE,"Throughputs and capacities";"Burner cap and fuel use",#N/A,FALSE,"Throughputs and capacities";"Vehicle equation",#N/A,FALSE,"Vehicle fugitive model";"Vehicle travel factors",#N/A,FALSE,"Factors and assumptions";"Primary vehicles",#N/A,FALSE,"Vehicle fugitive model";"Support Vehicles",#N/A,FALSE,"Vehicle fugitive model";#N/A,#N/A,FALSE,"PM- Waste Dumping";#N/A,#N/A,FALSE,"PM- Stabilization";#N/A,#N/A,FALSE,"PM- Cont. Mgmnt.";#N/A,#N/A,FALSE,"VOCs- All";#N/A,#N/A,FALSE,"Maintenance tanks";"Boiler factors",#N/A,FALSE,"Factors and assumptions";#N/A,#N/A,FALSE,"Criteria- Boilers";"Part HAP PPM",#N/A,FALSE,"HAPs";"Part. HAPs Rate",#N/A,FALSE,"HAPs";"VOC HAPs",#N/A,FALSE,"HAPs";#N/A,#N/A,FALSE,"Toxics- Boilers"}</definedName>
    <definedName name="wrn.G6input." localSheetId="11" hidden="1">{#N/A,#N/A,FALSE,"Emission Calcs";#N/A,#N/A,FALSE,"Equipment Summary";#N/A,#N/A,FALSE,"PRODUCTION SUMMARY "}</definedName>
    <definedName name="wrn.G6input." localSheetId="12" hidden="1">{#N/A,#N/A,FALSE,"Emission Calcs";#N/A,#N/A,FALSE,"Equipment Summary";#N/A,#N/A,FALSE,"PRODUCTION SUMMARY "}</definedName>
    <definedName name="wrn.G6input." localSheetId="13" hidden="1">{#N/A,#N/A,FALSE,"Emission Calcs";#N/A,#N/A,FALSE,"Equipment Summary";#N/A,#N/A,FALSE,"PRODUCTION SUMMARY "}</definedName>
    <definedName name="wrn.G6input." localSheetId="14" hidden="1">{#N/A,#N/A,FALSE,"Emission Calcs";#N/A,#N/A,FALSE,"Equipment Summary";#N/A,#N/A,FALSE,"PRODUCTION SUMMARY "}</definedName>
    <definedName name="wrn.G6input." localSheetId="15" hidden="1">{#N/A,#N/A,FALSE,"Emission Calcs";#N/A,#N/A,FALSE,"Equipment Summary";#N/A,#N/A,FALSE,"PRODUCTION SUMMARY "}</definedName>
    <definedName name="wrn.G6input." localSheetId="16" hidden="1">{#N/A,#N/A,FALSE,"Emission Calcs";#N/A,#N/A,FALSE,"Equipment Summary";#N/A,#N/A,FALSE,"PRODUCTION SUMMARY "}</definedName>
    <definedName name="wrn.G6input." localSheetId="3" hidden="1">{#N/A,#N/A,FALSE,"Emission Calcs";#N/A,#N/A,FALSE,"Equipment Summary";#N/A,#N/A,FALSE,"PRODUCTION SUMMARY "}</definedName>
    <definedName name="wrn.G6input." localSheetId="5" hidden="1">{#N/A,#N/A,FALSE,"Emission Calcs";#N/A,#N/A,FALSE,"Equipment Summary";#N/A,#N/A,FALSE,"PRODUCTION SUMMARY "}</definedName>
    <definedName name="wrn.G6input." localSheetId="6" hidden="1">{#N/A,#N/A,FALSE,"Emission Calcs";#N/A,#N/A,FALSE,"Equipment Summary";#N/A,#N/A,FALSE,"PRODUCTION SUMMARY "}</definedName>
    <definedName name="wrn.G6input." localSheetId="8" hidden="1">{#N/A,#N/A,FALSE,"Emission Calcs";#N/A,#N/A,FALSE,"Equipment Summary";#N/A,#N/A,FALSE,"PRODUCTION SUMMARY "}</definedName>
    <definedName name="wrn.G6input." localSheetId="9" hidden="1">{#N/A,#N/A,FALSE,"Emission Calcs";#N/A,#N/A,FALSE,"Equipment Summary";#N/A,#N/A,FALSE,"PRODUCTION SUMMARY "}</definedName>
    <definedName name="wrn.G6input." localSheetId="10" hidden="1">{#N/A,#N/A,FALSE,"Emission Calcs";#N/A,#N/A,FALSE,"Equipment Summary";#N/A,#N/A,FALSE,"PRODUCTION SUMMARY "}</definedName>
    <definedName name="wrn.G6input." hidden="1">{#N/A,#N/A,FALSE,"Emission Calcs";#N/A,#N/A,FALSE,"Equipment Summary";#N/A,#N/A,FALSE,"PRODUCTION SUMMARY "}</definedName>
    <definedName name="wrn.Input._.Data." localSheetId="11" hidden="1">{"Input data",#N/A,TRUE,"Prod. data, fuel use, &amp; factors";"Burner capacity and fuel use",#N/A,TRUE,"Prod. data, fuel use, &amp; factors";"Combustion factors",#N/A,TRUE,"Prod. data, fuel use, &amp; factors"}</definedName>
    <definedName name="wrn.Input._.Data." localSheetId="12" hidden="1">{"Input data",#N/A,TRUE,"Prod. data, fuel use, &amp; factors";"Burner capacity and fuel use",#N/A,TRUE,"Prod. data, fuel use, &amp; factors";"Combustion factors",#N/A,TRUE,"Prod. data, fuel use, &amp; factors"}</definedName>
    <definedName name="wrn.Input._.Data." localSheetId="13" hidden="1">{"Input data",#N/A,TRUE,"Prod. data, fuel use, &amp; factors";"Burner capacity and fuel use",#N/A,TRUE,"Prod. data, fuel use, &amp; factors";"Combustion factors",#N/A,TRUE,"Prod. data, fuel use, &amp; factors"}</definedName>
    <definedName name="wrn.Input._.Data." localSheetId="14" hidden="1">{"Input data",#N/A,TRUE,"Prod. data, fuel use, &amp; factors";"Burner capacity and fuel use",#N/A,TRUE,"Prod. data, fuel use, &amp; factors";"Combustion factors",#N/A,TRUE,"Prod. data, fuel use, &amp; factors"}</definedName>
    <definedName name="wrn.Input._.Data." localSheetId="15" hidden="1">{"Input data",#N/A,TRUE,"Prod. data, fuel use, &amp; factors";"Burner capacity and fuel use",#N/A,TRUE,"Prod. data, fuel use, &amp; factors";"Combustion factors",#N/A,TRUE,"Prod. data, fuel use, &amp; factors"}</definedName>
    <definedName name="wrn.Input._.Data." localSheetId="16" hidden="1">{"Input data",#N/A,TRUE,"Prod. data, fuel use, &amp; factors";"Burner capacity and fuel use",#N/A,TRUE,"Prod. data, fuel use, &amp; factors";"Combustion factors",#N/A,TRUE,"Prod. data, fuel use, &amp; factors"}</definedName>
    <definedName name="wrn.Input._.Data." localSheetId="3" hidden="1">{"Input data",#N/A,TRUE,"Prod. data, fuel use, &amp; factors";"Burner capacity and fuel use",#N/A,TRUE,"Prod. data, fuel use, &amp; factors";"Combustion factors",#N/A,TRUE,"Prod. data, fuel use, &amp; factors"}</definedName>
    <definedName name="wrn.Input._.Data." localSheetId="5" hidden="1">{"Input data",#N/A,TRUE,"Prod. data, fuel use, &amp; factors";"Burner capacity and fuel use",#N/A,TRUE,"Prod. data, fuel use, &amp; factors";"Combustion factors",#N/A,TRUE,"Prod. data, fuel use, &amp; factors"}</definedName>
    <definedName name="wrn.Input._.Data." localSheetId="6" hidden="1">{"Input data",#N/A,TRUE,"Prod. data, fuel use, &amp; factors";"Burner capacity and fuel use",#N/A,TRUE,"Prod. data, fuel use, &amp; factors";"Combustion factors",#N/A,TRUE,"Prod. data, fuel use, &amp; factors"}</definedName>
    <definedName name="wrn.Input._.Data." localSheetId="8" hidden="1">{"Input data",#N/A,TRUE,"Prod. data, fuel use, &amp; factors";"Burner capacity and fuel use",#N/A,TRUE,"Prod. data, fuel use, &amp; factors";"Combustion factors",#N/A,TRUE,"Prod. data, fuel use, &amp; factors"}</definedName>
    <definedName name="wrn.Input._.Data." localSheetId="9" hidden="1">{"Input data",#N/A,TRUE,"Prod. data, fuel use, &amp; factors";"Burner capacity and fuel use",#N/A,TRUE,"Prod. data, fuel use, &amp; factors";"Combustion factors",#N/A,TRUE,"Prod. data, fuel use, &amp; factors"}</definedName>
    <definedName name="wrn.Input._.Data." localSheetId="10" hidden="1">{"Input data",#N/A,TRUE,"Prod. data, fuel use, &amp; factors";"Burner capacity and fuel use",#N/A,TRUE,"Prod. data, fuel use, &amp; factors";"Combustion factors",#N/A,TRUE,"Prod. data, fuel use, &amp; factors"}</definedName>
    <definedName name="wrn.Input._.Data." hidden="1">{"Input data",#N/A,TRUE,"Prod. data, fuel use, &amp; factors";"Burner capacity and fuel use",#N/A,TRUE,"Prod. data, fuel use, &amp; factors";"Combustion factors",#N/A,TRUE,"Prod. data, fuel use, &amp; factors"}</definedName>
    <definedName name="wrn.Machine._.and._.Boiler._.Emissions." localSheetId="11" hidden="1">{#N/A,#N/A,TRUE,"4T";#N/A,#N/A,TRUE,"5T";#N/A,#N/A,TRUE,"6T";#N/A,#N/A,TRUE,"7T";#N/A,#N/A,TRUE,"Boilers";#N/A,#N/A,TRUE,"Plant summary"}</definedName>
    <definedName name="wrn.Machine._.and._.Boiler._.Emissions." localSheetId="12" hidden="1">{#N/A,#N/A,TRUE,"4T";#N/A,#N/A,TRUE,"5T";#N/A,#N/A,TRUE,"6T";#N/A,#N/A,TRUE,"7T";#N/A,#N/A,TRUE,"Boilers";#N/A,#N/A,TRUE,"Plant summary"}</definedName>
    <definedName name="wrn.Machine._.and._.Boiler._.Emissions." localSheetId="13" hidden="1">{#N/A,#N/A,TRUE,"4T";#N/A,#N/A,TRUE,"5T";#N/A,#N/A,TRUE,"6T";#N/A,#N/A,TRUE,"7T";#N/A,#N/A,TRUE,"Boilers";#N/A,#N/A,TRUE,"Plant summary"}</definedName>
    <definedName name="wrn.Machine._.and._.Boiler._.Emissions." localSheetId="14" hidden="1">{#N/A,#N/A,TRUE,"4T";#N/A,#N/A,TRUE,"5T";#N/A,#N/A,TRUE,"6T";#N/A,#N/A,TRUE,"7T";#N/A,#N/A,TRUE,"Boilers";#N/A,#N/A,TRUE,"Plant summary"}</definedName>
    <definedName name="wrn.Machine._.and._.Boiler._.Emissions." localSheetId="15" hidden="1">{#N/A,#N/A,TRUE,"4T";#N/A,#N/A,TRUE,"5T";#N/A,#N/A,TRUE,"6T";#N/A,#N/A,TRUE,"7T";#N/A,#N/A,TRUE,"Boilers";#N/A,#N/A,TRUE,"Plant summary"}</definedName>
    <definedName name="wrn.Machine._.and._.Boiler._.Emissions." localSheetId="16" hidden="1">{#N/A,#N/A,TRUE,"4T";#N/A,#N/A,TRUE,"5T";#N/A,#N/A,TRUE,"6T";#N/A,#N/A,TRUE,"7T";#N/A,#N/A,TRUE,"Boilers";#N/A,#N/A,TRUE,"Plant summary"}</definedName>
    <definedName name="wrn.Machine._.and._.Boiler._.Emissions." localSheetId="3" hidden="1">{#N/A,#N/A,TRUE,"4T";#N/A,#N/A,TRUE,"5T";#N/A,#N/A,TRUE,"6T";#N/A,#N/A,TRUE,"7T";#N/A,#N/A,TRUE,"Boilers";#N/A,#N/A,TRUE,"Plant summary"}</definedName>
    <definedName name="wrn.Machine._.and._.Boiler._.Emissions." localSheetId="5" hidden="1">{#N/A,#N/A,TRUE,"4T";#N/A,#N/A,TRUE,"5T";#N/A,#N/A,TRUE,"6T";#N/A,#N/A,TRUE,"7T";#N/A,#N/A,TRUE,"Boilers";#N/A,#N/A,TRUE,"Plant summary"}</definedName>
    <definedName name="wrn.Machine._.and._.Boiler._.Emissions." localSheetId="6" hidden="1">{#N/A,#N/A,TRUE,"4T";#N/A,#N/A,TRUE,"5T";#N/A,#N/A,TRUE,"6T";#N/A,#N/A,TRUE,"7T";#N/A,#N/A,TRUE,"Boilers";#N/A,#N/A,TRUE,"Plant summary"}</definedName>
    <definedName name="wrn.Machine._.and._.Boiler._.Emissions." localSheetId="8" hidden="1">{#N/A,#N/A,TRUE,"4T";#N/A,#N/A,TRUE,"5T";#N/A,#N/A,TRUE,"6T";#N/A,#N/A,TRUE,"7T";#N/A,#N/A,TRUE,"Boilers";#N/A,#N/A,TRUE,"Plant summary"}</definedName>
    <definedName name="wrn.Machine._.and._.Boiler._.Emissions." localSheetId="9" hidden="1">{#N/A,#N/A,TRUE,"4T";#N/A,#N/A,TRUE,"5T";#N/A,#N/A,TRUE,"6T";#N/A,#N/A,TRUE,"7T";#N/A,#N/A,TRUE,"Boilers";#N/A,#N/A,TRUE,"Plant summary"}</definedName>
    <definedName name="wrn.Machine._.and._.Boiler._.Emissions." localSheetId="10" hidden="1">{#N/A,#N/A,TRUE,"4T";#N/A,#N/A,TRUE,"5T";#N/A,#N/A,TRUE,"6T";#N/A,#N/A,TRUE,"7T";#N/A,#N/A,TRUE,"Boilers";#N/A,#N/A,TRUE,"Plant summary"}</definedName>
    <definedName name="wrn.Machine._.and._.Boiler._.Emissions." hidden="1">{#N/A,#N/A,TRUE,"4T";#N/A,#N/A,TRUE,"5T";#N/A,#N/A,TRUE,"6T";#N/A,#N/A,TRUE,"7T";#N/A,#N/A,TRUE,"Boilers";#N/A,#N/A,TRUE,"Plant summary"}</definedName>
    <definedName name="wrn.Modeling._.Tables." localSheetId="11" hidden="1">{#N/A,#N/A,TRUE,"Unit concentrations";"Emission rates",#N/A,TRUE,"Actual concentrations";"Actual Conc. Tables",#N/A,TRUE,"Actual concentrations"}</definedName>
    <definedName name="wrn.Modeling._.Tables." localSheetId="12" hidden="1">{#N/A,#N/A,TRUE,"Unit concentrations";"Emission rates",#N/A,TRUE,"Actual concentrations";"Actual Conc. Tables",#N/A,TRUE,"Actual concentrations"}</definedName>
    <definedName name="wrn.Modeling._.Tables." localSheetId="13" hidden="1">{#N/A,#N/A,TRUE,"Unit concentrations";"Emission rates",#N/A,TRUE,"Actual concentrations";"Actual Conc. Tables",#N/A,TRUE,"Actual concentrations"}</definedName>
    <definedName name="wrn.Modeling._.Tables." localSheetId="14" hidden="1">{#N/A,#N/A,TRUE,"Unit concentrations";"Emission rates",#N/A,TRUE,"Actual concentrations";"Actual Conc. Tables",#N/A,TRUE,"Actual concentrations"}</definedName>
    <definedName name="wrn.Modeling._.Tables." localSheetId="15" hidden="1">{#N/A,#N/A,TRUE,"Unit concentrations";"Emission rates",#N/A,TRUE,"Actual concentrations";"Actual Conc. Tables",#N/A,TRUE,"Actual concentrations"}</definedName>
    <definedName name="wrn.Modeling._.Tables." localSheetId="16" hidden="1">{#N/A,#N/A,TRUE,"Unit concentrations";"Emission rates",#N/A,TRUE,"Actual concentrations";"Actual Conc. Tables",#N/A,TRUE,"Actual concentrations"}</definedName>
    <definedName name="wrn.Modeling._.Tables." localSheetId="3" hidden="1">{#N/A,#N/A,TRUE,"Unit concentrations";"Emission rates",#N/A,TRUE,"Actual concentrations";"Actual Conc. Tables",#N/A,TRUE,"Actual concentrations"}</definedName>
    <definedName name="wrn.Modeling._.Tables." localSheetId="5" hidden="1">{#N/A,#N/A,TRUE,"Unit concentrations";"Emission rates",#N/A,TRUE,"Actual concentrations";"Actual Conc. Tables",#N/A,TRUE,"Actual concentrations"}</definedName>
    <definedName name="wrn.Modeling._.Tables." localSheetId="6" hidden="1">{#N/A,#N/A,TRUE,"Unit concentrations";"Emission rates",#N/A,TRUE,"Actual concentrations";"Actual Conc. Tables",#N/A,TRUE,"Actual concentrations"}</definedName>
    <definedName name="wrn.Modeling._.Tables." localSheetId="8" hidden="1">{#N/A,#N/A,TRUE,"Unit concentrations";"Emission rates",#N/A,TRUE,"Actual concentrations";"Actual Conc. Tables",#N/A,TRUE,"Actual concentrations"}</definedName>
    <definedName name="wrn.Modeling._.Tables." localSheetId="9" hidden="1">{#N/A,#N/A,TRUE,"Unit concentrations";"Emission rates",#N/A,TRUE,"Actual concentrations";"Actual Conc. Tables",#N/A,TRUE,"Actual concentrations"}</definedName>
    <definedName name="wrn.Modeling._.Tables." localSheetId="10" hidden="1">{#N/A,#N/A,TRUE,"Unit concentrations";"Emission rates",#N/A,TRUE,"Actual concentrations";"Actual Conc. Tables",#N/A,TRUE,"Actual concentrations"}</definedName>
    <definedName name="wrn.Modeling._.Tables." hidden="1">{#N/A,#N/A,TRUE,"Unit concentrations";"Emission rates",#N/A,TRUE,"Actual concentrations";"Actual Conc. Tables",#N/A,TRUE,"Actual concentrations"}</definedName>
    <definedName name="wrn.Process._.Toxics." localSheetId="11" hidden="1">{"Process Toxic Concentrations",#N/A,TRUE,"Process Toxics";"Process Papermaking Toxics",#N/A,TRUE,"Process Toxics";"Process Converting Toxics",#N/A,TRUE,"Process Toxics"}</definedName>
    <definedName name="wrn.Process._.Toxics." localSheetId="12" hidden="1">{"Process Toxic Concentrations",#N/A,TRUE,"Process Toxics";"Process Papermaking Toxics",#N/A,TRUE,"Process Toxics";"Process Converting Toxics",#N/A,TRUE,"Process Toxics"}</definedName>
    <definedName name="wrn.Process._.Toxics." localSheetId="13" hidden="1">{"Process Toxic Concentrations",#N/A,TRUE,"Process Toxics";"Process Papermaking Toxics",#N/A,TRUE,"Process Toxics";"Process Converting Toxics",#N/A,TRUE,"Process Toxics"}</definedName>
    <definedName name="wrn.Process._.Toxics." localSheetId="14" hidden="1">{"Process Toxic Concentrations",#N/A,TRUE,"Process Toxics";"Process Papermaking Toxics",#N/A,TRUE,"Process Toxics";"Process Converting Toxics",#N/A,TRUE,"Process Toxics"}</definedName>
    <definedName name="wrn.Process._.Toxics." localSheetId="15" hidden="1">{"Process Toxic Concentrations",#N/A,TRUE,"Process Toxics";"Process Papermaking Toxics",#N/A,TRUE,"Process Toxics";"Process Converting Toxics",#N/A,TRUE,"Process Toxics"}</definedName>
    <definedName name="wrn.Process._.Toxics." localSheetId="16" hidden="1">{"Process Toxic Concentrations",#N/A,TRUE,"Process Toxics";"Process Papermaking Toxics",#N/A,TRUE,"Process Toxics";"Process Converting Toxics",#N/A,TRUE,"Process Toxics"}</definedName>
    <definedName name="wrn.Process._.Toxics." localSheetId="3" hidden="1">{"Process Toxic Concentrations",#N/A,TRUE,"Process Toxics";"Process Papermaking Toxics",#N/A,TRUE,"Process Toxics";"Process Converting Toxics",#N/A,TRUE,"Process Toxics"}</definedName>
    <definedName name="wrn.Process._.Toxics." localSheetId="5" hidden="1">{"Process Toxic Concentrations",#N/A,TRUE,"Process Toxics";"Process Papermaking Toxics",#N/A,TRUE,"Process Toxics";"Process Converting Toxics",#N/A,TRUE,"Process Toxics"}</definedName>
    <definedName name="wrn.Process._.Toxics." localSheetId="6" hidden="1">{"Process Toxic Concentrations",#N/A,TRUE,"Process Toxics";"Process Papermaking Toxics",#N/A,TRUE,"Process Toxics";"Process Converting Toxics",#N/A,TRUE,"Process Toxics"}</definedName>
    <definedName name="wrn.Process._.Toxics." localSheetId="8" hidden="1">{"Process Toxic Concentrations",#N/A,TRUE,"Process Toxics";"Process Papermaking Toxics",#N/A,TRUE,"Process Toxics";"Process Converting Toxics",#N/A,TRUE,"Process Toxics"}</definedName>
    <definedName name="wrn.Process._.Toxics." localSheetId="9" hidden="1">{"Process Toxic Concentrations",#N/A,TRUE,"Process Toxics";"Process Papermaking Toxics",#N/A,TRUE,"Process Toxics";"Process Converting Toxics",#N/A,TRUE,"Process Toxics"}</definedName>
    <definedName name="wrn.Process._.Toxics." localSheetId="10" hidden="1">{"Process Toxic Concentrations",#N/A,TRUE,"Process Toxics";"Process Papermaking Toxics",#N/A,TRUE,"Process Toxics";"Process Converting Toxics",#N/A,TRUE,"Process Toxics"}</definedName>
    <definedName name="wrn.Process._.Toxics." hidden="1">{"Process Toxic Concentrations",#N/A,TRUE,"Process Toxics";"Process Papermaking Toxics",#N/A,TRUE,"Process Toxics";"Process Converting Toxics",#N/A,TRUE,"Process Toxics"}</definedName>
    <definedName name="wrn.Process._.TSP." localSheetId="11" hidden="1">{#N/A,#N/A,TRUE,"Process TSP"}</definedName>
    <definedName name="wrn.Process._.TSP." localSheetId="12" hidden="1">{#N/A,#N/A,TRUE,"Process TSP"}</definedName>
    <definedName name="wrn.Process._.TSP." localSheetId="13" hidden="1">{#N/A,#N/A,TRUE,"Process TSP"}</definedName>
    <definedName name="wrn.Process._.TSP." localSheetId="14" hidden="1">{#N/A,#N/A,TRUE,"Process TSP"}</definedName>
    <definedName name="wrn.Process._.TSP." localSheetId="15" hidden="1">{#N/A,#N/A,TRUE,"Process TSP"}</definedName>
    <definedName name="wrn.Process._.TSP." localSheetId="16" hidden="1">{#N/A,#N/A,TRUE,"Process TSP"}</definedName>
    <definedName name="wrn.Process._.TSP." localSheetId="3" hidden="1">{#N/A,#N/A,TRUE,"Process TSP"}</definedName>
    <definedName name="wrn.Process._.TSP." localSheetId="5" hidden="1">{#N/A,#N/A,TRUE,"Process TSP"}</definedName>
    <definedName name="wrn.Process._.TSP." localSheetId="6" hidden="1">{#N/A,#N/A,TRUE,"Process TSP"}</definedName>
    <definedName name="wrn.Process._.TSP." localSheetId="8" hidden="1">{#N/A,#N/A,TRUE,"Process TSP"}</definedName>
    <definedName name="wrn.Process._.TSP." localSheetId="9" hidden="1">{#N/A,#N/A,TRUE,"Process TSP"}</definedName>
    <definedName name="wrn.Process._.TSP." localSheetId="10" hidden="1">{#N/A,#N/A,TRUE,"Process TSP"}</definedName>
    <definedName name="wrn.Process._.TSP." hidden="1">{#N/A,#N/A,TRUE,"Process TSP"}</definedName>
    <definedName name="wrn.Process._.VOCs." localSheetId="11" hidden="1">{"VOC details",#N/A,TRUE,"Process VOCs";"VOC summary",#N/A,TRUE,"Process VOCs"}</definedName>
    <definedName name="wrn.Process._.VOCs." localSheetId="12" hidden="1">{"VOC details",#N/A,TRUE,"Process VOCs";"VOC summary",#N/A,TRUE,"Process VOCs"}</definedName>
    <definedName name="wrn.Process._.VOCs." localSheetId="13" hidden="1">{"VOC details",#N/A,TRUE,"Process VOCs";"VOC summary",#N/A,TRUE,"Process VOCs"}</definedName>
    <definedName name="wrn.Process._.VOCs." localSheetId="14" hidden="1">{"VOC details",#N/A,TRUE,"Process VOCs";"VOC summary",#N/A,TRUE,"Process VOCs"}</definedName>
    <definedName name="wrn.Process._.VOCs." localSheetId="15" hidden="1">{"VOC details",#N/A,TRUE,"Process VOCs";"VOC summary",#N/A,TRUE,"Process VOCs"}</definedName>
    <definedName name="wrn.Process._.VOCs." localSheetId="16" hidden="1">{"VOC details",#N/A,TRUE,"Process VOCs";"VOC summary",#N/A,TRUE,"Process VOCs"}</definedName>
    <definedName name="wrn.Process._.VOCs." localSheetId="3" hidden="1">{"VOC details",#N/A,TRUE,"Process VOCs";"VOC summary",#N/A,TRUE,"Process VOCs"}</definedName>
    <definedName name="wrn.Process._.VOCs." localSheetId="5" hidden="1">{"VOC details",#N/A,TRUE,"Process VOCs";"VOC summary",#N/A,TRUE,"Process VOCs"}</definedName>
    <definedName name="wrn.Process._.VOCs." localSheetId="6" hidden="1">{"VOC details",#N/A,TRUE,"Process VOCs";"VOC summary",#N/A,TRUE,"Process VOCs"}</definedName>
    <definedName name="wrn.Process._.VOCs." localSheetId="8" hidden="1">{"VOC details",#N/A,TRUE,"Process VOCs";"VOC summary",#N/A,TRUE,"Process VOCs"}</definedName>
    <definedName name="wrn.Process._.VOCs." localSheetId="9" hidden="1">{"VOC details",#N/A,TRUE,"Process VOCs";"VOC summary",#N/A,TRUE,"Process VOCs"}</definedName>
    <definedName name="wrn.Process._.VOCs." localSheetId="10" hidden="1">{"VOC details",#N/A,TRUE,"Process VOCs";"VOC summary",#N/A,TRUE,"Process VOCs"}</definedName>
    <definedName name="wrn.Process._.VOCs." hidden="1">{"VOC details",#N/A,TRUE,"Process VOCs";"VOC summary",#N/A,TRUE,"Process VOCs"}</definedName>
    <definedName name="wrn.report." hidden="1">{#N/A,#N/A,FALSE,"F1-Currrent";#N/A,#N/A,FALSE,"F2-Current";#N/A,#N/A,FALSE,"F2-Proposed";#N/A,#N/A,FALSE,"F3-Current";#N/A,#N/A,FALSE,"F4-Current";#N/A,#N/A,FALSE,"F4-Proposed";#N/A,#N/A,FALSE,"Controls"}</definedName>
    <definedName name="xxx" hidden="1">{#N/A,#N/A,FALSE,"F1-Currrent";#N/A,#N/A,FALSE,"F2-Current";#N/A,#N/A,FALSE,"F2-Proposed";#N/A,#N/A,FALSE,"F3-Current";#N/A,#N/A,FALSE,"F4-Current";#N/A,#N/A,FALSE,"F4-Proposed";#N/A,#N/A,FALSE,"Controls"}</definedName>
    <definedName name="yyy" hidden="1">{#N/A,#N/A,FALSE,"F1-Currrent";#N/A,#N/A,FALSE,"F2-Current";#N/A,#N/A,FALSE,"F2-Proposed";#N/A,#N/A,FALSE,"F3-Current";#N/A,#N/A,FALSE,"F4-Current";#N/A,#N/A,FALSE,"F4-Proposed";#N/A,#N/A,FALSE,"Controls"}</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11" l="1"/>
  <c r="E15" i="111"/>
  <c r="E14" i="111"/>
  <c r="E13" i="111"/>
  <c r="E12" i="111"/>
  <c r="E11" i="111"/>
  <c r="D48" i="125"/>
  <c r="D47" i="125"/>
  <c r="D45" i="125"/>
  <c r="D44" i="125"/>
  <c r="D43" i="125"/>
  <c r="D42" i="125"/>
  <c r="D41" i="125"/>
  <c r="D40" i="125"/>
  <c r="D39" i="125"/>
  <c r="D38" i="125"/>
  <c r="D37" i="125"/>
  <c r="D36" i="125"/>
  <c r="D35" i="125"/>
  <c r="D34" i="125"/>
  <c r="D33" i="125"/>
  <c r="D32" i="125"/>
  <c r="D31" i="125"/>
  <c r="D30" i="125"/>
  <c r="D29" i="125"/>
  <c r="D28" i="125"/>
  <c r="D27" i="125"/>
  <c r="D26" i="125"/>
  <c r="C30" i="125"/>
  <c r="C29" i="125"/>
  <c r="C28" i="125"/>
  <c r="C27" i="125"/>
  <c r="C26" i="125"/>
  <c r="C31" i="125"/>
  <c r="C32" i="125"/>
  <c r="C33" i="125"/>
  <c r="C34" i="125"/>
  <c r="C35" i="125"/>
  <c r="C36" i="125"/>
  <c r="C37" i="125"/>
  <c r="C38" i="125"/>
  <c r="C39" i="125"/>
  <c r="C40" i="125"/>
  <c r="C41" i="125"/>
  <c r="C42" i="125"/>
  <c r="C43" i="125"/>
  <c r="C44" i="125"/>
  <c r="C45" i="125"/>
  <c r="C48" i="125"/>
  <c r="C47" i="125"/>
  <c r="C25" i="125"/>
  <c r="L67" i="5"/>
  <c r="D120" i="125" l="1"/>
  <c r="D119" i="125"/>
  <c r="D117" i="125"/>
  <c r="D11" i="69"/>
  <c r="D107" i="61"/>
  <c r="D105" i="61"/>
  <c r="C66" i="85" l="1"/>
  <c r="C64" i="85"/>
  <c r="C67" i="85" l="1"/>
  <c r="C63" i="85"/>
  <c r="C62" i="85"/>
  <c r="C61" i="85"/>
  <c r="K16" i="111" l="1"/>
  <c r="K15" i="111"/>
  <c r="K14" i="111"/>
  <c r="K13" i="111"/>
  <c r="K12" i="111"/>
  <c r="G92" i="125" l="1"/>
  <c r="E65" i="85" l="1"/>
  <c r="E61" i="85"/>
  <c r="F61" i="85" s="1"/>
  <c r="C30" i="85" l="1"/>
  <c r="F65" i="85"/>
  <c r="B3" i="130" l="1"/>
  <c r="F33" i="131" l="1"/>
  <c r="E56" i="131"/>
  <c r="F56" i="131"/>
  <c r="E39" i="131"/>
  <c r="E38" i="131" s="1"/>
  <c r="F39" i="131"/>
  <c r="F38" i="131" s="1"/>
  <c r="F37" i="131" s="1"/>
  <c r="E40" i="131"/>
  <c r="F40" i="131"/>
  <c r="E43" i="131"/>
  <c r="F43" i="131"/>
  <c r="F45" i="131" s="1"/>
  <c r="F44" i="131"/>
  <c r="E46" i="131"/>
  <c r="F46" i="131"/>
  <c r="E47" i="131"/>
  <c r="F47" i="131"/>
  <c r="E48" i="131"/>
  <c r="F48" i="131"/>
  <c r="E27" i="131"/>
  <c r="E29" i="131" s="1"/>
  <c r="E55" i="131" s="1"/>
  <c r="E57" i="131" s="1"/>
  <c r="E59" i="131" s="1"/>
  <c r="E60" i="131" s="1"/>
  <c r="L28" i="4" s="1"/>
  <c r="F27" i="131"/>
  <c r="F29" i="131" s="1"/>
  <c r="F55" i="131" s="1"/>
  <c r="E28" i="131"/>
  <c r="E30" i="131" s="1"/>
  <c r="F28" i="131"/>
  <c r="F30" i="131" s="1"/>
  <c r="E33" i="131"/>
  <c r="E25" i="131"/>
  <c r="F25" i="131"/>
  <c r="B4" i="131"/>
  <c r="C11" i="131"/>
  <c r="C39" i="131" s="1"/>
  <c r="C38" i="131" s="1"/>
  <c r="C10" i="131"/>
  <c r="D33" i="131"/>
  <c r="D48" i="131" s="1"/>
  <c r="C33" i="131"/>
  <c r="C48" i="131" s="1"/>
  <c r="D25" i="131"/>
  <c r="D46" i="131" s="1"/>
  <c r="D47" i="131" s="1"/>
  <c r="C25" i="131"/>
  <c r="C46" i="131" s="1"/>
  <c r="C47" i="131" s="1"/>
  <c r="D27" i="131"/>
  <c r="C17" i="131"/>
  <c r="F57" i="131" l="1"/>
  <c r="F59" i="131" s="1"/>
  <c r="F60" i="131" s="1"/>
  <c r="L29" i="4" s="1"/>
  <c r="E44" i="131"/>
  <c r="E42" i="131" s="1"/>
  <c r="E41" i="131" s="1"/>
  <c r="F42" i="131"/>
  <c r="F41" i="131" s="1"/>
  <c r="C27" i="131"/>
  <c r="C15" i="131"/>
  <c r="D43" i="131"/>
  <c r="D44" i="131" s="1"/>
  <c r="C14" i="131"/>
  <c r="D39" i="131"/>
  <c r="D38" i="131" s="1"/>
  <c r="C43" i="131"/>
  <c r="C44" i="131" s="1"/>
  <c r="C45" i="131" s="1"/>
  <c r="C28" i="131"/>
  <c r="C30" i="131" s="1"/>
  <c r="C40" i="131" s="1"/>
  <c r="D28" i="131"/>
  <c r="D30" i="131" s="1"/>
  <c r="D40" i="131" s="1"/>
  <c r="D42" i="131"/>
  <c r="D41" i="131" s="1"/>
  <c r="D56" i="131" s="1"/>
  <c r="E45" i="131" l="1"/>
  <c r="E37" i="131" s="1"/>
  <c r="C42" i="131"/>
  <c r="C41" i="131" s="1"/>
  <c r="C56" i="131" s="1"/>
  <c r="D45" i="131"/>
  <c r="C37" i="131"/>
  <c r="C16" i="131"/>
  <c r="D37" i="131"/>
  <c r="D29" i="131"/>
  <c r="C29" i="131"/>
  <c r="C55" i="131" l="1"/>
  <c r="C57" i="131" s="1"/>
  <c r="C59" i="131" s="1"/>
  <c r="C60" i="131" s="1"/>
  <c r="L26" i="4" s="1"/>
  <c r="D55" i="131"/>
  <c r="D57" i="131" s="1"/>
  <c r="D59" i="131" s="1"/>
  <c r="D60" i="131" s="1"/>
  <c r="L27" i="4" s="1"/>
  <c r="C23" i="130" l="1"/>
  <c r="C7" i="130"/>
  <c r="E21" i="130" l="1"/>
  <c r="F42" i="130"/>
  <c r="F41" i="130"/>
  <c r="F40" i="130"/>
  <c r="E26" i="130"/>
  <c r="F38" i="130"/>
  <c r="F45" i="130"/>
  <c r="F49" i="130"/>
  <c r="F53" i="130"/>
  <c r="F57" i="130"/>
  <c r="F61" i="130"/>
  <c r="F65" i="130"/>
  <c r="F69" i="130"/>
  <c r="E22" i="130"/>
  <c r="F70" i="130"/>
  <c r="E23" i="130"/>
  <c r="F35" i="130"/>
  <c r="F46" i="130"/>
  <c r="F54" i="130"/>
  <c r="F66" i="130"/>
  <c r="E18" i="130"/>
  <c r="E20" i="130"/>
  <c r="C8" i="130"/>
  <c r="E24" i="130"/>
  <c r="E27" i="130" s="1"/>
  <c r="F39" i="130"/>
  <c r="F50" i="130"/>
  <c r="F58" i="130"/>
  <c r="F62" i="130"/>
  <c r="E25" i="130"/>
  <c r="F36" i="130"/>
  <c r="F43" i="130"/>
  <c r="F47" i="130"/>
  <c r="F51" i="130"/>
  <c r="F55" i="130"/>
  <c r="F59" i="130"/>
  <c r="F63" i="130"/>
  <c r="F67" i="130"/>
  <c r="F71" i="130"/>
  <c r="F37" i="130"/>
  <c r="F44" i="130"/>
  <c r="F48" i="130"/>
  <c r="F52" i="130"/>
  <c r="F56" i="130"/>
  <c r="F60" i="130"/>
  <c r="F64" i="130"/>
  <c r="F68" i="130"/>
  <c r="E17" i="130"/>
  <c r="E19" i="130"/>
  <c r="G42" i="130" l="1"/>
  <c r="M15" i="5" s="1"/>
  <c r="G41" i="130"/>
  <c r="M9" i="5" s="1"/>
  <c r="G40" i="130"/>
  <c r="F73" i="130"/>
  <c r="F72" i="130"/>
  <c r="G68" i="130"/>
  <c r="G64" i="130"/>
  <c r="M40" i="5" s="1"/>
  <c r="G60" i="130"/>
  <c r="M10" i="5" s="1"/>
  <c r="G56" i="130"/>
  <c r="G52" i="130"/>
  <c r="M22" i="5" s="1"/>
  <c r="G48" i="130"/>
  <c r="G44" i="130"/>
  <c r="M17" i="5" s="1"/>
  <c r="G37" i="130"/>
  <c r="F26" i="130"/>
  <c r="G59" i="130"/>
  <c r="G43" i="130"/>
  <c r="F20" i="130"/>
  <c r="F18" i="130"/>
  <c r="F19" i="130"/>
  <c r="G63" i="130"/>
  <c r="M39" i="5" s="1"/>
  <c r="G51" i="130"/>
  <c r="M20" i="5" s="1"/>
  <c r="F25" i="130"/>
  <c r="G70" i="130"/>
  <c r="M54" i="5" s="1"/>
  <c r="G66" i="130"/>
  <c r="M46" i="5" s="1"/>
  <c r="G62" i="130"/>
  <c r="G58" i="130"/>
  <c r="G54" i="130"/>
  <c r="G50" i="130"/>
  <c r="G46" i="130"/>
  <c r="M18" i="5" s="1"/>
  <c r="G39" i="130"/>
  <c r="G35" i="130"/>
  <c r="F24" i="130"/>
  <c r="F27" i="130" s="1"/>
  <c r="M31" i="4" s="1"/>
  <c r="F22" i="130"/>
  <c r="F21" i="130"/>
  <c r="H31" i="4" s="1"/>
  <c r="G67" i="130"/>
  <c r="M47" i="5" s="1"/>
  <c r="G55" i="130"/>
  <c r="M29" i="5" s="1"/>
  <c r="G36" i="130"/>
  <c r="G69" i="130"/>
  <c r="G65" i="130"/>
  <c r="M41" i="5" s="1"/>
  <c r="G61" i="130"/>
  <c r="M37" i="5" s="1"/>
  <c r="G57" i="130"/>
  <c r="M30" i="5" s="1"/>
  <c r="G53" i="130"/>
  <c r="M28" i="5" s="1"/>
  <c r="G49" i="130"/>
  <c r="G45" i="130"/>
  <c r="G38" i="130"/>
  <c r="F17" i="130"/>
  <c r="G71" i="130"/>
  <c r="M57" i="5" s="1"/>
  <c r="G47" i="130"/>
  <c r="M19" i="5" s="1"/>
  <c r="F23" i="130"/>
  <c r="G72" i="130" l="1"/>
  <c r="F31" i="4"/>
  <c r="K31" i="4"/>
  <c r="M8" i="5"/>
  <c r="G73" i="130"/>
  <c r="G31" i="4"/>
  <c r="J31" i="4"/>
  <c r="I31" i="4"/>
  <c r="L31" i="4"/>
  <c r="M53" i="5"/>
  <c r="M64" i="5" l="1"/>
  <c r="M67" i="5"/>
  <c r="M66" i="5"/>
  <c r="M65" i="5" s="1"/>
  <c r="I125" i="61" l="1"/>
  <c r="D32" i="61" s="1"/>
  <c r="D116" i="125" l="1"/>
  <c r="C64" i="125" l="1"/>
  <c r="C63" i="125"/>
  <c r="C62" i="125"/>
  <c r="C59" i="125"/>
  <c r="G11" i="111" l="1"/>
  <c r="G12" i="69"/>
  <c r="H12" i="69" s="1"/>
  <c r="H11" i="111" s="1"/>
  <c r="H9" i="69" l="1"/>
  <c r="H7" i="111" l="1"/>
  <c r="H11" i="69" s="1"/>
  <c r="H10" i="111"/>
  <c r="H10" i="69" s="1"/>
  <c r="H8" i="111"/>
  <c r="H7" i="69" l="1"/>
  <c r="H8" i="69"/>
  <c r="I12" i="111" l="1"/>
  <c r="I14" i="111"/>
  <c r="I13" i="111"/>
  <c r="I15" i="111"/>
  <c r="I16" i="111"/>
  <c r="L14" i="111" l="1"/>
  <c r="O14" i="111" s="1"/>
  <c r="M14" i="111"/>
  <c r="P14" i="111" s="1"/>
  <c r="N14" i="111"/>
  <c r="Q14" i="111" s="1"/>
  <c r="L15" i="111"/>
  <c r="O15" i="111" s="1"/>
  <c r="N15" i="111"/>
  <c r="Q15" i="111" s="1"/>
  <c r="M15" i="111"/>
  <c r="P15" i="111" s="1"/>
  <c r="M13" i="111"/>
  <c r="P13" i="111" s="1"/>
  <c r="N13" i="111"/>
  <c r="Q13" i="111" s="1"/>
  <c r="L13" i="111"/>
  <c r="O13" i="111" s="1"/>
  <c r="N16" i="111"/>
  <c r="Q16" i="111" s="1"/>
  <c r="M16" i="111"/>
  <c r="P16" i="111" s="1"/>
  <c r="L16" i="111"/>
  <c r="O16" i="111" s="1"/>
  <c r="N12" i="111"/>
  <c r="Q12" i="111" s="1"/>
  <c r="M12" i="111"/>
  <c r="P12" i="111" s="1"/>
  <c r="L12" i="111"/>
  <c r="O12" i="111" s="1"/>
  <c r="H13" i="84" l="1"/>
  <c r="H14" i="84"/>
  <c r="M14" i="84" s="1"/>
  <c r="I14" i="84"/>
  <c r="O14" i="84" s="1"/>
  <c r="J14" i="84"/>
  <c r="R14" i="84" s="1"/>
  <c r="J19" i="4" s="1"/>
  <c r="Q14" i="84" l="1"/>
  <c r="P14" i="84"/>
  <c r="I19" i="4" s="1"/>
  <c r="N14" i="84"/>
  <c r="H19" i="4" s="1"/>
  <c r="E67" i="85" l="1"/>
  <c r="E66" i="85" l="1"/>
  <c r="E64" i="85"/>
  <c r="E63" i="85"/>
  <c r="E62" i="85"/>
  <c r="K7" i="83" l="1"/>
  <c r="K8" i="83"/>
  <c r="J16" i="84" l="1"/>
  <c r="I16" i="84"/>
  <c r="H16" i="84"/>
  <c r="J15" i="84"/>
  <c r="I15" i="84"/>
  <c r="H15" i="84"/>
  <c r="B3" i="125" l="1"/>
  <c r="E25" i="85" l="1"/>
  <c r="F25" i="85" s="1"/>
  <c r="E68" i="85"/>
  <c r="F68" i="85" s="1"/>
  <c r="F67" i="85"/>
  <c r="E24" i="85"/>
  <c r="C23" i="85"/>
  <c r="C21" i="85"/>
  <c r="C20" i="85"/>
  <c r="C19" i="85"/>
  <c r="C18" i="85"/>
  <c r="C8" i="85"/>
  <c r="E21" i="85" l="1"/>
  <c r="E19" i="85"/>
  <c r="E20" i="85"/>
  <c r="E18" i="85"/>
  <c r="E23" i="85"/>
  <c r="F59" i="125" l="1"/>
  <c r="D19" i="125" s="1"/>
  <c r="E62" i="125"/>
  <c r="E63" i="125"/>
  <c r="F64" i="125"/>
  <c r="F62" i="125"/>
  <c r="F63" i="125"/>
  <c r="E59" i="125"/>
  <c r="C19" i="125" s="1"/>
  <c r="E64" i="125"/>
  <c r="J11" i="84"/>
  <c r="I11" i="84"/>
  <c r="H11" i="84"/>
  <c r="J7" i="84"/>
  <c r="I7" i="84"/>
  <c r="E65" i="125" l="1"/>
  <c r="C24" i="125" s="1"/>
  <c r="F65" i="125"/>
  <c r="D24" i="125" s="1"/>
  <c r="K9" i="82"/>
  <c r="M9" i="82" s="1"/>
  <c r="N9" i="82" s="1"/>
  <c r="K10" i="82"/>
  <c r="M10" i="82" s="1"/>
  <c r="N10" i="82" s="1"/>
  <c r="L10" i="82" l="1"/>
  <c r="I11" i="111" l="1"/>
  <c r="I10" i="111"/>
  <c r="I9" i="111"/>
  <c r="L10" i="111" l="1"/>
  <c r="N10" i="111"/>
  <c r="M10" i="111"/>
  <c r="L9" i="111"/>
  <c r="N9" i="111"/>
  <c r="M9" i="111"/>
  <c r="M11" i="111"/>
  <c r="L11" i="111"/>
  <c r="N11" i="111"/>
  <c r="I12" i="69"/>
  <c r="C38" i="85" l="1"/>
  <c r="C37" i="85"/>
  <c r="C36" i="85"/>
  <c r="C35" i="85"/>
  <c r="C34" i="85"/>
  <c r="C33" i="85"/>
  <c r="C32" i="85"/>
  <c r="C31" i="85"/>
  <c r="C81" i="85"/>
  <c r="C80" i="85"/>
  <c r="C79" i="85"/>
  <c r="C78" i="85"/>
  <c r="C77" i="85"/>
  <c r="C76" i="85"/>
  <c r="C75" i="85"/>
  <c r="C74" i="85"/>
  <c r="C73" i="85"/>
  <c r="E73" i="85" s="1"/>
  <c r="G7" i="83"/>
  <c r="H167" i="125" l="1"/>
  <c r="H57" i="5" s="1"/>
  <c r="G167" i="125"/>
  <c r="G133" i="125"/>
  <c r="H133" i="125"/>
  <c r="G134" i="125"/>
  <c r="H134" i="125"/>
  <c r="G135" i="125"/>
  <c r="H135" i="125"/>
  <c r="G136" i="125"/>
  <c r="H136" i="125"/>
  <c r="G137" i="125"/>
  <c r="H137" i="125"/>
  <c r="G138" i="125"/>
  <c r="H138" i="125"/>
  <c r="H15" i="5" s="1"/>
  <c r="G139" i="125"/>
  <c r="H139" i="125"/>
  <c r="G140" i="125"/>
  <c r="H140" i="125"/>
  <c r="H17" i="5" s="1"/>
  <c r="G141" i="125"/>
  <c r="H141" i="125"/>
  <c r="G142" i="125"/>
  <c r="H142" i="125"/>
  <c r="H18" i="5" s="1"/>
  <c r="G143" i="125"/>
  <c r="H143" i="125"/>
  <c r="H19" i="5" s="1"/>
  <c r="G144" i="125"/>
  <c r="H144" i="125"/>
  <c r="G145" i="125"/>
  <c r="H145" i="125"/>
  <c r="G146" i="125"/>
  <c r="H146" i="125"/>
  <c r="G147" i="125"/>
  <c r="H147" i="125"/>
  <c r="H20" i="5" s="1"/>
  <c r="G148" i="125"/>
  <c r="H148" i="125"/>
  <c r="H22" i="5" s="1"/>
  <c r="G149" i="125"/>
  <c r="H149" i="125"/>
  <c r="H27" i="5" s="1"/>
  <c r="G150" i="125"/>
  <c r="H150" i="125"/>
  <c r="G151" i="125"/>
  <c r="H151" i="125"/>
  <c r="H29" i="5" s="1"/>
  <c r="G152" i="125"/>
  <c r="H152" i="125"/>
  <c r="G153" i="125"/>
  <c r="H153" i="125"/>
  <c r="H30" i="5" s="1"/>
  <c r="G154" i="125"/>
  <c r="H154" i="125"/>
  <c r="G155" i="125"/>
  <c r="H155" i="125"/>
  <c r="G156" i="125"/>
  <c r="H156" i="125"/>
  <c r="G157" i="125"/>
  <c r="H157" i="125"/>
  <c r="H37" i="5" s="1"/>
  <c r="G158" i="125"/>
  <c r="H158" i="125"/>
  <c r="G159" i="125"/>
  <c r="H159" i="125"/>
  <c r="H39" i="5" s="1"/>
  <c r="G160" i="125"/>
  <c r="H160" i="125"/>
  <c r="H40" i="5" s="1"/>
  <c r="G161" i="125"/>
  <c r="H161" i="125"/>
  <c r="H41" i="5" s="1"/>
  <c r="G162" i="125"/>
  <c r="H162" i="125"/>
  <c r="H46" i="5" s="1"/>
  <c r="G163" i="125"/>
  <c r="H163" i="125"/>
  <c r="H47" i="5" s="1"/>
  <c r="G164" i="125"/>
  <c r="H164" i="125"/>
  <c r="G165" i="125"/>
  <c r="H165" i="125"/>
  <c r="G166" i="125"/>
  <c r="H166" i="125"/>
  <c r="H54" i="5" s="1"/>
  <c r="G132" i="125"/>
  <c r="G131" i="125"/>
  <c r="H132" i="125"/>
  <c r="H131" i="125"/>
  <c r="E109" i="125"/>
  <c r="F109" i="125" s="1"/>
  <c r="E108" i="125"/>
  <c r="F108" i="125" s="1"/>
  <c r="E107" i="125"/>
  <c r="M16" i="84"/>
  <c r="O16" i="84"/>
  <c r="D7" i="69"/>
  <c r="D8" i="69" s="1"/>
  <c r="D10" i="111"/>
  <c r="D9" i="111"/>
  <c r="C7" i="69"/>
  <c r="J11" i="111"/>
  <c r="B3" i="77"/>
  <c r="B3" i="111"/>
  <c r="B3" i="69"/>
  <c r="K12" i="69"/>
  <c r="M12" i="69"/>
  <c r="E12" i="69"/>
  <c r="J12" i="69" s="1"/>
  <c r="G44" i="5"/>
  <c r="H44" i="5"/>
  <c r="J44" i="5"/>
  <c r="K44" i="5"/>
  <c r="K9" i="83"/>
  <c r="K10" i="83"/>
  <c r="D7" i="83"/>
  <c r="J15" i="5"/>
  <c r="K15" i="5"/>
  <c r="H14" i="5"/>
  <c r="H16" i="5"/>
  <c r="H21" i="5"/>
  <c r="H23" i="5"/>
  <c r="H24" i="5"/>
  <c r="H25" i="5"/>
  <c r="H26" i="5"/>
  <c r="H28" i="5"/>
  <c r="H31" i="5"/>
  <c r="H32" i="5"/>
  <c r="H33" i="5"/>
  <c r="H34" i="5"/>
  <c r="H35" i="5"/>
  <c r="H36" i="5"/>
  <c r="H38" i="5"/>
  <c r="H42" i="5"/>
  <c r="H43" i="5"/>
  <c r="H45" i="5"/>
  <c r="H48" i="5"/>
  <c r="H49" i="5"/>
  <c r="H50" i="5"/>
  <c r="H51" i="5"/>
  <c r="H52" i="5"/>
  <c r="H55" i="5"/>
  <c r="H56" i="5"/>
  <c r="H58" i="5"/>
  <c r="H59" i="5"/>
  <c r="H60" i="5"/>
  <c r="H61" i="5"/>
  <c r="H62" i="5"/>
  <c r="H63" i="5"/>
  <c r="G11" i="5"/>
  <c r="G12" i="5"/>
  <c r="G13" i="5"/>
  <c r="G14" i="5"/>
  <c r="G16" i="5"/>
  <c r="G21" i="5"/>
  <c r="G23" i="5"/>
  <c r="G24" i="5"/>
  <c r="G25" i="5"/>
  <c r="G26" i="5"/>
  <c r="G28" i="5"/>
  <c r="G31" i="5"/>
  <c r="G32" i="5"/>
  <c r="G33" i="5"/>
  <c r="G34" i="5"/>
  <c r="G35" i="5"/>
  <c r="G36" i="5"/>
  <c r="G38" i="5"/>
  <c r="G42" i="5"/>
  <c r="G43" i="5"/>
  <c r="G45" i="5"/>
  <c r="G48" i="5"/>
  <c r="G49" i="5"/>
  <c r="G50" i="5"/>
  <c r="G51" i="5"/>
  <c r="G52" i="5"/>
  <c r="G55" i="5"/>
  <c r="G56" i="5"/>
  <c r="G58" i="5"/>
  <c r="G59" i="5"/>
  <c r="G60" i="5"/>
  <c r="G61" i="5"/>
  <c r="G62" i="5"/>
  <c r="G63" i="5"/>
  <c r="F15" i="5"/>
  <c r="F21" i="5"/>
  <c r="F30" i="5"/>
  <c r="F37" i="5"/>
  <c r="F11" i="5"/>
  <c r="E21" i="5"/>
  <c r="C125" i="125"/>
  <c r="C124" i="125"/>
  <c r="F14" i="74"/>
  <c r="I7" i="69"/>
  <c r="K7" i="69" s="1"/>
  <c r="K8" i="82"/>
  <c r="M8" i="82" s="1"/>
  <c r="N8" i="82" s="1"/>
  <c r="I15" i="4" s="1"/>
  <c r="F20" i="74"/>
  <c r="M15" i="84"/>
  <c r="O15" i="84"/>
  <c r="Q15" i="84"/>
  <c r="J9" i="84"/>
  <c r="Q9" i="84" s="1"/>
  <c r="J10" i="84"/>
  <c r="Q10" i="84" s="1"/>
  <c r="J8" i="84"/>
  <c r="J12" i="84"/>
  <c r="J13" i="84"/>
  <c r="H9" i="84"/>
  <c r="M9" i="84" s="1"/>
  <c r="H10" i="84"/>
  <c r="M10" i="84" s="1"/>
  <c r="H7" i="84"/>
  <c r="H8" i="84"/>
  <c r="H12" i="84"/>
  <c r="I9" i="84"/>
  <c r="O9" i="84" s="1"/>
  <c r="I10" i="84"/>
  <c r="O10" i="84" s="1"/>
  <c r="I8" i="84"/>
  <c r="I12" i="84"/>
  <c r="I13" i="84"/>
  <c r="I126" i="61"/>
  <c r="D33" i="61" s="1"/>
  <c r="B3" i="112"/>
  <c r="D104" i="61"/>
  <c r="D108" i="61" s="1"/>
  <c r="I8" i="111"/>
  <c r="I7" i="111"/>
  <c r="L7" i="111" s="1"/>
  <c r="B3" i="5"/>
  <c r="B3" i="85"/>
  <c r="B3" i="84"/>
  <c r="B3" i="74"/>
  <c r="D9" i="83"/>
  <c r="E9" i="83" s="1"/>
  <c r="L9" i="83" s="1"/>
  <c r="G9" i="83"/>
  <c r="R9" i="83" s="1"/>
  <c r="S9" i="83" s="1"/>
  <c r="D10" i="83"/>
  <c r="E10" i="83" s="1"/>
  <c r="G10" i="83"/>
  <c r="E14" i="77"/>
  <c r="J11" i="5"/>
  <c r="J12" i="5"/>
  <c r="J13" i="5"/>
  <c r="J14" i="5"/>
  <c r="J16" i="5"/>
  <c r="J17" i="5"/>
  <c r="J20" i="5"/>
  <c r="J22" i="5"/>
  <c r="J23" i="5"/>
  <c r="J24" i="5"/>
  <c r="J25" i="5"/>
  <c r="J26" i="5"/>
  <c r="J27" i="5"/>
  <c r="J28" i="5"/>
  <c r="J29" i="5"/>
  <c r="J30" i="5"/>
  <c r="J31" i="5"/>
  <c r="J32" i="5"/>
  <c r="J33" i="5"/>
  <c r="J34" i="5"/>
  <c r="J35" i="5"/>
  <c r="J36" i="5"/>
  <c r="J37" i="5"/>
  <c r="J38" i="5"/>
  <c r="J39" i="5"/>
  <c r="J40" i="5"/>
  <c r="J41" i="5"/>
  <c r="J42" i="5"/>
  <c r="J43" i="5"/>
  <c r="J45" i="5"/>
  <c r="J46" i="5"/>
  <c r="J47" i="5"/>
  <c r="J48" i="5"/>
  <c r="J49" i="5"/>
  <c r="J50" i="5"/>
  <c r="J51" i="5"/>
  <c r="J52" i="5"/>
  <c r="J54" i="5"/>
  <c r="J55" i="5"/>
  <c r="J56" i="5"/>
  <c r="J58" i="5"/>
  <c r="J59" i="5"/>
  <c r="J60" i="5"/>
  <c r="J61" i="5"/>
  <c r="J62" i="5"/>
  <c r="K11" i="5"/>
  <c r="K12" i="5"/>
  <c r="K13" i="5"/>
  <c r="K14" i="5"/>
  <c r="K16" i="5"/>
  <c r="K17" i="5"/>
  <c r="K20" i="5"/>
  <c r="K22" i="5"/>
  <c r="K23" i="5"/>
  <c r="K24" i="5"/>
  <c r="K25" i="5"/>
  <c r="K26" i="5"/>
  <c r="K27" i="5"/>
  <c r="K28" i="5"/>
  <c r="K29" i="5"/>
  <c r="K30" i="5"/>
  <c r="K31" i="5"/>
  <c r="K32" i="5"/>
  <c r="K33" i="5"/>
  <c r="K34" i="5"/>
  <c r="K35" i="5"/>
  <c r="K36" i="5"/>
  <c r="K37" i="5"/>
  <c r="K38" i="5"/>
  <c r="K39" i="5"/>
  <c r="K40" i="5"/>
  <c r="K41" i="5"/>
  <c r="K42" i="5"/>
  <c r="K43" i="5"/>
  <c r="K45" i="5"/>
  <c r="K46" i="5"/>
  <c r="K47" i="5"/>
  <c r="K48" i="5"/>
  <c r="K49" i="5"/>
  <c r="K50" i="5"/>
  <c r="K51" i="5"/>
  <c r="K52" i="5"/>
  <c r="K54" i="5"/>
  <c r="K55" i="5"/>
  <c r="K56" i="5"/>
  <c r="K58" i="5"/>
  <c r="K59" i="5"/>
  <c r="K60" i="5"/>
  <c r="K61" i="5"/>
  <c r="K62" i="5"/>
  <c r="L9" i="82"/>
  <c r="H17" i="4" s="1"/>
  <c r="B3" i="87"/>
  <c r="C13" i="87"/>
  <c r="E81" i="85"/>
  <c r="E80" i="85"/>
  <c r="E79" i="85"/>
  <c r="E78" i="85"/>
  <c r="E77" i="85"/>
  <c r="E76" i="85"/>
  <c r="E75" i="85"/>
  <c r="E74" i="85"/>
  <c r="F73" i="85"/>
  <c r="C51" i="85"/>
  <c r="E38" i="85"/>
  <c r="E37" i="85"/>
  <c r="E36" i="85"/>
  <c r="E35" i="85"/>
  <c r="E34" i="85"/>
  <c r="E33" i="85"/>
  <c r="E32" i="85"/>
  <c r="E31" i="85"/>
  <c r="E30" i="85"/>
  <c r="E22" i="85"/>
  <c r="F22" i="85" s="1"/>
  <c r="F20" i="85"/>
  <c r="O9" i="82"/>
  <c r="P9" i="82" s="1"/>
  <c r="J17" i="4" s="1"/>
  <c r="B3" i="83"/>
  <c r="E21" i="83"/>
  <c r="G8" i="83"/>
  <c r="R8" i="83"/>
  <c r="S8" i="83" s="1"/>
  <c r="D8" i="83"/>
  <c r="E8" i="83" s="1"/>
  <c r="L8" i="83" s="1"/>
  <c r="E7" i="83"/>
  <c r="B3" i="82"/>
  <c r="O10" i="82"/>
  <c r="P10" i="82" s="1"/>
  <c r="J16" i="4" s="1"/>
  <c r="B3" i="76"/>
  <c r="G81" i="77"/>
  <c r="G76" i="77"/>
  <c r="G53" i="77"/>
  <c r="G72" i="77"/>
  <c r="G70" i="77"/>
  <c r="G68" i="77"/>
  <c r="G66" i="77"/>
  <c r="G63" i="77"/>
  <c r="G61" i="77"/>
  <c r="G59" i="77"/>
  <c r="G52" i="77"/>
  <c r="G55" i="77"/>
  <c r="G51" i="77"/>
  <c r="G47" i="77"/>
  <c r="G45" i="77"/>
  <c r="G43" i="77"/>
  <c r="G40" i="77"/>
  <c r="G38" i="77"/>
  <c r="G36" i="77"/>
  <c r="G34" i="77"/>
  <c r="E23" i="77"/>
  <c r="E21" i="77"/>
  <c r="C20" i="77"/>
  <c r="E20" i="77"/>
  <c r="C19" i="77"/>
  <c r="E19" i="77" s="1"/>
  <c r="C18" i="77"/>
  <c r="E17" i="77"/>
  <c r="E15" i="77"/>
  <c r="C19" i="76"/>
  <c r="C18" i="76"/>
  <c r="C17" i="76"/>
  <c r="G64" i="74"/>
  <c r="H64" i="74" s="1"/>
  <c r="G46" i="5" s="1"/>
  <c r="C113" i="61"/>
  <c r="C112" i="61"/>
  <c r="G59" i="74"/>
  <c r="I17" i="4"/>
  <c r="G47" i="74"/>
  <c r="F21" i="74"/>
  <c r="F22" i="74"/>
  <c r="G38" i="74"/>
  <c r="H38" i="74" s="1"/>
  <c r="G45" i="74"/>
  <c r="G37" i="74"/>
  <c r="H37" i="74" s="1"/>
  <c r="G67" i="74"/>
  <c r="G61" i="74"/>
  <c r="G60" i="74"/>
  <c r="G33" i="74"/>
  <c r="G53" i="74"/>
  <c r="G43" i="74"/>
  <c r="H43" i="74" s="1"/>
  <c r="G52" i="74"/>
  <c r="G42" i="74"/>
  <c r="G66" i="74"/>
  <c r="G41" i="74"/>
  <c r="H41" i="74" s="1"/>
  <c r="G65" i="74"/>
  <c r="G57" i="74"/>
  <c r="H57" i="74" s="1"/>
  <c r="G49" i="74"/>
  <c r="H49" i="74" s="1"/>
  <c r="G20" i="5" s="1"/>
  <c r="G40" i="74"/>
  <c r="G56" i="74"/>
  <c r="H56" i="74" s="1"/>
  <c r="G48" i="74"/>
  <c r="G63" i="74"/>
  <c r="G55" i="74"/>
  <c r="G54" i="74"/>
  <c r="G46" i="74"/>
  <c r="L8" i="82"/>
  <c r="H15" i="4" s="1"/>
  <c r="G68" i="74"/>
  <c r="G14" i="74"/>
  <c r="G11" i="4" s="1"/>
  <c r="F16" i="74"/>
  <c r="G35" i="74"/>
  <c r="F18" i="74"/>
  <c r="F13" i="74"/>
  <c r="F17" i="74"/>
  <c r="G34" i="74"/>
  <c r="G69" i="74"/>
  <c r="H69" i="74" s="1"/>
  <c r="G57" i="5" s="1"/>
  <c r="F15" i="74"/>
  <c r="G36" i="74"/>
  <c r="I16" i="4"/>
  <c r="H16" i="4"/>
  <c r="B51" i="69"/>
  <c r="I13" i="69"/>
  <c r="M13" i="69" s="1"/>
  <c r="R13" i="69" s="1"/>
  <c r="I11" i="69"/>
  <c r="K11" i="69" s="1"/>
  <c r="I10" i="69"/>
  <c r="L10" i="69" s="1"/>
  <c r="E10" i="69"/>
  <c r="J10" i="69" s="1"/>
  <c r="I9" i="69"/>
  <c r="L9" i="69" s="1"/>
  <c r="I8" i="69"/>
  <c r="M8" i="69" s="1"/>
  <c r="E13" i="69"/>
  <c r="J13" i="69" s="1"/>
  <c r="E9" i="69"/>
  <c r="J9" i="69" s="1"/>
  <c r="D17" i="112"/>
  <c r="E9" i="111" l="1"/>
  <c r="J9" i="111" s="1"/>
  <c r="E10" i="111"/>
  <c r="J10" i="111" s="1"/>
  <c r="F19" i="74"/>
  <c r="H168" i="125"/>
  <c r="O11" i="111"/>
  <c r="P11" i="111"/>
  <c r="Q11" i="111"/>
  <c r="M7" i="111"/>
  <c r="N7" i="111"/>
  <c r="M8" i="111"/>
  <c r="L8" i="111"/>
  <c r="N8" i="111"/>
  <c r="F58" i="125"/>
  <c r="F57" i="125"/>
  <c r="F107" i="125"/>
  <c r="G97" i="125"/>
  <c r="K11" i="84"/>
  <c r="K12" i="84" s="1"/>
  <c r="E91" i="61"/>
  <c r="H34" i="74"/>
  <c r="H68" i="74"/>
  <c r="G54" i="5" s="1"/>
  <c r="H40" i="74"/>
  <c r="G15" i="5" s="1"/>
  <c r="H52" i="74"/>
  <c r="H45" i="74"/>
  <c r="G19" i="5" s="1"/>
  <c r="G13" i="74"/>
  <c r="F11" i="4" s="1"/>
  <c r="H53" i="74"/>
  <c r="G29" i="5" s="1"/>
  <c r="S13" i="69"/>
  <c r="H46" i="74"/>
  <c r="G22" i="74"/>
  <c r="G23" i="74" s="1"/>
  <c r="M11" i="4" s="1"/>
  <c r="G18" i="74"/>
  <c r="H54" i="74"/>
  <c r="H65" i="74"/>
  <c r="G47" i="5" s="1"/>
  <c r="H33" i="74"/>
  <c r="G21" i="74"/>
  <c r="G20" i="74"/>
  <c r="H35" i="74"/>
  <c r="H47" i="74"/>
  <c r="H55" i="74"/>
  <c r="G30" i="5" s="1"/>
  <c r="H60" i="74"/>
  <c r="G15" i="74"/>
  <c r="K11" i="4" s="1"/>
  <c r="G16" i="74"/>
  <c r="L11" i="4" s="1"/>
  <c r="H63" i="74"/>
  <c r="G41" i="5" s="1"/>
  <c r="H61" i="74"/>
  <c r="G39" i="5" s="1"/>
  <c r="H36" i="74"/>
  <c r="H48" i="74"/>
  <c r="H66" i="74"/>
  <c r="H67" i="74"/>
  <c r="H59" i="74"/>
  <c r="G37" i="5" s="1"/>
  <c r="G62" i="74"/>
  <c r="K9" i="69"/>
  <c r="N9" i="69" s="1"/>
  <c r="K8" i="69"/>
  <c r="L8" i="69"/>
  <c r="G58" i="74"/>
  <c r="L13" i="69"/>
  <c r="Q13" i="69" s="1"/>
  <c r="O8" i="82"/>
  <c r="P8" i="82" s="1"/>
  <c r="J15" i="4" s="1"/>
  <c r="E93" i="61"/>
  <c r="C22" i="61" s="1"/>
  <c r="E12" i="112"/>
  <c r="I10" i="5" s="1"/>
  <c r="E15" i="112"/>
  <c r="I8" i="5" s="1"/>
  <c r="M7" i="69"/>
  <c r="S7" i="69" s="1"/>
  <c r="E7" i="69"/>
  <c r="J7" i="69" s="1"/>
  <c r="O7" i="69" s="1"/>
  <c r="N7" i="69"/>
  <c r="G39" i="74"/>
  <c r="K13" i="69"/>
  <c r="R10" i="83"/>
  <c r="S10" i="83" s="1"/>
  <c r="S12" i="69"/>
  <c r="G44" i="74"/>
  <c r="G70" i="74" s="1"/>
  <c r="M10" i="69"/>
  <c r="S10" i="69" s="1"/>
  <c r="G50" i="74"/>
  <c r="L15" i="84"/>
  <c r="P15" i="84" s="1"/>
  <c r="L11" i="69"/>
  <c r="D15" i="112"/>
  <c r="H42" i="74"/>
  <c r="G17" i="5" s="1"/>
  <c r="L7" i="69"/>
  <c r="Q7" i="69" s="1"/>
  <c r="G51" i="74"/>
  <c r="H51" i="74" s="1"/>
  <c r="G27" i="5" s="1"/>
  <c r="M11" i="69"/>
  <c r="F95" i="61"/>
  <c r="E95" i="61"/>
  <c r="H128" i="61"/>
  <c r="C36" i="61" s="1"/>
  <c r="H169" i="125"/>
  <c r="H132" i="61"/>
  <c r="H139" i="61"/>
  <c r="C47" i="61" s="1"/>
  <c r="H150" i="61"/>
  <c r="H156" i="61"/>
  <c r="H129" i="61"/>
  <c r="H133" i="61"/>
  <c r="C41" i="61" s="1"/>
  <c r="H160" i="61"/>
  <c r="C70" i="61" s="1"/>
  <c r="H135" i="61"/>
  <c r="C43" i="61" s="1"/>
  <c r="H163" i="61"/>
  <c r="H140" i="61"/>
  <c r="H148" i="61"/>
  <c r="L10" i="84"/>
  <c r="P10" i="84" s="1"/>
  <c r="H147" i="61"/>
  <c r="C57" i="61" s="1"/>
  <c r="N9" i="84"/>
  <c r="H211" i="61"/>
  <c r="H193" i="61"/>
  <c r="H194" i="61"/>
  <c r="G221" i="61"/>
  <c r="G193" i="61"/>
  <c r="G194" i="61"/>
  <c r="I147" i="61"/>
  <c r="D57" i="61" s="1"/>
  <c r="E96" i="61"/>
  <c r="C27" i="61" s="1"/>
  <c r="H201" i="61"/>
  <c r="L10" i="83"/>
  <c r="P10" i="83" s="1"/>
  <c r="Q10" i="83" s="1"/>
  <c r="G57" i="77"/>
  <c r="G77" i="77"/>
  <c r="G83" i="77"/>
  <c r="G41" i="77"/>
  <c r="G49" i="77"/>
  <c r="H205" i="61"/>
  <c r="H190" i="61"/>
  <c r="H202" i="61"/>
  <c r="H222" i="61"/>
  <c r="H188" i="61"/>
  <c r="H200" i="61"/>
  <c r="H189" i="61"/>
  <c r="Q16" i="84"/>
  <c r="F64" i="85"/>
  <c r="G25" i="4" s="1"/>
  <c r="F62" i="85"/>
  <c r="I25" i="4" s="1"/>
  <c r="H25" i="4"/>
  <c r="M25" i="4"/>
  <c r="F32" i="85"/>
  <c r="J18" i="5" s="1"/>
  <c r="F81" i="85"/>
  <c r="K63" i="5" s="1"/>
  <c r="F23" i="85"/>
  <c r="F24" i="4" s="1"/>
  <c r="F77" i="85"/>
  <c r="K21" i="5" s="1"/>
  <c r="F36" i="85"/>
  <c r="J53" i="5" s="1"/>
  <c r="K25" i="4"/>
  <c r="F30" i="85"/>
  <c r="J8" i="5" s="1"/>
  <c r="F38" i="85"/>
  <c r="J63" i="5" s="1"/>
  <c r="F24" i="85"/>
  <c r="F76" i="85"/>
  <c r="K19" i="5" s="1"/>
  <c r="E82" i="85"/>
  <c r="M24" i="4"/>
  <c r="F33" i="85"/>
  <c r="E39" i="85"/>
  <c r="P8" i="83"/>
  <c r="Q8" i="83" s="1"/>
  <c r="N8" i="83"/>
  <c r="O8" i="83" s="1"/>
  <c r="M8" i="83"/>
  <c r="M9" i="83"/>
  <c r="P9" i="83"/>
  <c r="Q9" i="83" s="1"/>
  <c r="G169" i="125"/>
  <c r="G79" i="125"/>
  <c r="G75" i="125"/>
  <c r="G17" i="74"/>
  <c r="G19" i="74"/>
  <c r="I11" i="4" s="1"/>
  <c r="H50" i="74"/>
  <c r="G22" i="5" s="1"/>
  <c r="F23" i="74"/>
  <c r="G215" i="61"/>
  <c r="H204" i="61"/>
  <c r="H213" i="61"/>
  <c r="H215" i="61"/>
  <c r="G216" i="61"/>
  <c r="H208" i="61"/>
  <c r="H217" i="61"/>
  <c r="H219" i="61"/>
  <c r="H216" i="61"/>
  <c r="H221" i="61"/>
  <c r="H224" i="61"/>
  <c r="H220" i="61"/>
  <c r="N11" i="84"/>
  <c r="H197" i="61"/>
  <c r="G208" i="61"/>
  <c r="H164" i="61"/>
  <c r="C74" i="61" s="1"/>
  <c r="H191" i="61"/>
  <c r="H207" i="61"/>
  <c r="C9" i="61"/>
  <c r="H206" i="61"/>
  <c r="H223" i="61"/>
  <c r="H210" i="61"/>
  <c r="H218" i="61"/>
  <c r="D46" i="125"/>
  <c r="H53" i="5" s="1"/>
  <c r="G191" i="61"/>
  <c r="G192" i="61"/>
  <c r="G199" i="61"/>
  <c r="G200" i="61"/>
  <c r="G207" i="61"/>
  <c r="K12" i="4"/>
  <c r="G168" i="125"/>
  <c r="C46" i="125"/>
  <c r="G53" i="5"/>
  <c r="G8" i="5"/>
  <c r="H143" i="61"/>
  <c r="C52" i="61" s="1"/>
  <c r="H136" i="61"/>
  <c r="C44" i="61" s="1"/>
  <c r="G71" i="74"/>
  <c r="H167" i="61"/>
  <c r="C77" i="61" s="1"/>
  <c r="H131" i="61"/>
  <c r="C38" i="61" s="1"/>
  <c r="H170" i="61"/>
  <c r="C80" i="61" s="1"/>
  <c r="H154" i="61"/>
  <c r="C64" i="61" s="1"/>
  <c r="H158" i="61"/>
  <c r="C68" i="61" s="1"/>
  <c r="H134" i="61"/>
  <c r="C42" i="61" s="1"/>
  <c r="H169" i="61"/>
  <c r="C79" i="61" s="1"/>
  <c r="H161" i="61"/>
  <c r="C71" i="61" s="1"/>
  <c r="H144" i="61"/>
  <c r="C53" i="61" s="1"/>
  <c r="H142" i="61"/>
  <c r="C51" i="61" s="1"/>
  <c r="H151" i="61"/>
  <c r="C61" i="61" s="1"/>
  <c r="G78" i="125"/>
  <c r="H171" i="61"/>
  <c r="C81" i="61" s="1"/>
  <c r="H152" i="61"/>
  <c r="C62" i="61" s="1"/>
  <c r="F96" i="61"/>
  <c r="D27" i="61" s="1"/>
  <c r="M7" i="4" s="1"/>
  <c r="C5" i="76"/>
  <c r="G43" i="76" s="1"/>
  <c r="E11" i="69"/>
  <c r="J11" i="69" s="1"/>
  <c r="H199" i="61"/>
  <c r="G201" i="61"/>
  <c r="G209" i="61"/>
  <c r="G218" i="61"/>
  <c r="H203" i="61"/>
  <c r="G202" i="61"/>
  <c r="G210" i="61"/>
  <c r="C49" i="61" s="1"/>
  <c r="G219" i="61"/>
  <c r="G195" i="61"/>
  <c r="C35" i="61" s="1"/>
  <c r="G203" i="61"/>
  <c r="G211" i="61"/>
  <c r="G220" i="61"/>
  <c r="H149" i="61"/>
  <c r="G188" i="61"/>
  <c r="G196" i="61"/>
  <c r="G204" i="61"/>
  <c r="G212" i="61"/>
  <c r="G222" i="61"/>
  <c r="G189" i="61"/>
  <c r="G197" i="61"/>
  <c r="G205" i="61"/>
  <c r="G213" i="61"/>
  <c r="G223" i="61"/>
  <c r="G190" i="61"/>
  <c r="G198" i="61"/>
  <c r="G206" i="61"/>
  <c r="G214" i="61"/>
  <c r="C56" i="61" s="1"/>
  <c r="G224" i="61"/>
  <c r="N9" i="83"/>
  <c r="O9" i="83" s="1"/>
  <c r="H146" i="61"/>
  <c r="C55" i="61" s="1"/>
  <c r="H130" i="61"/>
  <c r="C39" i="61" s="1"/>
  <c r="H172" i="61"/>
  <c r="C82" i="61" s="1"/>
  <c r="H168" i="61"/>
  <c r="C78" i="61" s="1"/>
  <c r="H155" i="61"/>
  <c r="C65" i="61" s="1"/>
  <c r="H166" i="61"/>
  <c r="H137" i="61"/>
  <c r="C45" i="61" s="1"/>
  <c r="H153" i="61"/>
  <c r="C63" i="61" s="1"/>
  <c r="H157" i="61"/>
  <c r="C67" i="61" s="1"/>
  <c r="H141" i="61"/>
  <c r="C50" i="61" s="1"/>
  <c r="H165" i="61"/>
  <c r="C75" i="61" s="1"/>
  <c r="H159" i="61"/>
  <c r="C69" i="61" s="1"/>
  <c r="H145" i="61"/>
  <c r="C54" i="61" s="1"/>
  <c r="H162" i="61"/>
  <c r="H138" i="61"/>
  <c r="C46" i="61" s="1"/>
  <c r="H196" i="61"/>
  <c r="H212" i="61"/>
  <c r="H209" i="61"/>
  <c r="H192" i="61"/>
  <c r="H198" i="61"/>
  <c r="H214" i="61"/>
  <c r="H195" i="61"/>
  <c r="H127" i="61"/>
  <c r="C34" i="61" s="1"/>
  <c r="G217" i="61"/>
  <c r="M12" i="4"/>
  <c r="R12" i="69"/>
  <c r="F35" i="85"/>
  <c r="F74" i="85"/>
  <c r="K9" i="5" s="1"/>
  <c r="F31" i="85"/>
  <c r="P10" i="69"/>
  <c r="Q10" i="69"/>
  <c r="O12" i="69"/>
  <c r="N12" i="69"/>
  <c r="Q9" i="69"/>
  <c r="P9" i="69"/>
  <c r="E8" i="69"/>
  <c r="J8" i="69" s="1"/>
  <c r="D8" i="111"/>
  <c r="L12" i="69"/>
  <c r="M9" i="69"/>
  <c r="K10" i="69"/>
  <c r="F21" i="85"/>
  <c r="F79" i="85"/>
  <c r="K53" i="5" s="1"/>
  <c r="F37" i="85"/>
  <c r="F78" i="85"/>
  <c r="F80" i="85"/>
  <c r="F19" i="85"/>
  <c r="R7" i="83"/>
  <c r="L7" i="83"/>
  <c r="L11" i="83" s="1"/>
  <c r="K8" i="5"/>
  <c r="F18" i="85"/>
  <c r="J24" i="4"/>
  <c r="F34" i="85"/>
  <c r="F75" i="85"/>
  <c r="K18" i="5" s="1"/>
  <c r="D14" i="112"/>
  <c r="E14" i="112"/>
  <c r="E13" i="112"/>
  <c r="I13" i="5" s="1"/>
  <c r="D12" i="112"/>
  <c r="E17" i="112"/>
  <c r="L18" i="4" s="1"/>
  <c r="D13" i="112"/>
  <c r="E18" i="77"/>
  <c r="G33" i="77"/>
  <c r="G37" i="77"/>
  <c r="G42" i="77"/>
  <c r="G46" i="77"/>
  <c r="G54" i="77"/>
  <c r="G58" i="77"/>
  <c r="G62" i="77"/>
  <c r="G67" i="77"/>
  <c r="G71" i="77"/>
  <c r="G74" i="77"/>
  <c r="G82" i="77"/>
  <c r="G65" i="77"/>
  <c r="G75" i="77"/>
  <c r="G64" i="77"/>
  <c r="E16" i="77"/>
  <c r="E22" i="77"/>
  <c r="E24" i="77" s="1"/>
  <c r="G35" i="77"/>
  <c r="G39" i="77"/>
  <c r="G44" i="77"/>
  <c r="G50" i="77"/>
  <c r="G56" i="77"/>
  <c r="G60" i="77"/>
  <c r="G78" i="77"/>
  <c r="G69" i="77"/>
  <c r="G73" i="77"/>
  <c r="G79" i="77"/>
  <c r="C7" i="77"/>
  <c r="G48" i="77"/>
  <c r="G80" i="77"/>
  <c r="P10" i="111" l="1"/>
  <c r="O10" i="111"/>
  <c r="Q10" i="111"/>
  <c r="P9" i="111"/>
  <c r="Q9" i="111"/>
  <c r="O9" i="111"/>
  <c r="E8" i="111"/>
  <c r="J8" i="111" s="1"/>
  <c r="D35" i="61"/>
  <c r="E15" i="5" s="1"/>
  <c r="N15" i="5" s="1"/>
  <c r="O15" i="5" s="1"/>
  <c r="C76" i="61"/>
  <c r="C72" i="61"/>
  <c r="C37" i="61"/>
  <c r="C66" i="61"/>
  <c r="D56" i="61"/>
  <c r="E37" i="5" s="1"/>
  <c r="N37" i="5" s="1"/>
  <c r="O37" i="5" s="1"/>
  <c r="C58" i="61"/>
  <c r="C60" i="61"/>
  <c r="D49" i="61"/>
  <c r="E30" i="5" s="1"/>
  <c r="N30" i="5" s="1"/>
  <c r="O30" i="5" s="1"/>
  <c r="C48" i="61"/>
  <c r="C73" i="61"/>
  <c r="C40" i="61"/>
  <c r="C59" i="61"/>
  <c r="J11" i="4"/>
  <c r="H11" i="4"/>
  <c r="O9" i="69"/>
  <c r="R7" i="69"/>
  <c r="O11" i="84"/>
  <c r="M10" i="83"/>
  <c r="N10" i="83"/>
  <c r="O10" i="83" s="1"/>
  <c r="E58" i="125"/>
  <c r="E57" i="125"/>
  <c r="F78" i="125"/>
  <c r="F75" i="125"/>
  <c r="F94" i="61"/>
  <c r="P7" i="69"/>
  <c r="H62" i="74"/>
  <c r="G40" i="5" s="1"/>
  <c r="N15" i="84"/>
  <c r="L16" i="84"/>
  <c r="R16" i="84" s="1"/>
  <c r="R15" i="84"/>
  <c r="S11" i="69"/>
  <c r="P13" i="69"/>
  <c r="Q11" i="69"/>
  <c r="R10" i="69"/>
  <c r="P8" i="69"/>
  <c r="H44" i="74"/>
  <c r="G18" i="5" s="1"/>
  <c r="H39" i="74"/>
  <c r="G9" i="5" s="1"/>
  <c r="H58" i="74"/>
  <c r="G10" i="5" s="1"/>
  <c r="G66" i="5" s="1"/>
  <c r="G65" i="5" s="1"/>
  <c r="I157" i="61"/>
  <c r="O13" i="69"/>
  <c r="N13" i="69"/>
  <c r="D7" i="111"/>
  <c r="O11" i="69"/>
  <c r="N11" i="69"/>
  <c r="P9" i="84"/>
  <c r="N10" i="84"/>
  <c r="R10" i="84"/>
  <c r="R9" i="84"/>
  <c r="I171" i="61"/>
  <c r="D16" i="112"/>
  <c r="I11" i="5"/>
  <c r="I64" i="5" s="1"/>
  <c r="E16" i="112"/>
  <c r="I153" i="61"/>
  <c r="M12" i="84"/>
  <c r="R11" i="84"/>
  <c r="I154" i="61"/>
  <c r="I143" i="61"/>
  <c r="I24" i="4"/>
  <c r="J19" i="5"/>
  <c r="L24" i="4"/>
  <c r="F63" i="85"/>
  <c r="K24" i="4"/>
  <c r="J57" i="5"/>
  <c r="J10" i="5"/>
  <c r="F66" i="85"/>
  <c r="F25" i="4" s="1"/>
  <c r="M11" i="84"/>
  <c r="P11" i="84"/>
  <c r="L12" i="84"/>
  <c r="L13" i="84" s="1"/>
  <c r="N13" i="84" s="1"/>
  <c r="F79" i="125"/>
  <c r="H71" i="74"/>
  <c r="H70" i="74"/>
  <c r="I142" i="61"/>
  <c r="Q11" i="84"/>
  <c r="I164" i="61"/>
  <c r="H226" i="61"/>
  <c r="G74" i="76"/>
  <c r="G73" i="76"/>
  <c r="I128" i="61"/>
  <c r="I152" i="61"/>
  <c r="G38" i="76"/>
  <c r="I136" i="61"/>
  <c r="I141" i="61"/>
  <c r="E38" i="5"/>
  <c r="I144" i="61"/>
  <c r="I162" i="61"/>
  <c r="G63" i="76"/>
  <c r="I156" i="61"/>
  <c r="I140" i="61"/>
  <c r="I161" i="61"/>
  <c r="I169" i="61"/>
  <c r="I145" i="61"/>
  <c r="I137" i="61"/>
  <c r="I146" i="61"/>
  <c r="I158" i="61"/>
  <c r="I129" i="61"/>
  <c r="I159" i="61"/>
  <c r="I131" i="61"/>
  <c r="G32" i="76"/>
  <c r="I166" i="61"/>
  <c r="I134" i="61"/>
  <c r="I138" i="61"/>
  <c r="I127" i="61"/>
  <c r="I172" i="61"/>
  <c r="I165" i="61"/>
  <c r="I170" i="61"/>
  <c r="I167" i="61"/>
  <c r="G81" i="76"/>
  <c r="G31" i="76"/>
  <c r="G55" i="76"/>
  <c r="G54" i="76"/>
  <c r="G33" i="76"/>
  <c r="G70" i="76"/>
  <c r="G42" i="76"/>
  <c r="E15" i="76"/>
  <c r="E19" i="76"/>
  <c r="E13" i="76"/>
  <c r="G57" i="76"/>
  <c r="G41" i="76"/>
  <c r="G75" i="76"/>
  <c r="C6" i="76"/>
  <c r="H36" i="76" s="1"/>
  <c r="G40" i="76"/>
  <c r="G72" i="76"/>
  <c r="E21" i="76"/>
  <c r="G80" i="76"/>
  <c r="G69" i="76"/>
  <c r="G50" i="76"/>
  <c r="G52" i="76"/>
  <c r="G49" i="76"/>
  <c r="G56" i="76"/>
  <c r="E14" i="76"/>
  <c r="G66" i="76"/>
  <c r="G45" i="76"/>
  <c r="E20" i="76"/>
  <c r="G51" i="76"/>
  <c r="G34" i="76"/>
  <c r="G58" i="76"/>
  <c r="I149" i="61"/>
  <c r="I150" i="61"/>
  <c r="I148" i="61"/>
  <c r="I133" i="61"/>
  <c r="I132" i="61"/>
  <c r="I155" i="61"/>
  <c r="I160" i="61"/>
  <c r="I135" i="61"/>
  <c r="I151" i="61"/>
  <c r="I168" i="61"/>
  <c r="I163" i="61"/>
  <c r="F93" i="61"/>
  <c r="D22" i="61" s="1"/>
  <c r="K7" i="4" s="1"/>
  <c r="I139" i="61"/>
  <c r="I130" i="61"/>
  <c r="H225" i="61"/>
  <c r="G226" i="61"/>
  <c r="G85" i="77"/>
  <c r="P11" i="69"/>
  <c r="G225" i="61"/>
  <c r="R11" i="69"/>
  <c r="G62" i="76"/>
  <c r="G47" i="76"/>
  <c r="G78" i="76"/>
  <c r="G46" i="76"/>
  <c r="G39" i="76"/>
  <c r="G76" i="76"/>
  <c r="G68" i="76"/>
  <c r="G79" i="76"/>
  <c r="G36" i="76"/>
  <c r="G64" i="76"/>
  <c r="E16" i="76"/>
  <c r="G71" i="76"/>
  <c r="G44" i="76"/>
  <c r="G67" i="76"/>
  <c r="E18" i="76"/>
  <c r="G77" i="76"/>
  <c r="G35" i="76"/>
  <c r="G65" i="76"/>
  <c r="G60" i="76"/>
  <c r="G37" i="76"/>
  <c r="G61" i="76"/>
  <c r="E17" i="76"/>
  <c r="E22" i="76"/>
  <c r="G48" i="76"/>
  <c r="G53" i="76"/>
  <c r="G59" i="76"/>
  <c r="G77" i="125"/>
  <c r="F77" i="125"/>
  <c r="F76" i="125"/>
  <c r="G76" i="125"/>
  <c r="G82" i="125" s="1"/>
  <c r="F80" i="125"/>
  <c r="G80" i="125"/>
  <c r="G98" i="125"/>
  <c r="F98" i="125"/>
  <c r="F91" i="125"/>
  <c r="G91" i="125"/>
  <c r="J9" i="5"/>
  <c r="S9" i="69"/>
  <c r="R9" i="69"/>
  <c r="O10" i="69"/>
  <c r="N10" i="69"/>
  <c r="N8" i="69"/>
  <c r="P12" i="69"/>
  <c r="Q12" i="69"/>
  <c r="R8" i="69"/>
  <c r="G24" i="4"/>
  <c r="K57" i="5"/>
  <c r="K10" i="5"/>
  <c r="N7" i="83"/>
  <c r="P7" i="83"/>
  <c r="M7" i="83"/>
  <c r="R11" i="83"/>
  <c r="S7" i="83"/>
  <c r="S11" i="83" s="1"/>
  <c r="L20" i="4" s="1"/>
  <c r="H24" i="4"/>
  <c r="F82" i="85"/>
  <c r="L25" i="4"/>
  <c r="J21" i="5"/>
  <c r="N21" i="5" s="1"/>
  <c r="F39" i="85"/>
  <c r="I67" i="5"/>
  <c r="H64" i="77"/>
  <c r="F14" i="77"/>
  <c r="H75" i="77"/>
  <c r="H65" i="77"/>
  <c r="H43" i="77"/>
  <c r="H71" i="77"/>
  <c r="H58" i="77"/>
  <c r="H46" i="77"/>
  <c r="H74" i="77"/>
  <c r="F22" i="77"/>
  <c r="H76" i="77"/>
  <c r="H44" i="77"/>
  <c r="H78" i="77"/>
  <c r="F17" i="77"/>
  <c r="H45" i="77"/>
  <c r="H66" i="77"/>
  <c r="H77" i="77"/>
  <c r="H59" i="77"/>
  <c r="H54" i="77"/>
  <c r="F16" i="77"/>
  <c r="H33" i="77"/>
  <c r="F19" i="77"/>
  <c r="H67" i="77"/>
  <c r="H55" i="77"/>
  <c r="H42" i="77"/>
  <c r="H63" i="77"/>
  <c r="F23" i="77"/>
  <c r="H50" i="77"/>
  <c r="H69" i="77"/>
  <c r="F20" i="77"/>
  <c r="H51" i="77"/>
  <c r="H70" i="77"/>
  <c r="H80" i="77"/>
  <c r="H48" i="77"/>
  <c r="F15" i="77"/>
  <c r="H38" i="77"/>
  <c r="H82" i="77"/>
  <c r="H47" i="77"/>
  <c r="H68" i="77"/>
  <c r="H35" i="77"/>
  <c r="H56" i="77"/>
  <c r="H73" i="77"/>
  <c r="H36" i="77"/>
  <c r="H52" i="77"/>
  <c r="H53" i="77"/>
  <c r="H49" i="77"/>
  <c r="H41" i="77"/>
  <c r="H83" i="77"/>
  <c r="H57" i="77"/>
  <c r="F18" i="77"/>
  <c r="H37" i="77"/>
  <c r="H81" i="77"/>
  <c r="H34" i="77"/>
  <c r="F21" i="77"/>
  <c r="H62" i="77"/>
  <c r="H72" i="77"/>
  <c r="H39" i="77"/>
  <c r="H60" i="77"/>
  <c r="H79" i="77"/>
  <c r="H40" i="77"/>
  <c r="H61" i="77"/>
  <c r="G84" i="77"/>
  <c r="O8" i="111" l="1"/>
  <c r="P8" i="111"/>
  <c r="Q8" i="111"/>
  <c r="E7" i="111"/>
  <c r="J7" i="111" s="1"/>
  <c r="M11" i="83"/>
  <c r="D36" i="61"/>
  <c r="E16" i="5" s="1"/>
  <c r="D47" i="61"/>
  <c r="E28" i="5" s="1"/>
  <c r="D40" i="61"/>
  <c r="E20" i="5" s="1"/>
  <c r="D46" i="61"/>
  <c r="E27" i="5" s="1"/>
  <c r="D55" i="61"/>
  <c r="E36" i="5" s="1"/>
  <c r="D63" i="61"/>
  <c r="E44" i="5" s="1"/>
  <c r="D39" i="61"/>
  <c r="E18" i="5" s="1"/>
  <c r="E14" i="5"/>
  <c r="D34" i="61"/>
  <c r="D45" i="61"/>
  <c r="E26" i="5" s="1"/>
  <c r="D68" i="61"/>
  <c r="E49" i="5" s="1"/>
  <c r="D42" i="61"/>
  <c r="E23" i="5" s="1"/>
  <c r="D73" i="61"/>
  <c r="E54" i="5" s="1"/>
  <c r="D54" i="61"/>
  <c r="E35" i="5" s="1"/>
  <c r="D72" i="61"/>
  <c r="E53" i="5" s="1"/>
  <c r="D65" i="61"/>
  <c r="E46" i="5" s="1"/>
  <c r="D41" i="61"/>
  <c r="E22" i="5" s="1"/>
  <c r="D58" i="61"/>
  <c r="E39" i="5" s="1"/>
  <c r="D76" i="61"/>
  <c r="E57" i="5" s="1"/>
  <c r="D78" i="61"/>
  <c r="E59" i="5" s="1"/>
  <c r="D60" i="61"/>
  <c r="E41" i="5" s="1"/>
  <c r="D77" i="61"/>
  <c r="E58" i="5" s="1"/>
  <c r="D79" i="61"/>
  <c r="E60" i="5" s="1"/>
  <c r="D50" i="61"/>
  <c r="E31" i="5" s="1"/>
  <c r="D74" i="61"/>
  <c r="E55" i="5" s="1"/>
  <c r="D53" i="61"/>
  <c r="E34" i="5" s="1"/>
  <c r="D61" i="61"/>
  <c r="E42" i="5" s="1"/>
  <c r="D59" i="61"/>
  <c r="E40" i="5" s="1"/>
  <c r="D80" i="61"/>
  <c r="E61" i="5" s="1"/>
  <c r="D38" i="61"/>
  <c r="E19" i="5" s="1"/>
  <c r="D71" i="61"/>
  <c r="E52" i="5" s="1"/>
  <c r="D44" i="61"/>
  <c r="E25" i="5" s="1"/>
  <c r="D52" i="61"/>
  <c r="E33" i="5" s="1"/>
  <c r="D81" i="61"/>
  <c r="E62" i="5" s="1"/>
  <c r="D43" i="61"/>
  <c r="E24" i="5" s="1"/>
  <c r="D75" i="61"/>
  <c r="E56" i="5" s="1"/>
  <c r="D69" i="61"/>
  <c r="E50" i="5" s="1"/>
  <c r="D48" i="61"/>
  <c r="E29" i="5" s="1"/>
  <c r="D51" i="61"/>
  <c r="E32" i="5" s="1"/>
  <c r="D64" i="61"/>
  <c r="E45" i="5" s="1"/>
  <c r="D70" i="61"/>
  <c r="E51" i="5" s="1"/>
  <c r="D82" i="61"/>
  <c r="E63" i="5" s="1"/>
  <c r="D37" i="61"/>
  <c r="E17" i="5" s="1"/>
  <c r="D66" i="61"/>
  <c r="E47" i="5" s="1"/>
  <c r="D62" i="61"/>
  <c r="E43" i="5" s="1"/>
  <c r="D67" i="61"/>
  <c r="E48" i="5" s="1"/>
  <c r="P14" i="69"/>
  <c r="R14" i="69"/>
  <c r="G64" i="5"/>
  <c r="J22" i="4"/>
  <c r="N16" i="84"/>
  <c r="H22" i="4" s="1"/>
  <c r="P16" i="84"/>
  <c r="I22" i="4" s="1"/>
  <c r="I66" i="5"/>
  <c r="I65" i="5" s="1"/>
  <c r="N14" i="69"/>
  <c r="G67" i="5"/>
  <c r="K66" i="5"/>
  <c r="K65" i="5" s="1"/>
  <c r="J66" i="5"/>
  <c r="J65" i="5" s="1"/>
  <c r="H37" i="76"/>
  <c r="F16" i="5" s="1"/>
  <c r="H47" i="76"/>
  <c r="F27" i="5" s="1"/>
  <c r="N7" i="84"/>
  <c r="F22" i="76"/>
  <c r="Q12" i="84"/>
  <c r="H77" i="76"/>
  <c r="F59" i="5" s="1"/>
  <c r="O12" i="84"/>
  <c r="K13" i="84"/>
  <c r="M13" i="84" s="1"/>
  <c r="F92" i="61"/>
  <c r="H10" i="5"/>
  <c r="F17" i="76"/>
  <c r="H10" i="4" s="1"/>
  <c r="H38" i="76"/>
  <c r="F17" i="5" s="1"/>
  <c r="P12" i="84"/>
  <c r="H63" i="76"/>
  <c r="F45" i="5" s="1"/>
  <c r="F13" i="76"/>
  <c r="F10" i="4" s="1"/>
  <c r="N12" i="84"/>
  <c r="H18" i="4" s="1"/>
  <c r="F14" i="87"/>
  <c r="H23" i="4" s="1"/>
  <c r="F15" i="87"/>
  <c r="I23" i="4" s="1"/>
  <c r="R12" i="84"/>
  <c r="J25" i="4"/>
  <c r="R13" i="84"/>
  <c r="P13" i="84"/>
  <c r="F82" i="125"/>
  <c r="F81" i="125"/>
  <c r="H33" i="76"/>
  <c r="F10" i="5" s="1"/>
  <c r="H66" i="76"/>
  <c r="F48" i="5" s="1"/>
  <c r="H54" i="76"/>
  <c r="F35" i="5" s="1"/>
  <c r="H46" i="76"/>
  <c r="F26" i="5" s="1"/>
  <c r="H51" i="76"/>
  <c r="F32" i="5" s="1"/>
  <c r="H78" i="76"/>
  <c r="F60" i="5" s="1"/>
  <c r="H75" i="76"/>
  <c r="F57" i="5" s="1"/>
  <c r="H57" i="76"/>
  <c r="F39" i="5" s="1"/>
  <c r="E23" i="76"/>
  <c r="H76" i="76"/>
  <c r="F58" i="5" s="1"/>
  <c r="H79" i="76"/>
  <c r="F61" i="5" s="1"/>
  <c r="F19" i="76"/>
  <c r="J10" i="4" s="1"/>
  <c r="H43" i="76"/>
  <c r="F23" i="5" s="1"/>
  <c r="H41" i="76"/>
  <c r="F20" i="5" s="1"/>
  <c r="H74" i="76"/>
  <c r="F56" i="5" s="1"/>
  <c r="H44" i="76"/>
  <c r="F24" i="5" s="1"/>
  <c r="H60" i="76"/>
  <c r="F42" i="5" s="1"/>
  <c r="H71" i="76"/>
  <c r="F53" i="5" s="1"/>
  <c r="H58" i="76"/>
  <c r="F40" i="5" s="1"/>
  <c r="H49" i="76"/>
  <c r="F29" i="5" s="1"/>
  <c r="F14" i="76"/>
  <c r="G10" i="4" s="1"/>
  <c r="H40" i="76"/>
  <c r="F19" i="5" s="1"/>
  <c r="H55" i="76"/>
  <c r="F36" i="5" s="1"/>
  <c r="H50" i="76"/>
  <c r="F31" i="5" s="1"/>
  <c r="F20" i="76"/>
  <c r="F16" i="76"/>
  <c r="L10" i="4" s="1"/>
  <c r="H59" i="76"/>
  <c r="F41" i="5" s="1"/>
  <c r="H64" i="76"/>
  <c r="F46" i="5" s="1"/>
  <c r="H45" i="76"/>
  <c r="F25" i="5" s="1"/>
  <c r="H48" i="76"/>
  <c r="F28" i="5" s="1"/>
  <c r="H80" i="76"/>
  <c r="F62" i="5" s="1"/>
  <c r="F21" i="76"/>
  <c r="H62" i="76"/>
  <c r="F44" i="5" s="1"/>
  <c r="H73" i="76"/>
  <c r="F55" i="5" s="1"/>
  <c r="G82" i="76"/>
  <c r="H34" i="76"/>
  <c r="H81" i="76"/>
  <c r="F63" i="5" s="1"/>
  <c r="H42" i="76"/>
  <c r="F22" i="5" s="1"/>
  <c r="H65" i="76"/>
  <c r="F47" i="5" s="1"/>
  <c r="H70" i="76"/>
  <c r="F52" i="5" s="1"/>
  <c r="H72" i="76"/>
  <c r="F54" i="5" s="1"/>
  <c r="F15" i="76"/>
  <c r="K10" i="4" s="1"/>
  <c r="K34" i="4" s="1"/>
  <c r="H67" i="76"/>
  <c r="F49" i="5" s="1"/>
  <c r="H39" i="76"/>
  <c r="F18" i="5" s="1"/>
  <c r="H32" i="76"/>
  <c r="F9" i="5" s="1"/>
  <c r="H52" i="76"/>
  <c r="F33" i="5" s="1"/>
  <c r="H53" i="76"/>
  <c r="H31" i="76"/>
  <c r="F8" i="5" s="1"/>
  <c r="H61" i="76"/>
  <c r="F43" i="5" s="1"/>
  <c r="F18" i="76"/>
  <c r="I10" i="4" s="1"/>
  <c r="H68" i="76"/>
  <c r="F50" i="5" s="1"/>
  <c r="H69" i="76"/>
  <c r="F51" i="5" s="1"/>
  <c r="H56" i="76"/>
  <c r="F38" i="5" s="1"/>
  <c r="N38" i="5" s="1"/>
  <c r="H35" i="76"/>
  <c r="G83" i="76"/>
  <c r="E61" i="125"/>
  <c r="F61" i="125"/>
  <c r="G81" i="125"/>
  <c r="H126" i="61"/>
  <c r="C33" i="61" s="1"/>
  <c r="H125" i="61"/>
  <c r="C32" i="61" s="1"/>
  <c r="F94" i="125"/>
  <c r="G94" i="125"/>
  <c r="H13" i="5" s="1"/>
  <c r="F14" i="5"/>
  <c r="H11" i="5"/>
  <c r="F92" i="125"/>
  <c r="G90" i="125"/>
  <c r="H9" i="5" s="1"/>
  <c r="F90" i="125"/>
  <c r="F13" i="87"/>
  <c r="L23" i="4" s="1"/>
  <c r="F12" i="87"/>
  <c r="F16" i="87"/>
  <c r="L11" i="5" s="1"/>
  <c r="I121" i="61"/>
  <c r="D28" i="61" s="1"/>
  <c r="H121" i="61"/>
  <c r="C28" i="61" s="1"/>
  <c r="G93" i="125"/>
  <c r="H12" i="5" s="1"/>
  <c r="F93" i="125"/>
  <c r="F97" i="125"/>
  <c r="D118" i="125" s="1"/>
  <c r="G89" i="125"/>
  <c r="F89" i="125"/>
  <c r="I123" i="61"/>
  <c r="H123" i="61"/>
  <c r="C30" i="61" s="1"/>
  <c r="I122" i="61"/>
  <c r="D29" i="61" s="1"/>
  <c r="H122" i="61"/>
  <c r="C29" i="61" s="1"/>
  <c r="E94" i="61"/>
  <c r="C23" i="61" s="1"/>
  <c r="D23" i="61"/>
  <c r="K67" i="5"/>
  <c r="Q8" i="69"/>
  <c r="Q14" i="69" s="1"/>
  <c r="S8" i="69"/>
  <c r="S14" i="69" s="1"/>
  <c r="O8" i="69"/>
  <c r="O14" i="69" s="1"/>
  <c r="K64" i="5"/>
  <c r="J67" i="5"/>
  <c r="P11" i="83"/>
  <c r="Q7" i="83"/>
  <c r="Q11" i="83" s="1"/>
  <c r="O7" i="83"/>
  <c r="O11" i="83" s="1"/>
  <c r="N11" i="83"/>
  <c r="O21" i="5"/>
  <c r="J64" i="5"/>
  <c r="F24" i="77"/>
  <c r="H84" i="77"/>
  <c r="H85" i="77"/>
  <c r="Q7" i="111" l="1"/>
  <c r="Q17" i="111" s="1"/>
  <c r="O7" i="111"/>
  <c r="O17" i="111" s="1"/>
  <c r="P7" i="111"/>
  <c r="P17" i="111" s="1"/>
  <c r="I32" i="4" s="1"/>
  <c r="J17" i="111"/>
  <c r="I17" i="111"/>
  <c r="N35" i="5"/>
  <c r="N54" i="5"/>
  <c r="N18" i="5"/>
  <c r="N26" i="5"/>
  <c r="N49" i="5"/>
  <c r="N17" i="5"/>
  <c r="O17" i="5" s="1"/>
  <c r="N53" i="5"/>
  <c r="O53" i="5" s="1"/>
  <c r="N48" i="5"/>
  <c r="O48" i="5" s="1"/>
  <c r="N44" i="5"/>
  <c r="O44" i="5" s="1"/>
  <c r="N43" i="5"/>
  <c r="O43" i="5" s="1"/>
  <c r="N39" i="5"/>
  <c r="O39" i="5" s="1"/>
  <c r="N42" i="5"/>
  <c r="O42" i="5" s="1"/>
  <c r="N47" i="5"/>
  <c r="N57" i="5"/>
  <c r="D30" i="61"/>
  <c r="E10" i="5" s="1"/>
  <c r="N10" i="5" s="1"/>
  <c r="O10" i="5" s="1"/>
  <c r="N33" i="5"/>
  <c r="O33" i="5" s="1"/>
  <c r="N22" i="5"/>
  <c r="O22" i="5" s="1"/>
  <c r="N28" i="5"/>
  <c r="O28" i="5" s="1"/>
  <c r="N19" i="5"/>
  <c r="O19" i="5" s="1"/>
  <c r="N20" i="5"/>
  <c r="N25" i="5"/>
  <c r="O25" i="5" s="1"/>
  <c r="N45" i="5"/>
  <c r="O45" i="5" s="1"/>
  <c r="N59" i="5"/>
  <c r="O59" i="5" s="1"/>
  <c r="N32" i="5"/>
  <c r="O32" i="5" s="1"/>
  <c r="N46" i="5"/>
  <c r="O46" i="5" s="1"/>
  <c r="N29" i="5"/>
  <c r="H32" i="4"/>
  <c r="N61" i="5"/>
  <c r="O61" i="5" s="1"/>
  <c r="N14" i="5"/>
  <c r="O14" i="5" s="1"/>
  <c r="O47" i="5"/>
  <c r="N52" i="5"/>
  <c r="O52" i="5" s="1"/>
  <c r="N50" i="5"/>
  <c r="O50" i="5" s="1"/>
  <c r="N55" i="5"/>
  <c r="O55" i="5" s="1"/>
  <c r="N58" i="5"/>
  <c r="O58" i="5" s="1"/>
  <c r="N16" i="5"/>
  <c r="O16" i="5" s="1"/>
  <c r="O54" i="5"/>
  <c r="O35" i="5"/>
  <c r="O38" i="5"/>
  <c r="N56" i="5"/>
  <c r="O56" i="5" s="1"/>
  <c r="N31" i="5"/>
  <c r="O31" i="5" s="1"/>
  <c r="N41" i="5"/>
  <c r="O41" i="5" s="1"/>
  <c r="N62" i="5"/>
  <c r="N36" i="5"/>
  <c r="N24" i="5"/>
  <c r="O24" i="5" s="1"/>
  <c r="N60" i="5"/>
  <c r="O60" i="5" s="1"/>
  <c r="N27" i="5"/>
  <c r="O27" i="5" s="1"/>
  <c r="N63" i="5"/>
  <c r="O63" i="5" s="1"/>
  <c r="O49" i="5"/>
  <c r="O29" i="5"/>
  <c r="N40" i="5"/>
  <c r="O40" i="5" s="1"/>
  <c r="N23" i="5"/>
  <c r="N51" i="5"/>
  <c r="O51" i="5" s="1"/>
  <c r="J32" i="4"/>
  <c r="O57" i="5"/>
  <c r="D22" i="125"/>
  <c r="I12" i="4" s="1"/>
  <c r="D21" i="125"/>
  <c r="H12" i="4" s="1"/>
  <c r="D23" i="125"/>
  <c r="J12" i="4" s="1"/>
  <c r="C21" i="125"/>
  <c r="C22" i="125"/>
  <c r="C23" i="125"/>
  <c r="R7" i="84"/>
  <c r="L64" i="5"/>
  <c r="L66" i="5"/>
  <c r="L65" i="5" s="1"/>
  <c r="L8" i="84"/>
  <c r="N8" i="84" s="1"/>
  <c r="N17" i="84" s="1"/>
  <c r="P7" i="84"/>
  <c r="F112" i="61"/>
  <c r="Q13" i="84"/>
  <c r="O13" i="84"/>
  <c r="F34" i="5"/>
  <c r="I18" i="4"/>
  <c r="E92" i="61"/>
  <c r="J18" i="4"/>
  <c r="F23" i="76"/>
  <c r="M10" i="4" s="1"/>
  <c r="E14" i="87"/>
  <c r="E15" i="87"/>
  <c r="F91" i="61"/>
  <c r="O26" i="5"/>
  <c r="K33" i="4"/>
  <c r="H83" i="76"/>
  <c r="O20" i="5"/>
  <c r="F12" i="5"/>
  <c r="E12" i="5"/>
  <c r="H82" i="76"/>
  <c r="F13" i="5"/>
  <c r="E13" i="5"/>
  <c r="D106" i="61"/>
  <c r="E9" i="5"/>
  <c r="N9" i="5" s="1"/>
  <c r="H174" i="61"/>
  <c r="C84" i="61" s="1"/>
  <c r="E8" i="5"/>
  <c r="I174" i="61"/>
  <c r="D84" i="61" s="1"/>
  <c r="F96" i="125"/>
  <c r="C50" i="125" s="1"/>
  <c r="F95" i="125"/>
  <c r="C49" i="125" s="1"/>
  <c r="I124" i="61"/>
  <c r="H124" i="61"/>
  <c r="C31" i="61" s="1"/>
  <c r="G95" i="125"/>
  <c r="D49" i="125" s="1"/>
  <c r="D25" i="125"/>
  <c r="H8" i="5" s="1"/>
  <c r="G96" i="125"/>
  <c r="D50" i="125" s="1"/>
  <c r="Q7" i="84"/>
  <c r="E16" i="87"/>
  <c r="E13" i="87"/>
  <c r="E12" i="87"/>
  <c r="O18" i="5"/>
  <c r="D31" i="61" l="1"/>
  <c r="E11" i="5" s="1"/>
  <c r="N12" i="5"/>
  <c r="O12" i="5" s="1"/>
  <c r="N13" i="5"/>
  <c r="O13" i="5" s="1"/>
  <c r="O36" i="5"/>
  <c r="O23" i="5"/>
  <c r="N34" i="5"/>
  <c r="O34" i="5" s="1"/>
  <c r="O62" i="5"/>
  <c r="M33" i="4"/>
  <c r="M34" i="4"/>
  <c r="O9" i="5"/>
  <c r="H66" i="5"/>
  <c r="H65" i="5" s="1"/>
  <c r="N8" i="5"/>
  <c r="R8" i="84"/>
  <c r="J20" i="4" s="1"/>
  <c r="M7" i="84"/>
  <c r="O7" i="84"/>
  <c r="F66" i="5"/>
  <c r="F65" i="5" s="1"/>
  <c r="P8" i="84"/>
  <c r="P17" i="84" s="1"/>
  <c r="F67" i="5"/>
  <c r="D26" i="61"/>
  <c r="J7" i="4" s="1"/>
  <c r="J34" i="4" s="1"/>
  <c r="D25" i="61"/>
  <c r="I7" i="4" s="1"/>
  <c r="I34" i="4" s="1"/>
  <c r="D24" i="61"/>
  <c r="H7" i="4" s="1"/>
  <c r="C26" i="61"/>
  <c r="C25" i="61"/>
  <c r="C24" i="61"/>
  <c r="D20" i="61"/>
  <c r="F7" i="4" s="1"/>
  <c r="H20" i="4"/>
  <c r="F64" i="5"/>
  <c r="F113" i="61"/>
  <c r="D21" i="61" s="1"/>
  <c r="G7" i="4" s="1"/>
  <c r="I173" i="61"/>
  <c r="D83" i="61" s="1"/>
  <c r="E113" i="61"/>
  <c r="C21" i="61" s="1"/>
  <c r="E112" i="61"/>
  <c r="C20" i="61" s="1"/>
  <c r="E60" i="125"/>
  <c r="C20" i="125" s="1"/>
  <c r="F60" i="125"/>
  <c r="D20" i="125" s="1"/>
  <c r="H173" i="61"/>
  <c r="C83" i="61" s="1"/>
  <c r="H67" i="5"/>
  <c r="H64" i="5"/>
  <c r="M8" i="84"/>
  <c r="Q8" i="84"/>
  <c r="Q17" i="84" s="1"/>
  <c r="O8" i="84"/>
  <c r="E67" i="5"/>
  <c r="N11" i="5" l="1"/>
  <c r="O11" i="5" s="1"/>
  <c r="E64" i="5"/>
  <c r="E66" i="5"/>
  <c r="E65" i="5" s="1"/>
  <c r="H34" i="4"/>
  <c r="H33" i="4"/>
  <c r="N67" i="5"/>
  <c r="O67" i="5" s="1"/>
  <c r="O8" i="5"/>
  <c r="N66" i="5"/>
  <c r="M17" i="84"/>
  <c r="R17" i="84"/>
  <c r="O17" i="84"/>
  <c r="I20" i="4"/>
  <c r="I33" i="4" s="1"/>
  <c r="L7" i="4"/>
  <c r="J33" i="4"/>
  <c r="L12" i="4"/>
  <c r="N64" i="5" l="1"/>
  <c r="O64" i="5" s="1"/>
  <c r="N65" i="5"/>
  <c r="L34" i="4"/>
  <c r="O66" i="5"/>
  <c r="L33" i="4"/>
  <c r="F124" i="125"/>
  <c r="F125" i="125"/>
  <c r="E125" i="125"/>
  <c r="C18" i="125" s="1"/>
  <c r="E124" i="125"/>
  <c r="C17" i="125" s="1"/>
  <c r="D18" i="125" l="1"/>
  <c r="G12" i="4" s="1"/>
  <c r="G34" i="4" s="1"/>
  <c r="D17" i="125"/>
  <c r="F12" i="4" s="1"/>
  <c r="F34" i="4" l="1"/>
  <c r="F33" i="4"/>
  <c r="G33" i="4"/>
</calcChain>
</file>

<file path=xl/sharedStrings.xml><?xml version="1.0" encoding="utf-8"?>
<sst xmlns="http://schemas.openxmlformats.org/spreadsheetml/2006/main" count="3506" uniqueCount="826">
  <si>
    <t>Source</t>
  </si>
  <si>
    <t>Emergency Generator</t>
  </si>
  <si>
    <t>CO</t>
  </si>
  <si>
    <t>VOC</t>
  </si>
  <si>
    <t>Fire Water Pump</t>
  </si>
  <si>
    <t>Description</t>
  </si>
  <si>
    <t>NOx</t>
  </si>
  <si>
    <t>TSP</t>
  </si>
  <si>
    <t>(tpy)</t>
  </si>
  <si>
    <t>Total</t>
  </si>
  <si>
    <t>1,3-Butadiene</t>
  </si>
  <si>
    <t>Acetaldehyde</t>
  </si>
  <si>
    <t>Acrolein</t>
  </si>
  <si>
    <t>Benzene</t>
  </si>
  <si>
    <t>Chloroform</t>
  </si>
  <si>
    <t>Formaldehyde</t>
  </si>
  <si>
    <t>Methanol</t>
  </si>
  <si>
    <t>Methylene chloride</t>
  </si>
  <si>
    <t>Phenol</t>
  </si>
  <si>
    <t>Propionaldehyde</t>
  </si>
  <si>
    <t>Styrene</t>
  </si>
  <si>
    <t>Toluene</t>
  </si>
  <si>
    <t>Pollutant</t>
  </si>
  <si>
    <t>(lb/hr)</t>
  </si>
  <si>
    <t>Dryer</t>
  </si>
  <si>
    <t>Benzo(a)pyrene</t>
  </si>
  <si>
    <t>ODT/year</t>
  </si>
  <si>
    <t>ODT/hr</t>
  </si>
  <si>
    <t>Burner Heat Input</t>
  </si>
  <si>
    <t>MMBtu/hr</t>
  </si>
  <si>
    <t>hr/yr</t>
  </si>
  <si>
    <t>Units</t>
  </si>
  <si>
    <t>(lb/ODT)</t>
  </si>
  <si>
    <t>lb/ODT</t>
  </si>
  <si>
    <t>lb/MMBtu</t>
  </si>
  <si>
    <t>lb/hr</t>
  </si>
  <si>
    <t>HAP</t>
  </si>
  <si>
    <t>Emission Factor</t>
  </si>
  <si>
    <t>-</t>
  </si>
  <si>
    <t>Engine Output</t>
  </si>
  <si>
    <t>MW</t>
  </si>
  <si>
    <t>Engine Power</t>
  </si>
  <si>
    <t>hp (brake)</t>
  </si>
  <si>
    <t>Hours of Operation</t>
  </si>
  <si>
    <t>Heating Value of Diesel</t>
  </si>
  <si>
    <t>Btu/lb</t>
  </si>
  <si>
    <t>Power Conversion</t>
  </si>
  <si>
    <t>Btu/hr/hp</t>
  </si>
  <si>
    <t>tpy</t>
  </si>
  <si>
    <t>ppmw (3)</t>
  </si>
  <si>
    <t>VOC (NMHC)</t>
  </si>
  <si>
    <t>lb/hp-hr (4)</t>
  </si>
  <si>
    <t>Benzo(a)pyrene is included as a HAP in Total PAH.</t>
  </si>
  <si>
    <t>Equipment and Fuel Characteristics</t>
  </si>
  <si>
    <t>hp</t>
  </si>
  <si>
    <t xml:space="preserve"> </t>
  </si>
  <si>
    <t>gal/yr</t>
  </si>
  <si>
    <t>Acetophenone</t>
  </si>
  <si>
    <t>Carbon tetrachloride</t>
  </si>
  <si>
    <t>Chlorine</t>
  </si>
  <si>
    <t>Chlorobenzene</t>
  </si>
  <si>
    <t>Cobalt compounds</t>
  </si>
  <si>
    <t>Dinitrophenol, 2,4-</t>
  </si>
  <si>
    <t>Ethyl benzene</t>
  </si>
  <si>
    <t>Naphthalene</t>
  </si>
  <si>
    <t>Nitrophenol, 4-</t>
  </si>
  <si>
    <t>Pentachlorophenol</t>
  </si>
  <si>
    <t>Polychlorinated biphenyls</t>
  </si>
  <si>
    <t>Polycyclic Organic Matter</t>
  </si>
  <si>
    <t>Selenium compounds</t>
  </si>
  <si>
    <t>Tetrachlorodibenzo-p-dioxin, 2,3,7,8-</t>
  </si>
  <si>
    <t>Trichloroethylene</t>
  </si>
  <si>
    <t>Trichlorophenol, 2,4,6-</t>
  </si>
  <si>
    <t>Vinyl chloride</t>
  </si>
  <si>
    <t>ghicks@trinityconsultants.com</t>
  </si>
  <si>
    <t>Total VOC</t>
  </si>
  <si>
    <t>Total PM</t>
  </si>
  <si>
    <t>Conversions</t>
  </si>
  <si>
    <t>Annual Operation</t>
  </si>
  <si>
    <t>MMBtu/yr</t>
  </si>
  <si>
    <t>Annual Heat Input</t>
  </si>
  <si>
    <t>Major</t>
  </si>
  <si>
    <t>Source?</t>
  </si>
  <si>
    <t>Pellet Mill Feed Silo</t>
  </si>
  <si>
    <t>Emission Unit ID</t>
  </si>
  <si>
    <t>ES-PMFS</t>
  </si>
  <si>
    <t>Hazardous Air Pollutant Emissions</t>
  </si>
  <si>
    <t>ODT/yr</t>
  </si>
  <si>
    <t>%</t>
  </si>
  <si>
    <t>PM</t>
  </si>
  <si>
    <t>Calculation Basis</t>
  </si>
  <si>
    <t>Hourly Throughput</t>
  </si>
  <si>
    <t>Annual Throughput</t>
  </si>
  <si>
    <r>
      <t>Emission Factor</t>
    </r>
    <r>
      <rPr>
        <b/>
        <vertAlign val="superscript"/>
        <sz val="9"/>
        <rFont val="Verdana"/>
        <family val="2"/>
      </rPr>
      <t>1</t>
    </r>
  </si>
  <si>
    <t>Potential Emissions</t>
  </si>
  <si>
    <t>Y</t>
  </si>
  <si>
    <t>N</t>
  </si>
  <si>
    <t>Total HAP Emissions</t>
  </si>
  <si>
    <t>--</t>
  </si>
  <si>
    <r>
      <t>Notes:</t>
    </r>
    <r>
      <rPr>
        <sz val="9"/>
        <rFont val="Verdana"/>
        <family val="2"/>
      </rPr>
      <t xml:space="preserve"> </t>
    </r>
  </si>
  <si>
    <t>1.</t>
  </si>
  <si>
    <t>CAS - chemical abstract service</t>
  </si>
  <si>
    <t>HAP - hazardous air pollutant</t>
  </si>
  <si>
    <t>TAP - toxic air pollutant</t>
  </si>
  <si>
    <t>hr - hour</t>
  </si>
  <si>
    <t>tpy - tons per year</t>
  </si>
  <si>
    <t xml:space="preserve">lb - pound </t>
  </si>
  <si>
    <t>VOC - volatile organic compound</t>
  </si>
  <si>
    <t>NC - North Carolina</t>
  </si>
  <si>
    <t>yr - year</t>
  </si>
  <si>
    <t>Reference:</t>
  </si>
  <si>
    <t>Maximum high heating value of VOC constituents</t>
  </si>
  <si>
    <t>MMBtu/lb</t>
  </si>
  <si>
    <r>
      <t>lb/MMBtu</t>
    </r>
    <r>
      <rPr>
        <vertAlign val="superscript"/>
        <sz val="9"/>
        <rFont val="Verdana"/>
        <family val="2"/>
      </rPr>
      <t>1</t>
    </r>
  </si>
  <si>
    <r>
      <t>NO</t>
    </r>
    <r>
      <rPr>
        <vertAlign val="subscript"/>
        <sz val="9"/>
        <rFont val="Verdana"/>
        <family val="2"/>
      </rPr>
      <t>X</t>
    </r>
  </si>
  <si>
    <r>
      <t>SO</t>
    </r>
    <r>
      <rPr>
        <vertAlign val="subscript"/>
        <sz val="9"/>
        <rFont val="Verdana"/>
        <family val="2"/>
      </rPr>
      <t>2</t>
    </r>
  </si>
  <si>
    <r>
      <t>PM</t>
    </r>
    <r>
      <rPr>
        <vertAlign val="subscript"/>
        <sz val="9"/>
        <rFont val="Verdana"/>
        <family val="2"/>
      </rPr>
      <t>2.5</t>
    </r>
  </si>
  <si>
    <r>
      <t>CO</t>
    </r>
    <r>
      <rPr>
        <vertAlign val="subscript"/>
        <sz val="9"/>
        <rFont val="Verdana"/>
        <family val="2"/>
      </rPr>
      <t>2</t>
    </r>
  </si>
  <si>
    <r>
      <t>CH</t>
    </r>
    <r>
      <rPr>
        <vertAlign val="subscript"/>
        <sz val="9"/>
        <rFont val="Verdana"/>
        <family val="2"/>
      </rPr>
      <t>4</t>
    </r>
  </si>
  <si>
    <r>
      <t>N</t>
    </r>
    <r>
      <rPr>
        <vertAlign val="subscript"/>
        <sz val="9"/>
        <rFont val="Verdana"/>
        <family val="2"/>
      </rPr>
      <t>2</t>
    </r>
    <r>
      <rPr>
        <sz val="9"/>
        <rFont val="Verdana"/>
        <family val="2"/>
      </rPr>
      <t>O</t>
    </r>
  </si>
  <si>
    <t>Potential HAP and TAP Emissions</t>
  </si>
  <si>
    <t>Footnote</t>
  </si>
  <si>
    <t>Beryllium</t>
  </si>
  <si>
    <t>Cadmium</t>
  </si>
  <si>
    <t>Chromium VI</t>
  </si>
  <si>
    <t>Chromium–Other compounds</t>
  </si>
  <si>
    <t>Dichloroethane, 1,2-</t>
  </si>
  <si>
    <t>Dichloropropane, 1,2-</t>
  </si>
  <si>
    <t>Di(2-ethylhexyl)phthalate</t>
  </si>
  <si>
    <t>Hydrochloric acid</t>
  </si>
  <si>
    <t>Methyl bromide</t>
  </si>
  <si>
    <t>Methyl chloride</t>
  </si>
  <si>
    <t>Perchloroethylene</t>
  </si>
  <si>
    <t>Phosphorus metal, yellow or white</t>
  </si>
  <si>
    <t>Trichloroethane, 1,1,1-</t>
  </si>
  <si>
    <t>Trichlorofluoromethane</t>
  </si>
  <si>
    <t>Xylene</t>
  </si>
  <si>
    <t>2-Methylnaphthalene</t>
  </si>
  <si>
    <t>lb/MMscf</t>
  </si>
  <si>
    <t>3-Methylchloranthrene</t>
  </si>
  <si>
    <t>7,12-Dimethylbenz(a)anthracene</t>
  </si>
  <si>
    <t>Acenaphthene</t>
  </si>
  <si>
    <t>Acenaphthylene</t>
  </si>
  <si>
    <t>Anthracene</t>
  </si>
  <si>
    <t>Benz(a)anthracene</t>
  </si>
  <si>
    <t>Benzo(b)fluoranthene</t>
  </si>
  <si>
    <t>Benzo(g,h,i)perylene</t>
  </si>
  <si>
    <t>Benzo(k)fluoranthene</t>
  </si>
  <si>
    <t>Chrysene</t>
  </si>
  <si>
    <t>Dibenzo(a,h)anthracene</t>
  </si>
  <si>
    <t>Dichlorobenzene</t>
  </si>
  <si>
    <t>Fluoranthene</t>
  </si>
  <si>
    <t>Fluorene</t>
  </si>
  <si>
    <t>Hexane</t>
  </si>
  <si>
    <t>Indeno(1,2,3-cd)pyrene</t>
  </si>
  <si>
    <t>Mercury</t>
  </si>
  <si>
    <t>Nickel</t>
  </si>
  <si>
    <t>Phenanthrene</t>
  </si>
  <si>
    <t>Pyrene</t>
  </si>
  <si>
    <t>2.</t>
  </si>
  <si>
    <t>3.</t>
  </si>
  <si>
    <t>4.</t>
  </si>
  <si>
    <t>5.</t>
  </si>
  <si>
    <t>6.</t>
  </si>
  <si>
    <t>7.</t>
  </si>
  <si>
    <t>CO - carbon monoxide</t>
  </si>
  <si>
    <t xml:space="preserve">PM - particulate matter </t>
  </si>
  <si>
    <t>CO2 - carbon dioxide</t>
  </si>
  <si>
    <t>RTO - regenerative thermal oxidizer</t>
  </si>
  <si>
    <t>kg - kilogram</t>
  </si>
  <si>
    <t>MMBtu - Million British thermal units</t>
  </si>
  <si>
    <t>WESP - wet electrostatic precipitator</t>
  </si>
  <si>
    <t>HHV (Btu/lb)</t>
  </si>
  <si>
    <t>alpha-Pinene</t>
  </si>
  <si>
    <t>beta-Pinene</t>
  </si>
  <si>
    <t>POM?</t>
  </si>
  <si>
    <t>x</t>
  </si>
  <si>
    <t>Emission factors from AP-42, Section 1.4 - Natural Gas Combustion, 07/98.  Emission factors converted from lb/MMscf to lb/MMBtu based on assumed heating value of 1,020 Btu/scf for natural gas per AP-42 Section 1.4.</t>
  </si>
  <si>
    <t>pounds = 1 kg</t>
  </si>
  <si>
    <t>40 CFR Part 98 - Table A-1 Global Warming Potentials</t>
  </si>
  <si>
    <r>
      <t>CO</t>
    </r>
    <r>
      <rPr>
        <vertAlign val="subscript"/>
        <sz val="9"/>
        <color theme="1"/>
        <rFont val="Verdana"/>
        <family val="2"/>
      </rPr>
      <t>2</t>
    </r>
  </si>
  <si>
    <r>
      <t>CH</t>
    </r>
    <r>
      <rPr>
        <vertAlign val="subscript"/>
        <sz val="9"/>
        <color theme="1"/>
        <rFont val="Verdana"/>
        <family val="2"/>
      </rPr>
      <t>4</t>
    </r>
  </si>
  <si>
    <r>
      <t>N</t>
    </r>
    <r>
      <rPr>
        <vertAlign val="subscript"/>
        <sz val="9"/>
        <color theme="1"/>
        <rFont val="Verdana"/>
        <family val="2"/>
      </rPr>
      <t>2</t>
    </r>
    <r>
      <rPr>
        <sz val="9"/>
        <color theme="1"/>
        <rFont val="Verdana"/>
        <family val="2"/>
      </rPr>
      <t>O</t>
    </r>
  </si>
  <si>
    <t>Source Description</t>
  </si>
  <si>
    <t>Control Device ID</t>
  </si>
  <si>
    <t>Control Device Description</t>
  </si>
  <si>
    <t>CD-FPH-BF</t>
  </si>
  <si>
    <t>Baghouse</t>
  </si>
  <si>
    <r>
      <t>Exhaust Flow Rate</t>
    </r>
    <r>
      <rPr>
        <b/>
        <vertAlign val="superscript"/>
        <sz val="9"/>
        <color theme="1"/>
        <rFont val="Verdana"/>
        <family val="2"/>
      </rPr>
      <t>1</t>
    </r>
  </si>
  <si>
    <t>Particulate Speciation</t>
  </si>
  <si>
    <r>
      <t>PM</t>
    </r>
    <r>
      <rPr>
        <b/>
        <vertAlign val="subscript"/>
        <sz val="9"/>
        <color theme="1"/>
        <rFont val="Verdana"/>
        <family val="2"/>
      </rPr>
      <t>10</t>
    </r>
  </si>
  <si>
    <t>(cfm)</t>
  </si>
  <si>
    <t>(gr/cf)</t>
  </si>
  <si>
    <r>
      <t>PM</t>
    </r>
    <r>
      <rPr>
        <b/>
        <vertAlign val="subscript"/>
        <sz val="9"/>
        <color theme="1"/>
        <rFont val="Verdana"/>
        <family val="2"/>
      </rPr>
      <t>10</t>
    </r>
    <r>
      <rPr>
        <b/>
        <sz val="9"/>
        <color theme="1"/>
        <rFont val="Verdana"/>
        <family val="2"/>
      </rPr>
      <t xml:space="preserve">
(% of PM)</t>
    </r>
  </si>
  <si>
    <r>
      <t>PM</t>
    </r>
    <r>
      <rPr>
        <b/>
        <vertAlign val="subscript"/>
        <sz val="9"/>
        <color theme="1"/>
        <rFont val="Verdana"/>
        <family val="2"/>
      </rPr>
      <t>2.5</t>
    </r>
    <r>
      <rPr>
        <b/>
        <sz val="9"/>
        <color theme="1"/>
        <rFont val="Verdana"/>
        <family val="2"/>
      </rPr>
      <t xml:space="preserve">
(% of PM)</t>
    </r>
  </si>
  <si>
    <t>ES-DWH</t>
  </si>
  <si>
    <t>Notes:</t>
  </si>
  <si>
    <t>Abbreviations:</t>
  </si>
  <si>
    <t>cf - cubic feet</t>
  </si>
  <si>
    <t>lb - pound</t>
  </si>
  <si>
    <t>cfm - cubic feet per minute</t>
  </si>
  <si>
    <t>PM - particulate matter</t>
  </si>
  <si>
    <t>ES - Emission Sources</t>
  </si>
  <si>
    <t>IES - Insignificant Emission Source</t>
  </si>
  <si>
    <t>gr - grain</t>
  </si>
  <si>
    <t>min = 1 hour</t>
  </si>
  <si>
    <t>grains = 1 lb</t>
  </si>
  <si>
    <t>lb = 1 ton</t>
  </si>
  <si>
    <r>
      <t>Transfer Activity</t>
    </r>
    <r>
      <rPr>
        <b/>
        <vertAlign val="superscript"/>
        <sz val="9"/>
        <rFont val="Verdana"/>
        <family val="2"/>
      </rPr>
      <t>1</t>
    </r>
  </si>
  <si>
    <t>Number of Drop Points</t>
  </si>
  <si>
    <r>
      <t>PM Emission Factor</t>
    </r>
    <r>
      <rPr>
        <b/>
        <vertAlign val="superscript"/>
        <sz val="9"/>
        <rFont val="Verdana"/>
        <family val="2"/>
      </rPr>
      <t>3</t>
    </r>
  </si>
  <si>
    <r>
      <t>PM</t>
    </r>
    <r>
      <rPr>
        <b/>
        <vertAlign val="subscript"/>
        <sz val="9"/>
        <rFont val="Verdana"/>
        <family val="2"/>
      </rPr>
      <t>10</t>
    </r>
    <r>
      <rPr>
        <b/>
        <sz val="9"/>
        <rFont val="Verdana"/>
        <family val="2"/>
      </rPr>
      <t xml:space="preserve"> Emission Factor</t>
    </r>
    <r>
      <rPr>
        <b/>
        <vertAlign val="superscript"/>
        <sz val="9"/>
        <rFont val="Verdana"/>
        <family val="2"/>
      </rPr>
      <t>3</t>
    </r>
  </si>
  <si>
    <t>(%)</t>
  </si>
  <si>
    <t>(lb/ton)</t>
  </si>
  <si>
    <t>(tph)</t>
  </si>
  <si>
    <t>Total Emissions:</t>
  </si>
  <si>
    <t>where:</t>
  </si>
  <si>
    <t>E = emission factor (lb/ton)</t>
  </si>
  <si>
    <t>k = particle size multiplier (dimensionless) for PM</t>
  </si>
  <si>
    <t>U = mean wind speed (mph)</t>
  </si>
  <si>
    <t>ES-GWHS</t>
  </si>
  <si>
    <t>Green Wood Handling and Storage</t>
  </si>
  <si>
    <t>Pile Height</t>
  </si>
  <si>
    <t>Potential PM Emissions</t>
  </si>
  <si>
    <r>
      <t>Potential PM</t>
    </r>
    <r>
      <rPr>
        <b/>
        <vertAlign val="subscript"/>
        <sz val="9"/>
        <rFont val="Verdana"/>
        <family val="2"/>
      </rPr>
      <t>10</t>
    </r>
    <r>
      <rPr>
        <b/>
        <sz val="9"/>
        <rFont val="Verdana"/>
        <family val="2"/>
      </rPr>
      <t xml:space="preserve"> Emissions</t>
    </r>
  </si>
  <si>
    <r>
      <t>Potential PM</t>
    </r>
    <r>
      <rPr>
        <b/>
        <vertAlign val="subscript"/>
        <sz val="9"/>
        <rFont val="Verdana"/>
        <family val="2"/>
      </rPr>
      <t xml:space="preserve">2.5 </t>
    </r>
    <r>
      <rPr>
        <b/>
        <sz val="9"/>
        <rFont val="Verdana"/>
        <family val="2"/>
      </rPr>
      <t>Emissions</t>
    </r>
  </si>
  <si>
    <r>
      <t>(lb/hr/ft</t>
    </r>
    <r>
      <rPr>
        <b/>
        <vertAlign val="superscript"/>
        <sz val="9"/>
        <rFont val="Verdana"/>
        <family val="2"/>
      </rPr>
      <t>2</t>
    </r>
    <r>
      <rPr>
        <b/>
        <sz val="9"/>
        <rFont val="Verdana"/>
        <family val="2"/>
      </rPr>
      <t>)</t>
    </r>
  </si>
  <si>
    <t>(ft)</t>
  </si>
  <si>
    <r>
      <t>(ft</t>
    </r>
    <r>
      <rPr>
        <b/>
        <vertAlign val="superscript"/>
        <sz val="9"/>
        <rFont val="Verdana"/>
        <family val="2"/>
      </rPr>
      <t>2</t>
    </r>
    <r>
      <rPr>
        <b/>
        <sz val="9"/>
        <rFont val="Verdana"/>
        <family val="2"/>
      </rPr>
      <t>)</t>
    </r>
  </si>
  <si>
    <t>s, silt content of wood chips (%):</t>
  </si>
  <si>
    <t>p, number of days with rainfall greater than 0.01 inch:</t>
  </si>
  <si>
    <t>Based on AP-42, Section 13.2.2 - Unpaved Roads, 11/06, Figure 13.2.1-2.</t>
  </si>
  <si>
    <t>f (time that wind exceeds 5.36 m/s - 12 mph) (%):</t>
  </si>
  <si>
    <t>EPA - Environmental Protection Agency</t>
  </si>
  <si>
    <t>ft - feet</t>
  </si>
  <si>
    <t>mph - miles per hour</t>
  </si>
  <si>
    <t>NCASI - National Council for Air and Stream Improvement, Inc.</t>
  </si>
  <si>
    <t>NWS - National Weather Service</t>
  </si>
  <si>
    <r>
      <t>ft</t>
    </r>
    <r>
      <rPr>
        <vertAlign val="superscript"/>
        <sz val="9"/>
        <rFont val="Verdana"/>
        <family val="2"/>
      </rPr>
      <t>2</t>
    </r>
    <r>
      <rPr>
        <sz val="9"/>
        <rFont val="Verdana"/>
        <family val="2"/>
      </rPr>
      <t xml:space="preserve"> = 1 acre</t>
    </r>
  </si>
  <si>
    <t>hr = 1 day</t>
  </si>
  <si>
    <t>conversion from "as carbon" to "as propane"</t>
  </si>
  <si>
    <t>Potential Fugitive PM Emissions from Paved Roads</t>
  </si>
  <si>
    <t>Vehicle Activity</t>
  </si>
  <si>
    <r>
      <t>Distance Traveled per Roundtrip</t>
    </r>
    <r>
      <rPr>
        <b/>
        <vertAlign val="superscript"/>
        <sz val="9"/>
        <rFont val="Verdana"/>
        <family val="2"/>
      </rPr>
      <t>1</t>
    </r>
    <r>
      <rPr>
        <b/>
        <sz val="9"/>
        <rFont val="Verdana"/>
        <family val="2"/>
      </rPr>
      <t xml:space="preserve">
(ft)</t>
    </r>
  </si>
  <si>
    <r>
      <t>Trips Per Day</t>
    </r>
    <r>
      <rPr>
        <b/>
        <vertAlign val="superscript"/>
        <sz val="9"/>
        <rFont val="Verdana"/>
        <family val="2"/>
      </rPr>
      <t>2</t>
    </r>
  </si>
  <si>
    <t>Daily VMT</t>
  </si>
  <si>
    <t>Events Per Year</t>
  </si>
  <si>
    <t>Empty Truck Weight</t>
  </si>
  <si>
    <t>Loaded Truck Weight</t>
  </si>
  <si>
    <t>Average Truck Weight</t>
  </si>
  <si>
    <t>Annual VMT</t>
  </si>
  <si>
    <r>
      <t>PM</t>
    </r>
    <r>
      <rPr>
        <b/>
        <vertAlign val="subscript"/>
        <sz val="9"/>
        <rFont val="Verdana"/>
        <family val="2"/>
      </rPr>
      <t>2.5</t>
    </r>
    <r>
      <rPr>
        <b/>
        <sz val="9"/>
        <rFont val="Verdana"/>
        <family val="2"/>
      </rPr>
      <t xml:space="preserve"> Emission Factor</t>
    </r>
    <r>
      <rPr>
        <b/>
        <vertAlign val="superscript"/>
        <sz val="9"/>
        <rFont val="Verdana"/>
        <family val="2"/>
      </rPr>
      <t>3</t>
    </r>
  </si>
  <si>
    <t>(days)</t>
  </si>
  <si>
    <t>(lb)</t>
  </si>
  <si>
    <t>(ton)</t>
  </si>
  <si>
    <t>(lb/VMT)</t>
  </si>
  <si>
    <t>(lb/day)</t>
  </si>
  <si>
    <t>Employee Car Parking</t>
  </si>
  <si>
    <t>Daily trip counts based on original permit application estimation.</t>
  </si>
  <si>
    <t>Emission factors calculated based on Equation 2 from AP-42 Section 13.2.1 - Paved Roads, 01/11.</t>
  </si>
  <si>
    <t xml:space="preserve">   P - No. days with rainfall greater than 0.01 inch </t>
  </si>
  <si>
    <t>Potential emissions calculated from appropriate emission factor times vehicle miles traveled with control efficiency of 90% for water / dust suppression activities followed by sweeping.  Per Table 5 in Chapter 4 of the Air Pollution Engineering Manual, Air and Waste Management Association, page 141.  Control efficiency (%) = 96-0.263*V, where V is the number of vehicle passes since application of water.</t>
  </si>
  <si>
    <t>VMT - vehicle miles traveled</t>
  </si>
  <si>
    <t>conversion from "as carbon" to "as alpha-pinene"</t>
  </si>
  <si>
    <t>ft = 1 mile</t>
  </si>
  <si>
    <t>vehicle passes</t>
  </si>
  <si>
    <t>PSD Major Source Threshold:</t>
  </si>
  <si>
    <t>Diesel Storage Tank for Emergency Generator</t>
  </si>
  <si>
    <t>Diesel Storage Tank for Fire Water Pump</t>
  </si>
  <si>
    <t xml:space="preserve">    Potential Emissions</t>
  </si>
  <si>
    <t>IES-FWP</t>
  </si>
  <si>
    <t>Control</t>
  </si>
  <si>
    <t>Enclosed</t>
  </si>
  <si>
    <t>Control Description</t>
  </si>
  <si>
    <t>Reduction to 2 mph mean wind speed</t>
  </si>
  <si>
    <t>Dried Wood Handling</t>
  </si>
  <si>
    <t>CD-PMFS-BV</t>
  </si>
  <si>
    <t>(hours)</t>
  </si>
  <si>
    <t>ES-FB</t>
  </si>
  <si>
    <t>Fines Bin</t>
  </si>
  <si>
    <t>CD-FB-BV</t>
  </si>
  <si>
    <t>Number of Duct Burners</t>
  </si>
  <si>
    <r>
      <t>NO</t>
    </r>
    <r>
      <rPr>
        <vertAlign val="subscript"/>
        <sz val="9"/>
        <color theme="1"/>
        <rFont val="Verdana"/>
        <family val="2"/>
      </rPr>
      <t>X</t>
    </r>
  </si>
  <si>
    <t>Max. Hourly Throughput of Dryer</t>
  </si>
  <si>
    <t>Annual Throughput of Dryer</t>
  </si>
  <si>
    <t>Controlled Emission Factor</t>
  </si>
  <si>
    <t>Enviva Pellets Ahoskie, LLC</t>
  </si>
  <si>
    <t xml:space="preserve">Calculation Basis </t>
  </si>
  <si>
    <r>
      <t>Notes:</t>
    </r>
    <r>
      <rPr>
        <sz val="8"/>
        <rFont val="Verdana"/>
        <family val="2"/>
      </rPr>
      <t xml:space="preserve"> </t>
    </r>
  </si>
  <si>
    <r>
      <t>No emission factor is provided in AP-42, Section 10.6.2 for SO</t>
    </r>
    <r>
      <rPr>
        <vertAlign val="subscript"/>
        <sz val="8"/>
        <rFont val="Verdana"/>
        <family val="2"/>
      </rPr>
      <t>2</t>
    </r>
    <r>
      <rPr>
        <sz val="8"/>
        <rFont val="Verdana"/>
        <family val="2"/>
      </rPr>
      <t xml:space="preserve"> for rotary dryers.  Enviva has conservatively calculated SO</t>
    </r>
    <r>
      <rPr>
        <vertAlign val="subscript"/>
        <sz val="8"/>
        <rFont val="Verdana"/>
        <family val="2"/>
      </rPr>
      <t>2</t>
    </r>
    <r>
      <rPr>
        <sz val="8"/>
        <rFont val="Verdana"/>
        <family val="2"/>
      </rPr>
      <t xml:space="preserve"> emissions based on AP-42, Section 1.6 - Wood Residue Combustion in Boilers, 09/03.</t>
    </r>
  </si>
  <si>
    <t xml:space="preserve">Exhaust from the dryer is routed to twin cyclones for material recovery purposes then to a WESP and RTO for control of VOC, HAP, and particulates.  </t>
  </si>
  <si>
    <r>
      <t>lb/ODT</t>
    </r>
    <r>
      <rPr>
        <vertAlign val="superscript"/>
        <sz val="9"/>
        <rFont val="Verdana"/>
        <family val="2"/>
      </rPr>
      <t>4</t>
    </r>
  </si>
  <si>
    <t>Annual Heat input of uncontrolled VOC emissions</t>
  </si>
  <si>
    <t>Hourly Heat input of uncontrolled VOC emissions</t>
  </si>
  <si>
    <t>Potential HAP Emissions</t>
  </si>
  <si>
    <t>Lead and lead compounds</t>
  </si>
  <si>
    <t>Emission factors for wood combustion in a stoker boiler from AP-42 Section 1.6 - Wood Residue Combustion in Boilers, 09/03.</t>
  </si>
  <si>
    <t>A control efficiency of 95% for the RTOs is applied to all organic HAP for those emission factors that are not derived from Enviva stack test data. This is the expected control efficiency of the RTO.</t>
  </si>
  <si>
    <t>A 95% control efficiency for the wet electrostatic precipitator (WESP) is applied to all metal HAP based on expected control efficiency for the WESP.</t>
  </si>
  <si>
    <t>The WESP will employ a caustic solution in its operation in which hydrochloric acid will have high water solubility.  This caustic solution will neutralize the acid and effectively control it by 90%, per conversation on October 18, 2011 with Steven A. Jaasund, P.E. of Lundberg Associates, a manufacturer of WESPs.</t>
  </si>
  <si>
    <t>Emission factors for natural gas combustion from AP-42 Section 1.4 - Natural Gas Combustion, 07/98.  Natural gas heating value of 1,020 Btu/scf assumed per AP-42.</t>
  </si>
  <si>
    <r>
      <t>Abbreviations:</t>
    </r>
    <r>
      <rPr>
        <sz val="8"/>
        <rFont val="Verdana"/>
        <family val="2"/>
      </rPr>
      <t xml:space="preserve"> </t>
    </r>
  </si>
  <si>
    <t>MMscf - Million standard cubic feet</t>
  </si>
  <si>
    <r>
      <t>CH</t>
    </r>
    <r>
      <rPr>
        <vertAlign val="subscript"/>
        <sz val="8"/>
        <rFont val="Verdana"/>
        <family val="2"/>
      </rPr>
      <t>4</t>
    </r>
    <r>
      <rPr>
        <sz val="8"/>
        <rFont val="Verdana"/>
        <family val="2"/>
      </rPr>
      <t xml:space="preserve"> - methane</t>
    </r>
  </si>
  <si>
    <r>
      <t>NO</t>
    </r>
    <r>
      <rPr>
        <vertAlign val="subscript"/>
        <sz val="8"/>
        <rFont val="Verdana"/>
        <family val="2"/>
      </rPr>
      <t xml:space="preserve">X </t>
    </r>
    <r>
      <rPr>
        <sz val="8"/>
        <rFont val="Verdana"/>
        <family val="2"/>
      </rPr>
      <t>- nitrogen oxides</t>
    </r>
  </si>
  <si>
    <r>
      <t>N</t>
    </r>
    <r>
      <rPr>
        <vertAlign val="subscript"/>
        <sz val="8"/>
        <color theme="1"/>
        <rFont val="Verdana"/>
        <family val="2"/>
      </rPr>
      <t>2</t>
    </r>
    <r>
      <rPr>
        <sz val="8"/>
        <color theme="1"/>
        <rFont val="Verdana"/>
        <family val="2"/>
      </rPr>
      <t>O - nitrous oxide</t>
    </r>
  </si>
  <si>
    <r>
      <t>CO</t>
    </r>
    <r>
      <rPr>
        <vertAlign val="subscript"/>
        <sz val="8"/>
        <rFont val="Verdana"/>
        <family val="2"/>
      </rPr>
      <t>2</t>
    </r>
    <r>
      <rPr>
        <sz val="8"/>
        <rFont val="Verdana"/>
        <family val="2"/>
      </rPr>
      <t xml:space="preserve"> - carbon dioxide</t>
    </r>
  </si>
  <si>
    <r>
      <t>CO</t>
    </r>
    <r>
      <rPr>
        <vertAlign val="subscript"/>
        <sz val="8"/>
        <color theme="1"/>
        <rFont val="Verdana"/>
        <family val="2"/>
      </rPr>
      <t>2</t>
    </r>
    <r>
      <rPr>
        <sz val="8"/>
        <color theme="1"/>
        <rFont val="Verdana"/>
        <family val="2"/>
      </rPr>
      <t>e - carbon dioxide equivalent</t>
    </r>
  </si>
  <si>
    <t>GHM - Green Hammermill</t>
  </si>
  <si>
    <r>
      <t>PM</t>
    </r>
    <r>
      <rPr>
        <vertAlign val="subscript"/>
        <sz val="8"/>
        <rFont val="Verdana"/>
        <family val="2"/>
      </rPr>
      <t xml:space="preserve">10 </t>
    </r>
    <r>
      <rPr>
        <sz val="8"/>
        <rFont val="Verdana"/>
        <family val="2"/>
      </rPr>
      <t>- particulate matter with an aerodynamic diameter less than 10 microns</t>
    </r>
  </si>
  <si>
    <r>
      <t>PM</t>
    </r>
    <r>
      <rPr>
        <vertAlign val="subscript"/>
        <sz val="8"/>
        <color theme="1"/>
        <rFont val="Verdana"/>
        <family val="2"/>
      </rPr>
      <t xml:space="preserve">2.5 </t>
    </r>
    <r>
      <rPr>
        <sz val="8"/>
        <color theme="1"/>
        <rFont val="Verdana"/>
        <family val="2"/>
      </rPr>
      <t>- particulate matter with an aerodynamic diameter of 2.5 microns or less</t>
    </r>
  </si>
  <si>
    <r>
      <t>SO</t>
    </r>
    <r>
      <rPr>
        <vertAlign val="subscript"/>
        <sz val="8"/>
        <rFont val="Verdana"/>
        <family val="2"/>
      </rPr>
      <t xml:space="preserve">2 </t>
    </r>
    <r>
      <rPr>
        <sz val="8"/>
        <rFont val="Verdana"/>
        <family val="2"/>
      </rPr>
      <t>- sulfur dioxide</t>
    </r>
  </si>
  <si>
    <t>Mgal - thousand gallons</t>
  </si>
  <si>
    <t>References:</t>
  </si>
  <si>
    <t>EPA. AP-42, Section 1.4 - Natural Gas Combustion, 07/98.</t>
  </si>
  <si>
    <t>EPA. AP-42, Section 1.6 - Wood Residue Combustion in Boilers, 09/03.</t>
  </si>
  <si>
    <t>Potential HAP Emissions - RTO Burners</t>
  </si>
  <si>
    <t>WESP Control Efficiency for metal HAP</t>
  </si>
  <si>
    <t>WESP HCl Control Efficiency</t>
  </si>
  <si>
    <t>RTO control efficiency</t>
  </si>
  <si>
    <t>Duct Burner Inputs</t>
  </si>
  <si>
    <t>Duct Burner Rating</t>
  </si>
  <si>
    <t>Potential Criteria Pollutant Emissions - Natural Gas Combustion</t>
  </si>
  <si>
    <t>Annual
(tpy)</t>
  </si>
  <si>
    <r>
      <t>SO</t>
    </r>
    <r>
      <rPr>
        <vertAlign val="subscript"/>
        <sz val="9"/>
        <color theme="1"/>
        <rFont val="Verdana"/>
        <family val="2"/>
      </rPr>
      <t>2</t>
    </r>
  </si>
  <si>
    <r>
      <t>PM/PM</t>
    </r>
    <r>
      <rPr>
        <vertAlign val="subscript"/>
        <sz val="9"/>
        <color theme="1"/>
        <rFont val="Verdana"/>
        <family val="2"/>
      </rPr>
      <t>10</t>
    </r>
    <r>
      <rPr>
        <sz val="9"/>
        <color theme="1"/>
        <rFont val="Verdana"/>
        <family val="2"/>
      </rPr>
      <t>/PM</t>
    </r>
    <r>
      <rPr>
        <vertAlign val="subscript"/>
        <sz val="9"/>
        <color theme="1"/>
        <rFont val="Verdana"/>
        <family val="2"/>
      </rPr>
      <t>2.5</t>
    </r>
    <r>
      <rPr>
        <sz val="9"/>
        <color theme="1"/>
        <rFont val="Verdana"/>
        <family val="2"/>
      </rPr>
      <t xml:space="preserve"> Condensable</t>
    </r>
  </si>
  <si>
    <r>
      <t>PM/PM</t>
    </r>
    <r>
      <rPr>
        <vertAlign val="subscript"/>
        <sz val="9"/>
        <rFont val="Verdana"/>
        <family val="2"/>
      </rPr>
      <t>10</t>
    </r>
    <r>
      <rPr>
        <sz val="9"/>
        <rFont val="Verdana"/>
        <family val="2"/>
      </rPr>
      <t>/PM</t>
    </r>
    <r>
      <rPr>
        <vertAlign val="subscript"/>
        <sz val="9"/>
        <rFont val="Verdana"/>
        <family val="2"/>
      </rPr>
      <t>2.5</t>
    </r>
    <r>
      <rPr>
        <sz val="9"/>
        <rFont val="Verdana"/>
        <family val="2"/>
      </rPr>
      <t xml:space="preserve"> Filterable</t>
    </r>
  </si>
  <si>
    <t xml:space="preserve">Potential Emissions from Double Duct Burners (IES-DDB-1 and -2) </t>
  </si>
  <si>
    <t>Natural Gas Combustion</t>
  </si>
  <si>
    <t>Hourly Heat Input Capacity</t>
  </si>
  <si>
    <t>Annual Heat Input Capacity</t>
  </si>
  <si>
    <r>
      <t>Total PM</t>
    </r>
    <r>
      <rPr>
        <vertAlign val="subscript"/>
        <sz val="9"/>
        <rFont val="Verdana"/>
        <family val="2"/>
      </rPr>
      <t>10</t>
    </r>
  </si>
  <si>
    <r>
      <t>Total PM</t>
    </r>
    <r>
      <rPr>
        <vertAlign val="subscript"/>
        <sz val="9"/>
        <rFont val="Verdana"/>
        <family val="2"/>
      </rPr>
      <t>2.5</t>
    </r>
  </si>
  <si>
    <r>
      <t>CO</t>
    </r>
    <r>
      <rPr>
        <vertAlign val="subscript"/>
        <sz val="9"/>
        <rFont val="Verdana"/>
        <family val="2"/>
      </rPr>
      <t>2</t>
    </r>
    <r>
      <rPr>
        <sz val="9"/>
        <rFont val="Verdana"/>
        <family val="2"/>
      </rPr>
      <t xml:space="preserve">e </t>
    </r>
  </si>
  <si>
    <r>
      <t>CO, NO</t>
    </r>
    <r>
      <rPr>
        <vertAlign val="subscript"/>
        <sz val="8"/>
        <rFont val="Verdana"/>
        <family val="2"/>
      </rPr>
      <t>X</t>
    </r>
    <r>
      <rPr>
        <sz val="8"/>
        <rFont val="Verdana"/>
        <family val="2"/>
      </rPr>
      <t>, SO</t>
    </r>
    <r>
      <rPr>
        <vertAlign val="subscript"/>
        <sz val="8"/>
        <rFont val="Verdana"/>
        <family val="2"/>
      </rPr>
      <t>2</t>
    </r>
    <r>
      <rPr>
        <sz val="8"/>
        <rFont val="Verdana"/>
        <family val="2"/>
      </rPr>
      <t>, PM, PM</t>
    </r>
    <r>
      <rPr>
        <vertAlign val="subscript"/>
        <sz val="8"/>
        <rFont val="Verdana"/>
        <family val="2"/>
      </rPr>
      <t>10</t>
    </r>
    <r>
      <rPr>
        <sz val="8"/>
        <rFont val="Verdana"/>
        <family val="2"/>
      </rPr>
      <t>, PM</t>
    </r>
    <r>
      <rPr>
        <vertAlign val="subscript"/>
        <sz val="8"/>
        <rFont val="Verdana"/>
        <family val="2"/>
      </rPr>
      <t>2.5</t>
    </r>
    <r>
      <rPr>
        <sz val="8"/>
        <rFont val="Verdana"/>
        <family val="2"/>
      </rPr>
      <t>, and VOC emission rates based on AP-42, Section 1.6 - Wood Residue Combustion in Boilers, 09/03 for bark/bark and wet wood-fired boilers. PM, PM</t>
    </r>
    <r>
      <rPr>
        <vertAlign val="subscript"/>
        <sz val="8"/>
        <rFont val="Verdana"/>
        <family val="2"/>
      </rPr>
      <t>10,</t>
    </r>
    <r>
      <rPr>
        <sz val="8"/>
        <rFont val="Verdana"/>
        <family val="2"/>
      </rPr>
      <t xml:space="preserve"> and PM</t>
    </r>
    <r>
      <rPr>
        <vertAlign val="subscript"/>
        <sz val="8"/>
        <rFont val="Verdana"/>
        <family val="2"/>
      </rPr>
      <t>2.5</t>
    </r>
    <r>
      <rPr>
        <sz val="8"/>
        <rFont val="Verdana"/>
        <family val="2"/>
      </rPr>
      <t xml:space="preserve"> factors equal to the sum of the filterable and condensable factors from Table 1.6-1. VOC emission factor excludes formaldehyde.</t>
    </r>
  </si>
  <si>
    <t>Emission factors for biomass combustion from Table C-1 and C-2 of 40 CFR Part 98 and Global Warming Potentials from Table A-1.</t>
  </si>
  <si>
    <t>Emission factors for wood combustion in a stoker boiler from AP-42, Section 1.6 - Wood Residue Combustion in Boilers, 09/03.</t>
  </si>
  <si>
    <t>WESP manufacturer efficiency</t>
  </si>
  <si>
    <t>Potential Criteria Pollutant and Greenhouse Gas Emissions - Furnace Bypass "Idle Mode"</t>
  </si>
  <si>
    <t>Potential HAP Emissions - Furnace Bypass "Idle Mode"</t>
  </si>
  <si>
    <t>Table 11</t>
  </si>
  <si>
    <t>Table 8</t>
  </si>
  <si>
    <r>
      <t>Hourly Throughput</t>
    </r>
    <r>
      <rPr>
        <vertAlign val="superscript"/>
        <sz val="9"/>
        <rFont val="Verdana"/>
        <family val="2"/>
      </rPr>
      <t>1</t>
    </r>
  </si>
  <si>
    <r>
      <t>Annual Throughput</t>
    </r>
    <r>
      <rPr>
        <vertAlign val="superscript"/>
        <sz val="9"/>
        <rFont val="Verdana"/>
        <family val="2"/>
      </rPr>
      <t>1</t>
    </r>
  </si>
  <si>
    <t>Potential PM Emissions from Baghouses/Cyclones</t>
  </si>
  <si>
    <r>
      <t>Exit Grain Loading</t>
    </r>
    <r>
      <rPr>
        <b/>
        <vertAlign val="superscript"/>
        <sz val="9"/>
        <rFont val="Verdana"/>
        <family val="2"/>
      </rPr>
      <t>2</t>
    </r>
  </si>
  <si>
    <r>
      <t>PM</t>
    </r>
    <r>
      <rPr>
        <b/>
        <vertAlign val="subscript"/>
        <sz val="9"/>
        <color theme="1"/>
        <rFont val="Verdana"/>
        <family val="2"/>
      </rPr>
      <t xml:space="preserve">2.5 </t>
    </r>
  </si>
  <si>
    <r>
      <t>No speciation data is available for PM</t>
    </r>
    <r>
      <rPr>
        <vertAlign val="subscript"/>
        <sz val="8"/>
        <rFont val="Verdana"/>
        <family val="2"/>
      </rPr>
      <t>10</t>
    </r>
    <r>
      <rPr>
        <sz val="8"/>
        <rFont val="Verdana"/>
        <family val="2"/>
      </rPr>
      <t>/PM</t>
    </r>
    <r>
      <rPr>
        <vertAlign val="subscript"/>
        <sz val="8"/>
        <rFont val="Verdana"/>
        <family val="2"/>
      </rPr>
      <t>2.5</t>
    </r>
    <r>
      <rPr>
        <sz val="8"/>
        <rFont val="Verdana"/>
        <family val="2"/>
      </rPr>
      <t>.  Therefore, it is conservatively assumed to be equal to total PM.</t>
    </r>
  </si>
  <si>
    <r>
      <t>Finished product handling PM</t>
    </r>
    <r>
      <rPr>
        <vertAlign val="subscript"/>
        <sz val="8"/>
        <rFont val="Verdana"/>
        <family val="2"/>
      </rPr>
      <t>10</t>
    </r>
    <r>
      <rPr>
        <sz val="8"/>
        <rFont val="Verdana"/>
        <family val="2"/>
      </rPr>
      <t xml:space="preserve"> speciation based on AP-42 factors for wet wood combustion (Section 1.6) controlled by a mechanical separator. Since the particle size of </t>
    </r>
  </si>
  <si>
    <t>particulate matter from a pellet cooler is anticipated to be larger than flyash, this factor is believed to be a conservative indicator of speciation.</t>
  </si>
  <si>
    <r>
      <t>PM Emission
 Factor</t>
    </r>
    <r>
      <rPr>
        <b/>
        <vertAlign val="superscript"/>
        <sz val="9"/>
        <rFont val="Verdana"/>
        <family val="2"/>
      </rPr>
      <t>1</t>
    </r>
  </si>
  <si>
    <r>
      <t>VOC Emission
 Factor</t>
    </r>
    <r>
      <rPr>
        <b/>
        <vertAlign val="superscript"/>
        <sz val="9"/>
        <rFont val="Verdana"/>
        <family val="2"/>
      </rPr>
      <t>2</t>
    </r>
  </si>
  <si>
    <r>
      <t>Exposed Surface Area of Pile</t>
    </r>
    <r>
      <rPr>
        <b/>
        <vertAlign val="superscript"/>
        <sz val="9"/>
        <rFont val="Verdana"/>
        <family val="2"/>
      </rPr>
      <t>3</t>
    </r>
  </si>
  <si>
    <t>(lb/day
/acre)</t>
  </si>
  <si>
    <t xml:space="preserve">Bark Storage Pile </t>
  </si>
  <si>
    <t>PM emission factor based on U.S. EPA Control of Open Fugitive Dust Sources.  Research Triangle Park, North Carolina, EPA-450/3-88-008.  September 1988, Page 4-17.</t>
  </si>
  <si>
    <r>
      <t>PM</t>
    </r>
    <r>
      <rPr>
        <vertAlign val="subscript"/>
        <sz val="8"/>
        <rFont val="Verdana"/>
        <family val="2"/>
      </rPr>
      <t>10</t>
    </r>
    <r>
      <rPr>
        <sz val="8"/>
        <rFont val="Verdana"/>
        <family val="2"/>
      </rPr>
      <t>/TSP ratio:</t>
    </r>
  </si>
  <si>
    <r>
      <rPr>
        <sz val="8"/>
        <rFont val="Verdana"/>
        <family val="2"/>
      </rPr>
      <t>PM</t>
    </r>
    <r>
      <rPr>
        <vertAlign val="subscript"/>
        <sz val="8"/>
        <rFont val="Verdana"/>
        <family val="2"/>
      </rPr>
      <t>10</t>
    </r>
    <r>
      <rPr>
        <sz val="8"/>
        <rFont val="Verdana"/>
        <family val="2"/>
      </rPr>
      <t xml:space="preserve"> is assumed to equal 50% of TSP based on U.S. EPA Control of Open Fugitive Dust Sources, Research Triangle Park, North Carolina, EPA-450/3-88-008.  September 1988.</t>
    </r>
  </si>
  <si>
    <r>
      <t>PM</t>
    </r>
    <r>
      <rPr>
        <vertAlign val="subscript"/>
        <sz val="8"/>
        <rFont val="Verdana"/>
        <family val="2"/>
      </rPr>
      <t>2.5</t>
    </r>
    <r>
      <rPr>
        <sz val="8"/>
        <rFont val="Verdana"/>
        <family val="2"/>
      </rPr>
      <t>/TSP ratio:</t>
    </r>
  </si>
  <si>
    <r>
      <rPr>
        <sz val="8"/>
        <rFont val="Verdana"/>
        <family val="2"/>
      </rPr>
      <t>PM</t>
    </r>
    <r>
      <rPr>
        <vertAlign val="subscript"/>
        <sz val="8"/>
        <rFont val="Verdana"/>
        <family val="2"/>
      </rPr>
      <t>2.5</t>
    </r>
    <r>
      <rPr>
        <sz val="8"/>
        <rFont val="Verdana"/>
        <family val="2"/>
      </rPr>
      <t xml:space="preserve"> is assumed to equal 7.5 % of TSP U.S. EPA Background Document for Revisions to Fine Fraction Ratios Used for AP-42 Fugitive Dust Emission Factors.  November 2006.</t>
    </r>
  </si>
  <si>
    <r>
      <t xml:space="preserve">VOC emission factor obtained from NCASI Technical Bulletin No. 700, </t>
    </r>
    <r>
      <rPr>
        <i/>
        <sz val="8"/>
        <rFont val="Verdana"/>
        <family val="2"/>
      </rPr>
      <t>A Preliminary Investigation of Releases of Volatile Organic Compounds from Wood Residual Storage Piles</t>
    </r>
    <r>
      <rPr>
        <sz val="8"/>
        <rFont val="Verdana"/>
        <family val="2"/>
      </rPr>
      <t xml:space="preserve"> for the calculation of fugitive VOC emissions from Douglas Fir wood storage piles.  Emission factors ranged from 1.6 to 3.6 lb C/acre-day.  The maximum emission factor has conservatively been selected.</t>
    </r>
  </si>
  <si>
    <t>Emission factor converted from as carbon to as propane by multiplying by 1.22.</t>
  </si>
  <si>
    <r>
      <t>ft</t>
    </r>
    <r>
      <rPr>
        <vertAlign val="superscript"/>
        <sz val="8"/>
        <rFont val="Verdana"/>
        <family val="2"/>
      </rPr>
      <t>2</t>
    </r>
    <r>
      <rPr>
        <sz val="8"/>
        <rFont val="Verdana"/>
        <family val="2"/>
      </rPr>
      <t xml:space="preserve"> - square feet</t>
    </r>
  </si>
  <si>
    <t>TSP - Total Suspended Particulate</t>
  </si>
  <si>
    <t>EPA. AP-42, Section 13.2.2 - Unpaved Roads, 11/06.</t>
  </si>
  <si>
    <t>U.S. EPA. Control of Open Fugitive Dust Sources, Research Triangle Park, North Carolina, EPA-450/3-88-008.  September 1988.</t>
  </si>
  <si>
    <t>U.S. EPA. Background Document for Revisions to Fine Fraction Ratios Used for AP-42 Fugitive Dust Emission Factors.  November 2006.</t>
  </si>
  <si>
    <t>NCASI. Technical Bulletin No. 700. Preliminary Investigation of Releases of Volatile Organic Compounds from Wood Residual Storage Piles. October 1995.</t>
  </si>
  <si>
    <t xml:space="preserve">Potential Emissions from Material Handling </t>
  </si>
  <si>
    <t>Material Moisture Content</t>
  </si>
  <si>
    <t>Emission factor calculation based on formula from AP-42, Section 13.2.4 - Aggregate Handling and Storage Piles, Equation 1, (11/06).</t>
  </si>
  <si>
    <r>
      <t>k = particle size multiplier (dimensionless) for PM</t>
    </r>
    <r>
      <rPr>
        <vertAlign val="subscript"/>
        <sz val="8"/>
        <rFont val="Verdana"/>
        <family val="2"/>
      </rPr>
      <t>10</t>
    </r>
  </si>
  <si>
    <r>
      <t>k = particle size multiplier (dimensionless) for PM</t>
    </r>
    <r>
      <rPr>
        <vertAlign val="subscript"/>
        <sz val="8"/>
        <rFont val="Verdana"/>
        <family val="2"/>
      </rPr>
      <t>2.5</t>
    </r>
  </si>
  <si>
    <r>
      <t>hr/yr</t>
    </r>
    <r>
      <rPr>
        <vertAlign val="superscript"/>
        <sz val="9"/>
        <rFont val="Verdana"/>
        <family val="2"/>
      </rPr>
      <t>1</t>
    </r>
  </si>
  <si>
    <r>
      <t>PM</t>
    </r>
    <r>
      <rPr>
        <vertAlign val="subscript"/>
        <sz val="9"/>
        <rFont val="Verdana"/>
        <family val="2"/>
      </rPr>
      <t>10</t>
    </r>
    <r>
      <rPr>
        <sz val="9"/>
        <rFont val="Times New Roman"/>
        <family val="1"/>
      </rPr>
      <t/>
    </r>
  </si>
  <si>
    <r>
      <t>NO</t>
    </r>
    <r>
      <rPr>
        <vertAlign val="subscript"/>
        <sz val="9"/>
        <rFont val="Verdana"/>
        <family val="2"/>
      </rPr>
      <t>x</t>
    </r>
    <r>
      <rPr>
        <sz val="9"/>
        <rFont val="Verdana"/>
        <family val="2"/>
      </rPr>
      <t xml:space="preserve"> </t>
    </r>
  </si>
  <si>
    <t>Firewater Pump Emissions (IES-FWP)</t>
  </si>
  <si>
    <t>Approximate Moisture Content</t>
  </si>
  <si>
    <r>
      <t>THC as Carbon</t>
    </r>
    <r>
      <rPr>
        <vertAlign val="superscript"/>
        <sz val="9"/>
        <rFont val="Verdana"/>
        <family val="2"/>
      </rPr>
      <t>2</t>
    </r>
    <r>
      <rPr>
        <sz val="9"/>
        <rFont val="Verdana"/>
        <family val="2"/>
      </rPr>
      <t xml:space="preserve"> </t>
    </r>
  </si>
  <si>
    <t xml:space="preserve">Emission factor for VOC as propane is from AP-42, Section 10.6.3., Medium Density Fiberboard, 08/02, Table 7. </t>
  </si>
  <si>
    <t>Table 12</t>
  </si>
  <si>
    <t>lb/ton</t>
  </si>
  <si>
    <t>Dryer Discharge to Outfeed Conveyor</t>
  </si>
  <si>
    <t>Conveyor to Hammermill Surge Bin drop into HM Surge Bin</t>
  </si>
  <si>
    <t>U = mean wind speed (mph) for enclosed drops</t>
  </si>
  <si>
    <t>Dryer Outfeed Conveyors to Silo Feed/Silo Bypass</t>
  </si>
  <si>
    <t>Electric Powered Bark Hog</t>
  </si>
  <si>
    <r>
      <t>Total PM/PM</t>
    </r>
    <r>
      <rPr>
        <b/>
        <vertAlign val="subscript"/>
        <sz val="9"/>
        <color theme="1"/>
        <rFont val="Verdana"/>
        <family val="2"/>
      </rPr>
      <t>10</t>
    </r>
    <r>
      <rPr>
        <b/>
        <sz val="9"/>
        <color theme="1"/>
        <rFont val="Verdana"/>
        <family val="2"/>
      </rPr>
      <t>/PM</t>
    </r>
    <r>
      <rPr>
        <b/>
        <vertAlign val="subscript"/>
        <sz val="9"/>
        <color theme="1"/>
        <rFont val="Verdana"/>
        <family val="2"/>
      </rPr>
      <t>2.5</t>
    </r>
  </si>
  <si>
    <r>
      <t>N</t>
    </r>
    <r>
      <rPr>
        <vertAlign val="subscript"/>
        <sz val="9"/>
        <rFont val="Verdana"/>
        <family val="2"/>
      </rPr>
      <t>2</t>
    </r>
    <r>
      <rPr>
        <sz val="9"/>
        <rFont val="Verdana"/>
        <family val="2"/>
      </rPr>
      <t>O</t>
    </r>
    <r>
      <rPr>
        <vertAlign val="superscript"/>
        <sz val="9"/>
        <rFont val="Verdana"/>
        <family val="2"/>
      </rPr>
      <t>2</t>
    </r>
  </si>
  <si>
    <r>
      <t>CO</t>
    </r>
    <r>
      <rPr>
        <vertAlign val="subscript"/>
        <sz val="8"/>
        <rFont val="Verdana"/>
        <family val="2"/>
      </rPr>
      <t>2</t>
    </r>
    <r>
      <rPr>
        <sz val="8"/>
        <rFont val="Verdana"/>
        <family val="2"/>
      </rPr>
      <t>e emissions were estimated based on the Global Warming Potentials listed in Table A-1 of 40 CFR 98 Subpart A.</t>
    </r>
  </si>
  <si>
    <t>NC TAP</t>
  </si>
  <si>
    <t>Pile Length</t>
  </si>
  <si>
    <t>ES-FPH;
ES-TLB;
ES-PL1 and PL2</t>
  </si>
  <si>
    <r>
      <t>Hours of Operation</t>
    </r>
    <r>
      <rPr>
        <vertAlign val="superscript"/>
        <sz val="9"/>
        <rFont val="Verdana"/>
        <family val="2"/>
      </rPr>
      <t>1</t>
    </r>
  </si>
  <si>
    <r>
      <t>kg/MMBtu</t>
    </r>
    <r>
      <rPr>
        <vertAlign val="superscript"/>
        <sz val="9"/>
        <rFont val="Verdana"/>
        <family val="2"/>
      </rPr>
      <t>3</t>
    </r>
  </si>
  <si>
    <t>Potential Emissions from Bark Hog (IES-BARK)</t>
  </si>
  <si>
    <t xml:space="preserve">The surface area for rectangular piles is calculated as [2*H*L+2*W*H+L*W] + 20% to consider the sloping pile edges. </t>
  </si>
  <si>
    <t>Distance traveled per round trip was provided by Enviva.</t>
  </si>
  <si>
    <t>Pellet Truck Delivery to Pellet Loadout Area</t>
  </si>
  <si>
    <t>Potential Fugitive PM Emissions from Unpaved Roads</t>
  </si>
  <si>
    <r>
      <t>Trips Per Day</t>
    </r>
    <r>
      <rPr>
        <b/>
        <vertAlign val="superscript"/>
        <sz val="9"/>
        <rFont val="Verdana"/>
        <family val="2"/>
      </rPr>
      <t>1</t>
    </r>
  </si>
  <si>
    <t>Distance traveled per round trip and daily trip counts were provided by Enviva.</t>
  </si>
  <si>
    <t>Emission Calculations Unpaved Roads:</t>
  </si>
  <si>
    <t>(-)</t>
  </si>
  <si>
    <r>
      <t>PM</t>
    </r>
    <r>
      <rPr>
        <vertAlign val="subscript"/>
        <sz val="9"/>
        <color theme="1"/>
        <rFont val="Verdana"/>
        <family val="2"/>
      </rPr>
      <t>10</t>
    </r>
  </si>
  <si>
    <r>
      <t>PM</t>
    </r>
    <r>
      <rPr>
        <vertAlign val="subscript"/>
        <sz val="9"/>
        <color theme="1"/>
        <rFont val="Verdana"/>
        <family val="2"/>
      </rPr>
      <t>2.5</t>
    </r>
  </si>
  <si>
    <t>Emission factors calculated based on Equation 1a from AP-42 Section 13.2.2 - Unpaved Roads, 11/06.</t>
  </si>
  <si>
    <r>
      <t>Particulate Emission Factor: E</t>
    </r>
    <r>
      <rPr>
        <vertAlign val="subscript"/>
        <sz val="8"/>
        <color theme="1"/>
        <rFont val="Verdana"/>
        <family val="2"/>
      </rPr>
      <t>ext</t>
    </r>
    <r>
      <rPr>
        <sz val="8"/>
        <color theme="1"/>
        <rFont val="Verdana"/>
        <family val="2"/>
      </rPr>
      <t xml:space="preserve"> = </t>
    </r>
  </si>
  <si>
    <r>
      <t xml:space="preserve"> k (s/12)</t>
    </r>
    <r>
      <rPr>
        <vertAlign val="superscript"/>
        <sz val="8"/>
        <rFont val="Verdana"/>
        <family val="2"/>
      </rPr>
      <t>a</t>
    </r>
    <r>
      <rPr>
        <sz val="8"/>
        <rFont val="Verdana"/>
        <family val="2"/>
      </rPr>
      <t xml:space="preserve"> x (W/3)</t>
    </r>
    <r>
      <rPr>
        <vertAlign val="superscript"/>
        <sz val="8"/>
        <rFont val="Verdana"/>
        <family val="2"/>
      </rPr>
      <t>b</t>
    </r>
    <r>
      <rPr>
        <sz val="8"/>
        <rFont val="Verdana"/>
        <family val="2"/>
      </rPr>
      <t xml:space="preserve"> * (365-P/365)</t>
    </r>
    <r>
      <rPr>
        <vertAlign val="superscript"/>
        <sz val="8"/>
        <rFont val="Verdana"/>
        <family val="2"/>
      </rPr>
      <t xml:space="preserve"> </t>
    </r>
  </si>
  <si>
    <t>k = particle size multiplier for particle size range and units of interest</t>
  </si>
  <si>
    <t>E = size-specific emission factor (lb/VMT)</t>
  </si>
  <si>
    <t>s = surface material silt content (%)</t>
  </si>
  <si>
    <t>W = mean vehicle weight (tons)</t>
  </si>
  <si>
    <t>=</t>
  </si>
  <si>
    <t>Pellet Truck to Pellet Loadout Area (Normal Operations)</t>
  </si>
  <si>
    <t>Potential VOC and HAP Pollutant Emissions</t>
  </si>
  <si>
    <t>Annual 
(tpy)</t>
  </si>
  <si>
    <t>Haul Roads</t>
  </si>
  <si>
    <t xml:space="preserve">Pollutant loading based on data from other Enviva facilities. </t>
  </si>
  <si>
    <r>
      <t>PM/PM</t>
    </r>
    <r>
      <rPr>
        <vertAlign val="subscript"/>
        <sz val="9"/>
        <rFont val="Verdana"/>
        <family val="2"/>
      </rPr>
      <t>10</t>
    </r>
    <r>
      <rPr>
        <sz val="9"/>
        <rFont val="Verdana"/>
        <family val="2"/>
      </rPr>
      <t>/PM</t>
    </r>
    <r>
      <rPr>
        <vertAlign val="subscript"/>
        <sz val="9"/>
        <rFont val="Verdana"/>
        <family val="2"/>
      </rPr>
      <t>2.5</t>
    </r>
    <r>
      <rPr>
        <sz val="9"/>
        <rFont val="Verdana"/>
        <family val="2"/>
      </rPr>
      <t xml:space="preserve"> (Filterable + Condensable)</t>
    </r>
  </si>
  <si>
    <t>Uncontrolled VOC emissions</t>
  </si>
  <si>
    <t>tons/yr</t>
  </si>
  <si>
    <t>Heat input of uncontrolled VOC emissions</t>
  </si>
  <si>
    <r>
      <t>CO</t>
    </r>
    <r>
      <rPr>
        <vertAlign val="subscript"/>
        <sz val="9"/>
        <rFont val="Verdana"/>
        <family val="2"/>
      </rPr>
      <t>2</t>
    </r>
    <r>
      <rPr>
        <sz val="9"/>
        <rFont val="Verdana"/>
        <family val="2"/>
      </rPr>
      <t>e</t>
    </r>
  </si>
  <si>
    <r>
      <t>CO</t>
    </r>
    <r>
      <rPr>
        <vertAlign val="subscript"/>
        <sz val="9"/>
        <color theme="1"/>
        <rFont val="Verdana"/>
        <family val="2"/>
      </rPr>
      <t>2</t>
    </r>
    <r>
      <rPr>
        <sz val="9"/>
        <color theme="1"/>
        <rFont val="Verdana"/>
        <family val="2"/>
      </rPr>
      <t>e</t>
    </r>
  </si>
  <si>
    <t>Btu - British thermal units</t>
  </si>
  <si>
    <t>RCO - regenerative catalytic oxidizer</t>
  </si>
  <si>
    <t>scf - standard cubic feet</t>
  </si>
  <si>
    <t>ES-FURNACEBYP-1</t>
  </si>
  <si>
    <t>Conversions:</t>
  </si>
  <si>
    <t>1 lb =</t>
  </si>
  <si>
    <t>g</t>
  </si>
  <si>
    <r>
      <t>CO</t>
    </r>
    <r>
      <rPr>
        <b/>
        <vertAlign val="subscript"/>
        <sz val="9"/>
        <rFont val="Verdana"/>
        <family val="2"/>
      </rPr>
      <t>2e</t>
    </r>
  </si>
  <si>
    <t>Potential Criteria Pollutant and Greenhouse Gas Emissions - Furnace Bypass Cold Start-up</t>
  </si>
  <si>
    <t>Potential HAP Emissions - Furnace Bypass Cold Start-up</t>
  </si>
  <si>
    <r>
      <t>Emission factors for NO</t>
    </r>
    <r>
      <rPr>
        <vertAlign val="subscript"/>
        <sz val="8"/>
        <rFont val="Verdana"/>
        <family val="2"/>
      </rPr>
      <t>X</t>
    </r>
    <r>
      <rPr>
        <sz val="8"/>
        <rFont val="Verdana"/>
        <family val="2"/>
      </rPr>
      <t xml:space="preserve"> and N</t>
    </r>
    <r>
      <rPr>
        <vertAlign val="subscript"/>
        <sz val="8"/>
        <rFont val="Verdana"/>
        <family val="2"/>
      </rPr>
      <t>2</t>
    </r>
    <r>
      <rPr>
        <sz val="8"/>
        <rFont val="Verdana"/>
        <family val="2"/>
      </rPr>
      <t>O assume burners are low-NO</t>
    </r>
    <r>
      <rPr>
        <vertAlign val="subscript"/>
        <sz val="8"/>
        <rFont val="Verdana"/>
        <family val="2"/>
      </rPr>
      <t>X</t>
    </r>
    <r>
      <rPr>
        <sz val="8"/>
        <rFont val="Verdana"/>
        <family val="2"/>
      </rPr>
      <t xml:space="preserve"> burners.</t>
    </r>
  </si>
  <si>
    <r>
      <t>ODT/yr</t>
    </r>
    <r>
      <rPr>
        <vertAlign val="superscript"/>
        <sz val="9"/>
        <rFont val="Verdana"/>
        <family val="2"/>
      </rPr>
      <t>1</t>
    </r>
  </si>
  <si>
    <r>
      <t>ODT/hr</t>
    </r>
    <r>
      <rPr>
        <vertAlign val="superscript"/>
        <sz val="9"/>
        <rFont val="Verdana"/>
        <family val="2"/>
      </rPr>
      <t>1</t>
    </r>
  </si>
  <si>
    <t>IES-ADD</t>
  </si>
  <si>
    <t>Additive Handling and Storage</t>
  </si>
  <si>
    <t>Potential Criteria Pollutant and Greenhouse Gas Emissions - Furnace/Dryer, Green Hammermills, and Dry Hammermills</t>
  </si>
  <si>
    <t>Table 3b</t>
  </si>
  <si>
    <t>Table 3c</t>
  </si>
  <si>
    <t>Table 5</t>
  </si>
  <si>
    <t>Table 6</t>
  </si>
  <si>
    <t>Table 10</t>
  </si>
  <si>
    <t xml:space="preserve">The emissions from the Green Hammermills and Dry Hammermills will be routed through the Dryer Line WESP and RTO. </t>
  </si>
  <si>
    <t>IES-DRYSHAVE</t>
  </si>
  <si>
    <t>Total Excluding Fugitives:</t>
  </si>
  <si>
    <t xml:space="preserve">Per AP-42, Section 13.2.1, Figure 13.2.1-2 </t>
  </si>
  <si>
    <t>Table 1</t>
  </si>
  <si>
    <t>Calculation Inputs</t>
  </si>
  <si>
    <t>Notes</t>
  </si>
  <si>
    <t>Dried Wood Day Silo</t>
  </si>
  <si>
    <t>WESP; RTO</t>
  </si>
  <si>
    <t>ES GWHS</t>
  </si>
  <si>
    <t>g - gram</t>
  </si>
  <si>
    <t>Ammonia</t>
  </si>
  <si>
    <t>Manganese &amp; Compounds</t>
  </si>
  <si>
    <t>Methyl ethyl ketone</t>
  </si>
  <si>
    <t>ES-FPH;
ES-TLB;
ES-PL1 and 2</t>
  </si>
  <si>
    <t>IES-BARK</t>
  </si>
  <si>
    <t>IES-TK-1</t>
  </si>
  <si>
    <t>IES-TK-2</t>
  </si>
  <si>
    <t>IES-EG</t>
  </si>
  <si>
    <t>Summary of Facility-wide Criteria Pollutant and CO2e Potential Emissions</t>
  </si>
  <si>
    <t>Summary of Facility-wide HAP Potential Emissions</t>
  </si>
  <si>
    <t>IES-DDB-1 and -2</t>
  </si>
  <si>
    <t>Dryer Line Double Duct Burners</t>
  </si>
  <si>
    <t>Table 3a</t>
  </si>
  <si>
    <t>Total Potential Emissions at RTO Stack</t>
  </si>
  <si>
    <r>
      <t>Potential Emissions</t>
    </r>
    <r>
      <rPr>
        <b/>
        <vertAlign val="superscript"/>
        <sz val="9"/>
        <rFont val="Verdana"/>
        <family val="2"/>
      </rPr>
      <t>1</t>
    </r>
  </si>
  <si>
    <t>Antimony &amp; Compounds</t>
  </si>
  <si>
    <t>Arsenic &amp; Compounds</t>
  </si>
  <si>
    <t>Hexachlorodibenzo-p-dioxin</t>
  </si>
  <si>
    <t>Lead and Lead Compounds</t>
  </si>
  <si>
    <t>Phosphorus Metal, Yellow or White</t>
  </si>
  <si>
    <t>Polychlorinated Biphenyls</t>
  </si>
  <si>
    <t>Selenium Compounds</t>
  </si>
  <si>
    <t>Vinyl Chloride</t>
  </si>
  <si>
    <t>Total HAP</t>
  </si>
  <si>
    <t>Total TAP</t>
  </si>
  <si>
    <t>Antimony &amp; compounds</t>
  </si>
  <si>
    <t>Arsenic &amp; compounds</t>
  </si>
  <si>
    <t>Lead and Lead compounds</t>
  </si>
  <si>
    <t>Manganese &amp; compounds</t>
  </si>
  <si>
    <t>Total TAP Emissions</t>
  </si>
  <si>
    <t>Chromium VI is a subset of chromium compounds, which is accounted for separately as a HAP.  As such, Chromium VI is only calculated as a TAP.</t>
  </si>
  <si>
    <t>Annual Throughput of GHMs and DHMs</t>
  </si>
  <si>
    <t>Hourly Throughput of GHMs and DHMs</t>
  </si>
  <si>
    <t>RTO Control Efficiency</t>
  </si>
  <si>
    <r>
      <t>Potential Emissions from Furnace/Dryer, GHMs, and DHMs</t>
    </r>
    <r>
      <rPr>
        <b/>
        <vertAlign val="superscript"/>
        <sz val="9"/>
        <rFont val="Verdana"/>
        <family val="2"/>
      </rPr>
      <t>1</t>
    </r>
  </si>
  <si>
    <r>
      <t>lb/ODT</t>
    </r>
    <r>
      <rPr>
        <vertAlign val="superscript"/>
        <sz val="9"/>
        <rFont val="Verdana"/>
        <family val="2"/>
      </rPr>
      <t>2</t>
    </r>
  </si>
  <si>
    <r>
      <t>lb/MMBtu</t>
    </r>
    <r>
      <rPr>
        <vertAlign val="superscript"/>
        <sz val="9"/>
        <rFont val="Verdana"/>
        <family val="2"/>
      </rPr>
      <t>3</t>
    </r>
  </si>
  <si>
    <r>
      <t>lb/MMBtu</t>
    </r>
    <r>
      <rPr>
        <vertAlign val="superscript"/>
        <sz val="9"/>
        <rFont val="Verdana"/>
        <family val="2"/>
      </rPr>
      <t>2</t>
    </r>
  </si>
  <si>
    <r>
      <t>-</t>
    </r>
    <r>
      <rPr>
        <vertAlign val="superscript"/>
        <sz val="9"/>
        <rFont val="Verdana"/>
        <family val="2"/>
      </rPr>
      <t>2</t>
    </r>
  </si>
  <si>
    <r>
      <t>N</t>
    </r>
    <r>
      <rPr>
        <vertAlign val="subscript"/>
        <sz val="8"/>
        <rFont val="Verdana"/>
        <family val="2"/>
      </rPr>
      <t>2</t>
    </r>
    <r>
      <rPr>
        <sz val="8"/>
        <rFont val="Verdana"/>
        <family val="2"/>
      </rPr>
      <t>O - nitrous oxide</t>
    </r>
  </si>
  <si>
    <r>
      <t>CO</t>
    </r>
    <r>
      <rPr>
        <vertAlign val="subscript"/>
        <sz val="8"/>
        <rFont val="Verdana"/>
        <family val="2"/>
      </rPr>
      <t>2</t>
    </r>
    <r>
      <rPr>
        <sz val="8"/>
        <rFont val="Verdana"/>
        <family val="2"/>
      </rPr>
      <t>e - carbon dioxide equivalent</t>
    </r>
  </si>
  <si>
    <r>
      <t>PM</t>
    </r>
    <r>
      <rPr>
        <vertAlign val="subscript"/>
        <sz val="8"/>
        <rFont val="Verdana"/>
        <family val="2"/>
      </rPr>
      <t xml:space="preserve">2.5 </t>
    </r>
    <r>
      <rPr>
        <sz val="8"/>
        <rFont val="Verdana"/>
        <family val="2"/>
      </rPr>
      <t>- particulate matter with an aerodynamic diameter of 2.5 microns or less</t>
    </r>
  </si>
  <si>
    <t>TAP - Toxic Air Pollutant</t>
  </si>
  <si>
    <t>Table 4</t>
  </si>
  <si>
    <t>Cobalt Compounds</t>
  </si>
  <si>
    <t>RTO/RCO Burner Rating</t>
  </si>
  <si>
    <t>RTO/RCO Control Efficiency</t>
  </si>
  <si>
    <t>DSHM Hourly Throughput</t>
  </si>
  <si>
    <t>DSHM Annual Throughput</t>
  </si>
  <si>
    <t>PM/PC Hourly Throughput</t>
  </si>
  <si>
    <t>PM/PC Annual Throughput</t>
  </si>
  <si>
    <t>ES-DRYER</t>
  </si>
  <si>
    <t>CD-WESP; CD-RTO</t>
  </si>
  <si>
    <t>CD-RTO</t>
  </si>
  <si>
    <t>ES-DSHM</t>
  </si>
  <si>
    <t>Dry Shavings Hammermill</t>
  </si>
  <si>
    <t>Emergency Generator - Emissions (IES-EG)</t>
  </si>
  <si>
    <t>Potential Emissions from Emergency Generator (IES-EG) and Fire Water Pump (IES-FWP)</t>
  </si>
  <si>
    <t>Mixing Storage Pile</t>
  </si>
  <si>
    <t>ES-DWDS</t>
  </si>
  <si>
    <t>Green Wood Chip Storage Pile 1</t>
  </si>
  <si>
    <t>Green Wood Chip Storage Pile 2</t>
  </si>
  <si>
    <t>Drops Points via FEL/Conveying from Chip Pile to Dryer</t>
  </si>
  <si>
    <t>CNG Fuel Delivery</t>
  </si>
  <si>
    <t>Table 9</t>
  </si>
  <si>
    <t>Table 2</t>
  </si>
  <si>
    <t>Total RTO Heat Input</t>
  </si>
  <si>
    <t>ES-FURNACEBYP</t>
  </si>
  <si>
    <t>Furnace Bypass Stack</t>
  </si>
  <si>
    <r>
      <t>Emission Factor</t>
    </r>
    <r>
      <rPr>
        <b/>
        <vertAlign val="superscript"/>
        <sz val="9"/>
        <rFont val="Verdana"/>
        <family val="2"/>
      </rPr>
      <t>2</t>
    </r>
    <r>
      <rPr>
        <b/>
        <sz val="9"/>
        <rFont val="Verdana"/>
        <family val="2"/>
      </rPr>
      <t xml:space="preserve">
(lb/ODT)</t>
    </r>
  </si>
  <si>
    <t>Total VOC (as propane)</t>
  </si>
  <si>
    <t>Throughputs represent green weight of materials, calculated based on listed material moisture contents.</t>
  </si>
  <si>
    <t>Dry Shavings Delivery to Truck Dump</t>
  </si>
  <si>
    <t>Bark Fuel Delivery to Fuel Truck Dump</t>
  </si>
  <si>
    <t>Green Wood Fuel Storage Bin</t>
  </si>
  <si>
    <r>
      <t>IES-GWFB</t>
    </r>
    <r>
      <rPr>
        <vertAlign val="superscript"/>
        <sz val="9"/>
        <rFont val="Verdana"/>
        <family val="2"/>
      </rPr>
      <t>1</t>
    </r>
  </si>
  <si>
    <t>IES-TK-3</t>
  </si>
  <si>
    <t>IES-TK-4</t>
  </si>
  <si>
    <t>Diesel Storage Tank #3 (600 Gallon)</t>
  </si>
  <si>
    <t>Diesel Storage Tank #4 (1,000 Gallon)</t>
  </si>
  <si>
    <t>Compressed Natural Gas Terminal</t>
  </si>
  <si>
    <r>
      <t>IES-CNGT</t>
    </r>
    <r>
      <rPr>
        <vertAlign val="superscript"/>
        <sz val="9"/>
        <rFont val="Verdana"/>
        <family val="2"/>
      </rPr>
      <t>1</t>
    </r>
  </si>
  <si>
    <t>No quantifiable emissions.  Considered insignificant activity per 15A NCAC 02Q .0503(8).</t>
  </si>
  <si>
    <t>Total emissions from the furnace/dryer, green hammermills, dry hammermills, and natural gas combustion by the RTO (includes injection gas and burner fuel).  Detailed calculations are provided below.</t>
  </si>
  <si>
    <t>Dry Shavings Drop from Storage to Conveyor</t>
  </si>
  <si>
    <t>Potential Emissions from Furnace Bypass (Cold Start-up)</t>
  </si>
  <si>
    <t>Potential Emissions from Furnace Bypass (Idle Mode)</t>
  </si>
  <si>
    <t>Potential Emissions from Dryer Line RTO Stack (CD-RTO)</t>
  </si>
  <si>
    <t>Potential Emissions from Storage Pile Wind Erosion (ES-GWHS)</t>
  </si>
  <si>
    <t>Drop Points via FEL/Conveying from Bark Pile to Dryer Furnace</t>
  </si>
  <si>
    <t>CD-RCO</t>
  </si>
  <si>
    <t>Total Potential Emissions at RTO/RCO Stack</t>
  </si>
  <si>
    <t>Bin Vent Filter; RTO/RCO</t>
  </si>
  <si>
    <t>CD-DWDS-BV; CD-RCO</t>
  </si>
  <si>
    <t>PM (Filterable + Condensable)</t>
  </si>
  <si>
    <r>
      <t>PM</t>
    </r>
    <r>
      <rPr>
        <vertAlign val="subscript"/>
        <sz val="9"/>
        <rFont val="Verdana"/>
        <family val="2"/>
      </rPr>
      <t>10</t>
    </r>
    <r>
      <rPr>
        <sz val="9"/>
        <rFont val="Verdana"/>
        <family val="2"/>
      </rPr>
      <t xml:space="preserve"> (Filterable + Condensable)</t>
    </r>
  </si>
  <si>
    <r>
      <t>PM</t>
    </r>
    <r>
      <rPr>
        <vertAlign val="subscript"/>
        <sz val="9"/>
        <rFont val="Verdana"/>
        <family val="2"/>
      </rPr>
      <t>2.5</t>
    </r>
    <r>
      <rPr>
        <sz val="9"/>
        <rFont val="Verdana"/>
        <family val="2"/>
      </rPr>
      <t xml:space="preserve"> (Filterable + Condensable)</t>
    </r>
  </si>
  <si>
    <r>
      <t>Exit Grain Loading</t>
    </r>
    <r>
      <rPr>
        <b/>
        <vertAlign val="superscript"/>
        <sz val="9"/>
        <color theme="1"/>
        <rFont val="Verdana"/>
        <family val="2"/>
      </rPr>
      <t>2,3</t>
    </r>
  </si>
  <si>
    <r>
      <t>PM</t>
    </r>
    <r>
      <rPr>
        <b/>
        <vertAlign val="subscript"/>
        <sz val="9"/>
        <rFont val="Verdana"/>
        <family val="2"/>
      </rPr>
      <t>10</t>
    </r>
  </si>
  <si>
    <r>
      <t>PM</t>
    </r>
    <r>
      <rPr>
        <b/>
        <vertAlign val="subscript"/>
        <sz val="9"/>
        <rFont val="Verdana"/>
        <family val="2"/>
      </rPr>
      <t>2.5</t>
    </r>
  </si>
  <si>
    <r>
      <t>SO</t>
    </r>
    <r>
      <rPr>
        <b/>
        <vertAlign val="subscript"/>
        <sz val="9"/>
        <rFont val="Verdana"/>
        <family val="2"/>
      </rPr>
      <t>2</t>
    </r>
  </si>
  <si>
    <t>1,2</t>
  </si>
  <si>
    <t xml:space="preserve">Emission factor obtained from available emissions factors for chippers in AP-42 Section 10.6.3, Medium Density Fiberboard, 08/02, Table 7 and Section 10.6.4, Hardboard and Fiberboard, 10/02, Table 9.  </t>
  </si>
  <si>
    <r>
      <t>CO, NO</t>
    </r>
    <r>
      <rPr>
        <vertAlign val="subscript"/>
        <sz val="8"/>
        <rFont val="Verdana"/>
        <family val="2"/>
      </rPr>
      <t>X</t>
    </r>
    <r>
      <rPr>
        <sz val="8"/>
        <rFont val="Verdana"/>
        <family val="2"/>
      </rPr>
      <t>, SO</t>
    </r>
    <r>
      <rPr>
        <vertAlign val="subscript"/>
        <sz val="8"/>
        <rFont val="Verdana"/>
        <family val="2"/>
      </rPr>
      <t>2</t>
    </r>
    <r>
      <rPr>
        <sz val="8"/>
        <rFont val="Verdana"/>
        <family val="2"/>
      </rPr>
      <t>, PM, PM</t>
    </r>
    <r>
      <rPr>
        <vertAlign val="subscript"/>
        <sz val="8"/>
        <rFont val="Verdana"/>
        <family val="2"/>
      </rPr>
      <t>10</t>
    </r>
    <r>
      <rPr>
        <sz val="8"/>
        <rFont val="Verdana"/>
        <family val="2"/>
      </rPr>
      <t>, PM</t>
    </r>
    <r>
      <rPr>
        <vertAlign val="subscript"/>
        <sz val="8"/>
        <rFont val="Verdana"/>
        <family val="2"/>
      </rPr>
      <t>2.5</t>
    </r>
    <r>
      <rPr>
        <sz val="8"/>
        <rFont val="Verdana"/>
        <family val="2"/>
      </rPr>
      <t>, and VOC emission rates based on AP-42, Section 1.6 - Wood Residue Combustion in Boilers, 09/03 for bark/bark and wet wood-fired boilers. PM, PM</t>
    </r>
    <r>
      <rPr>
        <vertAlign val="subscript"/>
        <sz val="8"/>
        <rFont val="Verdana"/>
        <family val="2"/>
      </rPr>
      <t>10,</t>
    </r>
    <r>
      <rPr>
        <sz val="8"/>
        <rFont val="Verdana"/>
        <family val="2"/>
      </rPr>
      <t xml:space="preserve"> and PM</t>
    </r>
    <r>
      <rPr>
        <vertAlign val="subscript"/>
        <sz val="8"/>
        <rFont val="Verdana"/>
        <family val="2"/>
      </rPr>
      <t>2.5</t>
    </r>
    <r>
      <rPr>
        <sz val="8"/>
        <rFont val="Verdana"/>
        <family val="2"/>
      </rPr>
      <t xml:space="preserve"> factors equal to the sum of the filterable and condensable factors from Table 1.6-1. </t>
    </r>
  </si>
  <si>
    <t>Hourly
(lb/hr)</t>
  </si>
  <si>
    <t>Total HAP:</t>
  </si>
  <si>
    <t>Benzo(a)pyrene is included as a HAP in Total PAH (POM).</t>
  </si>
  <si>
    <t>Chip Delivery to Truck Tippers 1, 2, and 3</t>
  </si>
  <si>
    <t>Chip Delivery to Truck Tipper No. 4</t>
  </si>
  <si>
    <t>Total HAP Emissions:</t>
  </si>
  <si>
    <t>Total TAP Emissions:</t>
  </si>
  <si>
    <t>ES-GHM-1 through -4</t>
  </si>
  <si>
    <t>ES-DHM-1 through -7
ES-DCS</t>
  </si>
  <si>
    <t>Pellet Mills 1 through 12 and 
Pellet Coolers 1 through 6</t>
  </si>
  <si>
    <t>Hourly 
(lb/hr)</t>
  </si>
  <si>
    <r>
      <t>Potential VOC Emissions 
(as propane)</t>
    </r>
    <r>
      <rPr>
        <b/>
        <vertAlign val="superscript"/>
        <sz val="9"/>
        <rFont val="Verdana"/>
        <family val="2"/>
      </rPr>
      <t>4</t>
    </r>
  </si>
  <si>
    <t>Multicyclones; Cyclones; RTO/RCO</t>
  </si>
  <si>
    <t>Finished Product Handling;
Twelve Truck Pellet Loadout Bins;
Pellet Loadout 1 and 2</t>
  </si>
  <si>
    <t>Finished Product Handling;
Twelve truck pellet loadout bins;
Pellet load-out 1 and 2</t>
  </si>
  <si>
    <t>lb/hp-hr (4)(6)</t>
  </si>
  <si>
    <t xml:space="preserve">Total emissions from the Pellet Mills, Pellet Coolers, Dry Shavings Hammermill and natural gas combustion by the RTO/RCO (injection gas and burner fuel). Detailed calculations are provided below.  </t>
  </si>
  <si>
    <t>Potential PM, VOC, and HAP Emissions from Dry Shavings Hammermill</t>
  </si>
  <si>
    <t>Inlet flow rate (cfm) was obtained from previous permit application. The exit flowrate was conservatively assumed to be the same as the inlet flowrate.</t>
  </si>
  <si>
    <t>RTO/RCO Burners - Natural Gas Combustion</t>
  </si>
  <si>
    <t>Potential HAP Emissions - RTO/RCO Burners</t>
  </si>
  <si>
    <t>Hourly and annual throughputs assumed to be equal to the dryer throughput.</t>
  </si>
  <si>
    <t xml:space="preserve">Based on meteorological data averaged for 2007-2011 for Northampton, NC.  </t>
  </si>
  <si>
    <r>
      <t>One (1) baghouse</t>
    </r>
    <r>
      <rPr>
        <vertAlign val="superscript"/>
        <sz val="9"/>
        <rFont val="Verdana"/>
        <family val="2"/>
      </rPr>
      <t>3</t>
    </r>
  </si>
  <si>
    <r>
      <t>One (1) baghouse</t>
    </r>
    <r>
      <rPr>
        <vertAlign val="superscript"/>
        <sz val="9"/>
        <rFont val="Verdana"/>
        <family val="2"/>
      </rPr>
      <t>4,5</t>
    </r>
  </si>
  <si>
    <r>
      <t>Finished product handling PM</t>
    </r>
    <r>
      <rPr>
        <vertAlign val="subscript"/>
        <sz val="8"/>
        <rFont val="Verdana"/>
        <family val="2"/>
      </rPr>
      <t>2.5</t>
    </r>
    <r>
      <rPr>
        <sz val="8"/>
        <rFont val="Verdana"/>
        <family val="2"/>
      </rPr>
      <t xml:space="preserve"> speciation based on review of NCASI data for similar baghouses in the wood products industry.</t>
    </r>
  </si>
  <si>
    <t>For esisting sources, filter, vent, and cyclone inlet flow rates (cfm) were obtained from previous permit application. The exit flowrate was conservatively assumed to be the same as the inlet flowrate.</t>
  </si>
  <si>
    <t>Criteria Pollutant and Greenhouse Gas Emissions</t>
  </si>
  <si>
    <r>
      <t>Emissions standards from NSPS Subpart IIII for emergency engines with a maximum power rating greater than 50 horsepower [</t>
    </r>
    <r>
      <rPr>
        <sz val="8"/>
        <rFont val="Calibri"/>
        <family val="2"/>
      </rPr>
      <t>§</t>
    </r>
    <r>
      <rPr>
        <sz val="8"/>
        <rFont val="Verdana"/>
        <family val="2"/>
      </rPr>
      <t>60.4202(a)(2)].</t>
    </r>
  </si>
  <si>
    <t>Emission factor obtained from AP-42 Section 3.3, Tables 3.3-1 Table 3.3-2. Emission factors were converted from lb/MMBtu to lb/hp-hr using a brake-specific fuel consumption of 7,000 Btu/hp-hr per AP-42 Section 3.3.</t>
  </si>
  <si>
    <r>
      <t>Emission standard for NOx+NMHC (Non-Methane Hydrocarbons) from NSPS Subpart IIII is used to calculate emissions of NO</t>
    </r>
    <r>
      <rPr>
        <vertAlign val="subscript"/>
        <sz val="8"/>
        <rFont val="Verdana"/>
        <family val="2"/>
      </rPr>
      <t>X</t>
    </r>
    <r>
      <rPr>
        <sz val="8"/>
        <rFont val="Verdana"/>
        <family val="2"/>
      </rPr>
      <t>.  Conservatively assumed entire limit is attributable to NO</t>
    </r>
    <r>
      <rPr>
        <vertAlign val="subscript"/>
        <sz val="8"/>
        <rFont val="Verdana"/>
        <family val="2"/>
      </rPr>
      <t>x</t>
    </r>
    <r>
      <rPr>
        <sz val="8"/>
        <rFont val="Verdana"/>
        <family val="2"/>
      </rPr>
      <t>.</t>
    </r>
  </si>
  <si>
    <t>g/kW-hr (2)</t>
  </si>
  <si>
    <t>g/kW-hr (5)</t>
  </si>
  <si>
    <t>Potential Emissions from Dried Wood Handling (ES-DWH)</t>
  </si>
  <si>
    <t>Table 7</t>
  </si>
  <si>
    <t>CD-CLR-C1 through C4; 
CD-RCO</t>
  </si>
  <si>
    <t>ES-CLR1 through 6</t>
  </si>
  <si>
    <t>Green Wood Hammermills 1 through 4</t>
  </si>
  <si>
    <t>Dry Shavings Handling and Storage</t>
  </si>
  <si>
    <t>2,3</t>
  </si>
  <si>
    <t>2,4</t>
  </si>
  <si>
    <r>
      <t>PM Emission Factor</t>
    </r>
    <r>
      <rPr>
        <b/>
        <vertAlign val="superscript"/>
        <sz val="9"/>
        <rFont val="Verdana"/>
        <family val="2"/>
      </rPr>
      <t>1</t>
    </r>
  </si>
  <si>
    <r>
      <t>PM</t>
    </r>
    <r>
      <rPr>
        <b/>
        <vertAlign val="subscript"/>
        <sz val="9"/>
        <rFont val="Verdana"/>
        <family val="2"/>
      </rPr>
      <t>10</t>
    </r>
    <r>
      <rPr>
        <b/>
        <sz val="9"/>
        <rFont val="Verdana"/>
        <family val="2"/>
      </rPr>
      <t xml:space="preserve"> Emission Factor</t>
    </r>
    <r>
      <rPr>
        <b/>
        <vertAlign val="superscript"/>
        <sz val="9"/>
        <rFont val="Verdana"/>
        <family val="2"/>
      </rPr>
      <t>1</t>
    </r>
  </si>
  <si>
    <r>
      <t>PM</t>
    </r>
    <r>
      <rPr>
        <b/>
        <vertAlign val="subscript"/>
        <sz val="9"/>
        <rFont val="Verdana"/>
        <family val="2"/>
      </rPr>
      <t xml:space="preserve">2.5 </t>
    </r>
    <r>
      <rPr>
        <b/>
        <sz val="9"/>
        <rFont val="Verdana"/>
        <family val="2"/>
      </rPr>
      <t>Emission Factor</t>
    </r>
    <r>
      <rPr>
        <b/>
        <vertAlign val="superscript"/>
        <sz val="9"/>
        <rFont val="Verdana"/>
        <family val="2"/>
      </rPr>
      <t>1</t>
    </r>
  </si>
  <si>
    <r>
      <t>Potential Throughput</t>
    </r>
    <r>
      <rPr>
        <b/>
        <vertAlign val="superscript"/>
        <sz val="9"/>
        <rFont val="Verdana"/>
        <family val="2"/>
      </rPr>
      <t>2</t>
    </r>
  </si>
  <si>
    <t>Emission factors for natural gas combustion are from NCDAQ Natural Gas Combustion Spreadsheet and AP-42, Fifth Edition, Volume 1, Chapter 1.4 - Natural Gas Combustion, 07/98. The emission factors for acetaldehyde, acrolein, and ammonia are cited in the NCDAQ spreadsheet as being sourced from the USEPA's WebFIRE database.</t>
  </si>
  <si>
    <t>Baghouses; WESP; RTO</t>
  </si>
  <si>
    <t>Emission factor based on process information and an appropriate contingency based on engineering judgement.</t>
  </si>
  <si>
    <t>Emission factors based on process information and an appropriate contingency based on engineering judgement.</t>
  </si>
  <si>
    <t>Table 13b</t>
  </si>
  <si>
    <t>Table 13a</t>
  </si>
  <si>
    <r>
      <t>Emission factor for CO</t>
    </r>
    <r>
      <rPr>
        <vertAlign val="subscript"/>
        <sz val="8"/>
        <rFont val="Verdana"/>
        <family val="2"/>
      </rPr>
      <t>2</t>
    </r>
    <r>
      <rPr>
        <sz val="8"/>
        <rFont val="Verdana"/>
        <family val="2"/>
      </rPr>
      <t xml:space="preserve"> from AP-42, Section 10.6.1 for rotary dryer with RTO control device. Enviva has conservatively calculated the CO</t>
    </r>
    <r>
      <rPr>
        <vertAlign val="subscript"/>
        <sz val="8"/>
        <rFont val="Verdana"/>
        <family val="2"/>
      </rPr>
      <t>2</t>
    </r>
    <r>
      <rPr>
        <sz val="8"/>
        <rFont val="Verdana"/>
        <family val="2"/>
      </rPr>
      <t xml:space="preserve"> emissions using the hardwood emission factor because the dryer at the Ahoskie plant will use a combination of hardwood and softwood and the hardwood emission factor is greater than the softwood emission factor.</t>
    </r>
  </si>
  <si>
    <t>Pile Width</t>
  </si>
  <si>
    <t>CD-DHM-FF1 through FF3;
CD-WESP; CD-RTO</t>
  </si>
  <si>
    <t>Emission factor obtained from AP-42 Section 3.3, Tables 3.3-1 Table 3.3-2. HAP emission factors were converted from lb/MMBtu to lb/hp-hr using a brake-specific fuel consumption of 7,000 Btu/hp-hr per AP-42 Section 3.3.</t>
  </si>
  <si>
    <t>lb/hp-hr (2)</t>
  </si>
  <si>
    <t>The furnace may operate in idle mode for up to 500 hr/yr.</t>
  </si>
  <si>
    <t>lb/hp-hr (2)(3)</t>
  </si>
  <si>
    <t>NESHAP Subpart ZZZZ allows for only 100 hr/yr of non-emergency operation of this engine. The potential annual emissions for the fire water pump are conservatively based on 500 hr/yr. Emergency operation is not limited.</t>
  </si>
  <si>
    <t>Potential PM
Emissions</t>
  </si>
  <si>
    <t>NSPS Subpart IIII allows for only 100 hr/yr of non-emergency operation of this engine. The potential annual emissions for the emergency generator are conservatively based on 500 hr/yr. Emergency operation is not limited.</t>
  </si>
  <si>
    <t>Pellet Mill/Pellet Cooler, Dry Shavings Hammermill, and Dried Wood Day Silo Potential Emissions at Outlet of RTO/RCO Stack (CD-RCO)</t>
  </si>
  <si>
    <t>Potential Particulate Emissions from Dried Wood Day Silo Bin Vent (CD-DWDS-BV)</t>
  </si>
  <si>
    <t>ODT - oven dried short tons</t>
  </si>
  <si>
    <t xml:space="preserve">Pollutant loading based on previous permit applications. </t>
  </si>
  <si>
    <t>Included above</t>
  </si>
  <si>
    <t>Thermally Generated Potential Criteria Pollutant Emissions from Combustion of VOC from Dry Hammermills</t>
  </si>
  <si>
    <t>Emission factors for natural gas combustion are from NCDAQ Natural Gas Combustion Spreadsheet and AP-42, Fifth Edition, Volume 1, Chapter 1.4 - Natural Gas Combustion, 07/98. The emission factor for ammonia is cited in the NCDAQ spreadsheet as being sourced from the USEPA's WebFIRE database.  Acetaldehyde, acrolein, and formaldehyde are not included in this table because emissions of these pollutants resulting from RTO fuel combustion are already reflected in the lb/ODT emission factors.</t>
  </si>
  <si>
    <t>Emission factors for natural gas combustion are from NCDAQ Natural Gas Combustion Spreadsheet and AP-42, Fifth Edition, Volume 1, Chapter 1.4 - Natural Gas Combustion, 07/98. The emission factors for acrolein and ammonia are cited in the NCDAQ spreadsheet as being sourced from the USEPA's WebFIRE database.  Formaldehyde and acetaldehyde are not included in this table because emissions of these pollutants resulting from RTO/RCO fuel combustion are already reflected in the controlled lb/ODT emission factors.</t>
  </si>
  <si>
    <r>
      <t>Furnace Biomass Combustion, Drying, Green Hammermills, and Dry Hammermills</t>
    </r>
    <r>
      <rPr>
        <b/>
        <vertAlign val="superscript"/>
        <sz val="9"/>
        <rFont val="Verdana"/>
        <family val="2"/>
      </rPr>
      <t>6</t>
    </r>
  </si>
  <si>
    <t>Total VOC as Propane</t>
  </si>
  <si>
    <t>Uncontrolled VOC emissions from DHMs</t>
  </si>
  <si>
    <t>1,5</t>
  </si>
  <si>
    <r>
      <t>-</t>
    </r>
    <r>
      <rPr>
        <vertAlign val="superscript"/>
        <sz val="9"/>
        <rFont val="Verdana"/>
        <family val="2"/>
      </rPr>
      <t>7</t>
    </r>
  </si>
  <si>
    <t xml:space="preserve">RTO Natural Gas Combustion </t>
  </si>
  <si>
    <r>
      <t>Controlled Emission Factor</t>
    </r>
    <r>
      <rPr>
        <b/>
        <vertAlign val="superscript"/>
        <sz val="9"/>
        <rFont val="Verdana"/>
        <family val="2"/>
      </rPr>
      <t>1</t>
    </r>
  </si>
  <si>
    <r>
      <t>VOC as propane</t>
    </r>
    <r>
      <rPr>
        <vertAlign val="superscript"/>
        <sz val="9"/>
        <rFont val="Verdana"/>
        <family val="2"/>
      </rPr>
      <t>2</t>
    </r>
  </si>
  <si>
    <r>
      <t>Methanol</t>
    </r>
    <r>
      <rPr>
        <vertAlign val="superscript"/>
        <sz val="9"/>
        <rFont val="Verdana"/>
        <family val="2"/>
      </rPr>
      <t>4</t>
    </r>
  </si>
  <si>
    <r>
      <t>PM</t>
    </r>
    <r>
      <rPr>
        <vertAlign val="superscript"/>
        <sz val="9"/>
        <rFont val="Verdana"/>
        <family val="2"/>
      </rPr>
      <t>3</t>
    </r>
  </si>
  <si>
    <r>
      <t>PM</t>
    </r>
    <r>
      <rPr>
        <vertAlign val="subscript"/>
        <sz val="9"/>
        <rFont val="Verdana"/>
        <family val="2"/>
      </rPr>
      <t>10</t>
    </r>
    <r>
      <rPr>
        <vertAlign val="superscript"/>
        <sz val="9"/>
        <rFont val="Verdana"/>
        <family val="2"/>
      </rPr>
      <t>3</t>
    </r>
  </si>
  <si>
    <r>
      <t xml:space="preserve">Particulate matter emission factors from the EPA document titled </t>
    </r>
    <r>
      <rPr>
        <i/>
        <sz val="8"/>
        <rFont val="Verdana"/>
        <family val="2"/>
      </rPr>
      <t>AIRS Facility Subsystem Source Classification Codes and Emission Factor Listing for Criteria Air Pollutants</t>
    </r>
    <r>
      <rPr>
        <sz val="8"/>
        <rFont val="Verdana"/>
        <family val="2"/>
      </rPr>
      <t xml:space="preserve">. Source Classification Code 3-07-008-01 (Log Debarking).  All PM is assumed to be larger than 2.5 microns.  </t>
    </r>
  </si>
  <si>
    <t>EPA. AIRS Facility Subsystem Source Classification Codes and Emission Factor Listing for Criteria Air Pollutants. March 1990.</t>
  </si>
  <si>
    <t>EPA. AP-42, Section 10.6.4, Hardboard and Fiberboard, 10/02.</t>
  </si>
  <si>
    <t>EPA. AP-42, Section 10.6.3, Medium Density Fiberboard, 08/02.</t>
  </si>
  <si>
    <t>EPA. AP-42, Section 13.2.4 - Aggregate Handling and Storage Piles, 11/06.</t>
  </si>
  <si>
    <t>EPA. AP-42, Section 3.3 - Gasoline and Diesel Industrial Engines, 10/96.</t>
  </si>
  <si>
    <t>EPA. AP-42, Section 13.2.1 - Paved Roads, 01/11.</t>
  </si>
  <si>
    <t>Air Pollution Engineering Manual, Air and Waste Management Association.</t>
  </si>
  <si>
    <t>Constants (k, a, &amp; b) based on AP-42, Section 13.2.2 (Unpaved Roads), Table 13.2.2-2 for Industrial Roads, 11/06</t>
  </si>
  <si>
    <t>Per AP-42, Section 13.2.1, Figure 13.2.2-1</t>
  </si>
  <si>
    <t>WESP Control Efficiency</t>
  </si>
  <si>
    <t>Annual throughput calculated based on 100% of the estimated Annual Dryer Heat Input, assuming 4,200 Btu/lb HHV (wet) and 50% Moisture.  Maximum hourly throughput based on maximum fuel usage for the furnace.</t>
  </si>
  <si>
    <t>Front End Loaders Transferring Softwood Chips</t>
  </si>
  <si>
    <t>Front End Loaders Transferring Hardwood Chips</t>
  </si>
  <si>
    <t>Front End Loaders Transferring Mixed Chips</t>
  </si>
  <si>
    <t>Front End Loaders Transferring Dry Shavings</t>
  </si>
  <si>
    <t>Front End Loaders Transferring Bark</t>
  </si>
  <si>
    <r>
      <t>Avg. and Max. Hourly Heat Input Capacity</t>
    </r>
    <r>
      <rPr>
        <vertAlign val="superscript"/>
        <sz val="9"/>
        <rFont val="Verdana"/>
        <family val="2"/>
      </rPr>
      <t>1</t>
    </r>
  </si>
  <si>
    <t>Purchased Bark unloading via Truck Tipper</t>
  </si>
  <si>
    <t>Dry Shavings unloading via Truck Tipper</t>
  </si>
  <si>
    <t>Green Wood Chips unloading via Truck Tippers</t>
  </si>
  <si>
    <t>Dry Hammermills 1 through 7;
Dust Control System</t>
  </si>
  <si>
    <t xml:space="preserve">Particulate Emission Factor: E = </t>
  </si>
  <si>
    <r>
      <t xml:space="preserve"> k (sL)</t>
    </r>
    <r>
      <rPr>
        <vertAlign val="superscript"/>
        <sz val="8"/>
        <rFont val="Verdana"/>
        <family val="2"/>
      </rPr>
      <t>0.91</t>
    </r>
    <r>
      <rPr>
        <sz val="8"/>
        <rFont val="Verdana"/>
        <family val="2"/>
      </rPr>
      <t xml:space="preserve"> x (W)</t>
    </r>
    <r>
      <rPr>
        <vertAlign val="superscript"/>
        <sz val="8"/>
        <rFont val="Verdana"/>
        <family val="2"/>
      </rPr>
      <t>1.02</t>
    </r>
    <r>
      <rPr>
        <sz val="8"/>
        <rFont val="Verdana"/>
        <family val="2"/>
      </rPr>
      <t xml:space="preserve"> * (1-P/4N)</t>
    </r>
    <r>
      <rPr>
        <vertAlign val="superscript"/>
        <sz val="8"/>
        <rFont val="Verdana"/>
        <family val="2"/>
      </rPr>
      <t xml:space="preserve"> </t>
    </r>
  </si>
  <si>
    <t>N = number of days in the averaging period</t>
  </si>
  <si>
    <t>M = material moisture content (%)</t>
  </si>
  <si>
    <r>
      <t>kg/MMBtu</t>
    </r>
    <r>
      <rPr>
        <vertAlign val="superscript"/>
        <sz val="9"/>
        <rFont val="Verdana"/>
        <family val="2"/>
      </rPr>
      <t>2</t>
    </r>
  </si>
  <si>
    <t>Thermally Generated Potential Criteria Pollutant Emissions from Combustion of VOC from Dry Shavings Hammermill</t>
  </si>
  <si>
    <t>Potential HAP Emissions from Pellet Mills and Pellet Coolers</t>
  </si>
  <si>
    <t>Potential Criteria Pollutant and Greenhouse Gas Emissions - Pellet Mills and Pellet Coolers</t>
  </si>
  <si>
    <r>
      <t>PM/PM</t>
    </r>
    <r>
      <rPr>
        <vertAlign val="subscript"/>
        <sz val="9"/>
        <color theme="1"/>
        <rFont val="Verdana"/>
        <family val="2"/>
      </rPr>
      <t>10</t>
    </r>
    <r>
      <rPr>
        <sz val="9"/>
        <color theme="1"/>
        <rFont val="Verdana"/>
        <family val="2"/>
      </rPr>
      <t>/PM</t>
    </r>
    <r>
      <rPr>
        <vertAlign val="subscript"/>
        <sz val="9"/>
        <color theme="1"/>
        <rFont val="Verdana"/>
        <family val="2"/>
      </rPr>
      <t>2.5</t>
    </r>
    <r>
      <rPr>
        <sz val="9"/>
        <color theme="1"/>
        <rFont val="Verdana"/>
        <family val="2"/>
      </rPr>
      <t xml:space="preserve"> </t>
    </r>
    <r>
      <rPr>
        <sz val="8"/>
        <color theme="1"/>
        <rFont val="Verdana"/>
        <family val="2"/>
      </rPr>
      <t>(Filterable + Condensable)</t>
    </r>
  </si>
  <si>
    <r>
      <t>lb/ODT</t>
    </r>
    <r>
      <rPr>
        <vertAlign val="superscript"/>
        <sz val="9"/>
        <color theme="1"/>
        <rFont val="Verdana"/>
        <family val="2"/>
      </rPr>
      <t>1</t>
    </r>
  </si>
  <si>
    <r>
      <t>lb/MMBtu</t>
    </r>
    <r>
      <rPr>
        <vertAlign val="superscript"/>
        <sz val="9"/>
        <color theme="1"/>
        <rFont val="Verdana"/>
        <family val="2"/>
      </rPr>
      <t>2</t>
    </r>
  </si>
  <si>
    <t>Maximum Heat Input</t>
  </si>
  <si>
    <r>
      <t>Fuel Usage</t>
    </r>
    <r>
      <rPr>
        <vertAlign val="superscript"/>
        <sz val="9"/>
        <rFont val="Verdana"/>
        <family val="2"/>
      </rPr>
      <t>1</t>
    </r>
  </si>
  <si>
    <t>MMscf/hr</t>
  </si>
  <si>
    <t>MMscf/yr</t>
  </si>
  <si>
    <t>Number of boilers</t>
  </si>
  <si>
    <t>Hourly fuel usage (per boiler) calculated based on maximum heat input and heating value of 1,020 btu/scf for natural gas obtained from AP-42 Section 1.4 Natural Gas Combustion, 7/98.</t>
  </si>
  <si>
    <t>Potential Criteria Pollutant Emissions</t>
  </si>
  <si>
    <r>
      <t>Emission Factor</t>
    </r>
    <r>
      <rPr>
        <b/>
        <vertAlign val="superscript"/>
        <sz val="9"/>
        <color theme="1"/>
        <rFont val="Verdana"/>
        <family val="2"/>
      </rPr>
      <t>1</t>
    </r>
  </si>
  <si>
    <t>Potential Emissions per Boiler</t>
  </si>
  <si>
    <r>
      <t>CO</t>
    </r>
    <r>
      <rPr>
        <vertAlign val="subscript"/>
        <sz val="9"/>
        <color theme="1"/>
        <rFont val="Verdana"/>
        <family val="2"/>
      </rPr>
      <t>2</t>
    </r>
    <r>
      <rPr>
        <sz val="9"/>
        <color theme="1"/>
        <rFont val="Verdana"/>
        <family val="2"/>
      </rPr>
      <t>e</t>
    </r>
    <r>
      <rPr>
        <vertAlign val="superscript"/>
        <sz val="9"/>
        <color theme="1"/>
        <rFont val="Verdana"/>
        <family val="2"/>
      </rPr>
      <t>2</t>
    </r>
  </si>
  <si>
    <t>Emission factors from AP-42 Chapter 1.4 Natural Gas Combustion, 7/98.</t>
  </si>
  <si>
    <r>
      <t>CO</t>
    </r>
    <r>
      <rPr>
        <vertAlign val="subscript"/>
        <sz val="8"/>
        <rFont val="Verdana"/>
        <family val="2"/>
      </rPr>
      <t>2</t>
    </r>
    <r>
      <rPr>
        <sz val="8"/>
        <rFont val="Verdana"/>
        <family val="2"/>
      </rPr>
      <t>e emissions based on global warming potentials from Table A-1 of Subpart A of 40 CFR Part 98.</t>
    </r>
  </si>
  <si>
    <t>(lb/MMscf)</t>
  </si>
  <si>
    <t>Arsenic and compounds</t>
  </si>
  <si>
    <t>Beryllium metal</t>
  </si>
  <si>
    <t>Cadmium Metal</t>
  </si>
  <si>
    <t>Manganese and compounds</t>
  </si>
  <si>
    <t>Nickel metal</t>
  </si>
  <si>
    <t>hp - horsepower</t>
  </si>
  <si>
    <t>AP-42, Section 1.4 - Natural Gas Combustion, 7/98.</t>
  </si>
  <si>
    <t>1 kW =</t>
  </si>
  <si>
    <t>pounds = 1 ton</t>
  </si>
  <si>
    <t>Diesel Storage Tanks</t>
  </si>
  <si>
    <t>Calculation Constants</t>
  </si>
  <si>
    <r>
      <rPr>
        <sz val="9"/>
        <color indexed="8"/>
        <rFont val="Verdana"/>
        <family val="2"/>
      </rPr>
      <t>α - T</t>
    </r>
    <r>
      <rPr>
        <sz val="9"/>
        <rFont val="Verdana"/>
        <family val="2"/>
      </rPr>
      <t>ank Paint Solar Absorptance</t>
    </r>
  </si>
  <si>
    <t>dimensionless</t>
  </si>
  <si>
    <t>AP-42, Chapter 7 - Table 7.1-6 for White Tank, Average Condition</t>
  </si>
  <si>
    <t>I - Annual Avg Total Solar Insolation Factor</t>
  </si>
  <si>
    <r>
      <t>T</t>
    </r>
    <r>
      <rPr>
        <vertAlign val="subscript"/>
        <sz val="9"/>
        <color theme="1"/>
        <rFont val="Verdana"/>
        <family val="2"/>
      </rPr>
      <t>AX</t>
    </r>
    <r>
      <rPr>
        <sz val="9"/>
        <color theme="1"/>
        <rFont val="Verdana"/>
        <family val="2"/>
      </rPr>
      <t xml:space="preserve"> - Annual Avg Maximum Ambient Temperature</t>
    </r>
  </si>
  <si>
    <t>R</t>
  </si>
  <si>
    <r>
      <t>T</t>
    </r>
    <r>
      <rPr>
        <vertAlign val="subscript"/>
        <sz val="9"/>
        <color theme="1"/>
        <rFont val="Verdana"/>
        <family val="2"/>
      </rPr>
      <t>AN</t>
    </r>
    <r>
      <rPr>
        <sz val="9"/>
        <color theme="1"/>
        <rFont val="Verdana"/>
        <family val="2"/>
      </rPr>
      <t xml:space="preserve"> - Annual Avg Minimum Ambient Temperature</t>
    </r>
  </si>
  <si>
    <t>R - Ideal Gas Constant</t>
  </si>
  <si>
    <r>
      <t>psia*ft</t>
    </r>
    <r>
      <rPr>
        <vertAlign val="superscript"/>
        <sz val="9"/>
        <color theme="1"/>
        <rFont val="Verdana"/>
        <family val="2"/>
      </rPr>
      <t>3</t>
    </r>
    <r>
      <rPr>
        <sz val="9"/>
        <color theme="1"/>
        <rFont val="Verdana"/>
        <family val="2"/>
      </rPr>
      <t>/lb-mole R</t>
    </r>
  </si>
  <si>
    <t>AP-42, Chapter 7  - Page 7.1-23</t>
  </si>
  <si>
    <t>Kp - Product Factor</t>
  </si>
  <si>
    <t>Assume conservative value of 1</t>
  </si>
  <si>
    <r>
      <t>P</t>
    </r>
    <r>
      <rPr>
        <vertAlign val="subscript"/>
        <sz val="9"/>
        <rFont val="Verdana"/>
        <family val="2"/>
      </rPr>
      <t>VX</t>
    </r>
    <r>
      <rPr>
        <sz val="9"/>
        <rFont val="Verdana"/>
        <family val="2"/>
      </rPr>
      <t xml:space="preserve"> - Vapor Pressure at T</t>
    </r>
    <r>
      <rPr>
        <vertAlign val="subscript"/>
        <sz val="9"/>
        <rFont val="Verdana"/>
        <family val="2"/>
      </rPr>
      <t>AX</t>
    </r>
  </si>
  <si>
    <t>psia</t>
  </si>
  <si>
    <r>
      <t>AP-42, Chapter 7 - Equation 1-25 (exp[A-(B/T</t>
    </r>
    <r>
      <rPr>
        <vertAlign val="subscript"/>
        <sz val="9"/>
        <rFont val="Verdana"/>
        <family val="2"/>
      </rPr>
      <t>LA</t>
    </r>
    <r>
      <rPr>
        <sz val="9"/>
        <rFont val="Verdana"/>
        <family val="2"/>
      </rPr>
      <t>)])</t>
    </r>
  </si>
  <si>
    <r>
      <t>P</t>
    </r>
    <r>
      <rPr>
        <vertAlign val="subscript"/>
        <sz val="9"/>
        <rFont val="Verdana"/>
        <family val="2"/>
      </rPr>
      <t>VN</t>
    </r>
    <r>
      <rPr>
        <sz val="9"/>
        <rFont val="Verdana"/>
        <family val="2"/>
      </rPr>
      <t xml:space="preserve"> - Vapor Pressure at T</t>
    </r>
    <r>
      <rPr>
        <vertAlign val="subscript"/>
        <sz val="9"/>
        <rFont val="Verdana"/>
        <family val="2"/>
      </rPr>
      <t>AN</t>
    </r>
  </si>
  <si>
    <r>
      <t>ΔP</t>
    </r>
    <r>
      <rPr>
        <vertAlign val="subscript"/>
        <sz val="9"/>
        <color theme="1"/>
        <rFont val="Verdana"/>
        <family val="2"/>
      </rPr>
      <t>V</t>
    </r>
    <r>
      <rPr>
        <sz val="9"/>
        <color theme="1"/>
        <rFont val="Verdana"/>
        <family val="2"/>
      </rPr>
      <t xml:space="preserve"> - Daily Vapor Pressure Range</t>
    </r>
  </si>
  <si>
    <t>AP-42, Chapter 7 - Equation 1-9</t>
  </si>
  <si>
    <r>
      <t>ΔP</t>
    </r>
    <r>
      <rPr>
        <vertAlign val="subscript"/>
        <sz val="9"/>
        <color theme="1"/>
        <rFont val="Verdana"/>
        <family val="2"/>
      </rPr>
      <t>B</t>
    </r>
    <r>
      <rPr>
        <sz val="9"/>
        <color theme="1"/>
        <rFont val="Verdana"/>
        <family val="2"/>
      </rPr>
      <t xml:space="preserve"> - Breather Vent Pressure Setting Range</t>
    </r>
  </si>
  <si>
    <t>AP-42, Chapter 7 - Page 7.1-19 Note 3 (default)</t>
  </si>
  <si>
    <r>
      <t>P</t>
    </r>
    <r>
      <rPr>
        <vertAlign val="subscript"/>
        <sz val="9"/>
        <color theme="1"/>
        <rFont val="Verdana"/>
        <family val="2"/>
      </rPr>
      <t>A</t>
    </r>
    <r>
      <rPr>
        <sz val="9"/>
        <color theme="1"/>
        <rFont val="Verdana"/>
        <family val="2"/>
      </rPr>
      <t xml:space="preserve"> - Atmospheric Pressure</t>
    </r>
  </si>
  <si>
    <t>Tank Diameter</t>
  </si>
  <si>
    <t>ft</t>
  </si>
  <si>
    <t>Tank dimensions for corresponding design volume</t>
  </si>
  <si>
    <t>Tank Length</t>
  </si>
  <si>
    <t>Tank Design Volume</t>
  </si>
  <si>
    <t>gal</t>
  </si>
  <si>
    <t>Conservative design specifications</t>
  </si>
  <si>
    <t>Tank Working Volume</t>
  </si>
  <si>
    <t>50% of tank design volume because tanks will not be full at all times</t>
  </si>
  <si>
    <t>Tank Throughput</t>
  </si>
  <si>
    <t>Engineering estimate</t>
  </si>
  <si>
    <r>
      <t>Equivalent Tank Diameter (D</t>
    </r>
    <r>
      <rPr>
        <vertAlign val="subscript"/>
        <sz val="9"/>
        <color theme="1"/>
        <rFont val="Verdana"/>
        <family val="2"/>
      </rPr>
      <t>E</t>
    </r>
    <r>
      <rPr>
        <sz val="9"/>
        <rFont val="Verdana"/>
        <family val="2"/>
      </rPr>
      <t>)</t>
    </r>
  </si>
  <si>
    <t>AP-42, Chapter 7 - Equation 1-14 (SQRT(LD/(PI/4)))</t>
  </si>
  <si>
    <r>
      <t>Effective Height (H</t>
    </r>
    <r>
      <rPr>
        <vertAlign val="subscript"/>
        <sz val="9"/>
        <color theme="1"/>
        <rFont val="Verdana"/>
        <family val="2"/>
      </rPr>
      <t>E</t>
    </r>
    <r>
      <rPr>
        <sz val="9"/>
        <rFont val="Verdana"/>
        <family val="2"/>
      </rPr>
      <t>)</t>
    </r>
  </si>
  <si>
    <t>AP-42, Chapter 7 - Equation 1-15 (PI/4*D)</t>
  </si>
  <si>
    <r>
      <t>V</t>
    </r>
    <r>
      <rPr>
        <vertAlign val="subscript"/>
        <sz val="9"/>
        <color theme="1"/>
        <rFont val="Verdana"/>
        <family val="2"/>
      </rPr>
      <t>v</t>
    </r>
    <r>
      <rPr>
        <sz val="9"/>
        <color theme="1"/>
        <rFont val="Verdana"/>
        <family val="2"/>
      </rPr>
      <t xml:space="preserve"> - Vapor Space Volume</t>
    </r>
  </si>
  <si>
    <r>
      <t>ft</t>
    </r>
    <r>
      <rPr>
        <vertAlign val="superscript"/>
        <sz val="9"/>
        <color theme="1"/>
        <rFont val="Verdana"/>
        <family val="2"/>
      </rPr>
      <t>3</t>
    </r>
  </si>
  <si>
    <r>
      <t>AP-42, Chapter 7 - Equation 1-3 (PI/4*D</t>
    </r>
    <r>
      <rPr>
        <vertAlign val="superscript"/>
        <sz val="9"/>
        <rFont val="Verdana"/>
        <family val="2"/>
      </rPr>
      <t>2</t>
    </r>
    <r>
      <rPr>
        <sz val="9"/>
        <rFont val="Verdana"/>
        <family val="2"/>
      </rPr>
      <t>*H</t>
    </r>
    <r>
      <rPr>
        <vertAlign val="subscript"/>
        <sz val="9"/>
        <rFont val="Verdana"/>
        <family val="2"/>
      </rPr>
      <t>VO</t>
    </r>
    <r>
      <rPr>
        <sz val="9"/>
        <rFont val="Verdana"/>
        <family val="2"/>
      </rPr>
      <t>), substitute D</t>
    </r>
    <r>
      <rPr>
        <vertAlign val="subscript"/>
        <sz val="9"/>
        <rFont val="Verdana"/>
        <family val="2"/>
      </rPr>
      <t>E</t>
    </r>
    <r>
      <rPr>
        <sz val="9"/>
        <rFont val="Verdana"/>
        <family val="2"/>
      </rPr>
      <t xml:space="preserve"> for D for horizontal tanks</t>
    </r>
  </si>
  <si>
    <r>
      <t>H</t>
    </r>
    <r>
      <rPr>
        <vertAlign val="subscript"/>
        <sz val="9"/>
        <color theme="1"/>
        <rFont val="Verdana"/>
        <family val="2"/>
      </rPr>
      <t>vo</t>
    </r>
    <r>
      <rPr>
        <sz val="9"/>
        <color theme="1"/>
        <rFont val="Verdana"/>
        <family val="2"/>
      </rPr>
      <t xml:space="preserve"> - Vapor Space Outage</t>
    </r>
  </si>
  <si>
    <r>
      <t>AP-42, Chapter 7 - H</t>
    </r>
    <r>
      <rPr>
        <vertAlign val="subscript"/>
        <sz val="9"/>
        <rFont val="Verdana"/>
        <family val="2"/>
      </rPr>
      <t>VO</t>
    </r>
    <r>
      <rPr>
        <sz val="9"/>
        <rFont val="Verdana"/>
        <family val="2"/>
      </rPr>
      <t xml:space="preserve"> = 0.5*H</t>
    </r>
    <r>
      <rPr>
        <vertAlign val="subscript"/>
        <sz val="9"/>
        <rFont val="Verdana"/>
        <family val="2"/>
      </rPr>
      <t>E</t>
    </r>
    <r>
      <rPr>
        <sz val="9"/>
        <rFont val="Verdana"/>
        <family val="2"/>
      </rPr>
      <t xml:space="preserve"> for horizontal tanks</t>
    </r>
  </si>
  <si>
    <r>
      <t>P</t>
    </r>
    <r>
      <rPr>
        <vertAlign val="subscript"/>
        <sz val="9"/>
        <color theme="1"/>
        <rFont val="Verdana"/>
        <family val="2"/>
      </rPr>
      <t>VA</t>
    </r>
    <r>
      <rPr>
        <sz val="9"/>
        <color theme="1"/>
        <rFont val="Verdana"/>
        <family val="2"/>
      </rPr>
      <t xml:space="preserve"> - Vapor Pressure</t>
    </r>
  </si>
  <si>
    <r>
      <t>Vapor pressure for Distillate Fuel Oil No. 2 at 70</t>
    </r>
    <r>
      <rPr>
        <sz val="9"/>
        <rFont val="Calibri"/>
        <family val="2"/>
      </rPr>
      <t>°</t>
    </r>
    <r>
      <rPr>
        <sz val="9"/>
        <rFont val="Verdana"/>
        <family val="2"/>
      </rPr>
      <t>F</t>
    </r>
  </si>
  <si>
    <r>
      <t>M</t>
    </r>
    <r>
      <rPr>
        <vertAlign val="subscript"/>
        <sz val="9"/>
        <color theme="1"/>
        <rFont val="Verdana"/>
        <family val="2"/>
      </rPr>
      <t>v</t>
    </r>
    <r>
      <rPr>
        <sz val="9"/>
        <color theme="1"/>
        <rFont val="Verdana"/>
        <family val="2"/>
      </rPr>
      <t xml:space="preserve"> - Vapor Molecular Weight</t>
    </r>
  </si>
  <si>
    <t>lb/lb-mole</t>
  </si>
  <si>
    <t>AP-42, Chapter 7 - Table 7.1-2 for diesel</t>
  </si>
  <si>
    <t>Q - Throughput</t>
  </si>
  <si>
    <t>bbl/yr</t>
  </si>
  <si>
    <t>Calculated Values</t>
  </si>
  <si>
    <r>
      <t>K</t>
    </r>
    <r>
      <rPr>
        <vertAlign val="subscript"/>
        <sz val="9"/>
        <color theme="1"/>
        <rFont val="Verdana"/>
        <family val="2"/>
      </rPr>
      <t>e</t>
    </r>
    <r>
      <rPr>
        <sz val="9"/>
        <color theme="1"/>
        <rFont val="Verdana"/>
        <family val="2"/>
      </rPr>
      <t xml:space="preserve"> - Vapor Space Expansion Factor</t>
    </r>
  </si>
  <si>
    <r>
      <t>AP-42, Chapter 7 - Equation 1-5 (ΔT</t>
    </r>
    <r>
      <rPr>
        <vertAlign val="subscript"/>
        <sz val="9"/>
        <color theme="1"/>
        <rFont val="Verdana"/>
        <family val="2"/>
      </rPr>
      <t>V</t>
    </r>
    <r>
      <rPr>
        <sz val="9"/>
        <color theme="1"/>
        <rFont val="Verdana"/>
        <family val="2"/>
      </rPr>
      <t>/T</t>
    </r>
    <r>
      <rPr>
        <vertAlign val="subscript"/>
        <sz val="9"/>
        <color theme="1"/>
        <rFont val="Verdana"/>
        <family val="2"/>
      </rPr>
      <t>LA</t>
    </r>
    <r>
      <rPr>
        <sz val="9"/>
        <color theme="1"/>
        <rFont val="Verdana"/>
        <family val="2"/>
      </rPr>
      <t xml:space="preserve"> + ((ΔP</t>
    </r>
    <r>
      <rPr>
        <vertAlign val="subscript"/>
        <sz val="9"/>
        <color theme="1"/>
        <rFont val="Verdana"/>
        <family val="2"/>
      </rPr>
      <t>V</t>
    </r>
    <r>
      <rPr>
        <sz val="9"/>
        <color theme="1"/>
        <rFont val="Verdana"/>
        <family val="2"/>
      </rPr>
      <t xml:space="preserve"> - ΔP</t>
    </r>
    <r>
      <rPr>
        <vertAlign val="subscript"/>
        <sz val="9"/>
        <color theme="1"/>
        <rFont val="Verdana"/>
        <family val="2"/>
      </rPr>
      <t>B</t>
    </r>
    <r>
      <rPr>
        <sz val="9"/>
        <color theme="1"/>
        <rFont val="Verdana"/>
        <family val="2"/>
      </rPr>
      <t>)/(P</t>
    </r>
    <r>
      <rPr>
        <vertAlign val="subscript"/>
        <sz val="9"/>
        <color theme="1"/>
        <rFont val="Verdana"/>
        <family val="2"/>
      </rPr>
      <t>A</t>
    </r>
    <r>
      <rPr>
        <sz val="9"/>
        <color theme="1"/>
        <rFont val="Verdana"/>
        <family val="2"/>
      </rPr>
      <t xml:space="preserve"> - ΔP</t>
    </r>
    <r>
      <rPr>
        <vertAlign val="subscript"/>
        <sz val="9"/>
        <color theme="1"/>
        <rFont val="Verdana"/>
        <family val="2"/>
      </rPr>
      <t>VA</t>
    </r>
    <r>
      <rPr>
        <sz val="9"/>
        <color theme="1"/>
        <rFont val="Verdana"/>
        <family val="2"/>
      </rPr>
      <t>))</t>
    </r>
  </si>
  <si>
    <r>
      <rPr>
        <sz val="9"/>
        <color indexed="8"/>
        <rFont val="Verdana"/>
        <family val="2"/>
      </rPr>
      <t>ΔT</t>
    </r>
    <r>
      <rPr>
        <vertAlign val="subscript"/>
        <sz val="9"/>
        <color rgb="FF000000"/>
        <rFont val="Verdana"/>
        <family val="2"/>
      </rPr>
      <t>v</t>
    </r>
    <r>
      <rPr>
        <sz val="9"/>
        <color indexed="8"/>
        <rFont val="Verdana"/>
        <family val="2"/>
      </rPr>
      <t xml:space="preserve"> - D</t>
    </r>
    <r>
      <rPr>
        <sz val="9"/>
        <rFont val="Verdana"/>
        <family val="2"/>
      </rPr>
      <t>aily Vapor Temperature Range</t>
    </r>
  </si>
  <si>
    <r>
      <t>AP-42, Chapter 7 - Equation 1-7 (0.7*ΔT</t>
    </r>
    <r>
      <rPr>
        <vertAlign val="subscript"/>
        <sz val="9"/>
        <rFont val="Verdana"/>
        <family val="2"/>
      </rPr>
      <t>A</t>
    </r>
    <r>
      <rPr>
        <sz val="9"/>
        <rFont val="Verdana"/>
        <family val="2"/>
      </rPr>
      <t xml:space="preserve"> + 0.02*α*I)</t>
    </r>
  </si>
  <si>
    <r>
      <t>ΔT</t>
    </r>
    <r>
      <rPr>
        <vertAlign val="subscript"/>
        <sz val="9"/>
        <color theme="1"/>
        <rFont val="Verdana"/>
        <family val="2"/>
      </rPr>
      <t>A</t>
    </r>
    <r>
      <rPr>
        <sz val="9"/>
        <color theme="1"/>
        <rFont val="Verdana"/>
        <family val="2"/>
      </rPr>
      <t xml:space="preserve"> - Daily Ambient Temperature Range</t>
    </r>
  </si>
  <si>
    <r>
      <t>AP-42, Chapter 7 - Equation 1-11 (T</t>
    </r>
    <r>
      <rPr>
        <vertAlign val="subscript"/>
        <sz val="9"/>
        <color theme="1"/>
        <rFont val="Verdana"/>
        <family val="2"/>
      </rPr>
      <t>AX</t>
    </r>
    <r>
      <rPr>
        <sz val="9"/>
        <color theme="1"/>
        <rFont val="Verdana"/>
        <family val="2"/>
      </rPr>
      <t xml:space="preserve"> - T</t>
    </r>
    <r>
      <rPr>
        <vertAlign val="subscript"/>
        <sz val="9"/>
        <color theme="1"/>
        <rFont val="Verdana"/>
        <family val="2"/>
      </rPr>
      <t>AN</t>
    </r>
    <r>
      <rPr>
        <sz val="9"/>
        <color theme="1"/>
        <rFont val="Verdana"/>
        <family val="2"/>
      </rPr>
      <t>)</t>
    </r>
  </si>
  <si>
    <r>
      <t>K</t>
    </r>
    <r>
      <rPr>
        <vertAlign val="subscript"/>
        <sz val="9"/>
        <rFont val="Verdana"/>
        <family val="2"/>
      </rPr>
      <t>S</t>
    </r>
    <r>
      <rPr>
        <sz val="9"/>
        <rFont val="Verdana"/>
        <family val="2"/>
      </rPr>
      <t xml:space="preserve"> - Vented Vapor Saturation Factor</t>
    </r>
  </si>
  <si>
    <r>
      <t>AP-42, Chapter 7 - Equation 1-21 (1/(1 + 0.053P</t>
    </r>
    <r>
      <rPr>
        <vertAlign val="subscript"/>
        <sz val="9"/>
        <rFont val="Verdana"/>
        <family val="2"/>
      </rPr>
      <t>VA</t>
    </r>
    <r>
      <rPr>
        <sz val="9"/>
        <rFont val="Verdana"/>
        <family val="2"/>
      </rPr>
      <t>*H</t>
    </r>
    <r>
      <rPr>
        <vertAlign val="subscript"/>
        <sz val="9"/>
        <rFont val="Verdana"/>
        <family val="2"/>
      </rPr>
      <t>VO</t>
    </r>
    <r>
      <rPr>
        <sz val="9"/>
        <rFont val="Verdana"/>
        <family val="2"/>
      </rPr>
      <t>))</t>
    </r>
  </si>
  <si>
    <r>
      <t>W</t>
    </r>
    <r>
      <rPr>
        <vertAlign val="subscript"/>
        <sz val="9"/>
        <color theme="1"/>
        <rFont val="Verdana"/>
        <family val="2"/>
      </rPr>
      <t>v</t>
    </r>
    <r>
      <rPr>
        <sz val="9"/>
        <color theme="1"/>
        <rFont val="Verdana"/>
        <family val="2"/>
      </rPr>
      <t xml:space="preserve"> - Stock Vapor Density</t>
    </r>
  </si>
  <si>
    <r>
      <t>lb/ft</t>
    </r>
    <r>
      <rPr>
        <vertAlign val="superscript"/>
        <sz val="9"/>
        <color theme="1"/>
        <rFont val="Verdana"/>
        <family val="2"/>
      </rPr>
      <t>3</t>
    </r>
  </si>
  <si>
    <r>
      <t>AP-42, Chapter 7 - Equation 1-22 (Mv * P</t>
    </r>
    <r>
      <rPr>
        <vertAlign val="subscript"/>
        <sz val="9"/>
        <rFont val="Verdana"/>
        <family val="2"/>
      </rPr>
      <t>VA</t>
    </r>
    <r>
      <rPr>
        <sz val="9"/>
        <rFont val="Verdana"/>
        <family val="2"/>
      </rPr>
      <t>) / (R * T</t>
    </r>
    <r>
      <rPr>
        <vertAlign val="subscript"/>
        <sz val="9"/>
        <rFont val="Verdana"/>
        <family val="2"/>
      </rPr>
      <t>V</t>
    </r>
    <r>
      <rPr>
        <sz val="9"/>
        <rFont val="Verdana"/>
        <family val="2"/>
      </rPr>
      <t>)</t>
    </r>
  </si>
  <si>
    <r>
      <t>T</t>
    </r>
    <r>
      <rPr>
        <vertAlign val="subscript"/>
        <sz val="9"/>
        <rFont val="Verdana"/>
        <family val="2"/>
      </rPr>
      <t>V</t>
    </r>
    <r>
      <rPr>
        <sz val="9"/>
        <rFont val="Verdana"/>
        <family val="2"/>
      </rPr>
      <t xml:space="preserve"> - Average Vapor Temperature</t>
    </r>
  </si>
  <si>
    <r>
      <t>AP-42, Chapter 7 - Equation 1-33 (0.7*T</t>
    </r>
    <r>
      <rPr>
        <vertAlign val="subscript"/>
        <sz val="9"/>
        <rFont val="Verdana"/>
        <family val="2"/>
      </rPr>
      <t>AA</t>
    </r>
    <r>
      <rPr>
        <sz val="9"/>
        <rFont val="Verdana"/>
        <family val="2"/>
      </rPr>
      <t xml:space="preserve"> + 0.3T</t>
    </r>
    <r>
      <rPr>
        <vertAlign val="subscript"/>
        <sz val="9"/>
        <rFont val="Verdana"/>
        <family val="2"/>
      </rPr>
      <t>B</t>
    </r>
    <r>
      <rPr>
        <sz val="9"/>
        <rFont val="Verdana"/>
        <family val="2"/>
      </rPr>
      <t xml:space="preserve"> + 0.009α*I)</t>
    </r>
  </si>
  <si>
    <r>
      <t>T</t>
    </r>
    <r>
      <rPr>
        <vertAlign val="subscript"/>
        <sz val="9"/>
        <color theme="1"/>
        <rFont val="Verdana"/>
        <family val="2"/>
      </rPr>
      <t>AA</t>
    </r>
    <r>
      <rPr>
        <sz val="9"/>
        <color theme="1"/>
        <rFont val="Verdana"/>
        <family val="2"/>
      </rPr>
      <t xml:space="preserve"> - Daily Average Ambient Temperature</t>
    </r>
  </si>
  <si>
    <r>
      <t>AP-42, Chapter 7 - Equation 1-30 ((T</t>
    </r>
    <r>
      <rPr>
        <vertAlign val="subscript"/>
        <sz val="9"/>
        <color theme="1"/>
        <rFont val="Verdana"/>
        <family val="2"/>
      </rPr>
      <t>AX</t>
    </r>
    <r>
      <rPr>
        <sz val="9"/>
        <color theme="1"/>
        <rFont val="Verdana"/>
        <family val="2"/>
      </rPr>
      <t xml:space="preserve"> + T</t>
    </r>
    <r>
      <rPr>
        <vertAlign val="subscript"/>
        <sz val="9"/>
        <color theme="1"/>
        <rFont val="Verdana"/>
        <family val="2"/>
      </rPr>
      <t>AN</t>
    </r>
    <r>
      <rPr>
        <sz val="9"/>
        <color theme="1"/>
        <rFont val="Verdana"/>
        <family val="2"/>
      </rPr>
      <t>)/2)</t>
    </r>
  </si>
  <si>
    <r>
      <t>T</t>
    </r>
    <r>
      <rPr>
        <vertAlign val="subscript"/>
        <sz val="9"/>
        <color theme="1"/>
        <rFont val="Verdana"/>
        <family val="2"/>
      </rPr>
      <t>B</t>
    </r>
    <r>
      <rPr>
        <sz val="9"/>
        <color theme="1"/>
        <rFont val="Verdana"/>
        <family val="2"/>
      </rPr>
      <t xml:space="preserve"> - Liquid Bulk Temperature</t>
    </r>
  </si>
  <si>
    <r>
      <t>AP-42, Chapter 7 - Equation 1-31 (T</t>
    </r>
    <r>
      <rPr>
        <vertAlign val="subscript"/>
        <sz val="9"/>
        <rFont val="Verdana"/>
        <family val="2"/>
      </rPr>
      <t>AA</t>
    </r>
    <r>
      <rPr>
        <sz val="9"/>
        <rFont val="Verdana"/>
        <family val="2"/>
      </rPr>
      <t xml:space="preserve"> + 0.003αI)</t>
    </r>
  </si>
  <si>
    <r>
      <t>T</t>
    </r>
    <r>
      <rPr>
        <vertAlign val="subscript"/>
        <sz val="9"/>
        <rFont val="Verdana"/>
        <family val="2"/>
      </rPr>
      <t>LA</t>
    </r>
    <r>
      <rPr>
        <sz val="9"/>
        <rFont val="Verdana"/>
        <family val="2"/>
      </rPr>
      <t xml:space="preserve"> - Daily Average Liquid Surface Temperature</t>
    </r>
  </si>
  <si>
    <r>
      <t>AP-42, Chapter 7 - Equation 1-28 (0.4*T</t>
    </r>
    <r>
      <rPr>
        <vertAlign val="subscript"/>
        <sz val="9"/>
        <rFont val="Verdana"/>
        <family val="2"/>
      </rPr>
      <t>AA</t>
    </r>
    <r>
      <rPr>
        <sz val="9"/>
        <rFont val="Verdana"/>
        <family val="2"/>
      </rPr>
      <t xml:space="preserve"> + 0.6T</t>
    </r>
    <r>
      <rPr>
        <vertAlign val="subscript"/>
        <sz val="9"/>
        <rFont val="Verdana"/>
        <family val="2"/>
      </rPr>
      <t>B</t>
    </r>
    <r>
      <rPr>
        <sz val="9"/>
        <rFont val="Verdana"/>
        <family val="2"/>
      </rPr>
      <t xml:space="preserve"> + 0.005*α*I)</t>
    </r>
  </si>
  <si>
    <t>N - Number of Turnovers</t>
  </si>
  <si>
    <r>
      <t>K</t>
    </r>
    <r>
      <rPr>
        <vertAlign val="subscript"/>
        <sz val="9"/>
        <rFont val="Verdana"/>
        <family val="2"/>
      </rPr>
      <t>N</t>
    </r>
    <r>
      <rPr>
        <sz val="9"/>
        <rFont val="Verdana"/>
        <family val="2"/>
      </rPr>
      <t xml:space="preserve"> - Working Loss Turnover (Saturation) Factor</t>
    </r>
  </si>
  <si>
    <r>
      <t>AP-42, Chapter 7 - Page 7.1-28
(For N&gt;36, K</t>
    </r>
    <r>
      <rPr>
        <vertAlign val="subscript"/>
        <sz val="9"/>
        <rFont val="Verdana"/>
        <family val="2"/>
      </rPr>
      <t>N</t>
    </r>
    <r>
      <rPr>
        <sz val="9"/>
        <rFont val="Verdana"/>
        <family val="2"/>
      </rPr>
      <t xml:space="preserve"> = (180 + N)/6N; For N</t>
    </r>
    <r>
      <rPr>
        <sz val="9"/>
        <rFont val="Calibri"/>
        <family val="2"/>
      </rPr>
      <t>≤</t>
    </r>
    <r>
      <rPr>
        <sz val="9"/>
        <rFont val="Verdana"/>
        <family val="2"/>
      </rPr>
      <t>36, K</t>
    </r>
    <r>
      <rPr>
        <vertAlign val="subscript"/>
        <sz val="9"/>
        <rFont val="Verdana"/>
        <family val="2"/>
      </rPr>
      <t>N</t>
    </r>
    <r>
      <rPr>
        <sz val="9"/>
        <rFont val="Verdana"/>
        <family val="2"/>
      </rPr>
      <t xml:space="preserve"> = 1)</t>
    </r>
  </si>
  <si>
    <r>
      <t>V</t>
    </r>
    <r>
      <rPr>
        <vertAlign val="subscript"/>
        <sz val="9"/>
        <rFont val="Verdana"/>
        <family val="2"/>
      </rPr>
      <t>Q</t>
    </r>
    <r>
      <rPr>
        <sz val="9"/>
        <rFont val="Verdana"/>
        <family val="2"/>
      </rPr>
      <t xml:space="preserve"> - Net Working Loss Throughput</t>
    </r>
  </si>
  <si>
    <r>
      <t>ft</t>
    </r>
    <r>
      <rPr>
        <vertAlign val="superscript"/>
        <sz val="9"/>
        <rFont val="Verdana"/>
        <family val="2"/>
      </rPr>
      <t>3</t>
    </r>
    <r>
      <rPr>
        <sz val="9"/>
        <rFont val="Verdana"/>
        <family val="2"/>
      </rPr>
      <t>/yr</t>
    </r>
  </si>
  <si>
    <t>AP-42 Chapter 7 - Equation 1-39 (5.614*Q)</t>
  </si>
  <si>
    <r>
      <t>K</t>
    </r>
    <r>
      <rPr>
        <vertAlign val="subscript"/>
        <sz val="9"/>
        <rFont val="Verdana"/>
        <family val="2"/>
      </rPr>
      <t>p</t>
    </r>
    <r>
      <rPr>
        <sz val="9"/>
        <rFont val="Verdana"/>
        <family val="2"/>
      </rPr>
      <t xml:space="preserve"> - Working Loss Product Factor</t>
    </r>
  </si>
  <si>
    <t>AP-42 Chapter 7 - Page 7.1-28</t>
  </si>
  <si>
    <r>
      <t>K</t>
    </r>
    <r>
      <rPr>
        <vertAlign val="subscript"/>
        <sz val="9"/>
        <rFont val="Verdana"/>
        <family val="2"/>
      </rPr>
      <t>B</t>
    </r>
    <r>
      <rPr>
        <sz val="9"/>
        <rFont val="Verdana"/>
        <family val="2"/>
      </rPr>
      <t xml:space="preserve"> - Vent Setting Correction Factor</t>
    </r>
  </si>
  <si>
    <t>Potential VOC Emissions</t>
  </si>
  <si>
    <r>
      <t>L</t>
    </r>
    <r>
      <rPr>
        <vertAlign val="subscript"/>
        <sz val="9"/>
        <color theme="1"/>
        <rFont val="Verdana"/>
        <family val="2"/>
      </rPr>
      <t>s</t>
    </r>
    <r>
      <rPr>
        <sz val="9"/>
        <color theme="1"/>
        <rFont val="Verdana"/>
        <family val="2"/>
      </rPr>
      <t xml:space="preserve"> - Standing Loss</t>
    </r>
  </si>
  <si>
    <t>lbs/yr</t>
  </si>
  <si>
    <t>AP-42, Chapter 7 - Equation 1-2 (365 * Vv * Wv * Ke * Ks)</t>
  </si>
  <si>
    <r>
      <t>L</t>
    </r>
    <r>
      <rPr>
        <vertAlign val="subscript"/>
        <sz val="9"/>
        <color theme="1"/>
        <rFont val="Verdana"/>
        <family val="2"/>
      </rPr>
      <t>w</t>
    </r>
    <r>
      <rPr>
        <sz val="9"/>
        <color theme="1"/>
        <rFont val="Verdana"/>
        <family val="2"/>
      </rPr>
      <t xml:space="preserve"> - Working Loss</t>
    </r>
  </si>
  <si>
    <r>
      <t>AP-42, Chapter 7 - Equation 1-35 (V</t>
    </r>
    <r>
      <rPr>
        <vertAlign val="subscript"/>
        <sz val="9"/>
        <rFont val="Verdana"/>
        <family val="2"/>
      </rPr>
      <t>Q</t>
    </r>
    <r>
      <rPr>
        <sz val="9"/>
        <rFont val="Verdana"/>
        <family val="2"/>
      </rPr>
      <t xml:space="preserve"> * K</t>
    </r>
    <r>
      <rPr>
        <vertAlign val="subscript"/>
        <sz val="9"/>
        <rFont val="Verdana"/>
        <family val="2"/>
      </rPr>
      <t>N</t>
    </r>
    <r>
      <rPr>
        <sz val="9"/>
        <rFont val="Verdana"/>
        <family val="2"/>
      </rPr>
      <t xml:space="preserve"> * K</t>
    </r>
    <r>
      <rPr>
        <vertAlign val="subscript"/>
        <sz val="9"/>
        <rFont val="Verdana"/>
        <family val="2"/>
      </rPr>
      <t>p</t>
    </r>
    <r>
      <rPr>
        <sz val="9"/>
        <rFont val="Verdana"/>
        <family val="2"/>
      </rPr>
      <t xml:space="preserve"> * W</t>
    </r>
    <r>
      <rPr>
        <vertAlign val="subscript"/>
        <sz val="9"/>
        <rFont val="Verdana"/>
        <family val="2"/>
      </rPr>
      <t>V</t>
    </r>
    <r>
      <rPr>
        <sz val="9"/>
        <rFont val="Verdana"/>
        <family val="2"/>
      </rPr>
      <t xml:space="preserve"> * K</t>
    </r>
    <r>
      <rPr>
        <vertAlign val="subscript"/>
        <sz val="9"/>
        <rFont val="Verdana"/>
        <family val="2"/>
      </rPr>
      <t>B</t>
    </r>
    <r>
      <rPr>
        <sz val="9"/>
        <rFont val="Verdana"/>
        <family val="2"/>
      </rPr>
      <t>)</t>
    </r>
  </si>
  <si>
    <r>
      <t>L</t>
    </r>
    <r>
      <rPr>
        <vertAlign val="subscript"/>
        <sz val="9"/>
        <color theme="1"/>
        <rFont val="Verdana"/>
        <family val="2"/>
      </rPr>
      <t>t</t>
    </r>
    <r>
      <rPr>
        <sz val="9"/>
        <color theme="1"/>
        <rFont val="Verdana"/>
        <family val="2"/>
      </rPr>
      <t xml:space="preserve"> - Total Loss</t>
    </r>
  </si>
  <si>
    <t>AP-42, Chapter 7 - Equation 1-1 (Ls + Lw)</t>
  </si>
  <si>
    <t>Contingency Factor</t>
  </si>
  <si>
    <t>Assumed contingency factor to account for unaccounted variables.</t>
  </si>
  <si>
    <t>Total VOC Emissions per Tank</t>
  </si>
  <si>
    <t>Total VOC Emissions</t>
  </si>
  <si>
    <t>U.S. AP-42, Section 7.1 - Organic Liquid Storage Tanks, 07/2020</t>
  </si>
  <si>
    <t>IES-TK-1 through IES-TK-4</t>
  </si>
  <si>
    <t>AP-42, Chapter 7 - Table 7.1-7 for Norfolk, VA</t>
  </si>
  <si>
    <t>s - silt content (%) for bark based on NCASI Special Report 15-01 with appropriate contingency based on engineering judgement.</t>
  </si>
  <si>
    <t>Table 14</t>
  </si>
  <si>
    <t>Silt loading factor based on NCASI data and sampling data from a pellet manufacturing plant.</t>
  </si>
  <si>
    <r>
      <t>Silt Content (S)</t>
    </r>
    <r>
      <rPr>
        <b/>
        <vertAlign val="superscript"/>
        <sz val="9"/>
        <rFont val="Verdana"/>
        <family val="2"/>
      </rPr>
      <t>2</t>
    </r>
  </si>
  <si>
    <t xml:space="preserve">P = number of days with at least 0.01 in of precipitation during the averaging period = </t>
  </si>
  <si>
    <t>Potential emissions calculated from appropriate emission factor times vehicle miles traveled.</t>
  </si>
  <si>
    <r>
      <t>Empirical Constant 
(k)</t>
    </r>
    <r>
      <rPr>
        <b/>
        <vertAlign val="superscript"/>
        <sz val="9"/>
        <rFont val="Verdana"/>
        <family val="2"/>
      </rPr>
      <t>5</t>
    </r>
  </si>
  <si>
    <r>
      <t>Particle Constant 
a</t>
    </r>
    <r>
      <rPr>
        <b/>
        <vertAlign val="superscript"/>
        <sz val="9"/>
        <rFont val="Verdana"/>
        <family val="2"/>
      </rPr>
      <t>5</t>
    </r>
  </si>
  <si>
    <r>
      <t>Particle Constant 
b</t>
    </r>
    <r>
      <rPr>
        <b/>
        <vertAlign val="superscript"/>
        <sz val="9"/>
        <rFont val="Verdana"/>
        <family val="2"/>
      </rPr>
      <t>5</t>
    </r>
  </si>
  <si>
    <t>IES-BOIL-1 and IES-BOIL-2</t>
  </si>
  <si>
    <t>Potential Emissions from Natural Gas Boilers (IES-BOIL-1 and IES-BOIL-2)</t>
  </si>
  <si>
    <t>2</t>
  </si>
  <si>
    <t>3</t>
  </si>
  <si>
    <t>4</t>
  </si>
  <si>
    <t>5</t>
  </si>
  <si>
    <t>6</t>
  </si>
  <si>
    <t>ppmw (4)</t>
  </si>
  <si>
    <t>lb/hp-hr (5)</t>
  </si>
  <si>
    <t>lb/hp-hr (5)(6)</t>
  </si>
  <si>
    <t>IES-BOIL-1 and -2</t>
  </si>
  <si>
    <t>Two (2) Natural Gas-fired Boilers</t>
  </si>
  <si>
    <r>
      <t>Potential PM</t>
    </r>
    <r>
      <rPr>
        <b/>
        <vertAlign val="subscript"/>
        <sz val="9"/>
        <rFont val="Verdana"/>
        <family val="2"/>
      </rPr>
      <t>10</t>
    </r>
    <r>
      <rPr>
        <b/>
        <sz val="9"/>
        <rFont val="Verdana"/>
        <family val="2"/>
      </rPr>
      <t xml:space="preserve"> Emissions</t>
    </r>
    <r>
      <rPr>
        <b/>
        <vertAlign val="superscript"/>
        <sz val="9"/>
        <rFont val="Verdana"/>
        <family val="2"/>
      </rPr>
      <t>4</t>
    </r>
  </si>
  <si>
    <r>
      <t>Potential PM</t>
    </r>
    <r>
      <rPr>
        <b/>
        <vertAlign val="subscript"/>
        <sz val="9"/>
        <rFont val="Verdana"/>
        <family val="2"/>
      </rPr>
      <t>2.5</t>
    </r>
    <r>
      <rPr>
        <b/>
        <sz val="9"/>
        <rFont val="Verdana"/>
        <family val="2"/>
      </rPr>
      <t xml:space="preserve"> Emissions</t>
    </r>
    <r>
      <rPr>
        <b/>
        <vertAlign val="superscript"/>
        <sz val="9"/>
        <rFont val="Verdana"/>
        <family val="2"/>
      </rPr>
      <t>4</t>
    </r>
  </si>
  <si>
    <r>
      <t>Potential 
PM Emissions</t>
    </r>
    <r>
      <rPr>
        <b/>
        <vertAlign val="superscript"/>
        <sz val="9"/>
        <rFont val="Verdana"/>
        <family val="2"/>
      </rPr>
      <t>4</t>
    </r>
  </si>
  <si>
    <t>Total HAP Emissions (tpy):</t>
  </si>
  <si>
    <t>Maximum Individual HAP:</t>
  </si>
  <si>
    <t>Maximum Individual HAP Emissions (tpy):</t>
  </si>
  <si>
    <t>Total TAP (tpy):</t>
  </si>
  <si>
    <t>NCASI. Special Report No. 15-01: Estimating the Potential for PM2.5 Emissions from Wood and Bark Handling. Revised April 2015.</t>
  </si>
  <si>
    <t>Sulfur content in accordance with 40 CFR 1090.305 as required by NSPS Subpart IIII [§60.4207(b)].</t>
  </si>
  <si>
    <t>1 W =</t>
  </si>
  <si>
    <r>
      <t>Sulfur content in accordance with 40 CFR 1090.305 as required by NSPS Subpart IIII [</t>
    </r>
    <r>
      <rPr>
        <sz val="8"/>
        <rFont val="Calibri"/>
        <family val="2"/>
      </rPr>
      <t>§</t>
    </r>
    <r>
      <rPr>
        <sz val="8"/>
        <rFont val="Verdana"/>
        <family val="2"/>
      </rPr>
      <t>60.4207(b)].</t>
    </r>
  </si>
  <si>
    <r>
      <t>Based on applicable emission standard per Table 4 of NSPS Subpart IIII [</t>
    </r>
    <r>
      <rPr>
        <sz val="8"/>
        <rFont val="Calibri"/>
        <family val="2"/>
      </rPr>
      <t>§</t>
    </r>
    <r>
      <rPr>
        <sz val="8"/>
        <rFont val="Verdana"/>
        <family val="2"/>
      </rPr>
      <t xml:space="preserve">60.4205(c)]. </t>
    </r>
  </si>
  <si>
    <r>
      <t>Subpart IIII specifies a combined standard for NMHC+NO</t>
    </r>
    <r>
      <rPr>
        <vertAlign val="subscript"/>
        <sz val="8"/>
        <rFont val="Verdana"/>
        <family val="2"/>
      </rPr>
      <t>X</t>
    </r>
    <r>
      <rPr>
        <sz val="8"/>
        <rFont val="Verdana"/>
        <family val="2"/>
      </rPr>
      <t>. Based on guidance from the California Air Resource Board (CARB), 95% is assumed to be NO</t>
    </r>
    <r>
      <rPr>
        <vertAlign val="subscript"/>
        <sz val="8"/>
        <rFont val="Verdana"/>
        <family val="2"/>
      </rPr>
      <t>X</t>
    </r>
    <r>
      <rPr>
        <sz val="8"/>
        <rFont val="Verdana"/>
        <family val="2"/>
      </rPr>
      <t xml:space="preserve"> and 5% NMHC. Per the EPA NONROAD model, a VOC to NMHC ratio of 1.07 was assumed.</t>
    </r>
  </si>
  <si>
    <r>
      <t xml:space="preserve">   sL - mean road surface silt loading based on sampling data from a wood pellet manufacturing plant (g/m</t>
    </r>
    <r>
      <rPr>
        <vertAlign val="superscript"/>
        <sz val="8"/>
        <rFont val="Verdana"/>
        <family val="2"/>
      </rPr>
      <t>2</t>
    </r>
    <r>
      <rPr>
        <sz val="8"/>
        <rFont val="Verdana"/>
        <family val="2"/>
      </rPr>
      <t>)</t>
    </r>
  </si>
  <si>
    <t>Control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</si>
</sst>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_);_(* \(#,##0.0\);_(* &quot;-&quot;??_);_(@_)"/>
    <numFmt numFmtId="165" formatCode="_(* #,##0_);_(* \(#,##0\);_(* &quot;-&quot;??_);_(@_)"/>
    <numFmt numFmtId="166" formatCode="#,##0.0"/>
    <numFmt numFmtId="167" formatCode="0.0"/>
    <numFmt numFmtId="168" formatCode="0.000"/>
    <numFmt numFmtId="169" formatCode="0.000E+00"/>
    <numFmt numFmtId="170" formatCode="General_)"/>
    <numFmt numFmtId="171" formatCode="0.0000"/>
    <numFmt numFmtId="172" formatCode="_(* #,##0.000000_);_(* \(#,##0.000000\);_(* &quot;-&quot;??_);_(@_)"/>
    <numFmt numFmtId="173" formatCode="&quot;$&quot;#,##0\ ;\(&quot;$&quot;#,##0\)"/>
    <numFmt numFmtId="174" formatCode="###0.0_);[Red]\(###0.0\)"/>
    <numFmt numFmtId="175" formatCode="mm/dd/yy"/>
    <numFmt numFmtId="176" formatCode="0.0%"/>
    <numFmt numFmtId="177" formatCode="_(* #,##0.0_);_(* \(#,##0.0\);_(* &quot;-&quot;?_);_(@_)"/>
    <numFmt numFmtId="178" formatCode="0.00000"/>
    <numFmt numFmtId="179" formatCode="0.0E+00"/>
    <numFmt numFmtId="180" formatCode="0.0000E+00"/>
    <numFmt numFmtId="181" formatCode="#,##0.0_);\(#,##0.0\)"/>
    <numFmt numFmtId="182" formatCode="#,##0.000"/>
    <numFmt numFmtId="183" formatCode="#,##0.0000"/>
    <numFmt numFmtId="184" formatCode="0.0000000000"/>
  </numFmts>
  <fonts count="83">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sz val="11"/>
      <color indexed="8"/>
      <name val="Calibri"/>
      <family val="2"/>
    </font>
    <font>
      <sz val="9"/>
      <name val="Times New Roman"/>
      <family val="1"/>
    </font>
    <font>
      <sz val="11"/>
      <color theme="1"/>
      <name val="Times New Roman"/>
      <family val="1"/>
    </font>
    <font>
      <sz val="11"/>
      <name val="Times New Roman"/>
      <family val="1"/>
    </font>
    <font>
      <sz val="10"/>
      <name val="Arial"/>
      <family val="2"/>
    </font>
    <font>
      <sz val="12"/>
      <name val="Times New Roman"/>
      <family val="1"/>
    </font>
    <font>
      <sz val="8"/>
      <name val="Times New Roman"/>
      <family val="1"/>
    </font>
    <font>
      <sz val="10"/>
      <name val="MS Serif"/>
      <family val="1"/>
    </font>
    <font>
      <sz val="10"/>
      <color indexed="16"/>
      <name val="MS Serif"/>
      <family val="1"/>
    </font>
    <font>
      <sz val="8"/>
      <name val="Arial"/>
      <family val="2"/>
    </font>
    <font>
      <b/>
      <sz val="12"/>
      <name val="Arial"/>
      <family val="2"/>
    </font>
    <font>
      <b/>
      <sz val="8"/>
      <name val="MS Sans Serif"/>
      <family val="2"/>
    </font>
    <font>
      <sz val="12"/>
      <color indexed="12"/>
      <name val="Times New Roman"/>
      <family val="1"/>
    </font>
    <font>
      <sz val="8"/>
      <name val="Wingdings"/>
      <charset val="2"/>
    </font>
    <font>
      <sz val="8"/>
      <name val="Helv"/>
    </font>
    <font>
      <sz val="8"/>
      <name val="MS Sans Serif"/>
      <family val="2"/>
    </font>
    <font>
      <b/>
      <sz val="8"/>
      <color indexed="8"/>
      <name val="Helv"/>
    </font>
    <font>
      <b/>
      <sz val="14"/>
      <color theme="1"/>
      <name val="Times New Roman"/>
      <family val="1"/>
    </font>
    <font>
      <sz val="10"/>
      <color theme="1"/>
      <name val="Times New Roman"/>
      <family val="1"/>
    </font>
    <font>
      <b/>
      <sz val="10"/>
      <color theme="1"/>
      <name val="Times New Roman"/>
      <family val="1"/>
    </font>
    <font>
      <sz val="10"/>
      <name val="Palatino"/>
      <family val="1"/>
    </font>
    <font>
      <sz val="9"/>
      <name val="Verdana"/>
      <family val="2"/>
    </font>
    <font>
      <sz val="11"/>
      <color rgb="FFFF0000"/>
      <name val="Calibri"/>
      <family val="2"/>
      <scheme val="minor"/>
    </font>
    <font>
      <sz val="10"/>
      <color theme="1"/>
      <name val="Verdana"/>
      <family val="2"/>
    </font>
    <font>
      <b/>
      <sz val="10"/>
      <color theme="1"/>
      <name val="Verdana"/>
      <family val="2"/>
    </font>
    <font>
      <b/>
      <sz val="10"/>
      <name val="Verdana"/>
      <family val="2"/>
    </font>
    <font>
      <sz val="10"/>
      <name val="Verdana"/>
      <family val="2"/>
    </font>
    <font>
      <sz val="9"/>
      <color theme="1"/>
      <name val="Verdana"/>
      <family val="2"/>
    </font>
    <font>
      <b/>
      <sz val="9"/>
      <name val="Verdana"/>
      <family val="2"/>
    </font>
    <font>
      <b/>
      <sz val="9"/>
      <color theme="1"/>
      <name val="Verdana"/>
      <family val="2"/>
    </font>
    <font>
      <sz val="9"/>
      <color rgb="FFFF0000"/>
      <name val="Verdana"/>
      <family val="2"/>
    </font>
    <font>
      <b/>
      <vertAlign val="superscript"/>
      <sz val="9"/>
      <name val="Verdana"/>
      <family val="2"/>
    </font>
    <font>
      <b/>
      <u/>
      <sz val="9"/>
      <name val="Verdana"/>
      <family val="2"/>
    </font>
    <font>
      <vertAlign val="superscript"/>
      <sz val="9"/>
      <name val="Verdana"/>
      <family val="2"/>
    </font>
    <font>
      <b/>
      <sz val="9"/>
      <color rgb="FFFF0000"/>
      <name val="Verdana"/>
      <family val="2"/>
    </font>
    <font>
      <vertAlign val="subscript"/>
      <sz val="9"/>
      <name val="Verdana"/>
      <family val="2"/>
    </font>
    <font>
      <sz val="10"/>
      <name val="Book Antiqua"/>
      <family val="1"/>
    </font>
    <font>
      <vertAlign val="subscript"/>
      <sz val="9"/>
      <color theme="1"/>
      <name val="Verdana"/>
      <family val="2"/>
    </font>
    <font>
      <b/>
      <vertAlign val="superscript"/>
      <sz val="9"/>
      <color theme="1"/>
      <name val="Verdana"/>
      <family val="2"/>
    </font>
    <font>
      <b/>
      <vertAlign val="subscript"/>
      <sz val="9"/>
      <color theme="1"/>
      <name val="Verdana"/>
      <family val="2"/>
    </font>
    <font>
      <sz val="9"/>
      <color rgb="FF000000"/>
      <name val="Verdana"/>
      <family val="2"/>
    </font>
    <font>
      <b/>
      <vertAlign val="subscript"/>
      <sz val="9"/>
      <name val="Verdana"/>
      <family val="2"/>
    </font>
    <font>
      <b/>
      <u/>
      <sz val="9"/>
      <color rgb="FF000000"/>
      <name val="Verdana"/>
      <family val="2"/>
    </font>
    <font>
      <sz val="8"/>
      <color theme="1"/>
      <name val="Verdana"/>
      <family val="2"/>
    </font>
    <font>
      <vertAlign val="superscript"/>
      <sz val="9"/>
      <color theme="1"/>
      <name val="Verdana"/>
      <family val="2"/>
    </font>
    <font>
      <vertAlign val="subscript"/>
      <sz val="8"/>
      <color theme="1"/>
      <name val="Verdana"/>
      <family val="2"/>
    </font>
    <font>
      <sz val="11"/>
      <name val="Verdana"/>
      <family val="2"/>
    </font>
    <font>
      <b/>
      <sz val="11"/>
      <color rgb="FFFF0000"/>
      <name val="Verdana"/>
      <family val="2"/>
    </font>
    <font>
      <sz val="11"/>
      <color theme="1"/>
      <name val="Verdana"/>
      <family val="2"/>
    </font>
    <font>
      <b/>
      <sz val="11"/>
      <name val="Verdana"/>
      <family val="2"/>
    </font>
    <font>
      <b/>
      <u/>
      <sz val="8"/>
      <name val="Verdana"/>
      <family val="2"/>
    </font>
    <font>
      <sz val="8"/>
      <name val="Verdana"/>
      <family val="2"/>
    </font>
    <font>
      <vertAlign val="superscript"/>
      <sz val="8"/>
      <name val="Verdana"/>
      <family val="2"/>
    </font>
    <font>
      <vertAlign val="subscript"/>
      <sz val="8"/>
      <name val="Verdana"/>
      <family val="2"/>
    </font>
    <font>
      <sz val="9"/>
      <color rgb="FF00B050"/>
      <name val="Verdana"/>
      <family val="2"/>
    </font>
    <font>
      <sz val="8"/>
      <color rgb="FFFF0000"/>
      <name val="Verdana"/>
      <family val="2"/>
    </font>
    <font>
      <sz val="9"/>
      <color rgb="FF7030A0"/>
      <name val="Verdana"/>
      <family val="2"/>
    </font>
    <font>
      <i/>
      <sz val="8"/>
      <name val="Verdana"/>
      <family val="2"/>
    </font>
    <font>
      <b/>
      <sz val="9"/>
      <color rgb="FF00B050"/>
      <name val="Verdana"/>
      <family val="2"/>
    </font>
    <font>
      <b/>
      <u/>
      <sz val="8"/>
      <color theme="1"/>
      <name val="Verdana"/>
      <family val="2"/>
    </font>
    <font>
      <sz val="8"/>
      <color theme="1"/>
      <name val="Calibri"/>
      <family val="2"/>
      <scheme val="minor"/>
    </font>
    <font>
      <b/>
      <u/>
      <sz val="8"/>
      <color rgb="FF000000"/>
      <name val="Verdana"/>
      <family val="2"/>
    </font>
    <font>
      <sz val="8"/>
      <color rgb="FF000000"/>
      <name val="Verdana"/>
      <family val="2"/>
    </font>
    <font>
      <sz val="9"/>
      <color theme="0"/>
      <name val="Verdana"/>
      <family val="2"/>
    </font>
    <font>
      <sz val="9"/>
      <color indexed="8"/>
      <name val="Verdana"/>
      <family val="2"/>
    </font>
    <font>
      <sz val="11"/>
      <color rgb="FFFF0000"/>
      <name val="Verdana"/>
      <family val="2"/>
    </font>
    <font>
      <b/>
      <u/>
      <sz val="8"/>
      <color rgb="FFFF0000"/>
      <name val="Verdana"/>
      <family val="2"/>
    </font>
    <font>
      <sz val="8"/>
      <name val="Calibri"/>
      <family val="2"/>
      <scheme val="minor"/>
    </font>
    <font>
      <b/>
      <sz val="9"/>
      <color indexed="8"/>
      <name val="Verdana"/>
      <family val="2"/>
    </font>
    <font>
      <sz val="11"/>
      <color rgb="FF00B050"/>
      <name val="Times New Roman"/>
      <family val="1"/>
    </font>
    <font>
      <sz val="10"/>
      <color rgb="FFFF0000"/>
      <name val="Times New Roman"/>
      <family val="1"/>
    </font>
    <font>
      <sz val="8"/>
      <name val="Calibri"/>
      <family val="2"/>
    </font>
    <font>
      <sz val="10"/>
      <color rgb="FFFF0000"/>
      <name val="Verdana"/>
      <family val="2"/>
    </font>
    <font>
      <sz val="11"/>
      <color theme="1"/>
      <name val="Arial"/>
      <family val="2"/>
    </font>
    <font>
      <sz val="11"/>
      <color rgb="FFFF0000"/>
      <name val="Arial"/>
      <family val="2"/>
    </font>
    <font>
      <strike/>
      <sz val="11"/>
      <color rgb="FFFF0000"/>
      <name val="Arial"/>
      <family val="2"/>
    </font>
    <font>
      <sz val="9"/>
      <name val="Calibri"/>
      <family val="2"/>
    </font>
    <font>
      <vertAlign val="subscript"/>
      <sz val="9"/>
      <color rgb="FF000000"/>
      <name val="Verdana"/>
      <family val="2"/>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darkVertical"/>
    </fill>
    <fill>
      <patternFill patternType="solid">
        <fgColor indexed="22"/>
        <bgColor indexed="9"/>
      </patternFill>
    </fill>
    <fill>
      <patternFill patternType="solid">
        <fgColor theme="6"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double">
        <color indexed="64"/>
      </top>
      <bottom style="thin">
        <color indexed="64"/>
      </bottom>
      <diagonal/>
    </border>
    <border>
      <left style="thin">
        <color indexed="64"/>
      </left>
      <right/>
      <top style="medium">
        <color indexed="64"/>
      </top>
      <bottom style="thin">
        <color indexed="64"/>
      </bottom>
      <diagonal/>
    </border>
    <border>
      <left style="double">
        <color auto="1"/>
      </left>
      <right style="thin">
        <color indexed="64"/>
      </right>
      <top style="thin">
        <color auto="1"/>
      </top>
      <bottom style="thin">
        <color indexed="64"/>
      </bottom>
      <diagonal/>
    </border>
    <border>
      <left style="double">
        <color indexed="64"/>
      </left>
      <right style="thin">
        <color auto="1"/>
      </right>
      <top/>
      <bottom style="double">
        <color auto="1"/>
      </bottom>
      <diagonal/>
    </border>
    <border>
      <left style="double">
        <color auto="1"/>
      </left>
      <right style="thin">
        <color auto="1"/>
      </right>
      <top style="double">
        <color auto="1"/>
      </top>
      <bottom style="thin">
        <color auto="1"/>
      </bottom>
      <diagonal/>
    </border>
    <border>
      <left style="thin">
        <color indexed="64"/>
      </left>
      <right/>
      <top style="double">
        <color auto="1"/>
      </top>
      <bottom style="thin">
        <color indexed="64"/>
      </bottom>
      <diagonal/>
    </border>
    <border>
      <left/>
      <right style="double">
        <color indexed="64"/>
      </right>
      <top style="double">
        <color indexed="64"/>
      </top>
      <bottom style="thin">
        <color indexed="64"/>
      </bottom>
      <diagonal/>
    </border>
    <border>
      <left/>
      <right style="double">
        <color auto="1"/>
      </right>
      <top style="thin">
        <color auto="1"/>
      </top>
      <bottom style="thin">
        <color auto="1"/>
      </bottom>
      <diagonal/>
    </border>
    <border>
      <left style="double">
        <color indexed="64"/>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style="thin">
        <color indexed="64"/>
      </right>
      <top style="double">
        <color auto="1"/>
      </top>
      <bottom style="thin">
        <color indexed="64"/>
      </bottom>
      <diagonal/>
    </border>
    <border>
      <left style="thin">
        <color indexed="64"/>
      </left>
      <right style="thin">
        <color indexed="64"/>
      </right>
      <top/>
      <bottom style="double">
        <color indexed="64"/>
      </bottom>
      <diagonal/>
    </border>
    <border>
      <left style="thin">
        <color auto="1"/>
      </left>
      <right style="thin">
        <color auto="1"/>
      </right>
      <top style="thin">
        <color auto="1"/>
      </top>
      <bottom style="double">
        <color auto="1"/>
      </bottom>
      <diagonal/>
    </border>
    <border>
      <left style="thin">
        <color indexed="64"/>
      </left>
      <right style="double">
        <color auto="1"/>
      </right>
      <top style="thin">
        <color auto="1"/>
      </top>
      <bottom style="double">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auto="1"/>
      </top>
      <bottom style="double">
        <color indexed="64"/>
      </bottom>
      <diagonal/>
    </border>
    <border>
      <left/>
      <right style="thin">
        <color indexed="64"/>
      </right>
      <top style="thin">
        <color auto="1"/>
      </top>
      <bottom style="double">
        <color indexed="64"/>
      </bottom>
      <diagonal/>
    </border>
    <border>
      <left style="thin">
        <color auto="1"/>
      </left>
      <right/>
      <top style="thin">
        <color auto="1"/>
      </top>
      <bottom style="double">
        <color auto="1"/>
      </bottom>
      <diagonal/>
    </border>
    <border>
      <left style="double">
        <color auto="1"/>
      </left>
      <right/>
      <top/>
      <bottom style="double">
        <color indexed="64"/>
      </bottom>
      <diagonal/>
    </border>
    <border>
      <left/>
      <right/>
      <top/>
      <bottom style="double">
        <color indexed="64"/>
      </bottom>
      <diagonal/>
    </border>
    <border>
      <left style="thin">
        <color indexed="64"/>
      </left>
      <right style="double">
        <color auto="1"/>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auto="1"/>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double">
        <color auto="1"/>
      </top>
      <bottom/>
      <diagonal/>
    </border>
    <border>
      <left/>
      <right style="thin">
        <color indexed="64"/>
      </right>
      <top/>
      <bottom style="double">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thin">
        <color indexed="64"/>
      </bottom>
      <diagonal/>
    </border>
    <border>
      <left style="double">
        <color auto="1"/>
      </left>
      <right style="thin">
        <color indexed="64"/>
      </right>
      <top style="thin">
        <color auto="1"/>
      </top>
      <bottom/>
      <diagonal/>
    </border>
    <border>
      <left style="thin">
        <color indexed="64"/>
      </left>
      <right style="double">
        <color auto="1"/>
      </right>
      <top/>
      <bottom/>
      <diagonal/>
    </border>
    <border>
      <left style="double">
        <color auto="1"/>
      </left>
      <right style="thin">
        <color indexed="64"/>
      </right>
      <top style="thin">
        <color auto="1"/>
      </top>
      <bottom style="medium">
        <color indexed="64"/>
      </bottom>
      <diagonal/>
    </border>
    <border>
      <left style="thin">
        <color indexed="64"/>
      </left>
      <right style="double">
        <color auto="1"/>
      </right>
      <top style="thin">
        <color auto="1"/>
      </top>
      <bottom style="medium">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style="double">
        <color auto="1"/>
      </right>
      <top/>
      <bottom style="double">
        <color auto="1"/>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double">
        <color indexed="64"/>
      </top>
      <bottom style="double">
        <color auto="1"/>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diagonal/>
    </border>
    <border>
      <left style="double">
        <color auto="1"/>
      </left>
      <right style="thin">
        <color indexed="64"/>
      </right>
      <top/>
      <bottom/>
      <diagonal/>
    </border>
    <border>
      <left/>
      <right style="thin">
        <color indexed="64"/>
      </right>
      <top style="double">
        <color auto="1"/>
      </top>
      <bottom style="thin">
        <color indexed="64"/>
      </bottom>
      <diagonal/>
    </border>
    <border>
      <left style="thin">
        <color auto="1"/>
      </left>
      <right style="double">
        <color auto="1"/>
      </right>
      <top style="medium">
        <color auto="1"/>
      </top>
      <bottom style="thin">
        <color auto="1"/>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double">
        <color auto="1"/>
      </right>
      <top style="thin">
        <color auto="1"/>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auto="1"/>
      </top>
      <bottom style="double">
        <color indexed="64"/>
      </bottom>
      <diagonal/>
    </border>
    <border>
      <left style="thin">
        <color indexed="64"/>
      </left>
      <right style="double">
        <color auto="1"/>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style="double">
        <color auto="1"/>
      </top>
      <bottom style="thin">
        <color indexed="64"/>
      </bottom>
      <diagonal/>
    </border>
    <border>
      <left style="thin">
        <color indexed="64"/>
      </left>
      <right/>
      <top style="double">
        <color indexed="64"/>
      </top>
      <bottom style="double">
        <color indexed="64"/>
      </bottom>
      <diagonal/>
    </border>
  </borders>
  <cellStyleXfs count="66">
    <xf numFmtId="0" fontId="0" fillId="0" borderId="0"/>
    <xf numFmtId="9"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3" fillId="0" borderId="0"/>
    <xf numFmtId="0" fontId="3" fillId="0" borderId="0"/>
    <xf numFmtId="0" fontId="4" fillId="0" borderId="0"/>
    <xf numFmtId="0" fontId="4" fillId="0" borderId="0"/>
    <xf numFmtId="9" fontId="5" fillId="0" borderId="0" applyFont="0" applyFill="0" applyBorder="0" applyAlignment="0" applyProtection="0"/>
    <xf numFmtId="43" fontId="2" fillId="0" borderId="0" applyFont="0" applyFill="0" applyBorder="0" applyAlignment="0" applyProtection="0"/>
    <xf numFmtId="0" fontId="9" fillId="0" borderId="0"/>
    <xf numFmtId="9" fontId="9" fillId="0" borderId="0" applyFont="0" applyFill="0" applyBorder="0" applyAlignment="0" applyProtection="0"/>
    <xf numFmtId="0" fontId="11" fillId="0" borderId="0">
      <alignment horizontal="center" wrapText="1"/>
      <protection locked="0"/>
    </xf>
    <xf numFmtId="170" fontId="10" fillId="0" borderId="8"/>
    <xf numFmtId="172" fontId="4" fillId="0" borderId="0" applyFill="0" applyBorder="0" applyAlignment="0"/>
    <xf numFmtId="3" fontId="4" fillId="0" borderId="0" applyFont="0" applyFill="0" applyBorder="0" applyAlignment="0" applyProtection="0"/>
    <xf numFmtId="0" fontId="12" fillId="0" borderId="0" applyNumberFormat="0" applyAlignment="0">
      <alignment horizontal="left"/>
    </xf>
    <xf numFmtId="173" fontId="4" fillId="0" borderId="0" applyFont="0" applyFill="0" applyBorder="0" applyAlignment="0" applyProtection="0"/>
    <xf numFmtId="0" fontId="4" fillId="0" borderId="0" applyFont="0" applyFill="0" applyBorder="0" applyAlignment="0" applyProtection="0"/>
    <xf numFmtId="0" fontId="13" fillId="0" borderId="0" applyNumberFormat="0" applyAlignment="0">
      <alignment horizontal="left"/>
    </xf>
    <xf numFmtId="2" fontId="4" fillId="0" borderId="0" applyFont="0" applyFill="0" applyBorder="0" applyAlignment="0" applyProtection="0"/>
    <xf numFmtId="38" fontId="14" fillId="3" borderId="0" applyNumberFormat="0" applyBorder="0" applyAlignment="0" applyProtection="0"/>
    <xf numFmtId="0" fontId="15" fillId="0" borderId="18" applyNumberFormat="0" applyAlignment="0" applyProtection="0">
      <alignment horizontal="left" vertical="center"/>
    </xf>
    <xf numFmtId="0" fontId="15" fillId="0" borderId="12">
      <alignment horizontal="left" vertical="center"/>
    </xf>
    <xf numFmtId="0" fontId="16" fillId="0" borderId="17">
      <alignment horizontal="center"/>
    </xf>
    <xf numFmtId="0" fontId="16" fillId="0" borderId="0">
      <alignment horizontal="center"/>
    </xf>
    <xf numFmtId="10" fontId="14" fillId="4" borderId="1" applyNumberFormat="0" applyBorder="0" applyAlignment="0" applyProtection="0"/>
    <xf numFmtId="0" fontId="17" fillId="0" borderId="19">
      <protection locked="0"/>
    </xf>
    <xf numFmtId="174" fontId="4" fillId="0" borderId="0"/>
    <xf numFmtId="14" fontId="11" fillId="0" borderId="0">
      <alignment horizontal="center" wrapText="1"/>
      <protection locked="0"/>
    </xf>
    <xf numFmtId="10" fontId="4" fillId="0" borderId="0" applyFont="0" applyFill="0" applyBorder="0" applyAlignment="0" applyProtection="0"/>
    <xf numFmtId="0" fontId="18" fillId="5" borderId="0" applyNumberFormat="0" applyFont="0" applyBorder="0" applyAlignment="0">
      <alignment horizontal="center"/>
    </xf>
    <xf numFmtId="175" fontId="19" fillId="0" borderId="0" applyNumberFormat="0" applyFill="0" applyBorder="0" applyAlignment="0" applyProtection="0">
      <alignment horizontal="left"/>
    </xf>
    <xf numFmtId="0" fontId="14" fillId="6" borderId="0"/>
    <xf numFmtId="0" fontId="18" fillId="1" borderId="12" applyNumberFormat="0" applyFont="0" applyAlignment="0">
      <alignment horizontal="center"/>
    </xf>
    <xf numFmtId="0" fontId="20" fillId="0" borderId="0" applyNumberFormat="0" applyFill="0" applyBorder="0" applyAlignment="0">
      <alignment horizontal="center"/>
    </xf>
    <xf numFmtId="40" fontId="21" fillId="0" borderId="0" applyBorder="0">
      <alignment horizontal="right"/>
    </xf>
    <xf numFmtId="0" fontId="25" fillId="0" borderId="0"/>
    <xf numFmtId="9" fontId="25"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1"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cellStyleXfs>
  <cellXfs count="1609">
    <xf numFmtId="0" fontId="0" fillId="0" borderId="0" xfId="0"/>
    <xf numFmtId="0" fontId="3" fillId="0" borderId="0" xfId="0" applyFont="1" applyFill="1"/>
    <xf numFmtId="0" fontId="23" fillId="0" borderId="0" xfId="0" applyFont="1" applyFill="1"/>
    <xf numFmtId="0" fontId="0" fillId="0" borderId="0" xfId="0" applyAlignment="1">
      <alignment horizontal="center"/>
    </xf>
    <xf numFmtId="0" fontId="26" fillId="0" borderId="21" xfId="46" applyFont="1" applyFill="1" applyBorder="1" applyAlignment="1">
      <alignment horizontal="left" vertical="center" wrapText="1"/>
    </xf>
    <xf numFmtId="0" fontId="32" fillId="0" borderId="0" xfId="0" applyFont="1"/>
    <xf numFmtId="0" fontId="32" fillId="0" borderId="0" xfId="0" applyFont="1" applyAlignment="1">
      <alignment horizontal="centerContinuous"/>
    </xf>
    <xf numFmtId="0" fontId="33" fillId="0" borderId="0" xfId="0" applyFont="1" applyBorder="1" applyAlignment="1">
      <alignment horizontal="left" vertical="center"/>
    </xf>
    <xf numFmtId="0" fontId="26" fillId="0" borderId="0" xfId="0" applyFont="1" applyBorder="1" applyAlignment="1">
      <alignment horizontal="centerContinuous" vertical="center"/>
    </xf>
    <xf numFmtId="0" fontId="26" fillId="0" borderId="23" xfId="46" applyFont="1" applyFill="1" applyBorder="1" applyAlignment="1">
      <alignment vertical="center"/>
    </xf>
    <xf numFmtId="0" fontId="26" fillId="0" borderId="25" xfId="46" applyFont="1" applyFill="1" applyBorder="1" applyAlignment="1">
      <alignment horizontal="left" vertical="center"/>
    </xf>
    <xf numFmtId="0" fontId="26" fillId="0" borderId="0" xfId="46" applyFont="1" applyFill="1" applyBorder="1" applyAlignment="1">
      <alignment horizontal="centerContinuous" vertical="center"/>
    </xf>
    <xf numFmtId="0" fontId="26" fillId="0" borderId="21" xfId="46" applyFont="1" applyFill="1" applyBorder="1" applyAlignment="1">
      <alignment vertical="center"/>
    </xf>
    <xf numFmtId="3" fontId="26" fillId="0" borderId="11" xfId="46" applyNumberFormat="1" applyFont="1" applyFill="1" applyBorder="1" applyAlignment="1">
      <alignment vertical="center"/>
    </xf>
    <xf numFmtId="0" fontId="26" fillId="0" borderId="26" xfId="46" applyFont="1" applyFill="1" applyBorder="1" applyAlignment="1">
      <alignment horizontal="left" vertical="center"/>
    </xf>
    <xf numFmtId="3" fontId="26" fillId="0" borderId="11" xfId="46" applyNumberFormat="1" applyFont="1" applyFill="1" applyBorder="1" applyAlignment="1">
      <alignment vertical="center" wrapText="1"/>
    </xf>
    <xf numFmtId="1" fontId="26" fillId="0" borderId="26" xfId="46" applyNumberFormat="1" applyFont="1" applyFill="1" applyBorder="1" applyAlignment="1">
      <alignment horizontal="left" vertical="center" wrapText="1"/>
    </xf>
    <xf numFmtId="1" fontId="26" fillId="0" borderId="0" xfId="46" applyNumberFormat="1" applyFont="1" applyFill="1" applyBorder="1" applyAlignment="1">
      <alignment horizontal="center" vertical="center" wrapText="1"/>
    </xf>
    <xf numFmtId="0" fontId="35" fillId="0" borderId="0" xfId="0" applyFont="1"/>
    <xf numFmtId="0" fontId="26" fillId="0" borderId="0" xfId="0" applyFont="1"/>
    <xf numFmtId="0" fontId="26" fillId="0" borderId="0" xfId="0" applyFont="1" applyAlignment="1">
      <alignment vertical="center"/>
    </xf>
    <xf numFmtId="0" fontId="26" fillId="0" borderId="0" xfId="0" applyFont="1" applyFill="1" applyAlignment="1"/>
    <xf numFmtId="0" fontId="34" fillId="0" borderId="0" xfId="0" applyFont="1"/>
    <xf numFmtId="0" fontId="33" fillId="2" borderId="29" xfId="0" applyFont="1" applyFill="1" applyBorder="1" applyAlignment="1">
      <alignment horizontal="center" vertical="center" wrapText="1"/>
    </xf>
    <xf numFmtId="0" fontId="34" fillId="2" borderId="31" xfId="0" applyFont="1" applyFill="1" applyBorder="1" applyAlignment="1">
      <alignment horizontal="center" vertical="center"/>
    </xf>
    <xf numFmtId="0" fontId="34" fillId="2" borderId="32" xfId="0" applyFont="1" applyFill="1" applyBorder="1" applyAlignment="1">
      <alignment horizontal="center" vertical="center"/>
    </xf>
    <xf numFmtId="0" fontId="38" fillId="0" borderId="0" xfId="0" quotePrefix="1" applyFont="1" applyAlignment="1">
      <alignment horizontal="right" vertical="top"/>
    </xf>
    <xf numFmtId="0" fontId="26" fillId="0" borderId="0" xfId="48" applyFont="1" applyFill="1" applyBorder="1" applyAlignment="1">
      <alignment vertical="top"/>
    </xf>
    <xf numFmtId="0" fontId="26" fillId="0" borderId="0" xfId="0" applyFont="1" applyFill="1" applyAlignment="1">
      <alignment vertical="center"/>
    </xf>
    <xf numFmtId="0" fontId="27" fillId="0" borderId="0" xfId="0" applyFont="1"/>
    <xf numFmtId="0" fontId="33" fillId="0" borderId="14" xfId="0" applyFont="1" applyFill="1" applyBorder="1"/>
    <xf numFmtId="0" fontId="33" fillId="0" borderId="0" xfId="0" applyFont="1"/>
    <xf numFmtId="0" fontId="39" fillId="0" borderId="0" xfId="0" applyFont="1"/>
    <xf numFmtId="0" fontId="26" fillId="0" borderId="29" xfId="0" applyFont="1" applyFill="1" applyBorder="1" applyAlignment="1">
      <alignment vertical="center"/>
    </xf>
    <xf numFmtId="0" fontId="26" fillId="0" borderId="31" xfId="0" applyFont="1" applyFill="1" applyBorder="1" applyAlignment="1">
      <alignment vertical="center"/>
    </xf>
    <xf numFmtId="0" fontId="26" fillId="0" borderId="21" xfId="0" applyFont="1" applyBorder="1" applyAlignment="1">
      <alignment vertical="center"/>
    </xf>
    <xf numFmtId="0" fontId="26" fillId="0" borderId="1" xfId="0" applyFont="1" applyFill="1" applyBorder="1" applyAlignment="1">
      <alignment vertical="center"/>
    </xf>
    <xf numFmtId="0" fontId="26" fillId="0" borderId="21" xfId="0" applyFont="1" applyBorder="1" applyAlignment="1">
      <alignment horizontal="left" vertical="center"/>
    </xf>
    <xf numFmtId="0" fontId="33" fillId="2" borderId="32" xfId="0" applyFont="1" applyFill="1" applyBorder="1" applyAlignment="1">
      <alignment horizontal="center" vertical="center"/>
    </xf>
    <xf numFmtId="168" fontId="26" fillId="0" borderId="0" xfId="0" applyNumberFormat="1" applyFont="1" applyFill="1"/>
    <xf numFmtId="1" fontId="26" fillId="0" borderId="24" xfId="46" applyNumberFormat="1" applyFont="1" applyFill="1" applyBorder="1" applyAlignment="1">
      <alignment vertical="center"/>
    </xf>
    <xf numFmtId="0" fontId="33" fillId="2" borderId="28"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26" fillId="0" borderId="39" xfId="0" applyFont="1" applyBorder="1"/>
    <xf numFmtId="0" fontId="33" fillId="2" borderId="31" xfId="0" applyFont="1" applyFill="1" applyBorder="1" applyAlignment="1">
      <alignment horizontal="center" vertical="center"/>
    </xf>
    <xf numFmtId="0" fontId="26" fillId="2" borderId="21" xfId="0" applyFont="1" applyFill="1" applyBorder="1" applyAlignment="1">
      <alignment horizontal="left" vertical="center"/>
    </xf>
    <xf numFmtId="168" fontId="26" fillId="2" borderId="1" xfId="0" applyNumberFormat="1" applyFont="1" applyFill="1" applyBorder="1" applyAlignment="1">
      <alignment horizontal="center" vertical="center"/>
    </xf>
    <xf numFmtId="0" fontId="26" fillId="2" borderId="21" xfId="47" applyFont="1" applyFill="1" applyBorder="1" applyAlignment="1">
      <alignment horizontal="left" vertical="center"/>
    </xf>
    <xf numFmtId="168" fontId="26" fillId="2" borderId="1" xfId="47" applyNumberFormat="1" applyFont="1" applyFill="1" applyBorder="1" applyAlignment="1">
      <alignment horizontal="center" vertical="center"/>
    </xf>
    <xf numFmtId="0" fontId="26" fillId="2" borderId="21" xfId="47" applyFont="1" applyFill="1" applyBorder="1" applyAlignment="1">
      <alignment horizontal="left" vertical="center" wrapText="1"/>
    </xf>
    <xf numFmtId="0" fontId="33" fillId="2" borderId="30" xfId="0" applyFont="1" applyFill="1" applyBorder="1" applyAlignment="1">
      <alignment horizontal="center" vertical="center"/>
    </xf>
    <xf numFmtId="0" fontId="26" fillId="2" borderId="54" xfId="47" applyFont="1" applyFill="1" applyBorder="1" applyAlignment="1">
      <alignment horizontal="left" vertical="center"/>
    </xf>
    <xf numFmtId="168" fontId="26" fillId="2" borderId="6" xfId="47" applyNumberFormat="1" applyFont="1" applyFill="1" applyBorder="1" applyAlignment="1">
      <alignment horizontal="center" vertical="center"/>
    </xf>
    <xf numFmtId="0" fontId="32" fillId="0" borderId="0" xfId="0" applyFont="1" applyAlignment="1">
      <alignment vertical="center"/>
    </xf>
    <xf numFmtId="0" fontId="32" fillId="0" borderId="0" xfId="0" applyFont="1" applyFill="1" applyAlignment="1">
      <alignment vertical="center"/>
    </xf>
    <xf numFmtId="0" fontId="26" fillId="0" borderId="23" xfId="0" applyFont="1" applyBorder="1" applyAlignment="1">
      <alignment horizontal="left" vertical="center"/>
    </xf>
    <xf numFmtId="0" fontId="26" fillId="0" borderId="35" xfId="0" applyFont="1" applyBorder="1" applyAlignment="1">
      <alignment horizontal="left" vertical="center"/>
    </xf>
    <xf numFmtId="0" fontId="35" fillId="0" borderId="0" xfId="47" applyFont="1"/>
    <xf numFmtId="0" fontId="26" fillId="0" borderId="0" xfId="47" applyFont="1"/>
    <xf numFmtId="0" fontId="26" fillId="0" borderId="0" xfId="0" applyFont="1" applyFill="1"/>
    <xf numFmtId="0" fontId="35" fillId="0" borderId="0" xfId="0" applyFont="1" applyFill="1"/>
    <xf numFmtId="0" fontId="33" fillId="0" borderId="0" xfId="0" applyFont="1" applyFill="1" applyBorder="1" applyAlignment="1">
      <alignment vertical="center"/>
    </xf>
    <xf numFmtId="0" fontId="33" fillId="0" borderId="0" xfId="0" applyFont="1" applyFill="1" applyBorder="1" applyAlignment="1">
      <alignment horizontal="center"/>
    </xf>
    <xf numFmtId="0" fontId="8" fillId="0" borderId="0" xfId="0" applyFont="1" applyAlignment="1">
      <alignment vertical="center"/>
    </xf>
    <xf numFmtId="0" fontId="26" fillId="0" borderId="0" xfId="47" applyFont="1" applyFill="1"/>
    <xf numFmtId="0" fontId="26" fillId="0" borderId="1" xfId="0" applyFont="1" applyFill="1" applyBorder="1" applyAlignment="1">
      <alignment horizontal="center" vertical="center"/>
    </xf>
    <xf numFmtId="0" fontId="26" fillId="0" borderId="1" xfId="47" applyFont="1" applyFill="1" applyBorder="1" applyAlignment="1">
      <alignment horizontal="center" vertical="center"/>
    </xf>
    <xf numFmtId="168" fontId="26" fillId="0" borderId="1" xfId="47" applyNumberFormat="1" applyFont="1" applyFill="1" applyBorder="1" applyAlignment="1">
      <alignment horizontal="center" vertical="center"/>
    </xf>
    <xf numFmtId="1" fontId="26" fillId="0" borderId="56" xfId="46" applyNumberFormat="1" applyFont="1" applyFill="1" applyBorder="1" applyAlignment="1">
      <alignment horizontal="left" vertical="center" wrapText="1"/>
    </xf>
    <xf numFmtId="0" fontId="26" fillId="0" borderId="35" xfId="46" applyFont="1" applyFill="1" applyBorder="1" applyAlignment="1">
      <alignment vertical="center"/>
    </xf>
    <xf numFmtId="0" fontId="26" fillId="0" borderId="56" xfId="46" applyFont="1" applyFill="1" applyBorder="1" applyAlignment="1">
      <alignment horizontal="left" vertical="center"/>
    </xf>
    <xf numFmtId="0" fontId="22" fillId="0" borderId="0" xfId="0" applyFont="1" applyFill="1" applyAlignment="1">
      <alignment horizontal="centerContinuous"/>
    </xf>
    <xf numFmtId="0" fontId="24" fillId="0" borderId="0" xfId="0" applyFont="1" applyFill="1" applyAlignment="1"/>
    <xf numFmtId="0" fontId="22" fillId="0" borderId="0" xfId="0" applyFont="1" applyFill="1" applyAlignment="1">
      <alignment horizontal="left"/>
    </xf>
    <xf numFmtId="0" fontId="33" fillId="0" borderId="0" xfId="0" applyFont="1" applyFill="1" applyBorder="1" applyAlignment="1">
      <alignment horizontal="left" vertical="center"/>
    </xf>
    <xf numFmtId="2" fontId="3" fillId="0" borderId="0" xfId="0" applyNumberFormat="1" applyFont="1" applyFill="1"/>
    <xf numFmtId="164" fontId="26" fillId="0" borderId="12" xfId="2" applyNumberFormat="1" applyFont="1" applyFill="1" applyBorder="1" applyAlignment="1">
      <alignment horizontal="right"/>
    </xf>
    <xf numFmtId="165" fontId="26" fillId="0" borderId="12" xfId="3" applyNumberFormat="1" applyFont="1" applyFill="1" applyBorder="1"/>
    <xf numFmtId="0" fontId="26" fillId="0" borderId="25" xfId="4" applyFont="1" applyFill="1" applyBorder="1"/>
    <xf numFmtId="0" fontId="26" fillId="0" borderId="26" xfId="4" applyFont="1" applyFill="1" applyBorder="1"/>
    <xf numFmtId="0" fontId="34" fillId="0" borderId="0" xfId="0" applyFont="1" applyFill="1" applyAlignment="1">
      <alignment horizontal="center" vertical="center"/>
    </xf>
    <xf numFmtId="0" fontId="34" fillId="0" borderId="4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7" xfId="0" applyFont="1" applyBorder="1" applyAlignment="1">
      <alignment horizontal="center" vertical="center" wrapText="1"/>
    </xf>
    <xf numFmtId="0" fontId="32" fillId="0" borderId="0" xfId="0" applyFont="1" applyAlignment="1">
      <alignment wrapText="1"/>
    </xf>
    <xf numFmtId="0" fontId="26" fillId="0" borderId="4" xfId="0" applyFont="1" applyFill="1" applyBorder="1" applyAlignment="1">
      <alignment vertical="center" wrapText="1"/>
    </xf>
    <xf numFmtId="2" fontId="32" fillId="0" borderId="34" xfId="0" applyNumberFormat="1" applyFont="1" applyBorder="1" applyAlignment="1">
      <alignment horizontal="center" vertical="center" wrapText="1"/>
    </xf>
    <xf numFmtId="0" fontId="26" fillId="0" borderId="0" xfId="0" applyFont="1" applyAlignment="1">
      <alignment wrapText="1"/>
    </xf>
    <xf numFmtId="2" fontId="26" fillId="0" borderId="1" xfId="0" quotePrefix="1" applyNumberFormat="1" applyFont="1" applyFill="1" applyBorder="1" applyAlignment="1">
      <alignment horizontal="center" vertical="center" wrapText="1"/>
    </xf>
    <xf numFmtId="2" fontId="26" fillId="0" borderId="11" xfId="0" quotePrefix="1"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0" fontId="26" fillId="0" borderId="0" xfId="0" applyFont="1" applyAlignment="1"/>
    <xf numFmtId="0" fontId="26" fillId="0" borderId="31" xfId="0" applyFont="1" applyFill="1" applyBorder="1" applyAlignment="1">
      <alignment horizontal="center" vertical="center" wrapText="1"/>
    </xf>
    <xf numFmtId="0" fontId="32" fillId="0" borderId="0" xfId="0" applyFont="1" applyFill="1"/>
    <xf numFmtId="0" fontId="32" fillId="0" borderId="0" xfId="0" applyFont="1" applyFill="1" applyAlignment="1">
      <alignment horizontal="center" vertical="center"/>
    </xf>
    <xf numFmtId="0" fontId="32" fillId="0" borderId="0" xfId="0" applyFont="1" applyAlignment="1">
      <alignment horizontal="center" vertical="center"/>
    </xf>
    <xf numFmtId="0" fontId="32" fillId="0" borderId="0" xfId="0" applyFont="1" applyFill="1" applyAlignment="1">
      <alignment vertical="top"/>
    </xf>
    <xf numFmtId="0" fontId="33" fillId="0" borderId="29" xfId="0" applyFont="1" applyBorder="1" applyAlignment="1">
      <alignment horizontal="center" vertical="center" wrapText="1"/>
    </xf>
    <xf numFmtId="0" fontId="33" fillId="0" borderId="31" xfId="0" applyFont="1" applyBorder="1" applyAlignment="1">
      <alignment horizontal="center" vertical="center"/>
    </xf>
    <xf numFmtId="0" fontId="33" fillId="0" borderId="31" xfId="0" applyFont="1" applyFill="1" applyBorder="1" applyAlignment="1">
      <alignment horizontal="center" vertical="center" wrapText="1"/>
    </xf>
    <xf numFmtId="0" fontId="33" fillId="0" borderId="30" xfId="0" applyFont="1" applyFill="1" applyBorder="1" applyAlignment="1">
      <alignment horizontal="center" vertical="center"/>
    </xf>
    <xf numFmtId="0" fontId="33" fillId="0" borderId="30" xfId="0" applyFont="1" applyBorder="1" applyAlignment="1">
      <alignment horizontal="center" vertical="center" wrapText="1"/>
    </xf>
    <xf numFmtId="0" fontId="33" fillId="0" borderId="32" xfId="0" applyFont="1" applyBorder="1" applyAlignment="1">
      <alignment horizontal="center" vertical="center"/>
    </xf>
    <xf numFmtId="1" fontId="32" fillId="0" borderId="0" xfId="0" applyNumberFormat="1" applyFont="1"/>
    <xf numFmtId="0" fontId="26" fillId="0" borderId="65" xfId="0" applyFont="1" applyFill="1" applyBorder="1" applyAlignment="1">
      <alignment horizontal="left" vertical="center" wrapText="1"/>
    </xf>
    <xf numFmtId="0" fontId="26" fillId="0" borderId="66" xfId="0" applyFont="1" applyFill="1" applyBorder="1" applyAlignment="1">
      <alignment vertical="center"/>
    </xf>
    <xf numFmtId="3" fontId="26" fillId="0" borderId="66" xfId="0" applyNumberFormat="1" applyFont="1" applyFill="1" applyBorder="1" applyAlignment="1">
      <alignment horizontal="center" vertical="center"/>
    </xf>
    <xf numFmtId="9" fontId="26" fillId="0" borderId="66" xfId="1" applyFont="1" applyFill="1" applyBorder="1" applyAlignment="1">
      <alignment horizontal="center" vertical="center"/>
    </xf>
    <xf numFmtId="11" fontId="26" fillId="0" borderId="66" xfId="0" applyNumberFormat="1" applyFont="1" applyFill="1" applyBorder="1" applyAlignment="1">
      <alignment horizontal="center" vertical="center"/>
    </xf>
    <xf numFmtId="11" fontId="26" fillId="0" borderId="66" xfId="11" applyNumberFormat="1" applyFont="1" applyFill="1" applyBorder="1" applyAlignment="1">
      <alignment horizontal="center" vertical="center"/>
    </xf>
    <xf numFmtId="167" fontId="26" fillId="0" borderId="66" xfId="11" applyNumberFormat="1" applyFont="1" applyFill="1" applyBorder="1" applyAlignment="1">
      <alignment horizontal="center" vertical="center"/>
    </xf>
    <xf numFmtId="3" fontId="33" fillId="0" borderId="71" xfId="0" applyNumberFormat="1" applyFont="1" applyFill="1" applyBorder="1" applyAlignment="1">
      <alignment horizontal="right" vertical="center"/>
    </xf>
    <xf numFmtId="0" fontId="47" fillId="0" borderId="0" xfId="0" applyFont="1" applyFill="1" applyAlignment="1">
      <alignment vertical="center" readingOrder="1"/>
    </xf>
    <xf numFmtId="3" fontId="26" fillId="0" borderId="0" xfId="39" applyNumberFormat="1" applyFont="1" applyFill="1" applyBorder="1"/>
    <xf numFmtId="0" fontId="26" fillId="0" borderId="0" xfId="39" applyFont="1" applyFill="1" applyBorder="1"/>
    <xf numFmtId="9" fontId="26" fillId="0" borderId="0" xfId="39" applyNumberFormat="1" applyFont="1" applyFill="1" applyBorder="1"/>
    <xf numFmtId="0" fontId="26" fillId="0" borderId="0" xfId="42" applyFont="1" applyFill="1"/>
    <xf numFmtId="0" fontId="26" fillId="0" borderId="0" xfId="0" applyFont="1" applyAlignment="1">
      <alignment horizontal="centerContinuous"/>
    </xf>
    <xf numFmtId="1" fontId="26" fillId="2" borderId="29" xfId="0" applyNumberFormat="1" applyFont="1" applyFill="1" applyBorder="1" applyAlignment="1">
      <alignment horizontal="center" vertical="center"/>
    </xf>
    <xf numFmtId="1" fontId="26" fillId="2" borderId="1" xfId="0" applyNumberFormat="1" applyFont="1" applyFill="1" applyBorder="1" applyAlignment="1">
      <alignment horizontal="center" vertical="center"/>
    </xf>
    <xf numFmtId="2" fontId="26" fillId="0" borderId="1" xfId="0" applyNumberFormat="1" applyFont="1" applyFill="1" applyBorder="1" applyAlignment="1">
      <alignment horizontal="center" vertical="center"/>
    </xf>
    <xf numFmtId="167" fontId="26" fillId="0" borderId="1" xfId="0" applyNumberFormat="1" applyFont="1" applyFill="1" applyBorder="1" applyAlignment="1">
      <alignment horizontal="center" vertical="center"/>
    </xf>
    <xf numFmtId="0" fontId="26" fillId="0" borderId="21" xfId="0" applyFont="1" applyFill="1" applyBorder="1" applyAlignment="1">
      <alignment horizontal="center" vertical="center" wrapText="1"/>
    </xf>
    <xf numFmtId="168" fontId="26" fillId="0" borderId="1" xfId="0" applyNumberFormat="1" applyFont="1" applyFill="1" applyBorder="1" applyAlignment="1">
      <alignment horizontal="center" vertical="center"/>
    </xf>
    <xf numFmtId="1" fontId="26" fillId="2" borderId="31" xfId="0" applyNumberFormat="1" applyFont="1" applyFill="1" applyBorder="1" applyAlignment="1">
      <alignment horizontal="center" vertical="center"/>
    </xf>
    <xf numFmtId="0" fontId="26" fillId="0" borderId="38" xfId="0" applyFont="1" applyFill="1" applyBorder="1" applyAlignment="1">
      <alignment horizontal="left" vertical="center" wrapText="1"/>
    </xf>
    <xf numFmtId="0" fontId="26" fillId="0" borderId="39" xfId="0" applyFont="1" applyFill="1" applyBorder="1" applyAlignment="1">
      <alignment vertical="center"/>
    </xf>
    <xf numFmtId="3" fontId="26" fillId="0" borderId="39" xfId="0" applyNumberFormat="1" applyFont="1" applyFill="1" applyBorder="1" applyAlignment="1">
      <alignment horizontal="center" vertical="center"/>
    </xf>
    <xf numFmtId="9" fontId="26" fillId="0" borderId="39" xfId="1" applyFont="1" applyFill="1" applyBorder="1" applyAlignment="1">
      <alignment horizontal="center" vertical="center"/>
    </xf>
    <xf numFmtId="11" fontId="26" fillId="0" borderId="39" xfId="0" applyNumberFormat="1" applyFont="1" applyFill="1" applyBorder="1" applyAlignment="1">
      <alignment horizontal="center" vertical="center"/>
    </xf>
    <xf numFmtId="11" fontId="26" fillId="0" borderId="39" xfId="11" applyNumberFormat="1" applyFont="1" applyFill="1" applyBorder="1" applyAlignment="1">
      <alignment horizontal="center" vertical="center"/>
    </xf>
    <xf numFmtId="167" fontId="26" fillId="0" borderId="39" xfId="11" applyNumberFormat="1" applyFont="1" applyFill="1" applyBorder="1" applyAlignment="1">
      <alignment horizontal="center" vertical="center"/>
    </xf>
    <xf numFmtId="3" fontId="33" fillId="0" borderId="47" xfId="0" applyNumberFormat="1" applyFont="1" applyFill="1" applyBorder="1" applyAlignment="1">
      <alignment horizontal="right" vertical="center"/>
    </xf>
    <xf numFmtId="0" fontId="38" fillId="0" borderId="0" xfId="49" applyFont="1" applyFill="1" applyAlignment="1">
      <alignment vertical="center" wrapText="1"/>
    </xf>
    <xf numFmtId="1" fontId="26" fillId="0" borderId="0" xfId="39" applyNumberFormat="1" applyFont="1" applyFill="1" applyBorder="1"/>
    <xf numFmtId="0" fontId="34" fillId="0" borderId="0" xfId="0" applyFont="1" applyAlignment="1">
      <alignment horizontal="centerContinuous" vertical="center"/>
    </xf>
    <xf numFmtId="0" fontId="33" fillId="2" borderId="28" xfId="0" applyFont="1" applyFill="1" applyBorder="1" applyAlignment="1">
      <alignment horizontal="center" wrapText="1"/>
    </xf>
    <xf numFmtId="0" fontId="33" fillId="2" borderId="46" xfId="0" applyFont="1" applyFill="1" applyBorder="1" applyAlignment="1">
      <alignment horizontal="center" wrapText="1"/>
    </xf>
    <xf numFmtId="0" fontId="33" fillId="2" borderId="67" xfId="0" applyFont="1" applyFill="1" applyBorder="1" applyAlignment="1">
      <alignment horizontal="center" wrapText="1"/>
    </xf>
    <xf numFmtId="0" fontId="33" fillId="0" borderId="30" xfId="47" applyFont="1" applyFill="1" applyBorder="1" applyAlignment="1">
      <alignment horizontal="center" vertical="center"/>
    </xf>
    <xf numFmtId="0" fontId="26" fillId="0" borderId="51" xfId="0" applyFont="1" applyFill="1" applyBorder="1" applyAlignment="1">
      <alignment horizontal="left" vertical="center"/>
    </xf>
    <xf numFmtId="3" fontId="26" fillId="2" borderId="29" xfId="1"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2" fontId="26" fillId="0" borderId="29" xfId="0" applyNumberFormat="1" applyFont="1" applyFill="1" applyBorder="1" applyAlignment="1">
      <alignment horizontal="center" vertical="center"/>
    </xf>
    <xf numFmtId="167" fontId="26" fillId="0" borderId="29" xfId="0" applyNumberFormat="1" applyFont="1" applyFill="1" applyBorder="1" applyAlignment="1">
      <alignment horizontal="center" vertical="center"/>
    </xf>
    <xf numFmtId="3" fontId="26" fillId="2" borderId="1" xfId="1" applyNumberFormat="1" applyFont="1" applyFill="1" applyBorder="1" applyAlignment="1">
      <alignment horizontal="center" vertical="center"/>
    </xf>
    <xf numFmtId="1" fontId="26" fillId="0" borderId="1" xfId="0" applyNumberFormat="1" applyFont="1" applyFill="1" applyBorder="1" applyAlignment="1">
      <alignment horizontal="center" vertical="center"/>
    </xf>
    <xf numFmtId="2" fontId="26" fillId="0" borderId="34" xfId="0" applyNumberFormat="1" applyFont="1" applyFill="1" applyBorder="1" applyAlignment="1">
      <alignment horizontal="center" vertical="center"/>
    </xf>
    <xf numFmtId="0" fontId="26" fillId="0" borderId="21" xfId="0" applyFont="1" applyFill="1" applyBorder="1" applyAlignment="1">
      <alignment horizontal="left" vertical="center"/>
    </xf>
    <xf numFmtId="0" fontId="26" fillId="0" borderId="35" xfId="0" applyFont="1" applyFill="1" applyBorder="1" applyAlignment="1">
      <alignment horizontal="left" vertical="center"/>
    </xf>
    <xf numFmtId="3" fontId="26" fillId="2" borderId="31" xfId="1" applyNumberFormat="1" applyFont="1" applyFill="1" applyBorder="1" applyAlignment="1">
      <alignment horizontal="center" vertical="center"/>
    </xf>
    <xf numFmtId="3" fontId="26" fillId="2" borderId="31" xfId="11" applyNumberFormat="1" applyFont="1" applyFill="1" applyBorder="1" applyAlignment="1">
      <alignment horizontal="center" vertical="center"/>
    </xf>
    <xf numFmtId="2" fontId="26" fillId="0" borderId="31" xfId="0" applyNumberFormat="1" applyFont="1" applyFill="1" applyBorder="1" applyAlignment="1">
      <alignment horizontal="center" vertical="center"/>
    </xf>
    <xf numFmtId="0" fontId="26" fillId="0" borderId="0" xfId="0" applyFont="1" applyFill="1" applyAlignment="1">
      <alignment horizontal="left"/>
    </xf>
    <xf numFmtId="2" fontId="32" fillId="0" borderId="0" xfId="1" applyNumberFormat="1" applyFont="1"/>
    <xf numFmtId="167" fontId="26" fillId="0" borderId="0" xfId="48" applyNumberFormat="1" applyFont="1"/>
    <xf numFmtId="0" fontId="26" fillId="0" borderId="0" xfId="48" applyFont="1"/>
    <xf numFmtId="0" fontId="26" fillId="0" borderId="0" xfId="48" applyFont="1" applyAlignment="1">
      <alignment horizontal="right"/>
    </xf>
    <xf numFmtId="9" fontId="26" fillId="0" borderId="0" xfId="1" applyFont="1"/>
    <xf numFmtId="0" fontId="32" fillId="0" borderId="0" xfId="0" applyFont="1" applyFill="1" applyBorder="1" applyAlignment="1">
      <alignment horizontal="left" vertical="center"/>
    </xf>
    <xf numFmtId="168" fontId="32" fillId="0" borderId="0" xfId="0" applyNumberFormat="1" applyFont="1" applyFill="1" applyBorder="1" applyAlignment="1">
      <alignment horizontal="center" vertical="center"/>
    </xf>
    <xf numFmtId="0" fontId="33" fillId="2" borderId="48" xfId="47" applyFont="1" applyFill="1" applyBorder="1" applyAlignment="1">
      <alignment vertical="center"/>
    </xf>
    <xf numFmtId="0" fontId="33" fillId="2" borderId="49" xfId="47" applyFont="1" applyFill="1" applyBorder="1" applyAlignment="1">
      <alignment vertical="center"/>
    </xf>
    <xf numFmtId="0" fontId="33" fillId="2" borderId="24" xfId="0" applyFont="1" applyFill="1" applyBorder="1" applyAlignment="1">
      <alignment vertical="center"/>
    </xf>
    <xf numFmtId="0" fontId="33" fillId="2" borderId="25" xfId="0" applyFont="1" applyFill="1" applyBorder="1" applyAlignment="1">
      <alignment vertical="center"/>
    </xf>
    <xf numFmtId="3" fontId="26" fillId="0" borderId="1" xfId="0" applyNumberFormat="1" applyFont="1" applyFill="1" applyBorder="1" applyAlignment="1">
      <alignment horizontal="center" vertical="center"/>
    </xf>
    <xf numFmtId="3" fontId="26" fillId="0" borderId="4" xfId="0" applyNumberFormat="1" applyFont="1" applyFill="1" applyBorder="1" applyAlignment="1">
      <alignment horizontal="center" vertical="center"/>
    </xf>
    <xf numFmtId="0" fontId="33" fillId="0" borderId="30" xfId="0" applyFont="1" applyFill="1" applyBorder="1" applyAlignment="1">
      <alignment horizontal="center" vertical="center" wrapText="1"/>
    </xf>
    <xf numFmtId="0" fontId="37" fillId="0" borderId="0" xfId="0" applyFont="1" applyAlignment="1">
      <alignment horizontal="left"/>
    </xf>
    <xf numFmtId="0" fontId="26" fillId="0" borderId="0" xfId="0" applyFont="1" applyAlignment="1">
      <alignment horizontal="left" vertical="top" wrapText="1"/>
    </xf>
    <xf numFmtId="0" fontId="33" fillId="0" borderId="24" xfId="0" applyFont="1" applyFill="1" applyBorder="1" applyAlignment="1">
      <alignment horizontal="center" vertical="center" wrapText="1"/>
    </xf>
    <xf numFmtId="0" fontId="33" fillId="2" borderId="30" xfId="0" applyFont="1" applyFill="1" applyBorder="1" applyAlignment="1">
      <alignment horizontal="center" vertical="center"/>
    </xf>
    <xf numFmtId="0" fontId="33" fillId="0" borderId="30" xfId="0" applyFont="1" applyBorder="1" applyAlignment="1">
      <alignment horizontal="center" vertical="center"/>
    </xf>
    <xf numFmtId="0" fontId="26" fillId="0" borderId="0" xfId="0" applyFont="1" applyAlignment="1">
      <alignment vertical="top" wrapText="1"/>
    </xf>
    <xf numFmtId="0" fontId="26" fillId="0" borderId="0" xfId="48" applyFont="1" applyFill="1" applyBorder="1" applyAlignment="1">
      <alignment vertical="top" wrapText="1"/>
    </xf>
    <xf numFmtId="0" fontId="45" fillId="0" borderId="0" xfId="0" applyFont="1" applyFill="1" applyAlignment="1">
      <alignment horizontal="left" vertical="top" wrapText="1" readingOrder="1"/>
    </xf>
    <xf numFmtId="0" fontId="33" fillId="0" borderId="30" xfId="0" applyFont="1" applyBorder="1" applyAlignment="1">
      <alignment horizontal="center" vertical="center" wrapText="1"/>
    </xf>
    <xf numFmtId="0" fontId="38" fillId="0" borderId="0" xfId="49" applyFont="1" applyFill="1" applyAlignment="1">
      <alignment vertical="center" wrapText="1"/>
    </xf>
    <xf numFmtId="0" fontId="0" fillId="0" borderId="0" xfId="0" applyBorder="1"/>
    <xf numFmtId="0" fontId="26" fillId="0" borderId="23" xfId="0" applyFont="1" applyFill="1" applyBorder="1" applyAlignment="1">
      <alignment vertical="center"/>
    </xf>
    <xf numFmtId="0" fontId="26" fillId="0" borderId="21" xfId="0" applyFont="1" applyFill="1" applyBorder="1" applyAlignment="1">
      <alignment vertical="center"/>
    </xf>
    <xf numFmtId="0" fontId="33" fillId="2" borderId="40" xfId="0" applyFont="1" applyFill="1" applyBorder="1" applyAlignment="1">
      <alignment horizontal="center" vertical="center"/>
    </xf>
    <xf numFmtId="0" fontId="26" fillId="0" borderId="23" xfId="4" applyFont="1" applyFill="1" applyBorder="1" applyAlignment="1"/>
    <xf numFmtId="0" fontId="26" fillId="0" borderId="21" xfId="4" applyFont="1" applyFill="1" applyBorder="1" applyAlignment="1"/>
    <xf numFmtId="0" fontId="26" fillId="0" borderId="52" xfId="4" applyFont="1" applyFill="1" applyBorder="1" applyAlignment="1"/>
    <xf numFmtId="0" fontId="26" fillId="0" borderId="35" xfId="46" applyFont="1" applyFill="1" applyBorder="1" applyAlignment="1">
      <alignment horizontal="left" vertical="center" wrapText="1"/>
    </xf>
    <xf numFmtId="0" fontId="33" fillId="2" borderId="28" xfId="0" applyFont="1" applyFill="1" applyBorder="1" applyAlignment="1">
      <alignment horizontal="center" vertical="center" wrapText="1"/>
    </xf>
    <xf numFmtId="0" fontId="52" fillId="0" borderId="0" xfId="0" applyFont="1"/>
    <xf numFmtId="0" fontId="53" fillId="0" borderId="0" xfId="0" applyFont="1" applyFill="1"/>
    <xf numFmtId="0" fontId="51" fillId="0" borderId="0" xfId="0" applyFont="1" applyFill="1"/>
    <xf numFmtId="43" fontId="51" fillId="0" borderId="0" xfId="0" applyNumberFormat="1" applyFont="1" applyFill="1"/>
    <xf numFmtId="0" fontId="51" fillId="0" borderId="0" xfId="4" applyFont="1" applyFill="1" applyAlignment="1">
      <alignment horizontal="left" vertical="top"/>
    </xf>
    <xf numFmtId="0" fontId="54" fillId="0" borderId="0" xfId="0" applyFont="1" applyFill="1"/>
    <xf numFmtId="0" fontId="34" fillId="0" borderId="0" xfId="0" applyFont="1" applyFill="1" applyAlignment="1"/>
    <xf numFmtId="0" fontId="33" fillId="0" borderId="0" xfId="0" applyFont="1" applyFill="1" applyAlignment="1">
      <alignment horizontal="left"/>
    </xf>
    <xf numFmtId="0" fontId="26" fillId="0" borderId="0" xfId="9" applyFont="1" applyFill="1" applyBorder="1"/>
    <xf numFmtId="43" fontId="26" fillId="0" borderId="0" xfId="0" applyNumberFormat="1" applyFont="1" applyFill="1"/>
    <xf numFmtId="177" fontId="26" fillId="0" borderId="0" xfId="0" applyNumberFormat="1" applyFont="1" applyFill="1"/>
    <xf numFmtId="0" fontId="26" fillId="0" borderId="0" xfId="4" applyFont="1" applyFill="1" applyAlignment="1">
      <alignment horizontal="left" vertical="top"/>
    </xf>
    <xf numFmtId="0" fontId="33" fillId="0" borderId="0" xfId="0" applyFont="1" applyFill="1"/>
    <xf numFmtId="3" fontId="33" fillId="0" borderId="0" xfId="0" applyNumberFormat="1" applyFont="1" applyFill="1" applyBorder="1" applyAlignment="1">
      <alignment horizontal="left"/>
    </xf>
    <xf numFmtId="0" fontId="26" fillId="0" borderId="0" xfId="4" applyFont="1" applyFill="1" applyBorder="1"/>
    <xf numFmtId="43" fontId="26" fillId="0" borderId="0" xfId="3" applyFont="1" applyFill="1" applyBorder="1"/>
    <xf numFmtId="2" fontId="26" fillId="0" borderId="0" xfId="4" applyNumberFormat="1" applyFont="1" applyFill="1" applyBorder="1"/>
    <xf numFmtId="0" fontId="33" fillId="0" borderId="0" xfId="4" applyFont="1" applyFill="1" applyBorder="1"/>
    <xf numFmtId="0" fontId="56" fillId="0" borderId="0" xfId="0" applyFont="1"/>
    <xf numFmtId="0" fontId="56" fillId="0" borderId="0" xfId="0" applyFont="1" applyFill="1" applyAlignment="1">
      <alignment vertical="center"/>
    </xf>
    <xf numFmtId="0" fontId="56" fillId="0" borderId="0" xfId="0" applyFont="1" applyAlignment="1">
      <alignment vertical="top"/>
    </xf>
    <xf numFmtId="0" fontId="57" fillId="0" borderId="0" xfId="0" quotePrefix="1" applyFont="1" applyFill="1" applyAlignment="1">
      <alignment horizontal="right" vertical="top"/>
    </xf>
    <xf numFmtId="0" fontId="56" fillId="0" borderId="0" xfId="48" applyFont="1" applyFill="1" applyBorder="1" applyAlignment="1">
      <alignment vertical="top"/>
    </xf>
    <xf numFmtId="0" fontId="53" fillId="0" borderId="14" xfId="0" applyFont="1" applyFill="1" applyBorder="1"/>
    <xf numFmtId="3" fontId="26" fillId="0" borderId="0" xfId="0" applyNumberFormat="1" applyFont="1" applyFill="1"/>
    <xf numFmtId="0" fontId="33" fillId="0" borderId="40" xfId="0" applyFont="1" applyFill="1" applyBorder="1" applyAlignment="1">
      <alignment horizontal="center" vertical="center"/>
    </xf>
    <xf numFmtId="0" fontId="26" fillId="0" borderId="24" xfId="0" applyFont="1" applyFill="1" applyBorder="1" applyAlignment="1">
      <alignment vertical="center"/>
    </xf>
    <xf numFmtId="0" fontId="26" fillId="0" borderId="35" xfId="0" applyFont="1" applyFill="1" applyBorder="1" applyAlignment="1">
      <alignment vertical="center"/>
    </xf>
    <xf numFmtId="0" fontId="26" fillId="0" borderId="37" xfId="0" applyFont="1" applyFill="1" applyBorder="1" applyAlignment="1">
      <alignment vertical="center"/>
    </xf>
    <xf numFmtId="2" fontId="26" fillId="0" borderId="0" xfId="0" applyNumberFormat="1" applyFont="1" applyFill="1" applyBorder="1" applyAlignment="1">
      <alignment horizontal="center" vertical="center"/>
    </xf>
    <xf numFmtId="0" fontId="26" fillId="0" borderId="0" xfId="0" applyFont="1" applyFill="1" applyBorder="1" applyAlignment="1">
      <alignment vertical="center"/>
    </xf>
    <xf numFmtId="0" fontId="33" fillId="0" borderId="0" xfId="0" applyFont="1" applyFill="1" applyAlignment="1">
      <alignment horizontal="center" wrapText="1"/>
    </xf>
    <xf numFmtId="0" fontId="26" fillId="0" borderId="0" xfId="0" applyFont="1" applyFill="1" applyAlignment="1">
      <alignment horizontal="center"/>
    </xf>
    <xf numFmtId="0" fontId="41" fillId="0" borderId="0" xfId="0" applyFont="1" applyBorder="1" applyAlignment="1">
      <alignment vertical="center"/>
    </xf>
    <xf numFmtId="168" fontId="26" fillId="0" borderId="4" xfId="0" applyNumberFormat="1" applyFont="1" applyFill="1" applyBorder="1" applyAlignment="1">
      <alignment horizontal="center" vertical="center"/>
    </xf>
    <xf numFmtId="11" fontId="26" fillId="0" borderId="4" xfId="0" applyNumberFormat="1" applyFont="1" applyFill="1" applyBorder="1" applyAlignment="1">
      <alignment horizontal="center" vertical="center"/>
    </xf>
    <xf numFmtId="0" fontId="26" fillId="0" borderId="4" xfId="0" applyFont="1" applyFill="1" applyBorder="1" applyAlignment="1">
      <alignment horizontal="center" vertical="center"/>
    </xf>
    <xf numFmtId="2" fontId="26" fillId="0" borderId="33" xfId="0" applyNumberFormat="1" applyFont="1" applyFill="1" applyBorder="1" applyAlignment="1">
      <alignment horizontal="center" vertical="center"/>
    </xf>
    <xf numFmtId="0" fontId="32" fillId="0" borderId="0" xfId="0" applyFont="1" applyFill="1" applyBorder="1"/>
    <xf numFmtId="0" fontId="26" fillId="0" borderId="52" xfId="0" applyFont="1" applyFill="1" applyBorder="1" applyAlignment="1">
      <alignment horizontal="left" vertical="center"/>
    </xf>
    <xf numFmtId="11" fontId="26" fillId="0" borderId="1" xfId="0" applyNumberFormat="1" applyFont="1" applyFill="1" applyBorder="1" applyAlignment="1">
      <alignment horizontal="center" vertical="center"/>
    </xf>
    <xf numFmtId="11" fontId="26" fillId="0" borderId="34" xfId="0" applyNumberFormat="1" applyFont="1" applyFill="1" applyBorder="1" applyAlignment="1">
      <alignment horizontal="center" vertical="center"/>
    </xf>
    <xf numFmtId="0" fontId="26" fillId="0" borderId="21" xfId="47" applyFont="1" applyFill="1" applyBorder="1" applyAlignment="1">
      <alignment horizontal="left" vertical="center"/>
    </xf>
    <xf numFmtId="11" fontId="26" fillId="0" borderId="1" xfId="47" applyNumberFormat="1" applyFont="1" applyFill="1" applyBorder="1" applyAlignment="1">
      <alignment horizontal="center" vertical="center"/>
    </xf>
    <xf numFmtId="0" fontId="35" fillId="0" borderId="0" xfId="47" applyFont="1" applyFill="1"/>
    <xf numFmtId="168" fontId="26" fillId="0" borderId="34" xfId="0" applyNumberFormat="1" applyFont="1" applyFill="1" applyBorder="1" applyAlignment="1">
      <alignment horizontal="center" vertical="center"/>
    </xf>
    <xf numFmtId="171" fontId="26" fillId="0" borderId="1" xfId="0" applyNumberFormat="1" applyFont="1" applyFill="1" applyBorder="1" applyAlignment="1">
      <alignment horizontal="center" vertical="center"/>
    </xf>
    <xf numFmtId="0" fontId="26" fillId="0" borderId="21" xfId="0" applyFont="1" applyFill="1" applyBorder="1" applyAlignment="1">
      <alignment horizontal="left" vertical="center" wrapText="1"/>
    </xf>
    <xf numFmtId="0" fontId="26" fillId="0" borderId="22" xfId="47" applyFont="1" applyFill="1" applyBorder="1" applyAlignment="1">
      <alignment horizontal="left" vertical="center"/>
    </xf>
    <xf numFmtId="0" fontId="26" fillId="0" borderId="30" xfId="47" applyFont="1" applyFill="1" applyBorder="1" applyAlignment="1">
      <alignment horizontal="center" vertical="center"/>
    </xf>
    <xf numFmtId="0" fontId="26" fillId="0" borderId="30" xfId="0" applyFont="1" applyFill="1" applyBorder="1" applyAlignment="1">
      <alignment horizontal="center" vertical="center"/>
    </xf>
    <xf numFmtId="2" fontId="33" fillId="0" borderId="57" xfId="0" applyNumberFormat="1" applyFont="1" applyFill="1" applyBorder="1" applyAlignment="1">
      <alignment horizontal="center" vertical="center"/>
    </xf>
    <xf numFmtId="0" fontId="33" fillId="0" borderId="31" xfId="0" applyFont="1" applyFill="1" applyBorder="1" applyAlignment="1">
      <alignment horizontal="center" vertical="center"/>
    </xf>
    <xf numFmtId="0" fontId="33" fillId="0" borderId="32" xfId="0" applyFont="1" applyFill="1" applyBorder="1" applyAlignment="1">
      <alignment horizontal="center" vertical="center"/>
    </xf>
    <xf numFmtId="0" fontId="33" fillId="2" borderId="50" xfId="47" applyFont="1" applyFill="1" applyBorder="1" applyAlignment="1">
      <alignment vertical="center"/>
    </xf>
    <xf numFmtId="0" fontId="33" fillId="0" borderId="0" xfId="47" applyFont="1" applyFill="1" applyBorder="1" applyAlignment="1">
      <alignment horizontal="right" vertical="center"/>
    </xf>
    <xf numFmtId="167" fontId="33" fillId="0" borderId="0" xfId="0" applyNumberFormat="1" applyFont="1" applyFill="1" applyBorder="1" applyAlignment="1">
      <alignment horizontal="center" vertical="center"/>
    </xf>
    <xf numFmtId="0" fontId="26" fillId="0" borderId="51" xfId="47" applyFont="1" applyFill="1" applyBorder="1" applyAlignment="1">
      <alignment horizontal="left" vertical="center"/>
    </xf>
    <xf numFmtId="11" fontId="26" fillId="0" borderId="4" xfId="47" applyNumberFormat="1" applyFont="1" applyFill="1" applyBorder="1" applyAlignment="1">
      <alignment horizontal="center" vertical="center"/>
    </xf>
    <xf numFmtId="0" fontId="26" fillId="0" borderId="4" xfId="47" applyFont="1" applyFill="1" applyBorder="1" applyAlignment="1">
      <alignment horizontal="center" vertical="center"/>
    </xf>
    <xf numFmtId="11" fontId="26" fillId="0" borderId="33" xfId="0" applyNumberFormat="1" applyFont="1" applyFill="1" applyBorder="1" applyAlignment="1">
      <alignment horizontal="center" vertical="center"/>
    </xf>
    <xf numFmtId="0" fontId="26" fillId="0" borderId="21" xfId="47" applyFont="1" applyFill="1" applyBorder="1" applyAlignment="1">
      <alignment horizontal="left" vertical="center" wrapText="1"/>
    </xf>
    <xf numFmtId="2" fontId="26" fillId="0" borderId="1" xfId="47" applyNumberFormat="1" applyFont="1" applyFill="1" applyBorder="1" applyAlignment="1">
      <alignment horizontal="center" vertical="center"/>
    </xf>
    <xf numFmtId="0" fontId="26" fillId="0" borderId="35" xfId="47" applyFont="1" applyFill="1" applyBorder="1" applyAlignment="1">
      <alignment horizontal="left" vertical="center"/>
    </xf>
    <xf numFmtId="11" fontId="26" fillId="0" borderId="31" xfId="47" applyNumberFormat="1" applyFont="1" applyFill="1" applyBorder="1" applyAlignment="1">
      <alignment horizontal="center" vertical="center"/>
    </xf>
    <xf numFmtId="0" fontId="26" fillId="0" borderId="31" xfId="47" applyFont="1" applyFill="1" applyBorder="1" applyAlignment="1">
      <alignment horizontal="center" vertical="center"/>
    </xf>
    <xf numFmtId="11" fontId="26" fillId="0" borderId="31" xfId="0" applyNumberFormat="1" applyFont="1" applyFill="1" applyBorder="1" applyAlignment="1">
      <alignment horizontal="center" vertical="center"/>
    </xf>
    <xf numFmtId="11" fontId="26" fillId="0" borderId="32" xfId="0" applyNumberFormat="1" applyFont="1" applyFill="1" applyBorder="1" applyAlignment="1">
      <alignment horizontal="center" vertical="center"/>
    </xf>
    <xf numFmtId="0" fontId="26" fillId="0" borderId="38" xfId="47" applyFont="1" applyFill="1" applyBorder="1" applyAlignment="1">
      <alignment vertical="center"/>
    </xf>
    <xf numFmtId="0" fontId="26" fillId="0" borderId="39" xfId="47" applyFont="1" applyFill="1" applyBorder="1" applyAlignment="1">
      <alignment vertical="center"/>
    </xf>
    <xf numFmtId="0" fontId="33" fillId="0" borderId="30" xfId="47" applyFont="1" applyFill="1" applyBorder="1" applyAlignment="1">
      <alignment horizontal="right" vertical="center"/>
    </xf>
    <xf numFmtId="11" fontId="26" fillId="0" borderId="5" xfId="0" applyNumberFormat="1" applyFont="1" applyFill="1" applyBorder="1" applyAlignment="1">
      <alignment horizontal="center" vertical="center"/>
    </xf>
    <xf numFmtId="11" fontId="26" fillId="0" borderId="70" xfId="0" applyNumberFormat="1" applyFont="1" applyFill="1" applyBorder="1" applyAlignment="1">
      <alignment horizontal="center" vertical="center"/>
    </xf>
    <xf numFmtId="0" fontId="26" fillId="0" borderId="36" xfId="47" applyFont="1" applyFill="1" applyBorder="1" applyAlignment="1">
      <alignment horizontal="center" vertical="center"/>
    </xf>
    <xf numFmtId="168" fontId="33" fillId="0" borderId="30" xfId="0" applyNumberFormat="1" applyFont="1" applyFill="1" applyBorder="1" applyAlignment="1">
      <alignment horizontal="center" vertical="center"/>
    </xf>
    <xf numFmtId="0" fontId="48" fillId="0" borderId="0" xfId="0" applyFont="1"/>
    <xf numFmtId="0" fontId="57" fillId="0" borderId="0" xfId="47" quotePrefix="1" applyFont="1" applyAlignment="1">
      <alignment horizontal="right" vertical="top"/>
    </xf>
    <xf numFmtId="0" fontId="57" fillId="0" borderId="0" xfId="0" quotePrefix="1" applyFont="1" applyAlignment="1">
      <alignment horizontal="right" vertical="top"/>
    </xf>
    <xf numFmtId="0" fontId="56" fillId="0" borderId="0" xfId="0" applyFont="1" applyFill="1" applyAlignment="1">
      <alignment horizontal="left" vertical="top"/>
    </xf>
    <xf numFmtId="0" fontId="56" fillId="0" borderId="0" xfId="0" applyFont="1" applyAlignment="1">
      <alignment vertical="top" wrapText="1"/>
    </xf>
    <xf numFmtId="0" fontId="56" fillId="0" borderId="0" xfId="0" applyFont="1" applyAlignment="1">
      <alignment horizontal="left" vertical="top" wrapText="1"/>
    </xf>
    <xf numFmtId="0" fontId="55" fillId="0" borderId="0" xfId="0" applyFont="1" applyAlignment="1">
      <alignment horizontal="left"/>
    </xf>
    <xf numFmtId="0" fontId="56" fillId="0" borderId="0" xfId="0" applyFont="1" applyAlignment="1">
      <alignment horizontal="left" vertical="center"/>
    </xf>
    <xf numFmtId="0" fontId="48" fillId="0" borderId="0" xfId="0" applyFont="1" applyAlignment="1">
      <alignment vertical="center"/>
    </xf>
    <xf numFmtId="0" fontId="56" fillId="0" borderId="0" xfId="0" applyFont="1" applyAlignment="1">
      <alignment vertical="center"/>
    </xf>
    <xf numFmtId="0" fontId="48" fillId="0" borderId="0" xfId="0" applyFont="1" applyFill="1" applyAlignment="1">
      <alignment vertical="center"/>
    </xf>
    <xf numFmtId="0" fontId="60" fillId="0" borderId="0" xfId="0" applyFont="1"/>
    <xf numFmtId="0" fontId="55" fillId="0" borderId="0" xfId="0" applyFont="1" applyFill="1" applyAlignment="1">
      <alignment vertical="center" readingOrder="1"/>
    </xf>
    <xf numFmtId="0" fontId="53" fillId="0" borderId="0" xfId="0" applyFont="1" applyFill="1" applyBorder="1"/>
    <xf numFmtId="2" fontId="33" fillId="0" borderId="40" xfId="47" applyNumberFormat="1" applyFont="1" applyFill="1" applyBorder="1" applyAlignment="1">
      <alignment horizontal="center" vertical="center"/>
    </xf>
    <xf numFmtId="0" fontId="61" fillId="0" borderId="0" xfId="0" applyFont="1" applyAlignment="1">
      <alignment vertical="center"/>
    </xf>
    <xf numFmtId="3" fontId="26" fillId="0" borderId="37" xfId="46" applyNumberFormat="1" applyFont="1" applyFill="1" applyBorder="1" applyAlignment="1">
      <alignment vertical="center" wrapText="1"/>
    </xf>
    <xf numFmtId="0" fontId="56" fillId="0" borderId="0" xfId="48" applyFont="1" applyFill="1" applyBorder="1" applyAlignment="1">
      <alignment vertical="top" wrapText="1"/>
    </xf>
    <xf numFmtId="0" fontId="26" fillId="0" borderId="84" xfId="46" applyFont="1" applyFill="1" applyBorder="1" applyAlignment="1">
      <alignment horizontal="left" vertical="center" wrapText="1"/>
    </xf>
    <xf numFmtId="0" fontId="26" fillId="0" borderId="25" xfId="0" applyFont="1" applyFill="1" applyBorder="1"/>
    <xf numFmtId="0" fontId="26" fillId="0" borderId="44" xfId="46" applyFont="1" applyFill="1" applyBorder="1" applyAlignment="1">
      <alignment horizontal="left" vertical="center" wrapText="1"/>
    </xf>
    <xf numFmtId="1" fontId="26" fillId="0" borderId="8" xfId="0" applyNumberFormat="1" applyFont="1" applyFill="1" applyBorder="1"/>
    <xf numFmtId="0" fontId="26" fillId="0" borderId="45" xfId="0" applyFont="1" applyFill="1" applyBorder="1"/>
    <xf numFmtId="0" fontId="26" fillId="0" borderId="41" xfId="4" applyFont="1" applyFill="1" applyBorder="1" applyAlignment="1"/>
    <xf numFmtId="165" fontId="26" fillId="0" borderId="42" xfId="3" applyNumberFormat="1" applyFont="1" applyFill="1" applyBorder="1"/>
    <xf numFmtId="0" fontId="26" fillId="0" borderId="56" xfId="4" applyFont="1" applyFill="1" applyBorder="1"/>
    <xf numFmtId="0" fontId="34" fillId="0" borderId="30" xfId="0" applyFont="1" applyFill="1" applyBorder="1" applyAlignment="1">
      <alignment horizontal="center" vertical="center" wrapText="1"/>
    </xf>
    <xf numFmtId="0" fontId="34" fillId="0" borderId="40" xfId="0" applyFont="1" applyFill="1" applyBorder="1" applyAlignment="1">
      <alignment horizontal="center" vertical="center" wrapText="1"/>
    </xf>
    <xf numFmtId="0" fontId="32" fillId="0" borderId="23" xfId="0" applyFont="1" applyFill="1" applyBorder="1" applyAlignment="1">
      <alignment vertical="center"/>
    </xf>
    <xf numFmtId="0" fontId="26" fillId="0" borderId="29" xfId="0" applyFont="1" applyFill="1" applyBorder="1" applyAlignment="1">
      <alignment horizontal="center" vertical="center"/>
    </xf>
    <xf numFmtId="2" fontId="26" fillId="0" borderId="43" xfId="0" applyNumberFormat="1" applyFont="1" applyFill="1" applyBorder="1" applyAlignment="1">
      <alignment horizontal="center" vertical="center"/>
    </xf>
    <xf numFmtId="0" fontId="32" fillId="0" borderId="21" xfId="0" applyFont="1" applyFill="1" applyBorder="1" applyAlignment="1">
      <alignment vertical="center"/>
    </xf>
    <xf numFmtId="2" fontId="32" fillId="0" borderId="1" xfId="0" applyNumberFormat="1" applyFont="1" applyFill="1" applyBorder="1" applyAlignment="1">
      <alignment horizontal="center" vertical="center"/>
    </xf>
    <xf numFmtId="0" fontId="32" fillId="0" borderId="21" xfId="0" applyFont="1" applyFill="1" applyBorder="1" applyAlignment="1">
      <alignment horizontal="left" vertical="center"/>
    </xf>
    <xf numFmtId="2" fontId="26" fillId="0" borderId="13" xfId="48" applyNumberFormat="1" applyFont="1" applyFill="1" applyBorder="1" applyAlignment="1">
      <alignment horizontal="center" vertical="center"/>
    </xf>
    <xf numFmtId="0" fontId="55" fillId="0" borderId="0" xfId="0" applyFont="1" applyFill="1" applyAlignment="1"/>
    <xf numFmtId="0" fontId="56" fillId="0" borderId="0" xfId="0" applyFont="1" applyFill="1"/>
    <xf numFmtId="0" fontId="48" fillId="0" borderId="0" xfId="0" applyFont="1" applyFill="1"/>
    <xf numFmtId="168" fontId="26" fillId="0" borderId="0" xfId="0" applyNumberFormat="1" applyFont="1" applyFill="1" applyBorder="1" applyAlignment="1">
      <alignment horizontal="center" vertical="center"/>
    </xf>
    <xf numFmtId="0" fontId="33" fillId="2" borderId="3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1" fillId="2" borderId="49" xfId="0" applyFont="1" applyFill="1" applyBorder="1" applyAlignment="1">
      <alignment vertical="center"/>
    </xf>
    <xf numFmtId="0" fontId="31" fillId="2" borderId="50" xfId="0" applyFont="1" applyFill="1" applyBorder="1" applyAlignment="1">
      <alignment vertical="center"/>
    </xf>
    <xf numFmtId="0" fontId="56" fillId="0" borderId="0" xfId="48" applyFont="1" applyFill="1" applyBorder="1" applyAlignment="1">
      <alignment horizontal="left" vertical="top"/>
    </xf>
    <xf numFmtId="0" fontId="56" fillId="0" borderId="0" xfId="0" applyFont="1" applyAlignment="1">
      <alignment horizontal="left"/>
    </xf>
    <xf numFmtId="0" fontId="34" fillId="0" borderId="0" xfId="0" applyFont="1" applyFill="1" applyAlignment="1">
      <alignment horizontal="center"/>
    </xf>
    <xf numFmtId="179" fontId="32" fillId="0" borderId="0" xfId="0" applyNumberFormat="1" applyFont="1"/>
    <xf numFmtId="0" fontId="26" fillId="0" borderId="21" xfId="46" applyFont="1" applyFill="1" applyBorder="1" applyAlignment="1">
      <alignment horizontal="left" vertical="center"/>
    </xf>
    <xf numFmtId="2" fontId="32" fillId="0" borderId="34" xfId="0" applyNumberFormat="1" applyFont="1" applyFill="1" applyBorder="1" applyAlignment="1">
      <alignment horizontal="center" vertical="center"/>
    </xf>
    <xf numFmtId="168" fontId="32" fillId="0" borderId="1" xfId="0" applyNumberFormat="1" applyFont="1" applyFill="1" applyBorder="1" applyAlignment="1">
      <alignment horizontal="center" vertical="center"/>
    </xf>
    <xf numFmtId="3" fontId="26" fillId="0" borderId="34" xfId="0" applyNumberFormat="1" applyFont="1" applyFill="1" applyBorder="1" applyAlignment="1">
      <alignment horizontal="center" vertical="center"/>
    </xf>
    <xf numFmtId="3" fontId="26" fillId="0" borderId="31" xfId="47" applyNumberFormat="1" applyFont="1" applyFill="1" applyBorder="1" applyAlignment="1">
      <alignment horizontal="center" vertical="center"/>
    </xf>
    <xf numFmtId="3" fontId="26" fillId="0" borderId="32" xfId="47" applyNumberFormat="1" applyFont="1" applyFill="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168" fontId="26" fillId="0" borderId="0" xfId="0" applyNumberFormat="1" applyFont="1"/>
    <xf numFmtId="0" fontId="34" fillId="0" borderId="31" xfId="0" applyFont="1" applyFill="1" applyBorder="1" applyAlignment="1">
      <alignment horizontal="center" vertical="center"/>
    </xf>
    <xf numFmtId="0" fontId="34" fillId="0" borderId="32" xfId="0" applyFont="1" applyFill="1" applyBorder="1" applyAlignment="1">
      <alignment horizontal="center" vertical="center"/>
    </xf>
    <xf numFmtId="0" fontId="7" fillId="0" borderId="0" xfId="0" applyFont="1" applyAlignment="1">
      <alignment vertical="center"/>
    </xf>
    <xf numFmtId="2" fontId="7" fillId="0" borderId="0" xfId="0" applyNumberFormat="1" applyFont="1" applyAlignment="1">
      <alignment vertical="center"/>
    </xf>
    <xf numFmtId="3" fontId="26" fillId="0" borderId="37" xfId="46" applyNumberFormat="1" applyFont="1" applyFill="1" applyBorder="1" applyAlignment="1">
      <alignment vertical="center"/>
    </xf>
    <xf numFmtId="0" fontId="26" fillId="0" borderId="0" xfId="0" applyFont="1" applyBorder="1" applyAlignment="1">
      <alignment horizontal="center" vertical="center"/>
    </xf>
    <xf numFmtId="0" fontId="64" fillId="0" borderId="0" xfId="0" applyFont="1" applyFill="1" applyAlignment="1">
      <alignment vertical="center"/>
    </xf>
    <xf numFmtId="0" fontId="48" fillId="0" borderId="0" xfId="0" applyFont="1" applyFill="1" applyAlignment="1">
      <alignment horizontal="center" vertical="center"/>
    </xf>
    <xf numFmtId="0" fontId="48" fillId="0" borderId="0" xfId="0" applyFont="1" applyAlignment="1">
      <alignment wrapText="1"/>
    </xf>
    <xf numFmtId="0" fontId="48" fillId="0" borderId="0" xfId="0" applyFont="1" applyAlignment="1">
      <alignment horizontal="center" vertical="center"/>
    </xf>
    <xf numFmtId="0" fontId="56" fillId="0" borderId="0" xfId="0" applyFont="1" applyAlignment="1"/>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0" fillId="0" borderId="0" xfId="0" applyFill="1" applyBorder="1"/>
    <xf numFmtId="0" fontId="33" fillId="0" borderId="19" xfId="0" applyFont="1" applyFill="1" applyBorder="1" applyAlignment="1">
      <alignment horizontal="center" vertical="center" wrapText="1"/>
    </xf>
    <xf numFmtId="0" fontId="33" fillId="0" borderId="0" xfId="0" applyFont="1" applyFill="1" applyBorder="1" applyAlignment="1">
      <alignment vertical="center" wrapText="1"/>
    </xf>
    <xf numFmtId="167" fontId="26" fillId="0" borderId="0" xfId="0" applyNumberFormat="1" applyFont="1" applyFill="1" applyBorder="1" applyAlignment="1">
      <alignment horizontal="center" vertical="center"/>
    </xf>
    <xf numFmtId="0" fontId="65" fillId="0" borderId="0" xfId="0" applyFont="1"/>
    <xf numFmtId="0" fontId="56" fillId="0" borderId="0" xfId="0" applyFont="1" applyAlignment="1">
      <alignment horizontal="left" wrapText="1"/>
    </xf>
    <xf numFmtId="0" fontId="56" fillId="0" borderId="0" xfId="49" applyFont="1" applyFill="1" applyBorder="1" applyAlignment="1">
      <alignment horizontal="right" vertical="center"/>
    </xf>
    <xf numFmtId="0" fontId="60" fillId="0" borderId="0" xfId="0" applyFont="1" applyFill="1" applyBorder="1"/>
    <xf numFmtId="179" fontId="56" fillId="0" borderId="0" xfId="49" applyNumberFormat="1" applyFont="1" applyFill="1" applyBorder="1" applyAlignment="1">
      <alignment horizontal="right" vertical="center"/>
    </xf>
    <xf numFmtId="1" fontId="56" fillId="0" borderId="0" xfId="49" applyNumberFormat="1" applyFont="1" applyFill="1" applyBorder="1" applyAlignment="1">
      <alignment horizontal="center" vertical="center"/>
    </xf>
    <xf numFmtId="0" fontId="56" fillId="0" borderId="0" xfId="49" applyFont="1" applyFill="1" applyAlignment="1">
      <alignment horizontal="left" vertical="center"/>
    </xf>
    <xf numFmtId="0" fontId="60" fillId="0" borderId="0" xfId="0" applyFont="1" applyFill="1"/>
    <xf numFmtId="9" fontId="56" fillId="0" borderId="0" xfId="43" applyFont="1" applyFill="1" applyBorder="1" applyAlignment="1">
      <alignment horizontal="center" vertical="center"/>
    </xf>
    <xf numFmtId="0" fontId="57" fillId="0" borderId="0" xfId="49" applyFont="1" applyFill="1" applyAlignment="1">
      <alignment vertical="top"/>
    </xf>
    <xf numFmtId="176" fontId="56" fillId="0" borderId="0" xfId="43" applyNumberFormat="1" applyFont="1" applyFill="1" applyBorder="1" applyAlignment="1">
      <alignment horizontal="center" vertical="center"/>
    </xf>
    <xf numFmtId="0" fontId="56" fillId="0" borderId="0" xfId="0" applyFont="1" applyAlignment="1">
      <alignment wrapText="1"/>
    </xf>
    <xf numFmtId="0" fontId="56" fillId="0" borderId="0" xfId="42" applyFont="1" applyFill="1" applyAlignment="1">
      <alignment horizontal="left"/>
    </xf>
    <xf numFmtId="0" fontId="37" fillId="0" borderId="0" xfId="0" applyFont="1" applyFill="1" applyAlignment="1">
      <alignment vertical="center" readingOrder="1"/>
    </xf>
    <xf numFmtId="0" fontId="66" fillId="0" borderId="0" xfId="0" applyFont="1" applyFill="1" applyAlignment="1">
      <alignment vertical="center" readingOrder="1"/>
    </xf>
    <xf numFmtId="0" fontId="56" fillId="0" borderId="0" xfId="0" applyFont="1" applyFill="1" applyAlignment="1">
      <alignment vertical="top" readingOrder="1"/>
    </xf>
    <xf numFmtId="0" fontId="56" fillId="0" borderId="0" xfId="0" applyFont="1" applyFill="1" applyAlignment="1">
      <alignment horizontal="left" vertical="top" readingOrder="1"/>
    </xf>
    <xf numFmtId="0" fontId="67" fillId="0" borderId="0" xfId="0" applyFont="1" applyFill="1" applyAlignment="1">
      <alignment vertical="top" readingOrder="1"/>
    </xf>
    <xf numFmtId="0" fontId="67" fillId="0" borderId="0" xfId="0" applyFont="1" applyFill="1" applyAlignment="1">
      <alignment horizontal="left" vertical="top" wrapText="1" readingOrder="1"/>
    </xf>
    <xf numFmtId="0" fontId="67" fillId="0" borderId="0" xfId="0" applyFont="1" applyFill="1" applyAlignment="1">
      <alignment horizontal="left" vertical="top" readingOrder="1"/>
    </xf>
    <xf numFmtId="0" fontId="30" fillId="0" borderId="0" xfId="0" applyFont="1" applyAlignment="1">
      <alignment horizontal="centerContinuous" vertical="center"/>
    </xf>
    <xf numFmtId="0" fontId="28" fillId="0" borderId="0" xfId="0" applyFont="1" applyAlignment="1">
      <alignment horizontal="centerContinuous"/>
    </xf>
    <xf numFmtId="0" fontId="53" fillId="0" borderId="0" xfId="0" applyFont="1"/>
    <xf numFmtId="0" fontId="33" fillId="0" borderId="32" xfId="0" applyFont="1" applyBorder="1" applyAlignment="1">
      <alignment horizontal="center" vertical="center" wrapText="1"/>
    </xf>
    <xf numFmtId="0" fontId="26" fillId="0" borderId="4" xfId="0" quotePrefix="1" applyFont="1" applyFill="1" applyBorder="1" applyAlignment="1">
      <alignment horizontal="center" vertical="center" wrapText="1"/>
    </xf>
    <xf numFmtId="0" fontId="60" fillId="0" borderId="0" xfId="0" applyFont="1" applyAlignment="1">
      <alignment vertical="top"/>
    </xf>
    <xf numFmtId="0" fontId="60" fillId="0" borderId="0" xfId="0" applyFont="1" applyFill="1" applyBorder="1" applyAlignment="1">
      <alignment vertical="top"/>
    </xf>
    <xf numFmtId="0" fontId="48" fillId="0" borderId="0" xfId="0" applyFont="1" applyAlignment="1">
      <alignment vertical="top"/>
    </xf>
    <xf numFmtId="0" fontId="56" fillId="0" borderId="0" xfId="0" applyFont="1" applyFill="1" applyBorder="1" applyAlignment="1">
      <alignment vertical="top"/>
    </xf>
    <xf numFmtId="0" fontId="56" fillId="0" borderId="0" xfId="0" applyFont="1" applyFill="1" applyBorder="1" applyAlignment="1">
      <alignment horizontal="left" vertical="top"/>
    </xf>
    <xf numFmtId="0" fontId="37" fillId="0" borderId="0" xfId="0" applyFont="1" applyFill="1"/>
    <xf numFmtId="0" fontId="33" fillId="0" borderId="0" xfId="0" applyFont="1" applyFill="1" applyAlignment="1">
      <alignment horizontal="center"/>
    </xf>
    <xf numFmtId="0" fontId="33" fillId="0" borderId="0" xfId="0" applyFont="1" applyFill="1" applyBorder="1" applyAlignment="1">
      <alignment horizontal="left"/>
    </xf>
    <xf numFmtId="0" fontId="26" fillId="0" borderId="27" xfId="0" applyFont="1" applyFill="1" applyBorder="1" applyAlignment="1">
      <alignment horizontal="left" indent="1"/>
    </xf>
    <xf numFmtId="0" fontId="26" fillId="0" borderId="64" xfId="0" applyFont="1" applyFill="1" applyBorder="1" applyAlignment="1"/>
    <xf numFmtId="4" fontId="26" fillId="0" borderId="0" xfId="0" applyNumberFormat="1" applyFont="1" applyFill="1" applyBorder="1" applyAlignment="1">
      <alignment horizontal="center"/>
    </xf>
    <xf numFmtId="0" fontId="26" fillId="0" borderId="0" xfId="0" applyFont="1" applyFill="1" applyBorder="1"/>
    <xf numFmtId="11" fontId="26" fillId="0" borderId="0" xfId="0" applyNumberFormat="1" applyFont="1" applyFill="1"/>
    <xf numFmtId="0" fontId="26" fillId="0" borderId="68" xfId="0" applyFont="1" applyFill="1" applyBorder="1" applyAlignment="1">
      <alignment horizontal="left" indent="1"/>
    </xf>
    <xf numFmtId="0" fontId="26" fillId="0" borderId="83" xfId="0" applyFont="1" applyFill="1" applyBorder="1" applyAlignment="1"/>
    <xf numFmtId="3" fontId="26" fillId="0" borderId="0" xfId="0" applyNumberFormat="1" applyFont="1" applyFill="1" applyBorder="1" applyAlignment="1">
      <alignment horizontal="center"/>
    </xf>
    <xf numFmtId="0" fontId="26" fillId="0" borderId="22" xfId="0" applyFont="1" applyFill="1" applyBorder="1" applyAlignment="1">
      <alignment horizontal="left" indent="1"/>
    </xf>
    <xf numFmtId="0" fontId="26" fillId="0" borderId="59" xfId="0" applyFont="1" applyFill="1" applyBorder="1" applyAlignment="1"/>
    <xf numFmtId="43" fontId="68" fillId="0" borderId="0" xfId="2" applyFont="1" applyFill="1" applyBorder="1" applyAlignment="1">
      <alignment horizontal="center"/>
    </xf>
    <xf numFmtId="0" fontId="68" fillId="0" borderId="0" xfId="0" applyFont="1" applyFill="1" applyBorder="1"/>
    <xf numFmtId="0" fontId="26" fillId="0" borderId="0" xfId="0" applyFont="1" applyFill="1" applyBorder="1" applyAlignment="1">
      <alignment horizontal="left" indent="1"/>
    </xf>
    <xf numFmtId="166" fontId="26" fillId="0" borderId="0" xfId="0" applyNumberFormat="1" applyFont="1" applyFill="1" applyBorder="1" applyAlignment="1">
      <alignment horizontal="right" indent="1"/>
    </xf>
    <xf numFmtId="0" fontId="33" fillId="0" borderId="0" xfId="0" applyFont="1" applyFill="1" applyBorder="1"/>
    <xf numFmtId="0" fontId="33" fillId="0" borderId="31" xfId="0" applyFont="1" applyFill="1" applyBorder="1" applyAlignment="1">
      <alignment horizontal="center" wrapText="1"/>
    </xf>
    <xf numFmtId="0" fontId="33" fillId="0" borderId="32" xfId="0" applyFont="1" applyFill="1" applyBorder="1" applyAlignment="1">
      <alignment horizontal="center" wrapText="1"/>
    </xf>
    <xf numFmtId="0" fontId="26" fillId="0" borderId="23" xfId="0" applyFont="1" applyFill="1" applyBorder="1" applyAlignment="1">
      <alignment horizontal="left" indent="1"/>
    </xf>
    <xf numFmtId="0" fontId="26" fillId="0" borderId="29" xfId="0" applyFont="1" applyFill="1" applyBorder="1" applyAlignment="1">
      <alignment horizontal="center"/>
    </xf>
    <xf numFmtId="4" fontId="26" fillId="0" borderId="29" xfId="0" applyNumberFormat="1" applyFont="1" applyFill="1" applyBorder="1" applyAlignment="1">
      <alignment horizontal="center"/>
    </xf>
    <xf numFmtId="11" fontId="32" fillId="0" borderId="0" xfId="0" applyNumberFormat="1" applyFont="1" applyFill="1"/>
    <xf numFmtId="0" fontId="26" fillId="0" borderId="21" xfId="0" applyFont="1" applyFill="1" applyBorder="1" applyAlignment="1">
      <alignment horizontal="left" indent="1"/>
    </xf>
    <xf numFmtId="0" fontId="26" fillId="0" borderId="1" xfId="0" applyFont="1" applyFill="1" applyBorder="1" applyAlignment="1">
      <alignment horizontal="center"/>
    </xf>
    <xf numFmtId="0" fontId="26" fillId="0" borderId="1" xfId="0" applyFont="1" applyFill="1" applyBorder="1" applyAlignment="1">
      <alignment horizontal="left" indent="1"/>
    </xf>
    <xf numFmtId="4" fontId="26" fillId="0" borderId="1" xfId="0" applyNumberFormat="1" applyFont="1" applyFill="1" applyBorder="1" applyAlignment="1">
      <alignment horizontal="center"/>
    </xf>
    <xf numFmtId="11" fontId="26" fillId="0" borderId="1" xfId="0" applyNumberFormat="1" applyFont="1" applyFill="1" applyBorder="1" applyAlignment="1">
      <alignment horizontal="center"/>
    </xf>
    <xf numFmtId="0" fontId="69" fillId="0" borderId="1" xfId="0" applyFont="1" applyFill="1" applyBorder="1" applyAlignment="1">
      <alignment horizontal="left" indent="1"/>
    </xf>
    <xf numFmtId="0" fontId="26" fillId="0" borderId="35" xfId="0" applyFont="1" applyFill="1" applyBorder="1" applyAlignment="1">
      <alignment horizontal="left" indent="1"/>
    </xf>
    <xf numFmtId="0" fontId="69" fillId="0" borderId="31" xfId="0" applyFont="1" applyFill="1" applyBorder="1" applyAlignment="1">
      <alignment horizontal="left" indent="1"/>
    </xf>
    <xf numFmtId="0" fontId="26" fillId="0" borderId="0" xfId="0" applyFont="1" applyFill="1" applyBorder="1" applyAlignment="1">
      <alignment horizontal="center"/>
    </xf>
    <xf numFmtId="11" fontId="26" fillId="0" borderId="0" xfId="0" applyNumberFormat="1" applyFont="1" applyFill="1" applyBorder="1" applyAlignment="1">
      <alignment horizontal="center"/>
    </xf>
    <xf numFmtId="0" fontId="69" fillId="0" borderId="0" xfId="0" applyFont="1" applyFill="1" applyBorder="1" applyAlignment="1">
      <alignment horizontal="center"/>
    </xf>
    <xf numFmtId="11" fontId="69" fillId="0" borderId="0" xfId="0" applyNumberFormat="1" applyFont="1" applyFill="1" applyBorder="1" applyAlignment="1">
      <alignment horizontal="center"/>
    </xf>
    <xf numFmtId="4" fontId="69" fillId="0" borderId="0" xfId="0" applyNumberFormat="1" applyFont="1" applyFill="1" applyBorder="1" applyAlignment="1">
      <alignment horizontal="center"/>
    </xf>
    <xf numFmtId="0" fontId="69" fillId="0" borderId="0" xfId="0" applyFont="1" applyFill="1" applyBorder="1"/>
    <xf numFmtId="0" fontId="26" fillId="0" borderId="23" xfId="0" applyFont="1" applyFill="1" applyBorder="1" applyAlignment="1" applyProtection="1">
      <alignment horizontal="left" vertical="center" indent="1"/>
    </xf>
    <xf numFmtId="11" fontId="69" fillId="0" borderId="29" xfId="0" applyNumberFormat="1" applyFont="1" applyFill="1" applyBorder="1" applyAlignment="1" applyProtection="1">
      <alignment horizontal="center"/>
    </xf>
    <xf numFmtId="0" fontId="26" fillId="0" borderId="21" xfId="0" applyFont="1" applyFill="1" applyBorder="1" applyAlignment="1" applyProtection="1">
      <alignment horizontal="left" vertical="center" indent="1"/>
    </xf>
    <xf numFmtId="11" fontId="26" fillId="0" borderId="1" xfId="0" applyNumberFormat="1" applyFont="1" applyFill="1" applyBorder="1" applyAlignment="1" applyProtection="1">
      <alignment horizontal="center"/>
    </xf>
    <xf numFmtId="11" fontId="69" fillId="0" borderId="1" xfId="0" applyNumberFormat="1" applyFont="1" applyFill="1" applyBorder="1" applyAlignment="1" applyProtection="1">
      <alignment horizontal="center"/>
    </xf>
    <xf numFmtId="0" fontId="26" fillId="0" borderId="35" xfId="0" applyFont="1" applyFill="1" applyBorder="1" applyAlignment="1" applyProtection="1">
      <alignment horizontal="left" vertical="center" indent="1"/>
    </xf>
    <xf numFmtId="11" fontId="26" fillId="0" borderId="31" xfId="0" applyNumberFormat="1" applyFont="1" applyFill="1" applyBorder="1" applyAlignment="1" applyProtection="1">
      <alignment horizontal="center"/>
    </xf>
    <xf numFmtId="0" fontId="55" fillId="0" borderId="0" xfId="4" applyFont="1" applyFill="1" applyBorder="1"/>
    <xf numFmtId="0" fontId="56" fillId="0" borderId="0" xfId="4" applyFont="1" applyFill="1" applyBorder="1"/>
    <xf numFmtId="2" fontId="56" fillId="0" borderId="0" xfId="4" applyNumberFormat="1" applyFont="1" applyFill="1" applyBorder="1"/>
    <xf numFmtId="0" fontId="57" fillId="0" borderId="0" xfId="0" applyFont="1" applyFill="1" applyAlignment="1">
      <alignment vertical="top"/>
    </xf>
    <xf numFmtId="0" fontId="57" fillId="0" borderId="0" xfId="0" applyFont="1" applyFill="1"/>
    <xf numFmtId="0" fontId="56" fillId="0" borderId="0" xfId="0" applyFont="1" applyFill="1" applyBorder="1"/>
    <xf numFmtId="2" fontId="26" fillId="0" borderId="34" xfId="0" applyNumberFormat="1" applyFont="1" applyFill="1" applyBorder="1" applyAlignment="1">
      <alignment horizontal="center"/>
    </xf>
    <xf numFmtId="2" fontId="26" fillId="0" borderId="32" xfId="0" applyNumberFormat="1" applyFont="1" applyFill="1" applyBorder="1" applyAlignment="1">
      <alignment horizontal="center"/>
    </xf>
    <xf numFmtId="0" fontId="33" fillId="0" borderId="17" xfId="0" applyFont="1" applyFill="1" applyBorder="1" applyAlignment="1">
      <alignment horizontal="left"/>
    </xf>
    <xf numFmtId="0" fontId="33" fillId="0" borderId="0" xfId="0" applyFont="1" applyFill="1" applyBorder="1" applyAlignment="1"/>
    <xf numFmtId="0" fontId="26" fillId="0" borderId="0" xfId="0" applyFont="1" applyFill="1" applyBorder="1" applyAlignment="1"/>
    <xf numFmtId="11" fontId="26" fillId="0" borderId="17" xfId="0" applyNumberFormat="1" applyFont="1" applyFill="1" applyBorder="1" applyAlignment="1">
      <alignment horizontal="center"/>
    </xf>
    <xf numFmtId="0" fontId="26" fillId="0" borderId="17" xfId="0" applyFont="1" applyFill="1" applyBorder="1" applyAlignment="1">
      <alignment horizontal="center"/>
    </xf>
    <xf numFmtId="4" fontId="26" fillId="0" borderId="17" xfId="0" applyNumberFormat="1" applyFont="1" applyFill="1" applyBorder="1" applyAlignment="1">
      <alignment horizontal="center"/>
    </xf>
    <xf numFmtId="0" fontId="26" fillId="0" borderId="0" xfId="0" applyFont="1" applyFill="1" applyBorder="1" applyAlignment="1">
      <alignment horizontal="left"/>
    </xf>
    <xf numFmtId="0" fontId="34" fillId="0" borderId="0" xfId="0" applyFont="1" applyAlignment="1">
      <alignment horizontal="center"/>
    </xf>
    <xf numFmtId="0" fontId="33" fillId="0" borderId="24" xfId="0" applyFont="1" applyFill="1" applyBorder="1" applyAlignment="1">
      <alignment horizontal="centerContinuous"/>
    </xf>
    <xf numFmtId="0" fontId="33" fillId="0" borderId="25" xfId="0" applyFont="1" applyFill="1" applyBorder="1" applyAlignment="1">
      <alignment horizontal="centerContinuous"/>
    </xf>
    <xf numFmtId="0" fontId="33" fillId="0" borderId="59" xfId="0" applyFont="1" applyFill="1" applyBorder="1" applyAlignment="1">
      <alignment horizontal="center" wrapText="1"/>
    </xf>
    <xf numFmtId="2" fontId="26" fillId="0" borderId="29" xfId="0" applyNumberFormat="1" applyFont="1" applyFill="1" applyBorder="1" applyAlignment="1">
      <alignment horizontal="center"/>
    </xf>
    <xf numFmtId="2" fontId="26" fillId="0" borderId="43" xfId="0" applyNumberFormat="1" applyFont="1" applyFill="1" applyBorder="1" applyAlignment="1">
      <alignment horizontal="center"/>
    </xf>
    <xf numFmtId="171" fontId="26" fillId="0" borderId="31" xfId="0" applyNumberFormat="1" applyFont="1" applyFill="1" applyBorder="1" applyAlignment="1">
      <alignment horizontal="center"/>
    </xf>
    <xf numFmtId="0" fontId="55" fillId="0" borderId="0" xfId="0" applyFont="1"/>
    <xf numFmtId="0" fontId="56" fillId="0" borderId="0" xfId="0" applyFont="1" applyFill="1" applyAlignment="1"/>
    <xf numFmtId="0" fontId="26" fillId="0" borderId="23" xfId="0" applyFont="1" applyFill="1" applyBorder="1" applyAlignment="1">
      <alignment horizontal="left"/>
    </xf>
    <xf numFmtId="0" fontId="26" fillId="0" borderId="43" xfId="0" applyFont="1" applyFill="1" applyBorder="1"/>
    <xf numFmtId="0" fontId="26" fillId="0" borderId="21" xfId="0" applyFont="1" applyFill="1" applyBorder="1" applyAlignment="1">
      <alignment horizontal="left"/>
    </xf>
    <xf numFmtId="0" fontId="26" fillId="0" borderId="34" xfId="0" applyFont="1" applyFill="1" applyBorder="1"/>
    <xf numFmtId="43" fontId="26" fillId="0" borderId="0" xfId="11" applyFont="1" applyFill="1"/>
    <xf numFmtId="0" fontId="26" fillId="0" borderId="35" xfId="0" applyFont="1" applyFill="1" applyBorder="1" applyAlignment="1">
      <alignment horizontal="left"/>
    </xf>
    <xf numFmtId="9" fontId="26" fillId="0" borderId="31" xfId="0" applyNumberFormat="1" applyFont="1" applyFill="1" applyBorder="1" applyAlignment="1">
      <alignment horizontal="right"/>
    </xf>
    <xf numFmtId="0" fontId="26" fillId="0" borderId="32" xfId="0" applyFont="1" applyFill="1" applyBorder="1"/>
    <xf numFmtId="0" fontId="26" fillId="0" borderId="0" xfId="0" applyFont="1" applyFill="1" applyAlignment="1">
      <alignment horizontal="right"/>
    </xf>
    <xf numFmtId="2" fontId="26" fillId="0" borderId="1" xfId="0" applyNumberFormat="1" applyFont="1" applyFill="1" applyBorder="1" applyAlignment="1">
      <alignment horizontal="center"/>
    </xf>
    <xf numFmtId="0" fontId="26" fillId="0" borderId="52" xfId="0" applyFont="1" applyFill="1" applyBorder="1" applyAlignment="1">
      <alignment horizontal="left" indent="1"/>
    </xf>
    <xf numFmtId="0" fontId="26" fillId="0" borderId="3" xfId="0" applyFont="1" applyFill="1" applyBorder="1" applyAlignment="1">
      <alignment horizontal="center"/>
    </xf>
    <xf numFmtId="0" fontId="55" fillId="0" borderId="0" xfId="0" applyFont="1" applyFill="1"/>
    <xf numFmtId="0" fontId="56" fillId="0" borderId="0" xfId="0" applyFont="1" applyFill="1" applyAlignment="1">
      <alignment horizontal="left" indent="1"/>
    </xf>
    <xf numFmtId="0" fontId="32" fillId="0" borderId="1" xfId="0" applyFont="1" applyFill="1" applyBorder="1" applyAlignment="1">
      <alignment horizontal="center"/>
    </xf>
    <xf numFmtId="0" fontId="32" fillId="0" borderId="0" xfId="0" applyFont="1" applyFill="1" applyAlignment="1">
      <alignment horizontal="center"/>
    </xf>
    <xf numFmtId="0" fontId="32" fillId="2" borderId="0" xfId="0" applyFont="1" applyFill="1"/>
    <xf numFmtId="0" fontId="63" fillId="0" borderId="0" xfId="0" applyFont="1"/>
    <xf numFmtId="0" fontId="32" fillId="0" borderId="1" xfId="0" applyFont="1" applyFill="1" applyBorder="1" applyAlignment="1">
      <alignment horizontal="center" vertical="center"/>
    </xf>
    <xf numFmtId="167" fontId="26" fillId="0" borderId="1" xfId="48" applyNumberFormat="1" applyFont="1" applyFill="1" applyBorder="1" applyAlignment="1">
      <alignment horizontal="center" vertical="center"/>
    </xf>
    <xf numFmtId="171" fontId="26" fillId="0" borderId="1" xfId="48" applyNumberFormat="1" applyFont="1" applyFill="1" applyBorder="1" applyAlignment="1">
      <alignment horizontal="center" vertical="center"/>
    </xf>
    <xf numFmtId="3" fontId="26" fillId="0" borderId="11" xfId="48" applyNumberFormat="1" applyFont="1" applyFill="1" applyBorder="1" applyAlignment="1">
      <alignment horizontal="center" vertical="center"/>
    </xf>
    <xf numFmtId="2" fontId="26" fillId="0" borderId="11" xfId="48" applyNumberFormat="1" applyFont="1" applyFill="1" applyBorder="1" applyAlignment="1">
      <alignment horizontal="center" vertical="center"/>
    </xf>
    <xf numFmtId="0" fontId="26" fillId="0" borderId="41" xfId="0" applyFont="1" applyFill="1" applyBorder="1" applyAlignment="1">
      <alignment vertical="center"/>
    </xf>
    <xf numFmtId="0" fontId="32" fillId="0" borderId="31" xfId="0" quotePrefix="1" applyFont="1" applyFill="1" applyBorder="1" applyAlignment="1">
      <alignment horizontal="center" vertical="center"/>
    </xf>
    <xf numFmtId="0" fontId="26" fillId="0" borderId="31" xfId="0" quotePrefix="1" applyFont="1" applyFill="1" applyBorder="1" applyAlignment="1">
      <alignment horizontal="center" vertical="center"/>
    </xf>
    <xf numFmtId="0" fontId="32" fillId="0" borderId="31" xfId="0" applyFont="1" applyFill="1" applyBorder="1" applyAlignment="1">
      <alignment horizontal="center" vertical="center"/>
    </xf>
    <xf numFmtId="3" fontId="26" fillId="0" borderId="31" xfId="0" applyNumberFormat="1" applyFont="1" applyFill="1" applyBorder="1" applyAlignment="1">
      <alignment horizontal="center" vertical="center"/>
    </xf>
    <xf numFmtId="3" fontId="26" fillId="0" borderId="32" xfId="0" applyNumberFormat="1" applyFont="1" applyFill="1" applyBorder="1" applyAlignment="1">
      <alignment horizontal="center" vertical="center"/>
    </xf>
    <xf numFmtId="2" fontId="69" fillId="0" borderId="31" xfId="0" applyNumberFormat="1" applyFont="1" applyFill="1" applyBorder="1" applyAlignment="1">
      <alignment horizontal="center"/>
    </xf>
    <xf numFmtId="2" fontId="69" fillId="0" borderId="1" xfId="0" applyNumberFormat="1" applyFont="1" applyFill="1" applyBorder="1" applyAlignment="1">
      <alignment horizontal="center"/>
    </xf>
    <xf numFmtId="167" fontId="26" fillId="0" borderId="0" xfId="1" applyNumberFormat="1" applyFont="1"/>
    <xf numFmtId="167" fontId="32" fillId="0" borderId="0" xfId="1" applyNumberFormat="1" applyFont="1"/>
    <xf numFmtId="167" fontId="61" fillId="0" borderId="0" xfId="1" applyNumberFormat="1" applyFont="1"/>
    <xf numFmtId="3" fontId="26" fillId="0" borderId="1" xfId="11" applyNumberFormat="1" applyFont="1" applyFill="1" applyBorder="1" applyAlignment="1">
      <alignment horizontal="center" vertical="center"/>
    </xf>
    <xf numFmtId="0" fontId="33" fillId="2" borderId="46" xfId="0" applyFont="1" applyFill="1" applyBorder="1" applyAlignment="1">
      <alignment horizontal="center" vertical="center" wrapText="1"/>
    </xf>
    <xf numFmtId="0" fontId="26" fillId="0" borderId="51" xfId="0" applyFont="1" applyFill="1" applyBorder="1" applyAlignment="1">
      <alignment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1" xfId="0" applyFont="1" applyFill="1" applyBorder="1" applyAlignment="1">
      <alignment vertical="center" wrapText="1"/>
    </xf>
    <xf numFmtId="0" fontId="26" fillId="0" borderId="2" xfId="0" applyFont="1" applyFill="1" applyBorder="1" applyAlignment="1">
      <alignment horizontal="center" vertical="center" wrapText="1"/>
    </xf>
    <xf numFmtId="0" fontId="26" fillId="0" borderId="35" xfId="0" applyFont="1" applyFill="1" applyBorder="1" applyAlignment="1">
      <alignment vertical="center" wrapText="1"/>
    </xf>
    <xf numFmtId="0" fontId="26" fillId="0" borderId="31" xfId="0" applyFont="1" applyFill="1" applyBorder="1" applyAlignment="1">
      <alignment vertical="center" wrapText="1"/>
    </xf>
    <xf numFmtId="2" fontId="32" fillId="0" borderId="31" xfId="0" applyNumberFormat="1" applyFont="1" applyBorder="1" applyAlignment="1">
      <alignment horizontal="center" vertical="center" wrapText="1"/>
    </xf>
    <xf numFmtId="2" fontId="26" fillId="0" borderId="31" xfId="0" quotePrefix="1" applyNumberFormat="1" applyFont="1" applyFill="1" applyBorder="1" applyAlignment="1">
      <alignment horizontal="center" vertical="center" wrapText="1"/>
    </xf>
    <xf numFmtId="0" fontId="55" fillId="0" borderId="0" xfId="0" applyFont="1" applyAlignment="1">
      <alignment horizontal="left"/>
    </xf>
    <xf numFmtId="0" fontId="33" fillId="2" borderId="30" xfId="0" applyFont="1" applyFill="1" applyBorder="1" applyAlignment="1">
      <alignment horizontal="center" vertical="center" wrapText="1"/>
    </xf>
    <xf numFmtId="0" fontId="56" fillId="0" borderId="0" xfId="0" applyFont="1" applyFill="1" applyAlignment="1">
      <alignment wrapText="1"/>
    </xf>
    <xf numFmtId="0" fontId="33" fillId="0" borderId="0" xfId="0" applyFont="1" applyAlignment="1">
      <alignment horizontal="centerContinuous" vertical="center"/>
    </xf>
    <xf numFmtId="0" fontId="33" fillId="2" borderId="2" xfId="0" applyFont="1" applyFill="1" applyBorder="1" applyAlignment="1">
      <alignment horizontal="center" vertical="center"/>
    </xf>
    <xf numFmtId="0" fontId="70" fillId="0" borderId="0" xfId="0" applyFont="1"/>
    <xf numFmtId="9" fontId="26" fillId="0" borderId="66" xfId="55" applyFont="1" applyFill="1" applyBorder="1" applyAlignment="1">
      <alignment horizontal="center" vertical="center"/>
    </xf>
    <xf numFmtId="11" fontId="26" fillId="0" borderId="66" xfId="56" applyNumberFormat="1" applyFont="1" applyFill="1" applyBorder="1" applyAlignment="1">
      <alignment horizontal="center" vertical="center"/>
    </xf>
    <xf numFmtId="0" fontId="29" fillId="0" borderId="0" xfId="0" applyFont="1"/>
    <xf numFmtId="0" fontId="32" fillId="0" borderId="23" xfId="0" applyFont="1" applyBorder="1"/>
    <xf numFmtId="0" fontId="32" fillId="0" borderId="21" xfId="0" applyFont="1" applyBorder="1"/>
    <xf numFmtId="0" fontId="32" fillId="0" borderId="35" xfId="0" applyFont="1" applyBorder="1"/>
    <xf numFmtId="0" fontId="56" fillId="0" borderId="0" xfId="0" applyFont="1" applyFill="1" applyAlignment="1">
      <alignment horizontal="left"/>
    </xf>
    <xf numFmtId="0" fontId="48" fillId="0" borderId="0" xfId="57" applyFont="1" applyAlignment="1">
      <alignment horizontal="right"/>
    </xf>
    <xf numFmtId="0" fontId="56" fillId="0" borderId="0" xfId="4" applyNumberFormat="1" applyFont="1" applyBorder="1" applyAlignment="1">
      <alignment horizontal="left"/>
    </xf>
    <xf numFmtId="0" fontId="48" fillId="0" borderId="0" xfId="57" applyFont="1"/>
    <xf numFmtId="0" fontId="56" fillId="0" borderId="0" xfId="4" quotePrefix="1" applyNumberFormat="1" applyFont="1" applyFill="1" applyBorder="1" applyAlignment="1">
      <alignment horizontal="right"/>
    </xf>
    <xf numFmtId="0" fontId="48" fillId="0" borderId="0" xfId="0" applyFont="1" applyAlignment="1">
      <alignment horizontal="left"/>
    </xf>
    <xf numFmtId="0" fontId="33" fillId="0" borderId="32" xfId="0" applyFont="1" applyFill="1" applyBorder="1" applyAlignment="1">
      <alignment horizontal="center" vertical="center" wrapText="1"/>
    </xf>
    <xf numFmtId="0" fontId="26" fillId="0" borderId="0" xfId="0" applyNumberFormat="1" applyFont="1" applyFill="1" applyAlignment="1">
      <alignment vertical="top" wrapText="1"/>
    </xf>
    <xf numFmtId="0" fontId="26" fillId="0" borderId="0" xfId="0" applyFont="1" applyAlignment="1">
      <alignment vertical="top"/>
    </xf>
    <xf numFmtId="0" fontId="35" fillId="0" borderId="0" xfId="0" applyFont="1" applyAlignment="1">
      <alignment vertical="center"/>
    </xf>
    <xf numFmtId="0" fontId="35" fillId="0" borderId="0" xfId="0" applyFont="1" applyFill="1" applyAlignment="1">
      <alignment vertical="center"/>
    </xf>
    <xf numFmtId="9" fontId="26" fillId="0" borderId="1" xfId="1" applyFont="1" applyFill="1" applyBorder="1" applyAlignment="1">
      <alignment horizontal="center" vertical="center" wrapText="1"/>
    </xf>
    <xf numFmtId="9" fontId="26" fillId="0" borderId="1" xfId="1" applyNumberFormat="1" applyFont="1" applyFill="1" applyBorder="1" applyAlignment="1">
      <alignment horizontal="center" vertical="center" wrapText="1"/>
    </xf>
    <xf numFmtId="9" fontId="32" fillId="0" borderId="31" xfId="1" applyNumberFormat="1" applyFont="1" applyFill="1" applyBorder="1" applyAlignment="1">
      <alignment horizontal="center" vertical="center" wrapText="1"/>
    </xf>
    <xf numFmtId="9" fontId="26" fillId="0" borderId="15" xfId="1" quotePrefix="1" applyNumberFormat="1" applyFont="1" applyFill="1" applyBorder="1" applyAlignment="1">
      <alignment horizontal="center" vertical="center" wrapText="1"/>
    </xf>
    <xf numFmtId="0" fontId="56" fillId="0" borderId="0" xfId="48" applyFont="1" applyFill="1" applyBorder="1" applyAlignment="1">
      <alignment vertical="top" wrapText="1"/>
    </xf>
    <xf numFmtId="2" fontId="26" fillId="0" borderId="30" xfId="0" applyNumberFormat="1" applyFont="1" applyFill="1" applyBorder="1" applyAlignment="1">
      <alignment horizontal="center" vertical="center"/>
    </xf>
    <xf numFmtId="0" fontId="26" fillId="0" borderId="38" xfId="0" applyFont="1" applyFill="1" applyBorder="1" applyAlignment="1">
      <alignment vertical="center"/>
    </xf>
    <xf numFmtId="166" fontId="26" fillId="0" borderId="37" xfId="46" applyNumberFormat="1" applyFont="1" applyFill="1" applyBorder="1" applyAlignment="1">
      <alignment vertical="center" wrapText="1"/>
    </xf>
    <xf numFmtId="0" fontId="0" fillId="0" borderId="0" xfId="0" applyFill="1"/>
    <xf numFmtId="0" fontId="39" fillId="0" borderId="0" xfId="0" applyFont="1" applyFill="1"/>
    <xf numFmtId="0" fontId="26" fillId="0" borderId="0" xfId="58" applyFont="1"/>
    <xf numFmtId="171" fontId="26" fillId="0" borderId="4" xfId="0" applyNumberFormat="1" applyFont="1" applyFill="1" applyBorder="1" applyAlignment="1">
      <alignment horizontal="center" vertical="center"/>
    </xf>
    <xf numFmtId="3" fontId="32" fillId="0" borderId="32" xfId="0" applyNumberFormat="1" applyFont="1" applyFill="1" applyBorder="1" applyAlignment="1">
      <alignment horizontal="center" vertical="center"/>
    </xf>
    <xf numFmtId="0" fontId="56" fillId="0" borderId="0" xfId="0" applyFont="1" applyFill="1" applyBorder="1" applyAlignment="1">
      <alignment horizontal="left"/>
    </xf>
    <xf numFmtId="3" fontId="56" fillId="0" borderId="0" xfId="0" applyNumberFormat="1" applyFont="1" applyFill="1" applyBorder="1" applyAlignment="1">
      <alignment horizontal="center"/>
    </xf>
    <xf numFmtId="0" fontId="33" fillId="0" borderId="0" xfId="58" applyFont="1" applyFill="1"/>
    <xf numFmtId="0" fontId="26" fillId="0" borderId="0" xfId="58" applyFont="1" applyFill="1"/>
    <xf numFmtId="0" fontId="26" fillId="0" borderId="0" xfId="58" applyFont="1" applyFill="1" applyBorder="1"/>
    <xf numFmtId="0" fontId="33" fillId="0" borderId="31" xfId="58" applyFont="1" applyFill="1" applyBorder="1" applyAlignment="1">
      <alignment horizontal="center" vertical="center"/>
    </xf>
    <xf numFmtId="0" fontId="33" fillId="0" borderId="32" xfId="58" applyFont="1" applyFill="1" applyBorder="1" applyAlignment="1">
      <alignment horizontal="center" vertical="center"/>
    </xf>
    <xf numFmtId="0" fontId="26" fillId="0" borderId="0" xfId="58" applyFont="1" applyBorder="1"/>
    <xf numFmtId="11" fontId="26" fillId="0" borderId="1" xfId="58" applyNumberFormat="1" applyFont="1" applyFill="1" applyBorder="1" applyAlignment="1">
      <alignment horizontal="center" vertical="center"/>
    </xf>
    <xf numFmtId="0" fontId="26" fillId="0" borderId="1" xfId="58" applyFont="1" applyFill="1" applyBorder="1" applyAlignment="1">
      <alignment horizontal="center" vertical="center"/>
    </xf>
    <xf numFmtId="0" fontId="26" fillId="0" borderId="21" xfId="58" applyFont="1" applyFill="1" applyBorder="1" applyAlignment="1">
      <alignment horizontal="left" vertical="center" wrapText="1"/>
    </xf>
    <xf numFmtId="0" fontId="26" fillId="0" borderId="31" xfId="58" applyFont="1" applyFill="1" applyBorder="1" applyAlignment="1">
      <alignment horizontal="center" vertical="center"/>
    </xf>
    <xf numFmtId="0" fontId="71" fillId="0" borderId="0" xfId="0" applyFont="1" applyAlignment="1">
      <alignment horizontal="left"/>
    </xf>
    <xf numFmtId="0" fontId="26" fillId="0" borderId="0" xfId="0" applyFont="1" applyFill="1" applyAlignment="1">
      <alignment vertical="top"/>
    </xf>
    <xf numFmtId="0" fontId="32" fillId="0" borderId="0" xfId="58" applyFont="1"/>
    <xf numFmtId="0" fontId="26" fillId="0" borderId="0" xfId="58" applyFont="1" applyAlignment="1">
      <alignment vertical="center"/>
    </xf>
    <xf numFmtId="0" fontId="35" fillId="0" borderId="0" xfId="58" applyFont="1"/>
    <xf numFmtId="0" fontId="32" fillId="0" borderId="0" xfId="58" applyFont="1" applyBorder="1" applyAlignment="1">
      <alignment horizontal="right"/>
    </xf>
    <xf numFmtId="0" fontId="32" fillId="0" borderId="0" xfId="58" applyFont="1" applyBorder="1"/>
    <xf numFmtId="1" fontId="32" fillId="0" borderId="31" xfId="0" applyNumberFormat="1" applyFont="1" applyFill="1" applyBorder="1" applyAlignment="1">
      <alignment horizontal="center" vertical="center"/>
    </xf>
    <xf numFmtId="11" fontId="26" fillId="0" borderId="30" xfId="0" applyNumberFormat="1" applyFont="1" applyFill="1" applyBorder="1" applyAlignment="1">
      <alignment horizontal="center" vertical="center"/>
    </xf>
    <xf numFmtId="11" fontId="26" fillId="0" borderId="40" xfId="0" applyNumberFormat="1" applyFont="1" applyFill="1" applyBorder="1" applyAlignment="1">
      <alignment horizontal="center" vertical="center"/>
    </xf>
    <xf numFmtId="0" fontId="32" fillId="0" borderId="66" xfId="0" applyFont="1" applyFill="1" applyBorder="1" applyAlignment="1">
      <alignment vertical="center"/>
    </xf>
    <xf numFmtId="0" fontId="26" fillId="0" borderId="0" xfId="0" applyFont="1" applyBorder="1"/>
    <xf numFmtId="0" fontId="33" fillId="0" borderId="30" xfId="0" applyFont="1" applyFill="1" applyBorder="1" applyAlignment="1">
      <alignment horizontal="center"/>
    </xf>
    <xf numFmtId="3" fontId="26" fillId="0" borderId="0" xfId="0" applyNumberFormat="1" applyFont="1" applyBorder="1"/>
    <xf numFmtId="2" fontId="26" fillId="0" borderId="1" xfId="11" applyNumberFormat="1" applyFont="1" applyFill="1" applyBorder="1" applyAlignment="1">
      <alignment horizontal="center" vertical="center"/>
    </xf>
    <xf numFmtId="2" fontId="26" fillId="0" borderId="1" xfId="11" quotePrefix="1" applyNumberFormat="1" applyFont="1" applyFill="1" applyBorder="1" applyAlignment="1">
      <alignment horizontal="center" vertical="center"/>
    </xf>
    <xf numFmtId="43" fontId="26" fillId="0" borderId="34" xfId="11" quotePrefix="1" applyFont="1" applyFill="1" applyBorder="1" applyAlignment="1">
      <alignment horizontal="center" vertical="center"/>
    </xf>
    <xf numFmtId="0" fontId="26" fillId="0" borderId="60" xfId="0" applyFont="1" applyBorder="1"/>
    <xf numFmtId="0" fontId="26" fillId="0" borderId="19" xfId="0" applyFont="1" applyBorder="1" applyAlignment="1">
      <alignment horizontal="left" indent="1"/>
    </xf>
    <xf numFmtId="0" fontId="26" fillId="0" borderId="61" xfId="0" applyFont="1" applyBorder="1"/>
    <xf numFmtId="0" fontId="26" fillId="0" borderId="12" xfId="0" applyFont="1" applyBorder="1" applyAlignment="1">
      <alignment horizontal="right" indent="1"/>
    </xf>
    <xf numFmtId="0" fontId="26" fillId="0" borderId="41" xfId="0" applyFont="1" applyBorder="1"/>
    <xf numFmtId="0" fontId="26" fillId="0" borderId="42" xfId="0" applyFont="1" applyBorder="1" applyAlignment="1">
      <alignment horizontal="right" indent="1"/>
    </xf>
    <xf numFmtId="0" fontId="33" fillId="0" borderId="31" xfId="0" applyFont="1" applyBorder="1" applyAlignment="1">
      <alignment horizontal="center"/>
    </xf>
    <xf numFmtId="165" fontId="26" fillId="0" borderId="0" xfId="0" applyNumberFormat="1" applyFont="1" applyFill="1"/>
    <xf numFmtId="168" fontId="26" fillId="0" borderId="33" xfId="0" applyNumberFormat="1" applyFont="1" applyFill="1" applyBorder="1" applyAlignment="1">
      <alignment horizontal="center" vertical="center"/>
    </xf>
    <xf numFmtId="2" fontId="33" fillId="0" borderId="30" xfId="47" applyNumberFormat="1" applyFont="1" applyFill="1" applyBorder="1" applyAlignment="1">
      <alignment horizontal="center" vertical="center"/>
    </xf>
    <xf numFmtId="171" fontId="26" fillId="0" borderId="32" xfId="0" applyNumberFormat="1" applyFont="1" applyFill="1" applyBorder="1" applyAlignment="1">
      <alignment horizontal="center" vertical="center"/>
    </xf>
    <xf numFmtId="171" fontId="26" fillId="0" borderId="34" xfId="0" applyNumberFormat="1" applyFont="1" applyFill="1" applyBorder="1" applyAlignment="1">
      <alignment horizontal="center" vertical="center"/>
    </xf>
    <xf numFmtId="0" fontId="26" fillId="0" borderId="63" xfId="0" applyFont="1" applyFill="1" applyBorder="1"/>
    <xf numFmtId="0" fontId="26" fillId="0" borderId="29" xfId="47" applyFont="1" applyFill="1" applyBorder="1" applyAlignment="1">
      <alignment vertical="center"/>
    </xf>
    <xf numFmtId="167" fontId="26" fillId="0" borderId="69" xfId="4" applyNumberFormat="1" applyFont="1" applyFill="1" applyBorder="1" applyAlignment="1">
      <alignment horizontal="center" vertical="center"/>
    </xf>
    <xf numFmtId="0" fontId="26" fillId="0" borderId="4" xfId="47" applyFont="1" applyFill="1" applyBorder="1" applyAlignment="1">
      <alignment vertical="center"/>
    </xf>
    <xf numFmtId="167" fontId="26" fillId="0" borderId="9" xfId="4" applyNumberFormat="1" applyFont="1" applyFill="1" applyBorder="1" applyAlignment="1">
      <alignment horizontal="center" vertical="center"/>
    </xf>
    <xf numFmtId="167" fontId="26" fillId="0" borderId="33" xfId="4" applyNumberFormat="1" applyFont="1" applyFill="1" applyBorder="1" applyAlignment="1">
      <alignment horizontal="center" vertical="center"/>
    </xf>
    <xf numFmtId="168" fontId="26" fillId="0" borderId="1" xfId="4" applyNumberFormat="1" applyFont="1" applyFill="1" applyBorder="1" applyAlignment="1">
      <alignment horizontal="center" vertical="center"/>
    </xf>
    <xf numFmtId="2" fontId="26" fillId="0" borderId="13" xfId="4" applyNumberFormat="1" applyFont="1" applyFill="1" applyBorder="1" applyAlignment="1">
      <alignment horizontal="center" vertical="center"/>
    </xf>
    <xf numFmtId="167" fontId="26" fillId="0" borderId="34" xfId="4" applyNumberFormat="1" applyFont="1" applyFill="1" applyBorder="1" applyAlignment="1">
      <alignment horizontal="center" vertical="center"/>
    </xf>
    <xf numFmtId="2" fontId="26" fillId="0" borderId="9" xfId="4" applyNumberFormat="1" applyFont="1" applyFill="1" applyBorder="1" applyAlignment="1">
      <alignment horizontal="center" vertical="center"/>
    </xf>
    <xf numFmtId="1" fontId="26" fillId="0" borderId="31" xfId="48" applyNumberFormat="1" applyFont="1" applyFill="1" applyBorder="1" applyAlignment="1">
      <alignment horizontal="center" vertical="center"/>
    </xf>
    <xf numFmtId="168" fontId="26" fillId="0" borderId="29" xfId="0" applyNumberFormat="1" applyFont="1" applyFill="1" applyBorder="1" applyAlignment="1">
      <alignment horizontal="center" vertical="center"/>
    </xf>
    <xf numFmtId="2" fontId="26" fillId="0" borderId="82" xfId="0" applyNumberFormat="1" applyFont="1" applyFill="1" applyBorder="1" applyAlignment="1">
      <alignment horizontal="center" vertical="center"/>
    </xf>
    <xf numFmtId="2" fontId="26" fillId="0" borderId="32" xfId="0" applyNumberFormat="1" applyFont="1" applyFill="1" applyBorder="1" applyAlignment="1">
      <alignment horizontal="center" vertical="center"/>
    </xf>
    <xf numFmtId="11" fontId="26" fillId="0" borderId="30" xfId="47" applyNumberFormat="1" applyFont="1" applyFill="1" applyBorder="1" applyAlignment="1">
      <alignment horizontal="center" vertical="center"/>
    </xf>
    <xf numFmtId="2" fontId="33" fillId="0" borderId="62" xfId="0" applyNumberFormat="1" applyFont="1" applyFill="1" applyBorder="1" applyAlignment="1">
      <alignment horizontal="center" vertical="center"/>
    </xf>
    <xf numFmtId="0" fontId="26" fillId="0" borderId="6" xfId="47" applyFont="1" applyFill="1" applyBorder="1" applyAlignment="1">
      <alignment horizontal="center" vertical="center"/>
    </xf>
    <xf numFmtId="4" fontId="26" fillId="0" borderId="0" xfId="0" applyNumberFormat="1" applyFont="1" applyFill="1"/>
    <xf numFmtId="0" fontId="26" fillId="0" borderId="1" xfId="47" applyFont="1" applyFill="1" applyBorder="1" applyAlignment="1">
      <alignment vertical="center"/>
    </xf>
    <xf numFmtId="2" fontId="26" fillId="0" borderId="3" xfId="0" applyNumberFormat="1" applyFont="1" applyFill="1" applyBorder="1" applyAlignment="1">
      <alignment horizontal="center" vertical="center" wrapText="1"/>
    </xf>
    <xf numFmtId="0" fontId="26" fillId="0" borderId="23" xfId="0" applyFont="1" applyFill="1" applyBorder="1" applyAlignment="1">
      <alignment horizontal="center" vertical="center"/>
    </xf>
    <xf numFmtId="0" fontId="26" fillId="0" borderId="5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 xfId="0" quotePrefix="1"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Fill="1" applyBorder="1" applyAlignment="1">
      <alignment horizontal="center" vertical="center" wrapText="1"/>
    </xf>
    <xf numFmtId="0" fontId="26" fillId="0" borderId="21" xfId="0" applyFont="1" applyFill="1" applyBorder="1" applyAlignment="1">
      <alignment horizontal="center" vertical="center"/>
    </xf>
    <xf numFmtId="0" fontId="26" fillId="0" borderId="13" xfId="0" applyFont="1" applyFill="1" applyBorder="1" applyAlignment="1">
      <alignment horizontal="center" vertical="center" wrapText="1"/>
    </xf>
    <xf numFmtId="0" fontId="26" fillId="0" borderId="1" xfId="0" quotePrefix="1" applyFont="1" applyFill="1" applyBorder="1" applyAlignment="1">
      <alignment horizontal="center" vertical="center"/>
    </xf>
    <xf numFmtId="0" fontId="26" fillId="0" borderId="1" xfId="0" quotePrefix="1" applyFont="1" applyBorder="1" applyAlignment="1">
      <alignment horizontal="center" vertical="center"/>
    </xf>
    <xf numFmtId="0" fontId="34" fillId="0" borderId="0" xfId="58" applyFont="1"/>
    <xf numFmtId="0" fontId="32" fillId="0" borderId="0" xfId="58" applyFont="1" applyAlignment="1">
      <alignment vertical="center"/>
    </xf>
    <xf numFmtId="0" fontId="38" fillId="0" borderId="0" xfId="58" quotePrefix="1" applyFont="1" applyAlignment="1">
      <alignment horizontal="right" vertical="top"/>
    </xf>
    <xf numFmtId="0" fontId="56" fillId="0" borderId="0" xfId="48" applyFont="1" applyFill="1" applyBorder="1" applyAlignment="1">
      <alignment horizontal="left" vertical="top" wrapText="1"/>
    </xf>
    <xf numFmtId="0" fontId="55" fillId="0" borderId="0" xfId="0" applyFont="1" applyAlignment="1">
      <alignment horizontal="left"/>
    </xf>
    <xf numFmtId="0" fontId="56" fillId="0" borderId="0" xfId="0" applyFont="1" applyFill="1" applyAlignment="1">
      <alignment vertical="top" wrapText="1"/>
    </xf>
    <xf numFmtId="0" fontId="56" fillId="0" borderId="0" xfId="48" applyFont="1" applyFill="1" applyBorder="1" applyAlignment="1">
      <alignment vertical="top"/>
    </xf>
    <xf numFmtId="0" fontId="33" fillId="0" borderId="48" xfId="47" applyFont="1" applyBorder="1" applyAlignment="1">
      <alignment vertical="center"/>
    </xf>
    <xf numFmtId="0" fontId="33" fillId="0" borderId="49" xfId="47" applyFont="1" applyBorder="1" applyAlignment="1">
      <alignment vertical="center"/>
    </xf>
    <xf numFmtId="0" fontId="33" fillId="0" borderId="50" xfId="47" applyFont="1" applyBorder="1" applyAlignment="1">
      <alignment vertical="center"/>
    </xf>
    <xf numFmtId="0" fontId="33" fillId="0" borderId="0" xfId="0" applyFont="1" applyFill="1" applyAlignment="1">
      <alignment horizontal="center" wrapText="1"/>
    </xf>
    <xf numFmtId="0" fontId="26" fillId="0" borderId="0" xfId="0" applyFont="1" applyAlignment="1">
      <alignment vertical="top" wrapText="1"/>
    </xf>
    <xf numFmtId="0" fontId="33" fillId="0" borderId="0" xfId="0" applyFont="1" applyFill="1" applyAlignment="1">
      <alignment horizontal="center" vertical="center"/>
    </xf>
    <xf numFmtId="0" fontId="55" fillId="0" borderId="0" xfId="0" applyFont="1" applyFill="1" applyAlignment="1">
      <alignment horizontal="left"/>
    </xf>
    <xf numFmtId="0" fontId="56" fillId="0" borderId="0" xfId="0" applyFont="1" applyFill="1" applyAlignment="1">
      <alignment vertical="top"/>
    </xf>
    <xf numFmtId="0" fontId="37" fillId="0" borderId="0" xfId="0" applyFont="1" applyAlignment="1">
      <alignment horizontal="left"/>
    </xf>
    <xf numFmtId="0" fontId="56" fillId="0" borderId="0" xfId="0" applyFont="1" applyAlignment="1">
      <alignment horizontal="left" vertical="top" wrapText="1"/>
    </xf>
    <xf numFmtId="0" fontId="33" fillId="0" borderId="0" xfId="0" applyFont="1" applyAlignment="1">
      <alignment horizontal="center" vertical="center"/>
    </xf>
    <xf numFmtId="0" fontId="34" fillId="0" borderId="0" xfId="58" applyFont="1" applyAlignment="1">
      <alignment horizontal="centerContinuous" vertical="center"/>
    </xf>
    <xf numFmtId="0" fontId="34" fillId="2" borderId="31" xfId="58" applyFont="1" applyFill="1" applyBorder="1" applyAlignment="1">
      <alignment horizontal="center" vertical="center"/>
    </xf>
    <xf numFmtId="0" fontId="34" fillId="2" borderId="32" xfId="58" applyFont="1" applyFill="1" applyBorder="1" applyAlignment="1">
      <alignment horizontal="center" vertical="center"/>
    </xf>
    <xf numFmtId="0" fontId="26" fillId="0" borderId="23" xfId="0" applyFont="1" applyBorder="1" applyAlignment="1">
      <alignment vertical="center"/>
    </xf>
    <xf numFmtId="0" fontId="32" fillId="0" borderId="21" xfId="58" applyFont="1" applyBorder="1" applyAlignment="1">
      <alignment vertical="center"/>
    </xf>
    <xf numFmtId="0" fontId="26" fillId="2" borderId="35" xfId="58" applyFont="1" applyFill="1" applyBorder="1" applyAlignment="1">
      <alignment horizontal="left" vertical="center"/>
    </xf>
    <xf numFmtId="0" fontId="26" fillId="0" borderId="0" xfId="0" applyFont="1" applyAlignment="1">
      <alignment horizontal="left" vertical="center"/>
    </xf>
    <xf numFmtId="0" fontId="56" fillId="0" borderId="0" xfId="48" applyFont="1" applyAlignment="1">
      <alignment vertical="top" wrapText="1"/>
    </xf>
    <xf numFmtId="0" fontId="26" fillId="0" borderId="21" xfId="58" applyFont="1" applyBorder="1" applyAlignment="1">
      <alignment horizontal="left" vertical="center"/>
    </xf>
    <xf numFmtId="0" fontId="26" fillId="0" borderId="1" xfId="58" applyFont="1" applyBorder="1" applyAlignment="1">
      <alignment horizontal="center" vertical="center"/>
    </xf>
    <xf numFmtId="168" fontId="26" fillId="0" borderId="1" xfId="48" quotePrefix="1" applyNumberFormat="1" applyFont="1" applyBorder="1" applyAlignment="1">
      <alignment horizontal="center" vertical="center"/>
    </xf>
    <xf numFmtId="168" fontId="26" fillId="0" borderId="1" xfId="48" applyNumberFormat="1" applyFont="1" applyBorder="1" applyAlignment="1">
      <alignment horizontal="center" vertical="center"/>
    </xf>
    <xf numFmtId="0" fontId="26" fillId="0" borderId="13" xfId="0" applyFont="1" applyFill="1" applyBorder="1" applyAlignment="1">
      <alignment horizontal="center" vertical="center"/>
    </xf>
    <xf numFmtId="0" fontId="26" fillId="0" borderId="13" xfId="47" applyFont="1" applyFill="1" applyBorder="1" applyAlignment="1">
      <alignment horizontal="center" vertical="center"/>
    </xf>
    <xf numFmtId="0" fontId="26" fillId="2" borderId="13" xfId="0" applyFont="1" applyFill="1" applyBorder="1" applyAlignment="1">
      <alignment horizontal="center" vertical="center"/>
    </xf>
    <xf numFmtId="0" fontId="26" fillId="0" borderId="47" xfId="47" applyFont="1" applyFill="1" applyBorder="1" applyAlignment="1">
      <alignment horizontal="center" vertical="center"/>
    </xf>
    <xf numFmtId="0" fontId="26" fillId="0" borderId="81" xfId="0" applyFont="1" applyFill="1" applyBorder="1" applyAlignment="1">
      <alignment horizontal="center" vertical="center"/>
    </xf>
    <xf numFmtId="0" fontId="26" fillId="0" borderId="9" xfId="0" applyFont="1" applyBorder="1" applyAlignment="1">
      <alignment horizontal="center" vertical="center"/>
    </xf>
    <xf numFmtId="0" fontId="26" fillId="0" borderId="13" xfId="0" applyFont="1" applyBorder="1" applyAlignment="1">
      <alignment horizontal="center" vertical="center"/>
    </xf>
    <xf numFmtId="0" fontId="26" fillId="0" borderId="9" xfId="47" applyFont="1" applyFill="1" applyBorder="1" applyAlignment="1">
      <alignment horizontal="center" vertical="center"/>
    </xf>
    <xf numFmtId="0" fontId="26" fillId="0" borderId="13" xfId="58" applyFont="1" applyBorder="1" applyAlignment="1">
      <alignment horizontal="center" vertical="center"/>
    </xf>
    <xf numFmtId="0" fontId="26" fillId="0" borderId="13" xfId="47" applyFont="1" applyFill="1" applyBorder="1" applyAlignment="1">
      <alignment horizontal="center" vertical="center" wrapText="1"/>
    </xf>
    <xf numFmtId="0" fontId="32" fillId="0" borderId="0" xfId="0" applyFont="1" applyBorder="1" applyAlignment="1">
      <alignment vertical="center"/>
    </xf>
    <xf numFmtId="0" fontId="26" fillId="0" borderId="60" xfId="47" applyFont="1" applyFill="1" applyBorder="1" applyAlignment="1">
      <alignment vertical="center"/>
    </xf>
    <xf numFmtId="0" fontId="26" fillId="0" borderId="19" xfId="47" applyFont="1" applyFill="1" applyBorder="1" applyAlignment="1">
      <alignment vertical="center"/>
    </xf>
    <xf numFmtId="0" fontId="33" fillId="0" borderId="29" xfId="47" applyFont="1" applyFill="1" applyBorder="1" applyAlignment="1">
      <alignment horizontal="right" vertical="center"/>
    </xf>
    <xf numFmtId="0" fontId="26" fillId="0" borderId="60" xfId="0" applyFont="1" applyFill="1" applyBorder="1" applyAlignment="1">
      <alignment vertical="center"/>
    </xf>
    <xf numFmtId="0" fontId="26" fillId="0" borderId="19" xfId="0" applyFont="1" applyFill="1" applyBorder="1" applyAlignment="1">
      <alignment vertical="center"/>
    </xf>
    <xf numFmtId="0" fontId="26" fillId="2" borderId="38" xfId="0" applyFont="1" applyFill="1" applyBorder="1" applyAlignment="1">
      <alignment vertical="center"/>
    </xf>
    <xf numFmtId="0" fontId="26" fillId="2" borderId="39" xfId="0" applyFont="1" applyFill="1" applyBorder="1" applyAlignment="1">
      <alignment vertical="center"/>
    </xf>
    <xf numFmtId="0" fontId="26" fillId="2" borderId="60" xfId="0" applyFont="1" applyFill="1" applyBorder="1" applyAlignment="1">
      <alignment vertical="center"/>
    </xf>
    <xf numFmtId="0" fontId="26" fillId="2" borderId="19" xfId="0" applyFont="1" applyFill="1" applyBorder="1" applyAlignment="1">
      <alignment vertical="center"/>
    </xf>
    <xf numFmtId="0" fontId="26" fillId="0" borderId="0" xfId="0" applyFont="1" applyFill="1" applyBorder="1" applyAlignment="1">
      <alignment horizontal="centerContinuous"/>
    </xf>
    <xf numFmtId="0" fontId="26" fillId="0" borderId="0" xfId="0" applyFont="1" applyBorder="1" applyAlignment="1">
      <alignment horizontal="centerContinuous"/>
    </xf>
    <xf numFmtId="0" fontId="33" fillId="0" borderId="40" xfId="0" applyFont="1" applyFill="1" applyBorder="1" applyAlignment="1">
      <alignment horizontal="center"/>
    </xf>
    <xf numFmtId="0" fontId="26" fillId="0" borderId="51" xfId="0" applyFont="1" applyBorder="1" applyAlignment="1">
      <alignment vertical="center"/>
    </xf>
    <xf numFmtId="0" fontId="26" fillId="0" borderId="52" xfId="0" applyFont="1" applyBorder="1" applyAlignment="1">
      <alignment vertical="center"/>
    </xf>
    <xf numFmtId="0" fontId="26" fillId="0" borderId="81" xfId="0" applyFont="1" applyBorder="1" applyAlignment="1">
      <alignment horizontal="center" vertical="center"/>
    </xf>
    <xf numFmtId="0" fontId="26" fillId="0" borderId="13" xfId="47" quotePrefix="1" applyFont="1" applyFill="1" applyBorder="1" applyAlignment="1">
      <alignment horizontal="center" vertical="center"/>
    </xf>
    <xf numFmtId="0" fontId="26" fillId="0" borderId="21" xfId="0" applyFont="1" applyBorder="1" applyAlignment="1">
      <alignment vertical="center" wrapText="1"/>
    </xf>
    <xf numFmtId="0" fontId="26" fillId="0" borderId="13" xfId="0" applyFont="1" applyBorder="1" applyAlignment="1">
      <alignment horizontal="center" vertical="center" wrapText="1"/>
    </xf>
    <xf numFmtId="176" fontId="26" fillId="0" borderId="0" xfId="1" applyNumberFormat="1" applyFont="1"/>
    <xf numFmtId="10" fontId="26" fillId="0" borderId="0" xfId="0" applyNumberFormat="1" applyFont="1"/>
    <xf numFmtId="0" fontId="26" fillId="0" borderId="0" xfId="0" applyFont="1" applyBorder="1" applyAlignment="1">
      <alignment horizontal="right"/>
    </xf>
    <xf numFmtId="0" fontId="26" fillId="2" borderId="13" xfId="47" applyFont="1" applyFill="1" applyBorder="1" applyAlignment="1">
      <alignment horizontal="center" vertical="center"/>
    </xf>
    <xf numFmtId="0" fontId="26" fillId="2" borderId="13" xfId="47" applyFont="1" applyFill="1" applyBorder="1" applyAlignment="1">
      <alignment horizontal="center" vertical="center" wrapText="1"/>
    </xf>
    <xf numFmtId="0" fontId="26" fillId="2" borderId="16" xfId="47" applyFont="1" applyFill="1" applyBorder="1" applyAlignment="1">
      <alignment horizontal="center" vertical="center"/>
    </xf>
    <xf numFmtId="0" fontId="34" fillId="0" borderId="30" xfId="0" applyFont="1" applyFill="1" applyBorder="1" applyAlignment="1">
      <alignment horizontal="right" vertical="center"/>
    </xf>
    <xf numFmtId="0" fontId="32" fillId="0" borderId="29" xfId="0" quotePrefix="1" applyFont="1" applyFill="1" applyBorder="1" applyAlignment="1">
      <alignment horizontal="center" vertical="center"/>
    </xf>
    <xf numFmtId="0" fontId="26" fillId="2" borderId="21" xfId="58" applyFont="1" applyFill="1" applyBorder="1" applyAlignment="1">
      <alignment horizontal="left" vertical="center"/>
    </xf>
    <xf numFmtId="0" fontId="37" fillId="0" borderId="0" xfId="0" applyFont="1"/>
    <xf numFmtId="0" fontId="33" fillId="0" borderId="29" xfId="0" applyFont="1" applyFill="1" applyBorder="1" applyAlignment="1">
      <alignment horizontal="center" vertical="center" wrapText="1"/>
    </xf>
    <xf numFmtId="0" fontId="26" fillId="0" borderId="13" xfId="58" applyFont="1" applyFill="1" applyBorder="1" applyAlignment="1">
      <alignment horizontal="center" vertical="center"/>
    </xf>
    <xf numFmtId="0" fontId="26" fillId="0" borderId="13" xfId="58" applyFont="1" applyFill="1" applyBorder="1" applyAlignment="1">
      <alignment horizontal="center" vertical="center" wrapText="1"/>
    </xf>
    <xf numFmtId="0" fontId="33" fillId="0" borderId="0" xfId="58" applyFont="1" applyFill="1" applyBorder="1" applyAlignment="1">
      <alignment vertical="center"/>
    </xf>
    <xf numFmtId="0" fontId="41" fillId="0" borderId="0" xfId="0" applyFont="1" applyFill="1" applyBorder="1" applyAlignment="1">
      <alignment vertical="center"/>
    </xf>
    <xf numFmtId="0" fontId="41" fillId="0" borderId="83" xfId="0" applyFont="1" applyFill="1" applyBorder="1" applyAlignment="1">
      <alignment vertical="center"/>
    </xf>
    <xf numFmtId="0" fontId="26" fillId="0" borderId="69" xfId="58" applyFont="1" applyFill="1" applyBorder="1" applyAlignment="1">
      <alignment horizontal="center" vertical="center"/>
    </xf>
    <xf numFmtId="0" fontId="26" fillId="0" borderId="29" xfId="58" applyFont="1" applyFill="1" applyBorder="1" applyAlignment="1">
      <alignment horizontal="center" vertical="center"/>
    </xf>
    <xf numFmtId="0" fontId="26" fillId="0" borderId="36" xfId="58" applyFont="1" applyFill="1" applyBorder="1" applyAlignment="1">
      <alignment horizontal="center" vertical="center"/>
    </xf>
    <xf numFmtId="0" fontId="26" fillId="0" borderId="60" xfId="58" applyFont="1" applyFill="1" applyBorder="1" applyAlignment="1">
      <alignment vertical="center"/>
    </xf>
    <xf numFmtId="0" fontId="26" fillId="0" borderId="19" xfId="58" applyFont="1" applyFill="1" applyBorder="1" applyAlignment="1">
      <alignment vertical="center"/>
    </xf>
    <xf numFmtId="0" fontId="33" fillId="0" borderId="29" xfId="58" applyFont="1" applyFill="1" applyBorder="1" applyAlignment="1">
      <alignment horizontal="right" vertical="center"/>
    </xf>
    <xf numFmtId="0" fontId="26" fillId="0" borderId="41" xfId="47" applyFont="1" applyFill="1" applyBorder="1" applyAlignment="1">
      <alignment vertical="center"/>
    </xf>
    <xf numFmtId="0" fontId="26" fillId="0" borderId="42" xfId="47" applyFont="1" applyFill="1" applyBorder="1" applyAlignment="1">
      <alignment vertical="center"/>
    </xf>
    <xf numFmtId="0" fontId="33" fillId="0" borderId="31" xfId="47" applyFont="1" applyFill="1" applyBorder="1" applyAlignment="1">
      <alignment horizontal="right" vertical="center"/>
    </xf>
    <xf numFmtId="0" fontId="26" fillId="0" borderId="31" xfId="0" applyFont="1" applyFill="1" applyBorder="1" applyAlignment="1">
      <alignment horizontal="center" vertical="center"/>
    </xf>
    <xf numFmtId="0" fontId="26" fillId="0" borderId="36" xfId="0" applyFont="1" applyFill="1" applyBorder="1" applyAlignment="1">
      <alignment horizontal="center" vertical="center"/>
    </xf>
    <xf numFmtId="0" fontId="32" fillId="0" borderId="85" xfId="0" applyFont="1" applyBorder="1" applyAlignment="1">
      <alignment vertical="center"/>
    </xf>
    <xf numFmtId="0" fontId="32" fillId="0" borderId="60" xfId="0" applyFont="1" applyBorder="1" applyAlignment="1">
      <alignment vertical="center"/>
    </xf>
    <xf numFmtId="0" fontId="32" fillId="0" borderId="19" xfId="0" applyFont="1" applyBorder="1" applyAlignment="1">
      <alignment vertical="center"/>
    </xf>
    <xf numFmtId="0" fontId="34" fillId="0" borderId="29" xfId="0" applyFont="1" applyFill="1" applyBorder="1" applyAlignment="1">
      <alignment horizontal="right" vertical="center"/>
    </xf>
    <xf numFmtId="0" fontId="26" fillId="0" borderId="51" xfId="46" applyFont="1" applyFill="1" applyBorder="1" applyAlignment="1">
      <alignment vertical="center"/>
    </xf>
    <xf numFmtId="0" fontId="26" fillId="0" borderId="86" xfId="46" applyFont="1" applyFill="1" applyBorder="1" applyAlignment="1">
      <alignment horizontal="left" vertical="center"/>
    </xf>
    <xf numFmtId="2" fontId="26" fillId="0" borderId="34" xfId="11" applyNumberFormat="1" applyFont="1" applyFill="1" applyBorder="1" applyAlignment="1">
      <alignment horizontal="center" vertical="center"/>
    </xf>
    <xf numFmtId="0" fontId="33" fillId="0" borderId="0" xfId="0" applyFont="1" applyFill="1" applyBorder="1" applyAlignment="1">
      <alignment wrapText="1"/>
    </xf>
    <xf numFmtId="0" fontId="33" fillId="0" borderId="0" xfId="0" applyFont="1" applyFill="1" applyAlignment="1">
      <alignment wrapText="1"/>
    </xf>
    <xf numFmtId="0" fontId="33" fillId="0" borderId="3" xfId="0" applyFont="1" applyFill="1" applyBorder="1" applyAlignment="1">
      <alignment horizontal="center" vertical="center" wrapText="1"/>
    </xf>
    <xf numFmtId="0" fontId="33" fillId="0" borderId="3" xfId="0" applyFont="1" applyFill="1" applyBorder="1" applyAlignment="1">
      <alignment horizontal="center" vertical="center"/>
    </xf>
    <xf numFmtId="0" fontId="33" fillId="0" borderId="2" xfId="0" applyFont="1" applyBorder="1" applyAlignment="1">
      <alignment horizontal="center" vertical="center" wrapText="1"/>
    </xf>
    <xf numFmtId="0" fontId="33" fillId="0" borderId="2" xfId="0" applyFont="1" applyFill="1" applyBorder="1" applyAlignment="1">
      <alignment horizontal="center" vertical="center"/>
    </xf>
    <xf numFmtId="0" fontId="33" fillId="0" borderId="10" xfId="0" applyFont="1" applyBorder="1" applyAlignment="1">
      <alignment horizontal="center" vertical="center"/>
    </xf>
    <xf numFmtId="0" fontId="33" fillId="0" borderId="80" xfId="0" applyFont="1" applyBorder="1" applyAlignment="1">
      <alignment horizontal="center" vertical="center"/>
    </xf>
    <xf numFmtId="0" fontId="32" fillId="0" borderId="4" xfId="0" quotePrefix="1" applyFont="1" applyFill="1" applyBorder="1" applyAlignment="1">
      <alignment horizontal="center" vertical="center"/>
    </xf>
    <xf numFmtId="3" fontId="32" fillId="0" borderId="0" xfId="0" applyNumberFormat="1" applyFont="1"/>
    <xf numFmtId="0" fontId="33" fillId="0" borderId="65" xfId="58" applyFont="1" applyFill="1" applyBorder="1" applyAlignment="1">
      <alignment vertical="center"/>
    </xf>
    <xf numFmtId="0" fontId="26" fillId="2" borderId="87" xfId="0" applyFont="1" applyFill="1" applyBorder="1" applyAlignment="1">
      <alignment horizontal="left" vertical="center"/>
    </xf>
    <xf numFmtId="0" fontId="26" fillId="2" borderId="61" xfId="0" applyFont="1" applyFill="1" applyBorder="1" applyAlignment="1">
      <alignment horizontal="left" vertical="center"/>
    </xf>
    <xf numFmtId="0" fontId="26" fillId="2" borderId="44" xfId="0" applyFont="1" applyFill="1" applyBorder="1" applyAlignment="1">
      <alignment horizontal="left" vertical="center"/>
    </xf>
    <xf numFmtId="0" fontId="26" fillId="2" borderId="61" xfId="47" applyFont="1" applyFill="1" applyBorder="1" applyAlignment="1">
      <alignment horizontal="left" vertical="center"/>
    </xf>
    <xf numFmtId="0" fontId="26" fillId="2" borderId="61" xfId="47" applyFont="1" applyFill="1" applyBorder="1" applyAlignment="1">
      <alignment horizontal="left" vertical="center" wrapText="1"/>
    </xf>
    <xf numFmtId="0" fontId="26" fillId="2" borderId="61" xfId="0" applyFont="1" applyFill="1" applyBorder="1" applyAlignment="1">
      <alignment horizontal="left" vertical="center" wrapText="1"/>
    </xf>
    <xf numFmtId="0" fontId="26" fillId="2" borderId="38" xfId="47" applyFont="1" applyFill="1" applyBorder="1" applyAlignment="1">
      <alignment horizontal="left" vertical="center"/>
    </xf>
    <xf numFmtId="0" fontId="26" fillId="2" borderId="76" xfId="0" applyFont="1" applyFill="1" applyBorder="1" applyAlignment="1">
      <alignment horizontal="center" vertical="center"/>
    </xf>
    <xf numFmtId="0" fontId="26" fillId="2" borderId="73" xfId="0" applyFont="1" applyFill="1" applyBorder="1" applyAlignment="1">
      <alignment horizontal="center" vertical="center"/>
    </xf>
    <xf numFmtId="0" fontId="26" fillId="2" borderId="77" xfId="0" applyFont="1" applyFill="1" applyBorder="1" applyAlignment="1">
      <alignment horizontal="center" vertical="center"/>
    </xf>
    <xf numFmtId="0" fontId="26" fillId="2" borderId="73" xfId="47" applyFont="1" applyFill="1" applyBorder="1" applyAlignment="1">
      <alignment horizontal="center" vertical="center"/>
    </xf>
    <xf numFmtId="0" fontId="26" fillId="2" borderId="73" xfId="47" applyFont="1" applyFill="1" applyBorder="1" applyAlignment="1">
      <alignment horizontal="center" vertical="center" wrapText="1"/>
    </xf>
    <xf numFmtId="0" fontId="26" fillId="2" borderId="73" xfId="0" applyFont="1" applyFill="1" applyBorder="1" applyAlignment="1">
      <alignment horizontal="center" vertical="center" wrapText="1"/>
    </xf>
    <xf numFmtId="0" fontId="26" fillId="2" borderId="75" xfId="47" applyFont="1" applyFill="1" applyBorder="1" applyAlignment="1">
      <alignment horizontal="center" vertical="center"/>
    </xf>
    <xf numFmtId="0" fontId="26" fillId="0" borderId="52"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Fill="1" applyBorder="1" applyAlignment="1">
      <alignment horizontal="center" vertical="center" wrapText="1"/>
    </xf>
    <xf numFmtId="0" fontId="26" fillId="0" borderId="52" xfId="0" quotePrefix="1" applyFont="1" applyFill="1" applyBorder="1" applyAlignment="1">
      <alignment horizontal="center" vertical="center"/>
    </xf>
    <xf numFmtId="0" fontId="26" fillId="0" borderId="3" xfId="0" applyFont="1" applyFill="1" applyBorder="1" applyAlignment="1">
      <alignment horizontal="center" vertical="center"/>
    </xf>
    <xf numFmtId="0" fontId="26" fillId="0" borderId="68" xfId="0" applyFont="1" applyFill="1" applyBorder="1" applyAlignment="1">
      <alignment horizontal="left" vertical="center"/>
    </xf>
    <xf numFmtId="1" fontId="26" fillId="0" borderId="3" xfId="0" applyNumberFormat="1" applyFont="1" applyFill="1" applyBorder="1" applyAlignment="1">
      <alignment horizontal="center" vertical="center"/>
    </xf>
    <xf numFmtId="3" fontId="26" fillId="0" borderId="3" xfId="1" applyNumberFormat="1" applyFont="1" applyFill="1" applyBorder="1" applyAlignment="1">
      <alignment horizontal="center" vertical="center"/>
    </xf>
    <xf numFmtId="3" fontId="26" fillId="0" borderId="1" xfId="1" applyNumberFormat="1" applyFont="1" applyFill="1" applyBorder="1" applyAlignment="1">
      <alignment horizontal="center" vertical="center"/>
    </xf>
    <xf numFmtId="2" fontId="26" fillId="0" borderId="31" xfId="11" applyNumberFormat="1" applyFont="1" applyFill="1" applyBorder="1" applyAlignment="1">
      <alignment horizontal="center" vertical="center"/>
    </xf>
    <xf numFmtId="2" fontId="26" fillId="0" borderId="31" xfId="11" quotePrefix="1" applyNumberFormat="1" applyFont="1" applyFill="1" applyBorder="1" applyAlignment="1">
      <alignment horizontal="center" vertical="center"/>
    </xf>
    <xf numFmtId="43" fontId="26" fillId="0" borderId="32" xfId="11" quotePrefix="1" applyFont="1" applyFill="1" applyBorder="1" applyAlignment="1">
      <alignment horizontal="center" vertical="center"/>
    </xf>
    <xf numFmtId="0" fontId="26" fillId="0" borderId="0" xfId="0" applyFont="1" applyAlignment="1">
      <alignment vertical="top" wrapText="1"/>
    </xf>
    <xf numFmtId="167" fontId="26" fillId="0" borderId="24" xfId="46" applyNumberFormat="1" applyFont="1" applyFill="1" applyBorder="1" applyAlignment="1">
      <alignment horizontal="right" vertical="center"/>
    </xf>
    <xf numFmtId="0" fontId="34" fillId="0" borderId="0" xfId="58" applyFont="1" applyAlignment="1">
      <alignment vertical="center"/>
    </xf>
    <xf numFmtId="0" fontId="26" fillId="0" borderId="23" xfId="58" applyFont="1" applyBorder="1" applyAlignment="1">
      <alignment horizontal="left" vertical="center"/>
    </xf>
    <xf numFmtId="0" fontId="26" fillId="0" borderId="35" xfId="58" applyFont="1" applyBorder="1" applyAlignment="1">
      <alignment horizontal="left" vertical="center"/>
    </xf>
    <xf numFmtId="0" fontId="55" fillId="0" borderId="0" xfId="58" applyFont="1"/>
    <xf numFmtId="0" fontId="26" fillId="0" borderId="0" xfId="58" applyFont="1" applyAlignment="1">
      <alignment horizontal="left" vertical="center"/>
    </xf>
    <xf numFmtId="0" fontId="34" fillId="2" borderId="29" xfId="58" applyFont="1" applyFill="1" applyBorder="1" applyAlignment="1">
      <alignment horizontal="center" vertical="center" wrapText="1"/>
    </xf>
    <xf numFmtId="2" fontId="26" fillId="0" borderId="43" xfId="58" applyNumberFormat="1" applyFont="1" applyBorder="1" applyAlignment="1">
      <alignment horizontal="center" vertical="center" wrapText="1"/>
    </xf>
    <xf numFmtId="2" fontId="26" fillId="0" borderId="34" xfId="58" applyNumberFormat="1" applyFont="1" applyBorder="1" applyAlignment="1">
      <alignment horizontal="center" vertical="center" wrapText="1"/>
    </xf>
    <xf numFmtId="2" fontId="26" fillId="0" borderId="32" xfId="58" applyNumberFormat="1" applyFont="1" applyBorder="1" applyAlignment="1">
      <alignment horizontal="center" vertical="center" wrapText="1"/>
    </xf>
    <xf numFmtId="179" fontId="32" fillId="0" borderId="0" xfId="58" applyNumberFormat="1" applyFont="1" applyAlignment="1">
      <alignment vertical="center"/>
    </xf>
    <xf numFmtId="0" fontId="33" fillId="0" borderId="13" xfId="0" quotePrefix="1" applyFont="1" applyFill="1" applyBorder="1" applyAlignment="1">
      <alignment horizontal="right"/>
    </xf>
    <xf numFmtId="0" fontId="33" fillId="0" borderId="36" xfId="0" quotePrefix="1" applyFont="1" applyFill="1" applyBorder="1" applyAlignment="1">
      <alignment horizontal="right"/>
    </xf>
    <xf numFmtId="0" fontId="33" fillId="0" borderId="32" xfId="0" quotePrefix="1" applyFont="1" applyFill="1" applyBorder="1" applyAlignment="1">
      <alignment horizontal="center"/>
    </xf>
    <xf numFmtId="0" fontId="34" fillId="2" borderId="0" xfId="0" applyFont="1" applyFill="1" applyAlignment="1">
      <alignment horizontal="center"/>
    </xf>
    <xf numFmtId="0" fontId="33" fillId="2" borderId="0" xfId="0" applyFont="1" applyFill="1" applyAlignment="1">
      <alignment horizontal="center"/>
    </xf>
    <xf numFmtId="0" fontId="32" fillId="2" borderId="0" xfId="0" applyFont="1" applyFill="1" applyAlignment="1">
      <alignment horizontal="center"/>
    </xf>
    <xf numFmtId="0" fontId="26" fillId="2" borderId="0" xfId="0" applyFont="1" applyFill="1" applyAlignment="1">
      <alignment horizontal="center"/>
    </xf>
    <xf numFmtId="0" fontId="34" fillId="2" borderId="84" xfId="0" applyFont="1" applyFill="1" applyBorder="1" applyAlignment="1">
      <alignment horizontal="left" indent="1"/>
    </xf>
    <xf numFmtId="0" fontId="34" fillId="2" borderId="38" xfId="0" applyFont="1" applyFill="1" applyBorder="1"/>
    <xf numFmtId="0" fontId="34" fillId="2" borderId="30" xfId="0" applyFont="1" applyFill="1" applyBorder="1" applyAlignment="1">
      <alignment horizontal="center" vertical="center"/>
    </xf>
    <xf numFmtId="0" fontId="33" fillId="2" borderId="58" xfId="0" applyFont="1" applyFill="1" applyBorder="1" applyAlignment="1">
      <alignment horizontal="center" vertical="center"/>
    </xf>
    <xf numFmtId="0" fontId="33" fillId="2" borderId="75" xfId="0" applyFont="1" applyFill="1" applyBorder="1" applyAlignment="1">
      <alignment horizontal="center" vertical="center"/>
    </xf>
    <xf numFmtId="11" fontId="32" fillId="2" borderId="15" xfId="0" quotePrefix="1" applyNumberFormat="1" applyFont="1" applyFill="1" applyBorder="1" applyAlignment="1">
      <alignment horizontal="center"/>
    </xf>
    <xf numFmtId="11" fontId="32" fillId="2" borderId="4" xfId="0" applyNumberFormat="1" applyFont="1" applyFill="1" applyBorder="1" applyAlignment="1">
      <alignment horizontal="center"/>
    </xf>
    <xf numFmtId="11" fontId="26" fillId="2" borderId="15" xfId="0" applyNumberFormat="1" applyFont="1" applyFill="1" applyBorder="1" applyAlignment="1">
      <alignment horizontal="center"/>
    </xf>
    <xf numFmtId="0" fontId="32" fillId="2" borderId="76" xfId="0" applyFont="1" applyFill="1" applyBorder="1" applyAlignment="1">
      <alignment horizontal="center"/>
    </xf>
    <xf numFmtId="11" fontId="32" fillId="2" borderId="1" xfId="0" quotePrefix="1" applyNumberFormat="1" applyFont="1" applyFill="1" applyBorder="1" applyAlignment="1">
      <alignment horizontal="center"/>
    </xf>
    <xf numFmtId="0" fontId="32" fillId="2" borderId="73" xfId="0" applyFont="1" applyFill="1" applyBorder="1" applyAlignment="1">
      <alignment horizontal="center"/>
    </xf>
    <xf numFmtId="0" fontId="26" fillId="2" borderId="0" xfId="0" applyFont="1" applyFill="1"/>
    <xf numFmtId="11" fontId="26" fillId="2" borderId="1" xfId="0" quotePrefix="1" applyNumberFormat="1" applyFont="1" applyFill="1" applyBorder="1" applyAlignment="1">
      <alignment horizontal="center"/>
    </xf>
    <xf numFmtId="0" fontId="32" fillId="2" borderId="77" xfId="0" applyFont="1" applyFill="1" applyBorder="1" applyAlignment="1">
      <alignment horizontal="center"/>
    </xf>
    <xf numFmtId="0" fontId="32" fillId="2" borderId="78" xfId="0" applyFont="1" applyFill="1" applyBorder="1" applyAlignment="1">
      <alignment horizontal="center"/>
    </xf>
    <xf numFmtId="11" fontId="26" fillId="0" borderId="0" xfId="0" applyNumberFormat="1" applyFont="1" applyFill="1" applyAlignment="1">
      <alignment horizontal="center"/>
    </xf>
    <xf numFmtId="0" fontId="33" fillId="0" borderId="0" xfId="0" applyFont="1" applyFill="1" applyBorder="1" applyAlignment="1">
      <alignment horizontal="center" vertical="center" wrapText="1"/>
    </xf>
    <xf numFmtId="0" fontId="31" fillId="0" borderId="0" xfId="0" applyFont="1" applyFill="1" applyBorder="1" applyAlignment="1">
      <alignment vertical="center"/>
    </xf>
    <xf numFmtId="179" fontId="26" fillId="0" borderId="0" xfId="0" applyNumberFormat="1" applyFont="1" applyFill="1" applyBorder="1" applyAlignment="1">
      <alignment horizontal="center" vertical="center"/>
    </xf>
    <xf numFmtId="168" fontId="33" fillId="0" borderId="0" xfId="0" applyNumberFormat="1" applyFont="1" applyFill="1" applyBorder="1" applyAlignment="1">
      <alignment horizontal="center" vertical="center"/>
    </xf>
    <xf numFmtId="11" fontId="26" fillId="0" borderId="31" xfId="0" applyNumberFormat="1" applyFont="1" applyFill="1" applyBorder="1" applyAlignment="1">
      <alignment horizontal="center"/>
    </xf>
    <xf numFmtId="0" fontId="55" fillId="0" borderId="0" xfId="0" applyFont="1" applyAlignment="1">
      <alignment horizontal="left"/>
    </xf>
    <xf numFmtId="0" fontId="56" fillId="0" borderId="0" xfId="48" applyFont="1" applyFill="1" applyBorder="1" applyAlignment="1">
      <alignment vertical="top"/>
    </xf>
    <xf numFmtId="0" fontId="59" fillId="0" borderId="0" xfId="0" applyFont="1"/>
    <xf numFmtId="179" fontId="59" fillId="0" borderId="0" xfId="0" applyNumberFormat="1" applyFont="1"/>
    <xf numFmtId="11" fontId="63" fillId="0" borderId="0" xfId="0" applyNumberFormat="1" applyFont="1"/>
    <xf numFmtId="0" fontId="59" fillId="0" borderId="0" xfId="58" applyFont="1"/>
    <xf numFmtId="168" fontId="74" fillId="0" borderId="0" xfId="58" applyNumberFormat="1" applyFont="1" applyAlignment="1">
      <alignment vertical="center"/>
    </xf>
    <xf numFmtId="0" fontId="26" fillId="0" borderId="38" xfId="0" applyFont="1" applyFill="1" applyBorder="1" applyAlignment="1" applyProtection="1">
      <alignment vertical="center"/>
    </xf>
    <xf numFmtId="0" fontId="26" fillId="0" borderId="39" xfId="0" applyFont="1" applyFill="1" applyBorder="1" applyAlignment="1" applyProtection="1">
      <alignment vertical="center"/>
    </xf>
    <xf numFmtId="0" fontId="33" fillId="0" borderId="39" xfId="0" applyFont="1" applyFill="1" applyBorder="1" applyAlignment="1" applyProtection="1">
      <alignment horizontal="right" vertical="center"/>
    </xf>
    <xf numFmtId="3" fontId="56" fillId="0" borderId="0" xfId="0" applyNumberFormat="1" applyFont="1" applyAlignment="1">
      <alignment wrapText="1"/>
    </xf>
    <xf numFmtId="168" fontId="56" fillId="0" borderId="0" xfId="50" applyNumberFormat="1" applyFont="1" applyFill="1" applyAlignment="1">
      <alignment horizontal="center"/>
    </xf>
    <xf numFmtId="171" fontId="56" fillId="0" borderId="0" xfId="50" applyNumberFormat="1" applyFont="1" applyFill="1" applyAlignment="1">
      <alignment horizontal="center"/>
    </xf>
    <xf numFmtId="178" fontId="56" fillId="0" borderId="0" xfId="50" applyNumberFormat="1" applyFont="1" applyFill="1" applyAlignment="1">
      <alignment horizontal="center"/>
    </xf>
    <xf numFmtId="0" fontId="57" fillId="0" borderId="0" xfId="49" applyFont="1" applyFill="1" applyAlignment="1">
      <alignment vertical="center" wrapText="1"/>
    </xf>
    <xf numFmtId="0" fontId="56" fillId="0" borderId="0" xfId="47" applyFont="1" applyAlignment="1">
      <alignment vertical="top"/>
    </xf>
    <xf numFmtId="0" fontId="56" fillId="0" borderId="0" xfId="48" applyFont="1" applyFill="1" applyAlignment="1">
      <alignment horizontal="right"/>
    </xf>
    <xf numFmtId="1" fontId="56" fillId="0" borderId="0" xfId="50" applyNumberFormat="1" applyFont="1" applyFill="1" applyAlignment="1">
      <alignment horizontal="center"/>
    </xf>
    <xf numFmtId="0" fontId="56" fillId="0" borderId="0" xfId="49" applyFont="1" applyFill="1" applyAlignment="1">
      <alignment vertical="center"/>
    </xf>
    <xf numFmtId="0" fontId="56" fillId="0" borderId="0" xfId="0" applyFont="1" applyAlignment="1">
      <alignment horizontal="right"/>
    </xf>
    <xf numFmtId="0" fontId="45" fillId="0" borderId="0" xfId="0" applyFont="1" applyFill="1" applyAlignment="1">
      <alignment vertical="top" readingOrder="1"/>
    </xf>
    <xf numFmtId="0" fontId="33" fillId="0" borderId="30" xfId="0" applyFont="1" applyFill="1" applyBorder="1" applyAlignment="1">
      <alignment horizontal="center" vertical="center"/>
    </xf>
    <xf numFmtId="0" fontId="56" fillId="0" borderId="0" xfId="48" applyFont="1" applyFill="1" applyBorder="1" applyAlignment="1">
      <alignment vertical="top"/>
    </xf>
    <xf numFmtId="0" fontId="56" fillId="0" borderId="0" xfId="0" applyFont="1" applyFill="1" applyAlignment="1">
      <alignment vertical="top" wrapText="1"/>
    </xf>
    <xf numFmtId="0" fontId="56" fillId="0" borderId="0" xfId="0" applyFont="1" applyFill="1" applyAlignment="1">
      <alignment vertical="top"/>
    </xf>
    <xf numFmtId="2" fontId="48" fillId="0" borderId="0" xfId="0" applyNumberFormat="1" applyFont="1"/>
    <xf numFmtId="168" fontId="26" fillId="0" borderId="29" xfId="58" applyNumberFormat="1" applyFont="1" applyBorder="1" applyAlignment="1">
      <alignment horizontal="center" vertical="center" wrapText="1"/>
    </xf>
    <xf numFmtId="168" fontId="26" fillId="0" borderId="1" xfId="58" applyNumberFormat="1" applyFont="1" applyBorder="1" applyAlignment="1">
      <alignment horizontal="center" vertical="center" wrapText="1"/>
    </xf>
    <xf numFmtId="168" fontId="26" fillId="0" borderId="31" xfId="58" applyNumberFormat="1" applyFont="1" applyBorder="1" applyAlignment="1">
      <alignment horizontal="center" vertical="center" wrapText="1"/>
    </xf>
    <xf numFmtId="0" fontId="26" fillId="0" borderId="26" xfId="0" applyFont="1" applyFill="1" applyBorder="1"/>
    <xf numFmtId="0" fontId="53" fillId="0" borderId="0" xfId="0" applyFont="1" applyFill="1" applyAlignment="1">
      <alignment horizontal="center"/>
    </xf>
    <xf numFmtId="11" fontId="53" fillId="0" borderId="0" xfId="0" applyNumberFormat="1" applyFont="1" applyFill="1" applyAlignment="1">
      <alignment horizontal="center"/>
    </xf>
    <xf numFmtId="180" fontId="53" fillId="0" borderId="0" xfId="0" applyNumberFormat="1" applyFont="1" applyFill="1" applyAlignment="1">
      <alignment horizontal="center"/>
    </xf>
    <xf numFmtId="0" fontId="33" fillId="2" borderId="74" xfId="0" applyFont="1" applyFill="1" applyBorder="1" applyAlignment="1">
      <alignment horizontal="center"/>
    </xf>
    <xf numFmtId="0" fontId="34" fillId="2" borderId="28" xfId="0" applyFont="1" applyFill="1" applyBorder="1" applyAlignment="1">
      <alignment horizontal="center"/>
    </xf>
    <xf numFmtId="0" fontId="34" fillId="2" borderId="28" xfId="0" applyFont="1" applyFill="1" applyBorder="1" applyAlignment="1">
      <alignment horizontal="center" wrapText="1"/>
    </xf>
    <xf numFmtId="0" fontId="33" fillId="2" borderId="67" xfId="0" applyFont="1" applyFill="1" applyBorder="1" applyAlignment="1">
      <alignment horizontal="center"/>
    </xf>
    <xf numFmtId="11" fontId="32" fillId="0" borderId="15" xfId="0" quotePrefix="1" applyNumberFormat="1" applyFont="1" applyFill="1" applyBorder="1" applyAlignment="1">
      <alignment horizontal="center"/>
    </xf>
    <xf numFmtId="0" fontId="57" fillId="0" borderId="0" xfId="0" quotePrefix="1" applyFont="1" applyAlignment="1">
      <alignment horizontal="right"/>
    </xf>
    <xf numFmtId="1" fontId="69" fillId="0" borderId="31" xfId="0" applyNumberFormat="1" applyFont="1" applyFill="1" applyBorder="1" applyAlignment="1">
      <alignment horizontal="center"/>
    </xf>
    <xf numFmtId="0" fontId="75" fillId="0" borderId="0" xfId="0" applyFont="1" applyFill="1"/>
    <xf numFmtId="0" fontId="55" fillId="0" borderId="0" xfId="0" applyFont="1" applyAlignment="1">
      <alignment horizontal="left"/>
    </xf>
    <xf numFmtId="3" fontId="26" fillId="0" borderId="33" xfId="0" applyNumberFormat="1" applyFont="1" applyFill="1" applyBorder="1" applyAlignment="1">
      <alignment horizontal="center" vertical="center"/>
    </xf>
    <xf numFmtId="168" fontId="26" fillId="0" borderId="1" xfId="11" applyNumberFormat="1" applyFont="1" applyFill="1" applyBorder="1" applyAlignment="1">
      <alignment horizontal="center" vertical="center"/>
    </xf>
    <xf numFmtId="171" fontId="26" fillId="0" borderId="1" xfId="11" applyNumberFormat="1" applyFont="1" applyFill="1" applyBorder="1" applyAlignment="1">
      <alignment horizontal="center" vertical="center"/>
    </xf>
    <xf numFmtId="167" fontId="26" fillId="0" borderId="1" xfId="11" quotePrefix="1" applyNumberFormat="1" applyFont="1" applyFill="1" applyBorder="1" applyAlignment="1">
      <alignment horizontal="center" vertical="center"/>
    </xf>
    <xf numFmtId="166" fontId="26" fillId="0" borderId="34" xfId="0" applyNumberFormat="1" applyFont="1" applyFill="1" applyBorder="1" applyAlignment="1">
      <alignment horizontal="center" vertical="center"/>
    </xf>
    <xf numFmtId="0" fontId="33" fillId="0" borderId="69" xfId="0" quotePrefix="1" applyFont="1" applyFill="1" applyBorder="1" applyAlignment="1">
      <alignment horizontal="right" wrapText="1"/>
    </xf>
    <xf numFmtId="3" fontId="33" fillId="0" borderId="33" xfId="0" applyNumberFormat="1" applyFont="1" applyFill="1" applyBorder="1" applyAlignment="1">
      <alignment horizontal="center"/>
    </xf>
    <xf numFmtId="167" fontId="26" fillId="0" borderId="1" xfId="58" applyNumberFormat="1" applyFont="1" applyFill="1" applyBorder="1" applyAlignment="1">
      <alignment horizontal="center" vertical="center"/>
    </xf>
    <xf numFmtId="168" fontId="33" fillId="0" borderId="29" xfId="47" applyNumberFormat="1" applyFont="1" applyFill="1" applyBorder="1" applyAlignment="1">
      <alignment horizontal="center" vertical="center"/>
    </xf>
    <xf numFmtId="2" fontId="33" fillId="0" borderId="43" xfId="47" applyNumberFormat="1" applyFont="1" applyFill="1" applyBorder="1" applyAlignment="1">
      <alignment horizontal="center" vertical="center"/>
    </xf>
    <xf numFmtId="168" fontId="26" fillId="0" borderId="31" xfId="0" applyNumberFormat="1" applyFont="1" applyFill="1" applyBorder="1" applyAlignment="1">
      <alignment horizontal="center" vertical="center"/>
    </xf>
    <xf numFmtId="2" fontId="33" fillId="0" borderId="29" xfId="0" applyNumberFormat="1" applyFont="1" applyFill="1" applyBorder="1" applyAlignment="1">
      <alignment horizontal="center" vertical="center"/>
    </xf>
    <xf numFmtId="2" fontId="33" fillId="0" borderId="43" xfId="0" applyNumberFormat="1" applyFont="1" applyFill="1" applyBorder="1" applyAlignment="1">
      <alignment horizontal="center" vertical="center"/>
    </xf>
    <xf numFmtId="2" fontId="33" fillId="0" borderId="40" xfId="0" applyNumberFormat="1" applyFont="1" applyFill="1" applyBorder="1" applyAlignment="1">
      <alignment horizontal="center" vertical="center"/>
    </xf>
    <xf numFmtId="2" fontId="33" fillId="0" borderId="30" xfId="0" applyNumberFormat="1" applyFont="1" applyFill="1" applyBorder="1" applyAlignment="1">
      <alignment horizontal="center" vertical="center"/>
    </xf>
    <xf numFmtId="167" fontId="26" fillId="0" borderId="0" xfId="0" applyNumberFormat="1" applyFont="1" applyFill="1"/>
    <xf numFmtId="2" fontId="26" fillId="0" borderId="0" xfId="0" applyNumberFormat="1" applyFont="1" applyFill="1"/>
    <xf numFmtId="1" fontId="26" fillId="0" borderId="0" xfId="0" applyNumberFormat="1" applyFont="1" applyFill="1"/>
    <xf numFmtId="167" fontId="32" fillId="0" borderId="29" xfId="58" applyNumberFormat="1" applyFont="1" applyFill="1" applyBorder="1" applyAlignment="1">
      <alignment horizontal="center" vertical="center"/>
    </xf>
    <xf numFmtId="167" fontId="32" fillId="0" borderId="1" xfId="58" applyNumberFormat="1" applyFont="1" applyFill="1" applyBorder="1" applyAlignment="1">
      <alignment horizontal="center" vertical="center"/>
    </xf>
    <xf numFmtId="167" fontId="32" fillId="0" borderId="34" xfId="58" applyNumberFormat="1" applyFont="1" applyFill="1" applyBorder="1" applyAlignment="1">
      <alignment horizontal="center" vertical="center"/>
    </xf>
    <xf numFmtId="2" fontId="32" fillId="0" borderId="1" xfId="58" applyNumberFormat="1" applyFont="1" applyFill="1" applyBorder="1" applyAlignment="1">
      <alignment horizontal="center" vertical="center"/>
    </xf>
    <xf numFmtId="3" fontId="32" fillId="0" borderId="4" xfId="58" applyNumberFormat="1" applyFont="1" applyFill="1" applyBorder="1" applyAlignment="1">
      <alignment horizontal="center" vertical="center"/>
    </xf>
    <xf numFmtId="3" fontId="32" fillId="0" borderId="34" xfId="58" applyNumberFormat="1" applyFont="1" applyFill="1" applyBorder="1" applyAlignment="1">
      <alignment horizontal="center" vertical="center"/>
    </xf>
    <xf numFmtId="2" fontId="32" fillId="0" borderId="34" xfId="58" applyNumberFormat="1" applyFont="1" applyFill="1" applyBorder="1" applyAlignment="1">
      <alignment horizontal="center" vertical="center"/>
    </xf>
    <xf numFmtId="179" fontId="32" fillId="0" borderId="1" xfId="58" applyNumberFormat="1" applyFont="1" applyFill="1" applyBorder="1" applyAlignment="1">
      <alignment horizontal="center" vertical="center"/>
    </xf>
    <xf numFmtId="179" fontId="32" fillId="0" borderId="34" xfId="58" applyNumberFormat="1" applyFont="1" applyFill="1" applyBorder="1" applyAlignment="1">
      <alignment horizontal="center" vertical="center"/>
    </xf>
    <xf numFmtId="2" fontId="32" fillId="0" borderId="31" xfId="58" applyNumberFormat="1" applyFont="1" applyFill="1" applyBorder="1" applyAlignment="1">
      <alignment horizontal="center" vertical="center"/>
    </xf>
    <xf numFmtId="2" fontId="32" fillId="0" borderId="32" xfId="58" applyNumberFormat="1" applyFont="1" applyFill="1" applyBorder="1" applyAlignment="1">
      <alignment horizontal="center" vertical="center"/>
    </xf>
    <xf numFmtId="3" fontId="26" fillId="0" borderId="19" xfId="0" applyNumberFormat="1" applyFont="1" applyFill="1" applyBorder="1" applyAlignment="1">
      <alignment horizontal="right" indent="1"/>
    </xf>
    <xf numFmtId="3" fontId="26" fillId="0" borderId="8" xfId="0" applyNumberFormat="1" applyFont="1" applyFill="1" applyBorder="1"/>
    <xf numFmtId="37" fontId="26" fillId="0" borderId="12" xfId="11" applyNumberFormat="1" applyFont="1" applyFill="1" applyBorder="1" applyAlignment="1">
      <alignment horizontal="right"/>
    </xf>
    <xf numFmtId="11" fontId="26" fillId="0" borderId="6" xfId="47" applyNumberFormat="1" applyFont="1" applyFill="1" applyBorder="1" applyAlignment="1">
      <alignment horizontal="center" vertical="center"/>
    </xf>
    <xf numFmtId="11" fontId="26" fillId="0" borderId="6" xfId="0" applyNumberFormat="1" applyFont="1" applyFill="1" applyBorder="1" applyAlignment="1">
      <alignment horizontal="center" vertical="center"/>
    </xf>
    <xf numFmtId="11" fontId="26" fillId="0" borderId="55" xfId="0" applyNumberFormat="1" applyFont="1" applyFill="1" applyBorder="1" applyAlignment="1">
      <alignment horizontal="center" vertical="center"/>
    </xf>
    <xf numFmtId="171" fontId="33" fillId="0" borderId="29" xfId="47" applyNumberFormat="1" applyFont="1" applyFill="1" applyBorder="1" applyAlignment="1">
      <alignment horizontal="center" vertical="center"/>
    </xf>
    <xf numFmtId="168" fontId="33" fillId="0" borderId="43" xfId="47" applyNumberFormat="1" applyFont="1" applyFill="1" applyBorder="1" applyAlignment="1">
      <alignment horizontal="center" vertical="center"/>
    </xf>
    <xf numFmtId="168" fontId="33" fillId="0" borderId="31" xfId="47" applyNumberFormat="1" applyFont="1" applyFill="1" applyBorder="1" applyAlignment="1">
      <alignment horizontal="center" vertical="center"/>
    </xf>
    <xf numFmtId="2" fontId="33" fillId="0" borderId="32" xfId="47" applyNumberFormat="1" applyFont="1" applyFill="1" applyBorder="1" applyAlignment="1">
      <alignment horizontal="center" vertical="center"/>
    </xf>
    <xf numFmtId="11" fontId="26" fillId="0" borderId="29" xfId="47" applyNumberFormat="1" applyFont="1" applyFill="1" applyBorder="1" applyAlignment="1">
      <alignment horizontal="center" vertical="center"/>
    </xf>
    <xf numFmtId="11" fontId="26" fillId="0" borderId="29" xfId="0" applyNumberFormat="1" applyFont="1" applyFill="1" applyBorder="1" applyAlignment="1">
      <alignment horizontal="center" vertical="center"/>
    </xf>
    <xf numFmtId="11" fontId="26" fillId="0" borderId="43" xfId="0" applyNumberFormat="1" applyFont="1" applyFill="1" applyBorder="1" applyAlignment="1">
      <alignment horizontal="center" vertical="center"/>
    </xf>
    <xf numFmtId="2" fontId="33" fillId="0" borderId="31" xfId="47" applyNumberFormat="1" applyFont="1" applyFill="1" applyBorder="1" applyAlignment="1">
      <alignment horizontal="center" vertical="center"/>
    </xf>
    <xf numFmtId="168" fontId="33" fillId="0" borderId="29" xfId="0" applyNumberFormat="1" applyFont="1" applyFill="1" applyBorder="1" applyAlignment="1">
      <alignment horizontal="center" vertical="center"/>
    </xf>
    <xf numFmtId="168" fontId="33" fillId="0" borderId="40" xfId="0" applyNumberFormat="1" applyFont="1" applyFill="1" applyBorder="1" applyAlignment="1">
      <alignment horizontal="center" vertical="center"/>
    </xf>
    <xf numFmtId="2" fontId="26" fillId="0" borderId="40" xfId="0" applyNumberFormat="1" applyFont="1" applyFill="1" applyBorder="1" applyAlignment="1">
      <alignment horizontal="center" vertical="center"/>
    </xf>
    <xf numFmtId="11" fontId="32" fillId="0" borderId="1" xfId="58" applyNumberFormat="1" applyFont="1" applyFill="1" applyBorder="1" applyAlignment="1">
      <alignment horizontal="center" vertical="center"/>
    </xf>
    <xf numFmtId="11" fontId="32" fillId="0" borderId="34" xfId="58" applyNumberFormat="1" applyFont="1" applyFill="1" applyBorder="1" applyAlignment="1">
      <alignment horizontal="center" vertical="center"/>
    </xf>
    <xf numFmtId="2" fontId="32" fillId="0" borderId="29" xfId="58" applyNumberFormat="1" applyFont="1" applyFill="1" applyBorder="1" applyAlignment="1">
      <alignment horizontal="center" vertical="center"/>
    </xf>
    <xf numFmtId="2" fontId="32" fillId="0" borderId="4" xfId="58" applyNumberFormat="1" applyFont="1" applyFill="1" applyBorder="1" applyAlignment="1">
      <alignment horizontal="center" vertical="center"/>
    </xf>
    <xf numFmtId="168" fontId="32" fillId="0" borderId="4" xfId="58" applyNumberFormat="1" applyFont="1" applyFill="1" applyBorder="1" applyAlignment="1">
      <alignment horizontal="center" vertical="center"/>
    </xf>
    <xf numFmtId="3" fontId="32" fillId="0" borderId="1" xfId="58" applyNumberFormat="1" applyFont="1" applyFill="1" applyBorder="1" applyAlignment="1">
      <alignment horizontal="center" vertical="center"/>
    </xf>
    <xf numFmtId="1" fontId="26" fillId="0" borderId="15" xfId="46" applyNumberFormat="1" applyFont="1" applyFill="1" applyBorder="1" applyAlignment="1">
      <alignment vertical="center"/>
    </xf>
    <xf numFmtId="3" fontId="26" fillId="0" borderId="29" xfId="0" applyNumberFormat="1" applyFont="1" applyFill="1" applyBorder="1" applyAlignment="1">
      <alignment horizontal="right"/>
    </xf>
    <xf numFmtId="166" fontId="26" fillId="0" borderId="1" xfId="0" applyNumberFormat="1" applyFont="1" applyFill="1" applyBorder="1" applyAlignment="1">
      <alignment horizontal="right"/>
    </xf>
    <xf numFmtId="0" fontId="26" fillId="0" borderId="23" xfId="58" applyFont="1" applyFill="1" applyBorder="1" applyAlignment="1">
      <alignment horizontal="left" vertical="center" wrapText="1"/>
    </xf>
    <xf numFmtId="168" fontId="26" fillId="0" borderId="43" xfId="0" applyNumberFormat="1" applyFont="1" applyFill="1" applyBorder="1" applyAlignment="1">
      <alignment horizontal="center" vertical="center"/>
    </xf>
    <xf numFmtId="167" fontId="26" fillId="0" borderId="32" xfId="0" applyNumberFormat="1" applyFont="1" applyFill="1" applyBorder="1" applyAlignment="1">
      <alignment horizontal="center" vertical="center"/>
    </xf>
    <xf numFmtId="3" fontId="26" fillId="0" borderId="31" xfId="0" quotePrefix="1" applyNumberFormat="1" applyFont="1" applyFill="1" applyBorder="1" applyAlignment="1">
      <alignment horizontal="center" vertical="center" wrapText="1"/>
    </xf>
    <xf numFmtId="0" fontId="26" fillId="0" borderId="31" xfId="0" quotePrefix="1" applyFont="1" applyFill="1" applyBorder="1" applyAlignment="1">
      <alignment horizontal="center" vertical="center" wrapText="1"/>
    </xf>
    <xf numFmtId="3" fontId="26" fillId="0" borderId="37" xfId="0" quotePrefix="1" applyNumberFormat="1" applyFont="1" applyFill="1" applyBorder="1" applyAlignment="1">
      <alignment horizontal="center" vertical="center" wrapText="1"/>
    </xf>
    <xf numFmtId="3" fontId="26" fillId="0" borderId="15" xfId="0" quotePrefix="1" applyNumberFormat="1" applyFont="1" applyFill="1" applyBorder="1" applyAlignment="1">
      <alignment horizontal="center" vertical="center" wrapText="1"/>
    </xf>
    <xf numFmtId="0" fontId="26" fillId="0" borderId="3" xfId="48" applyFont="1" applyFill="1" applyBorder="1" applyAlignment="1">
      <alignment horizontal="center" vertical="center"/>
    </xf>
    <xf numFmtId="3" fontId="26" fillId="0" borderId="4" xfId="0" quotePrefix="1" applyNumberFormat="1" applyFont="1" applyFill="1" applyBorder="1" applyAlignment="1">
      <alignment horizontal="center" vertical="center" wrapText="1"/>
    </xf>
    <xf numFmtId="3" fontId="26" fillId="0" borderId="3" xfId="48" applyNumberFormat="1" applyFont="1" applyFill="1" applyBorder="1" applyAlignment="1">
      <alignment horizontal="center" vertical="center"/>
    </xf>
    <xf numFmtId="0" fontId="26" fillId="0" borderId="1" xfId="0" applyFont="1" applyFill="1" applyBorder="1" applyAlignment="1">
      <alignment vertical="center" wrapText="1"/>
    </xf>
    <xf numFmtId="9" fontId="26" fillId="0" borderId="4" xfId="1" applyFont="1" applyFill="1" applyBorder="1" applyAlignment="1">
      <alignment horizontal="center" vertical="center"/>
    </xf>
    <xf numFmtId="11" fontId="26" fillId="0" borderId="1" xfId="11" applyNumberFormat="1" applyFont="1" applyFill="1" applyBorder="1" applyAlignment="1">
      <alignment horizontal="center" vertical="center"/>
    </xf>
    <xf numFmtId="11" fontId="26" fillId="0" borderId="20" xfId="0" applyNumberFormat="1" applyFont="1" applyFill="1" applyBorder="1" applyAlignment="1">
      <alignment horizontal="center" vertical="center"/>
    </xf>
    <xf numFmtId="9" fontId="26" fillId="0" borderId="1" xfId="1" applyFont="1" applyFill="1" applyBorder="1" applyAlignment="1">
      <alignment horizontal="center" vertical="center"/>
    </xf>
    <xf numFmtId="11" fontId="26" fillId="0" borderId="11" xfId="0" applyNumberFormat="1" applyFont="1" applyFill="1" applyBorder="1" applyAlignment="1">
      <alignment horizontal="center" vertical="center"/>
    </xf>
    <xf numFmtId="179" fontId="26" fillId="0" borderId="29" xfId="1" applyNumberFormat="1" applyFont="1" applyFill="1" applyBorder="1" applyAlignment="1">
      <alignment horizontal="center" vertical="center"/>
    </xf>
    <xf numFmtId="179" fontId="26" fillId="0" borderId="1" xfId="1" applyNumberFormat="1" applyFont="1" applyFill="1" applyBorder="1" applyAlignment="1">
      <alignment horizontal="center" vertical="center"/>
    </xf>
    <xf numFmtId="179" fontId="26" fillId="0" borderId="31" xfId="1" applyNumberFormat="1" applyFont="1" applyFill="1" applyBorder="1" applyAlignment="1">
      <alignment horizontal="center" vertical="center"/>
    </xf>
    <xf numFmtId="3" fontId="26" fillId="0" borderId="29" xfId="0" applyNumberFormat="1" applyFont="1" applyFill="1" applyBorder="1" applyAlignment="1">
      <alignment horizontal="center" vertical="center"/>
    </xf>
    <xf numFmtId="3" fontId="26" fillId="0" borderId="1" xfId="58" applyNumberFormat="1" applyFont="1" applyFill="1" applyBorder="1" applyAlignment="1">
      <alignment horizontal="center" vertical="center"/>
    </xf>
    <xf numFmtId="171" fontId="26" fillId="0" borderId="31" xfId="0" applyNumberFormat="1" applyFont="1" applyFill="1" applyBorder="1" applyAlignment="1">
      <alignment horizontal="center" vertical="center"/>
    </xf>
    <xf numFmtId="1" fontId="26" fillId="0" borderId="1" xfId="11" applyNumberFormat="1" applyFont="1" applyFill="1" applyBorder="1" applyAlignment="1">
      <alignment horizontal="center" vertical="center"/>
    </xf>
    <xf numFmtId="1" fontId="26" fillId="0" borderId="4" xfId="11" applyNumberFormat="1" applyFont="1" applyFill="1" applyBorder="1" applyAlignment="1">
      <alignment horizontal="center" vertical="center"/>
    </xf>
    <xf numFmtId="1" fontId="26" fillId="0" borderId="31" xfId="11" applyNumberFormat="1" applyFont="1" applyFill="1" applyBorder="1" applyAlignment="1">
      <alignment horizontal="center" vertical="center"/>
    </xf>
    <xf numFmtId="11" fontId="26" fillId="0" borderId="29" xfId="0" applyNumberFormat="1" applyFont="1" applyFill="1" applyBorder="1" applyAlignment="1" applyProtection="1">
      <alignment horizontal="center"/>
    </xf>
    <xf numFmtId="11" fontId="69" fillId="0" borderId="43" xfId="0" applyNumberFormat="1" applyFont="1" applyFill="1" applyBorder="1" applyAlignment="1" applyProtection="1">
      <alignment horizontal="center"/>
    </xf>
    <xf numFmtId="11" fontId="69" fillId="0" borderId="34" xfId="0" applyNumberFormat="1" applyFont="1" applyFill="1" applyBorder="1" applyAlignment="1" applyProtection="1">
      <alignment horizontal="center"/>
    </xf>
    <xf numFmtId="11" fontId="69" fillId="0" borderId="31" xfId="0" applyNumberFormat="1" applyFont="1" applyFill="1" applyBorder="1" applyAlignment="1" applyProtection="1">
      <alignment horizontal="center"/>
    </xf>
    <xf numFmtId="11" fontId="69" fillId="0" borderId="32" xfId="0" applyNumberFormat="1" applyFont="1" applyFill="1" applyBorder="1" applyAlignment="1" applyProtection="1">
      <alignment horizontal="center"/>
    </xf>
    <xf numFmtId="11" fontId="33" fillId="0" borderId="30" xfId="0" applyNumberFormat="1" applyFont="1" applyFill="1" applyBorder="1" applyAlignment="1" applyProtection="1">
      <alignment horizontal="center"/>
    </xf>
    <xf numFmtId="11" fontId="33" fillId="0" borderId="40" xfId="0" applyNumberFormat="1" applyFont="1" applyFill="1" applyBorder="1" applyAlignment="1" applyProtection="1">
      <alignment horizontal="center"/>
    </xf>
    <xf numFmtId="11" fontId="26" fillId="0" borderId="30" xfId="0" applyNumberFormat="1" applyFont="1" applyFill="1" applyBorder="1" applyAlignment="1" applyProtection="1">
      <alignment horizontal="center" vertical="center"/>
    </xf>
    <xf numFmtId="11" fontId="26" fillId="0" borderId="40" xfId="0" applyNumberFormat="1" applyFont="1" applyFill="1" applyBorder="1" applyAlignment="1" applyProtection="1">
      <alignment horizontal="center" vertical="center"/>
    </xf>
    <xf numFmtId="4" fontId="26" fillId="0" borderId="67" xfId="0" applyNumberFormat="1" applyFont="1" applyFill="1" applyBorder="1" applyAlignment="1"/>
    <xf numFmtId="3" fontId="26" fillId="0" borderId="7" xfId="0" applyNumberFormat="1" applyFont="1" applyFill="1" applyBorder="1" applyAlignment="1"/>
    <xf numFmtId="3" fontId="26" fillId="0" borderId="58" xfId="0" applyNumberFormat="1" applyFont="1" applyFill="1" applyBorder="1" applyAlignment="1"/>
    <xf numFmtId="3" fontId="26" fillId="0" borderId="2" xfId="0" applyNumberFormat="1" applyFont="1" applyFill="1" applyBorder="1" applyAlignment="1">
      <alignment horizontal="center" vertical="center"/>
    </xf>
    <xf numFmtId="166" fontId="26" fillId="0" borderId="29" xfId="11" applyNumberFormat="1" applyFont="1" applyFill="1" applyBorder="1" applyAlignment="1">
      <alignment horizontal="center" vertical="center"/>
    </xf>
    <xf numFmtId="4" fontId="26" fillId="0" borderId="29" xfId="0" applyNumberFormat="1" applyFont="1" applyFill="1" applyBorder="1" applyAlignment="1">
      <alignment horizontal="center" vertical="center"/>
    </xf>
    <xf numFmtId="2" fontId="26" fillId="0" borderId="5" xfId="0" applyNumberFormat="1" applyFont="1" applyFill="1" applyBorder="1" applyAlignment="1">
      <alignment horizontal="center" vertical="center"/>
    </xf>
    <xf numFmtId="166" fontId="26" fillId="0" borderId="1" xfId="11"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166" fontId="26" fillId="0" borderId="3" xfId="11" applyNumberFormat="1" applyFont="1" applyFill="1" applyBorder="1" applyAlignment="1">
      <alignment horizontal="center" vertical="center"/>
    </xf>
    <xf numFmtId="3" fontId="26" fillId="0" borderId="3" xfId="0" applyNumberFormat="1" applyFont="1" applyFill="1" applyBorder="1" applyAlignment="1">
      <alignment horizontal="center" vertical="center"/>
    </xf>
    <xf numFmtId="4" fontId="26" fillId="0" borderId="3" xfId="0" applyNumberFormat="1" applyFont="1" applyFill="1" applyBorder="1" applyAlignment="1">
      <alignment horizontal="center" vertical="center"/>
    </xf>
    <xf numFmtId="2" fontId="26" fillId="0" borderId="2" xfId="0" applyNumberFormat="1" applyFont="1" applyFill="1" applyBorder="1" applyAlignment="1">
      <alignment horizontal="center" vertical="center"/>
    </xf>
    <xf numFmtId="166" fontId="26" fillId="0" borderId="31" xfId="11" applyNumberFormat="1" applyFont="1" applyFill="1" applyBorder="1" applyAlignment="1">
      <alignment horizontal="center" vertical="center"/>
    </xf>
    <xf numFmtId="167" fontId="33" fillId="0" borderId="62" xfId="0" applyNumberFormat="1" applyFont="1" applyFill="1" applyBorder="1" applyAlignment="1">
      <alignment horizontal="center" vertical="center"/>
    </xf>
    <xf numFmtId="2" fontId="33" fillId="0" borderId="72" xfId="0" applyNumberFormat="1" applyFont="1" applyFill="1" applyBorder="1" applyAlignment="1">
      <alignment horizontal="center" vertical="center"/>
    </xf>
    <xf numFmtId="1" fontId="26" fillId="0" borderId="29" xfId="1" applyNumberFormat="1" applyFont="1" applyFill="1" applyBorder="1" applyAlignment="1">
      <alignment horizontal="center" vertical="center"/>
    </xf>
    <xf numFmtId="1" fontId="26" fillId="0" borderId="1" xfId="1" applyNumberFormat="1" applyFont="1" applyFill="1" applyBorder="1" applyAlignment="1">
      <alignment horizontal="center" vertical="center"/>
    </xf>
    <xf numFmtId="1" fontId="26" fillId="0" borderId="3" xfId="1" applyNumberFormat="1" applyFont="1" applyFill="1" applyBorder="1" applyAlignment="1">
      <alignment horizontal="center" vertical="center"/>
    </xf>
    <xf numFmtId="1" fontId="26" fillId="0" borderId="31" xfId="1" applyNumberFormat="1" applyFont="1" applyFill="1" applyBorder="1" applyAlignment="1">
      <alignment horizontal="center" vertical="center"/>
    </xf>
    <xf numFmtId="0" fontId="32" fillId="0" borderId="29" xfId="0" applyFont="1" applyFill="1" applyBorder="1" applyAlignment="1">
      <alignment horizontal="center"/>
    </xf>
    <xf numFmtId="0" fontId="32" fillId="0" borderId="31" xfId="0" applyFont="1" applyFill="1" applyBorder="1" applyAlignment="1">
      <alignment horizontal="center"/>
    </xf>
    <xf numFmtId="1" fontId="26" fillId="0" borderId="29" xfId="55" applyNumberFormat="1" applyFont="1" applyFill="1" applyBorder="1" applyAlignment="1">
      <alignment horizontal="center" vertical="center"/>
    </xf>
    <xf numFmtId="1" fontId="26" fillId="0" borderId="1" xfId="55" applyNumberFormat="1" applyFont="1" applyFill="1" applyBorder="1" applyAlignment="1">
      <alignment horizontal="center" vertical="center"/>
    </xf>
    <xf numFmtId="166" fontId="26" fillId="0" borderId="29" xfId="56" applyNumberFormat="1" applyFont="1" applyFill="1" applyBorder="1" applyAlignment="1">
      <alignment horizontal="center" vertical="center"/>
    </xf>
    <xf numFmtId="166" fontId="26" fillId="0" borderId="1" xfId="56" applyNumberFormat="1" applyFont="1" applyFill="1" applyBorder="1" applyAlignment="1">
      <alignment horizontal="center" vertical="center"/>
    </xf>
    <xf numFmtId="4" fontId="26" fillId="0" borderId="1" xfId="56" applyNumberFormat="1" applyFont="1" applyFill="1" applyBorder="1" applyAlignment="1">
      <alignment horizontal="center" vertical="center"/>
    </xf>
    <xf numFmtId="11" fontId="32" fillId="0" borderId="4" xfId="0" applyNumberFormat="1" applyFont="1" applyFill="1" applyBorder="1" applyAlignment="1">
      <alignment horizontal="center"/>
    </xf>
    <xf numFmtId="167" fontId="33" fillId="0" borderId="43" xfId="0" applyNumberFormat="1" applyFont="1" applyFill="1" applyBorder="1" applyAlignment="1">
      <alignment horizontal="center" vertical="center"/>
    </xf>
    <xf numFmtId="168" fontId="33" fillId="0" borderId="43" xfId="0" applyNumberFormat="1" applyFont="1" applyFill="1" applyBorder="1" applyAlignment="1">
      <alignment horizontal="center" vertical="center"/>
    </xf>
    <xf numFmtId="3" fontId="26" fillId="0" borderId="10" xfId="46" applyNumberFormat="1" applyFont="1" applyFill="1" applyBorder="1" applyAlignment="1">
      <alignment vertical="center" wrapText="1"/>
    </xf>
    <xf numFmtId="168" fontId="32" fillId="0" borderId="1" xfId="58" applyNumberFormat="1" applyFont="1" applyFill="1" applyBorder="1" applyAlignment="1">
      <alignment horizontal="center" vertical="center"/>
    </xf>
    <xf numFmtId="2" fontId="32" fillId="0" borderId="33" xfId="58" applyNumberFormat="1" applyFont="1" applyFill="1" applyBorder="1" applyAlignment="1">
      <alignment horizontal="center" vertical="center"/>
    </xf>
    <xf numFmtId="11" fontId="32" fillId="0" borderId="33" xfId="58" applyNumberFormat="1" applyFont="1" applyFill="1" applyBorder="1" applyAlignment="1">
      <alignment horizontal="center" vertical="center"/>
    </xf>
    <xf numFmtId="0" fontId="26" fillId="0" borderId="0" xfId="0" applyFont="1" applyFill="1" applyAlignment="1">
      <alignment vertical="top" wrapText="1"/>
    </xf>
    <xf numFmtId="0" fontId="55" fillId="0" borderId="0" xfId="58" applyFont="1" applyAlignment="1">
      <alignment horizontal="left"/>
    </xf>
    <xf numFmtId="0" fontId="56" fillId="0" borderId="0" xfId="58" applyFont="1" applyAlignment="1">
      <alignment vertical="center"/>
    </xf>
    <xf numFmtId="1" fontId="26" fillId="0" borderId="29" xfId="11" applyNumberFormat="1" applyFont="1" applyFill="1" applyBorder="1" applyAlignment="1">
      <alignment horizontal="center" vertical="center"/>
    </xf>
    <xf numFmtId="167" fontId="56" fillId="0" borderId="0" xfId="49" applyNumberFormat="1" applyFont="1" applyFill="1" applyBorder="1" applyAlignment="1">
      <alignment horizontal="center" vertical="center"/>
    </xf>
    <xf numFmtId="0" fontId="33" fillId="0" borderId="46" xfId="0" applyFont="1" applyFill="1" applyBorder="1" applyAlignment="1">
      <alignment horizontal="center" wrapText="1"/>
    </xf>
    <xf numFmtId="0" fontId="26" fillId="0" borderId="3" xfId="0" quotePrefix="1" applyFont="1" applyFill="1" applyBorder="1" applyAlignment="1">
      <alignment horizontal="center" vertical="center"/>
    </xf>
    <xf numFmtId="0" fontId="26" fillId="0" borderId="29" xfId="0" applyFont="1" applyFill="1" applyBorder="1" applyAlignment="1">
      <alignment horizontal="left" indent="1"/>
    </xf>
    <xf numFmtId="2" fontId="26" fillId="0" borderId="31" xfId="0" applyNumberFormat="1" applyFont="1" applyFill="1" applyBorder="1" applyAlignment="1">
      <alignment horizontal="center"/>
    </xf>
    <xf numFmtId="2" fontId="26" fillId="0" borderId="0" xfId="0" applyNumberFormat="1" applyFont="1" applyBorder="1" applyAlignment="1">
      <alignment horizontal="centerContinuous" vertical="center"/>
    </xf>
    <xf numFmtId="167" fontId="26" fillId="0" borderId="24" xfId="46" applyNumberFormat="1" applyFont="1" applyFill="1" applyBorder="1" applyAlignment="1">
      <alignment vertical="center"/>
    </xf>
    <xf numFmtId="0" fontId="56" fillId="0" borderId="0" xfId="0" applyFont="1" applyFill="1" applyAlignment="1">
      <alignment horizontal="left" vertical="top" wrapText="1"/>
    </xf>
    <xf numFmtId="0" fontId="56" fillId="0" borderId="0" xfId="0" applyFont="1" applyFill="1" applyAlignment="1">
      <alignment vertical="top"/>
    </xf>
    <xf numFmtId="0" fontId="48" fillId="0" borderId="0" xfId="0" applyFont="1" applyAlignment="1">
      <alignment vertical="top" wrapText="1"/>
    </xf>
    <xf numFmtId="0" fontId="32" fillId="0" borderId="0" xfId="0" applyFont="1" applyAlignment="1">
      <alignment vertical="top" wrapText="1"/>
    </xf>
    <xf numFmtId="11" fontId="26" fillId="0" borderId="1" xfId="0" applyNumberFormat="1" applyFont="1" applyBorder="1" applyAlignment="1">
      <alignment horizontal="center"/>
    </xf>
    <xf numFmtId="11" fontId="26" fillId="0" borderId="3" xfId="0" applyNumberFormat="1" applyFont="1" applyBorder="1" applyAlignment="1">
      <alignment horizontal="center"/>
    </xf>
    <xf numFmtId="0" fontId="55" fillId="0" borderId="0" xfId="0" applyFont="1" applyAlignment="1">
      <alignment horizontal="left"/>
    </xf>
    <xf numFmtId="0" fontId="56" fillId="0" borderId="0" xfId="48" applyFont="1" applyAlignment="1">
      <alignment horizontal="left" vertical="top" wrapText="1"/>
    </xf>
    <xf numFmtId="3" fontId="26" fillId="0" borderId="4" xfId="58" applyNumberFormat="1" applyFont="1" applyFill="1" applyBorder="1" applyAlignment="1">
      <alignment horizontal="center" vertical="center"/>
    </xf>
    <xf numFmtId="0" fontId="32" fillId="0" borderId="51" xfId="0" applyFont="1" applyBorder="1" applyAlignment="1">
      <alignment horizontal="center" vertical="center" wrapText="1"/>
    </xf>
    <xf numFmtId="0" fontId="32" fillId="0" borderId="1" xfId="52" applyFont="1" applyBorder="1" applyAlignment="1">
      <alignment vertical="center" wrapText="1"/>
    </xf>
    <xf numFmtId="0" fontId="32" fillId="0" borderId="1" xfId="0" quotePrefix="1" applyFont="1" applyBorder="1" applyAlignment="1">
      <alignment horizontal="center" vertical="center" wrapText="1"/>
    </xf>
    <xf numFmtId="3" fontId="26" fillId="0" borderId="1" xfId="0" applyNumberFormat="1" applyFont="1" applyBorder="1" applyAlignment="1">
      <alignment horizontal="center" vertical="center"/>
    </xf>
    <xf numFmtId="0" fontId="59" fillId="0" borderId="0" xfId="0" applyFont="1" applyFill="1"/>
    <xf numFmtId="0" fontId="59" fillId="0" borderId="0" xfId="0" applyFont="1" applyAlignment="1">
      <alignment vertical="top"/>
    </xf>
    <xf numFmtId="168" fontId="59" fillId="0" borderId="0" xfId="0" applyNumberFormat="1" applyFont="1" applyAlignment="1">
      <alignment horizontal="right" vertical="top" wrapText="1"/>
    </xf>
    <xf numFmtId="0" fontId="59" fillId="0" borderId="0" xfId="0" applyFont="1" applyAlignment="1"/>
    <xf numFmtId="11" fontId="59" fillId="0" borderId="0" xfId="0" applyNumberFormat="1" applyFont="1" applyFill="1"/>
    <xf numFmtId="11" fontId="59" fillId="0" borderId="0" xfId="0" applyNumberFormat="1" applyFont="1"/>
    <xf numFmtId="0" fontId="59" fillId="0" borderId="0" xfId="0" applyFont="1" applyFill="1" applyAlignment="1">
      <alignment horizontal="right"/>
    </xf>
    <xf numFmtId="2" fontId="59" fillId="0" borderId="0" xfId="0" applyNumberFormat="1" applyFont="1" applyFill="1" applyAlignment="1">
      <alignment horizontal="center"/>
    </xf>
    <xf numFmtId="167" fontId="59" fillId="0" borderId="0" xfId="0" applyNumberFormat="1" applyFont="1" applyFill="1" applyAlignment="1">
      <alignment horizontal="center"/>
    </xf>
    <xf numFmtId="168" fontId="59" fillId="0" borderId="0" xfId="0" applyNumberFormat="1" applyFont="1" applyFill="1" applyAlignment="1">
      <alignment horizontal="center"/>
    </xf>
    <xf numFmtId="171" fontId="59" fillId="0" borderId="0" xfId="0" applyNumberFormat="1" applyFont="1" applyFill="1" applyAlignment="1">
      <alignment horizontal="center"/>
    </xf>
    <xf numFmtId="43" fontId="32" fillId="0" borderId="0" xfId="58" applyNumberFormat="1" applyFont="1" applyAlignment="1">
      <alignment vertical="center"/>
    </xf>
    <xf numFmtId="0" fontId="26" fillId="0" borderId="35" xfId="58" applyFont="1" applyFill="1" applyBorder="1" applyAlignment="1">
      <alignment horizontal="left" vertical="center" wrapText="1"/>
    </xf>
    <xf numFmtId="168" fontId="26" fillId="0" borderId="2" xfId="0" applyNumberFormat="1" applyFont="1" applyFill="1" applyBorder="1" applyAlignment="1">
      <alignment horizontal="center" vertical="center"/>
    </xf>
    <xf numFmtId="2" fontId="26" fillId="0" borderId="53" xfId="0" applyNumberFormat="1" applyFont="1" applyFill="1" applyBorder="1" applyAlignment="1">
      <alignment horizontal="center" vertical="center"/>
    </xf>
    <xf numFmtId="11" fontId="26" fillId="0" borderId="15" xfId="0" quotePrefix="1" applyNumberFormat="1" applyFont="1" applyFill="1" applyBorder="1" applyAlignment="1">
      <alignment horizontal="center"/>
    </xf>
    <xf numFmtId="11" fontId="26" fillId="7" borderId="1" xfId="47" applyNumberFormat="1" applyFont="1" applyFill="1" applyBorder="1" applyAlignment="1">
      <alignment horizontal="center" vertical="center"/>
    </xf>
    <xf numFmtId="168" fontId="26" fillId="7" borderId="1" xfId="47" applyNumberFormat="1" applyFont="1" applyFill="1" applyBorder="1" applyAlignment="1">
      <alignment horizontal="center" vertical="center"/>
    </xf>
    <xf numFmtId="0" fontId="56" fillId="0" borderId="0" xfId="48" applyFont="1" applyFill="1" applyBorder="1" applyAlignment="1">
      <alignment vertical="top"/>
    </xf>
    <xf numFmtId="0" fontId="56" fillId="0" borderId="0" xfId="0" applyFont="1" applyFill="1" applyAlignment="1">
      <alignment vertical="top" wrapText="1"/>
    </xf>
    <xf numFmtId="0" fontId="33" fillId="0" borderId="0" xfId="0" applyFont="1" applyFill="1" applyAlignment="1">
      <alignment horizontal="center"/>
    </xf>
    <xf numFmtId="0" fontId="56" fillId="0" borderId="0" xfId="0" applyNumberFormat="1" applyFont="1" applyFill="1" applyAlignment="1">
      <alignment horizontal="left" vertical="top" wrapText="1"/>
    </xf>
    <xf numFmtId="0" fontId="56" fillId="0" borderId="0" xfId="0" applyFont="1" applyFill="1" applyAlignment="1">
      <alignment horizontal="left" wrapText="1"/>
    </xf>
    <xf numFmtId="0" fontId="56" fillId="0" borderId="0" xfId="0" applyFont="1" applyFill="1" applyAlignment="1">
      <alignment vertical="top"/>
    </xf>
    <xf numFmtId="0" fontId="32" fillId="7" borderId="0" xfId="0" applyFont="1" applyFill="1"/>
    <xf numFmtId="0" fontId="0" fillId="7" borderId="0" xfId="0" applyFill="1"/>
    <xf numFmtId="2" fontId="33" fillId="0" borderId="0" xfId="0" applyNumberFormat="1" applyFont="1" applyFill="1" applyBorder="1" applyAlignment="1">
      <alignment horizontal="center" vertical="center"/>
    </xf>
    <xf numFmtId="0" fontId="73" fillId="2" borderId="60" xfId="0" applyFont="1" applyFill="1" applyBorder="1" applyAlignment="1">
      <alignment horizontal="right" indent="1"/>
    </xf>
    <xf numFmtId="0" fontId="73" fillId="2" borderId="19" xfId="0" applyFont="1" applyFill="1" applyBorder="1" applyAlignment="1">
      <alignment horizontal="right" indent="1"/>
    </xf>
    <xf numFmtId="167" fontId="34" fillId="2" borderId="24" xfId="0" applyNumberFormat="1" applyFont="1" applyFill="1" applyBorder="1" applyAlignment="1">
      <alignment horizontal="center"/>
    </xf>
    <xf numFmtId="2" fontId="34" fillId="2" borderId="24" xfId="0" applyNumberFormat="1" applyFont="1" applyFill="1" applyBorder="1" applyAlignment="1">
      <alignment horizontal="center"/>
    </xf>
    <xf numFmtId="168" fontId="34" fillId="2" borderId="24" xfId="0" applyNumberFormat="1" applyFont="1" applyFill="1" applyBorder="1" applyAlignment="1">
      <alignment horizontal="center"/>
    </xf>
    <xf numFmtId="171" fontId="34" fillId="2" borderId="24" xfId="0" applyNumberFormat="1" applyFont="1" applyFill="1" applyBorder="1" applyAlignment="1">
      <alignment horizontal="center"/>
    </xf>
    <xf numFmtId="0" fontId="32" fillId="2" borderId="88" xfId="0" applyFont="1" applyFill="1" applyBorder="1" applyAlignment="1">
      <alignment horizontal="center"/>
    </xf>
    <xf numFmtId="0" fontId="73" fillId="2" borderId="61" xfId="0" applyFont="1" applyFill="1" applyBorder="1" applyAlignment="1">
      <alignment horizontal="right" indent="1"/>
    </xf>
    <xf numFmtId="0" fontId="73" fillId="2" borderId="12" xfId="0" applyFont="1" applyFill="1" applyBorder="1" applyAlignment="1">
      <alignment horizontal="right" indent="1"/>
    </xf>
    <xf numFmtId="2" fontId="34" fillId="2" borderId="11" xfId="0" applyNumberFormat="1" applyFont="1" applyFill="1" applyBorder="1" applyAlignment="1">
      <alignment horizontal="center"/>
    </xf>
    <xf numFmtId="168" fontId="34" fillId="2" borderId="11" xfId="0" applyNumberFormat="1" applyFont="1" applyFill="1" applyBorder="1" applyAlignment="1">
      <alignment horizontal="center"/>
    </xf>
    <xf numFmtId="0" fontId="73" fillId="2" borderId="41" xfId="0" applyFont="1" applyFill="1" applyBorder="1" applyAlignment="1">
      <alignment horizontal="right" indent="1"/>
    </xf>
    <xf numFmtId="0" fontId="73" fillId="2" borderId="42" xfId="0" applyFont="1" applyFill="1" applyBorder="1" applyAlignment="1">
      <alignment horizontal="right" indent="1"/>
    </xf>
    <xf numFmtId="167" fontId="34" fillId="2" borderId="37" xfId="0" applyNumberFormat="1" applyFont="1" applyFill="1" applyBorder="1" applyAlignment="1">
      <alignment horizontal="center"/>
    </xf>
    <xf numFmtId="2" fontId="34" fillId="2" borderId="37" xfId="0" applyNumberFormat="1" applyFont="1" applyFill="1" applyBorder="1" applyAlignment="1">
      <alignment horizontal="center"/>
    </xf>
    <xf numFmtId="171" fontId="34" fillId="2" borderId="37" xfId="0" applyNumberFormat="1" applyFont="1" applyFill="1" applyBorder="1" applyAlignment="1">
      <alignment horizontal="center"/>
    </xf>
    <xf numFmtId="0" fontId="34" fillId="2" borderId="46" xfId="0" applyFont="1" applyFill="1" applyBorder="1" applyAlignment="1">
      <alignment horizontal="center"/>
    </xf>
    <xf numFmtId="0" fontId="34" fillId="2" borderId="47" xfId="0" applyFont="1" applyFill="1" applyBorder="1" applyAlignment="1">
      <alignment horizontal="center" vertical="center"/>
    </xf>
    <xf numFmtId="11" fontId="32" fillId="0" borderId="14" xfId="0" quotePrefix="1" applyNumberFormat="1" applyFont="1" applyFill="1" applyBorder="1" applyAlignment="1">
      <alignment horizontal="center"/>
    </xf>
    <xf numFmtId="167" fontId="34" fillId="2" borderId="19" xfId="0" applyNumberFormat="1" applyFont="1" applyFill="1" applyBorder="1" applyAlignment="1">
      <alignment horizontal="center"/>
    </xf>
    <xf numFmtId="0" fontId="26" fillId="0" borderId="69" xfId="0" applyFont="1" applyFill="1" applyBorder="1" applyAlignment="1">
      <alignment horizontal="center" vertical="center"/>
    </xf>
    <xf numFmtId="0" fontId="73" fillId="2" borderId="69" xfId="0" applyFont="1" applyFill="1" applyBorder="1" applyAlignment="1">
      <alignment horizontal="right" indent="1"/>
    </xf>
    <xf numFmtId="0" fontId="73" fillId="2" borderId="13" xfId="0" applyFont="1" applyFill="1" applyBorder="1" applyAlignment="1">
      <alignment horizontal="right" indent="1"/>
    </xf>
    <xf numFmtId="0" fontId="73" fillId="2" borderId="36" xfId="0" applyFont="1" applyFill="1" applyBorder="1" applyAlignment="1">
      <alignment horizontal="right" indent="1"/>
    </xf>
    <xf numFmtId="0" fontId="73" fillId="2" borderId="87" xfId="0" applyFont="1" applyFill="1" applyBorder="1" applyAlignment="1">
      <alignment horizontal="right" indent="1"/>
    </xf>
    <xf numFmtId="167" fontId="34" fillId="2" borderId="14" xfId="0" applyNumberFormat="1" applyFont="1" applyFill="1" applyBorder="1" applyAlignment="1">
      <alignment horizontal="center"/>
    </xf>
    <xf numFmtId="2" fontId="34" fillId="2" borderId="15" xfId="0" applyNumberFormat="1" applyFont="1" applyFill="1" applyBorder="1" applyAlignment="1">
      <alignment horizontal="center"/>
    </xf>
    <xf numFmtId="168" fontId="34" fillId="2" borderId="15" xfId="0" applyNumberFormat="1" applyFont="1" applyFill="1" applyBorder="1" applyAlignment="1">
      <alignment horizontal="center"/>
    </xf>
    <xf numFmtId="171" fontId="34" fillId="2" borderId="15" xfId="0" applyNumberFormat="1" applyFont="1" applyFill="1" applyBorder="1" applyAlignment="1">
      <alignment horizontal="center"/>
    </xf>
    <xf numFmtId="167" fontId="34" fillId="2" borderId="15" xfId="0" applyNumberFormat="1" applyFont="1" applyFill="1" applyBorder="1" applyAlignment="1">
      <alignment horizontal="center"/>
    </xf>
    <xf numFmtId="0" fontId="73" fillId="2" borderId="14" xfId="0" applyFont="1" applyFill="1" applyBorder="1" applyAlignment="1">
      <alignment horizontal="right" indent="1"/>
    </xf>
    <xf numFmtId="0" fontId="73" fillId="2" borderId="9" xfId="0" applyFont="1" applyFill="1" applyBorder="1" applyAlignment="1">
      <alignment horizontal="right" indent="1"/>
    </xf>
    <xf numFmtId="11" fontId="34" fillId="2" borderId="11" xfId="0" applyNumberFormat="1" applyFont="1" applyFill="1" applyBorder="1" applyAlignment="1">
      <alignment horizontal="center"/>
    </xf>
    <xf numFmtId="2" fontId="34" fillId="2" borderId="12" xfId="0" applyNumberFormat="1" applyFont="1" applyFill="1" applyBorder="1" applyAlignment="1">
      <alignment horizontal="center"/>
    </xf>
    <xf numFmtId="0" fontId="32" fillId="2" borderId="76" xfId="0" quotePrefix="1" applyFont="1" applyFill="1" applyBorder="1" applyAlignment="1">
      <alignment horizontal="center"/>
    </xf>
    <xf numFmtId="0" fontId="26" fillId="0" borderId="0" xfId="0" applyFont="1" applyFill="1" applyAlignment="1">
      <alignment wrapText="1"/>
    </xf>
    <xf numFmtId="2" fontId="26" fillId="0" borderId="0" xfId="0" applyNumberFormat="1" applyFont="1" applyFill="1" applyAlignment="1">
      <alignment horizontal="center"/>
    </xf>
    <xf numFmtId="0" fontId="26" fillId="0" borderId="0" xfId="0" applyFont="1" applyFill="1" applyAlignment="1">
      <alignment horizontal="right" wrapText="1"/>
    </xf>
    <xf numFmtId="2" fontId="26" fillId="0" borderId="0" xfId="4" applyNumberFormat="1" applyFont="1" applyFill="1" applyBorder="1" applyAlignment="1">
      <alignment horizontal="center" vertical="center"/>
    </xf>
    <xf numFmtId="0" fontId="26" fillId="0" borderId="0" xfId="0" applyFont="1" applyFill="1" applyBorder="1" applyAlignment="1">
      <alignment horizontal="right" vertical="center"/>
    </xf>
    <xf numFmtId="0" fontId="56" fillId="0" borderId="0" xfId="48" applyFont="1" applyAlignment="1">
      <alignment vertical="top"/>
    </xf>
    <xf numFmtId="0" fontId="33" fillId="0" borderId="0" xfId="0" applyFont="1" applyFill="1" applyAlignment="1">
      <alignment vertical="center"/>
    </xf>
    <xf numFmtId="0" fontId="55" fillId="0" borderId="0" xfId="0" applyFont="1" applyAlignment="1"/>
    <xf numFmtId="0" fontId="56" fillId="0" borderId="0" xfId="0" applyNumberFormat="1" applyFont="1" applyFill="1" applyAlignment="1">
      <alignment horizontal="left" vertical="top"/>
    </xf>
    <xf numFmtId="0" fontId="33" fillId="2" borderId="28" xfId="0" applyFont="1" applyFill="1" applyBorder="1" applyAlignment="1">
      <alignment horizontal="center"/>
    </xf>
    <xf numFmtId="0" fontId="33" fillId="2" borderId="46" xfId="0" applyFont="1" applyFill="1" applyBorder="1" applyAlignment="1">
      <alignment horizontal="center"/>
    </xf>
    <xf numFmtId="0" fontId="33" fillId="2" borderId="63" xfId="0" applyFont="1" applyFill="1" applyBorder="1" applyAlignment="1">
      <alignment horizontal="center"/>
    </xf>
    <xf numFmtId="0" fontId="33" fillId="2" borderId="28" xfId="8" applyFont="1" applyFill="1" applyBorder="1" applyAlignment="1">
      <alignment horizontal="center"/>
    </xf>
    <xf numFmtId="0" fontId="33" fillId="2" borderId="64" xfId="0" applyFont="1" applyFill="1" applyBorder="1" applyAlignment="1">
      <alignment horizontal="center"/>
    </xf>
    <xf numFmtId="0" fontId="33" fillId="2" borderId="30" xfId="0" applyFont="1" applyFill="1" applyBorder="1" applyAlignment="1">
      <alignment horizontal="center"/>
    </xf>
    <xf numFmtId="0" fontId="33" fillId="2" borderId="47" xfId="0" applyFont="1" applyFill="1" applyBorder="1" applyAlignment="1">
      <alignment horizontal="center"/>
    </xf>
    <xf numFmtId="0" fontId="33" fillId="2" borderId="39" xfId="0" applyFont="1" applyFill="1" applyBorder="1" applyAlignment="1">
      <alignment horizontal="center"/>
    </xf>
    <xf numFmtId="0" fontId="33" fillId="2" borderId="30" xfId="8" applyFont="1" applyFill="1" applyBorder="1" applyAlignment="1">
      <alignment horizontal="center"/>
    </xf>
    <xf numFmtId="0" fontId="33" fillId="2" borderId="59" xfId="0" applyFont="1" applyFill="1" applyBorder="1" applyAlignment="1">
      <alignment horizontal="center"/>
    </xf>
    <xf numFmtId="0" fontId="26" fillId="0" borderId="0" xfId="0" applyFont="1" applyFill="1" applyAlignment="1">
      <alignment horizontal="right" vertical="center"/>
    </xf>
    <xf numFmtId="181" fontId="26" fillId="0" borderId="12" xfId="11" applyNumberFormat="1" applyFont="1" applyFill="1" applyBorder="1" applyAlignment="1">
      <alignment horizontal="right"/>
    </xf>
    <xf numFmtId="0" fontId="26" fillId="0" borderId="52" xfId="46" applyFont="1" applyFill="1" applyBorder="1" applyAlignment="1">
      <alignment horizontal="left" vertical="center" wrapText="1"/>
    </xf>
    <xf numFmtId="1" fontId="26" fillId="0" borderId="42" xfId="0" applyNumberFormat="1" applyFont="1" applyFill="1" applyBorder="1"/>
    <xf numFmtId="0" fontId="26" fillId="0" borderId="56" xfId="0" applyFont="1" applyFill="1" applyBorder="1"/>
    <xf numFmtId="3" fontId="48" fillId="0" borderId="0" xfId="0" applyNumberFormat="1" applyFont="1" applyBorder="1" applyAlignment="1">
      <alignment horizontal="center" vertical="center" wrapText="1"/>
    </xf>
    <xf numFmtId="3" fontId="56" fillId="0" borderId="0" xfId="0" applyNumberFormat="1" applyFont="1" applyAlignment="1">
      <alignment horizontal="center"/>
    </xf>
    <xf numFmtId="2" fontId="48" fillId="0" borderId="0" xfId="0" applyNumberFormat="1" applyFont="1" applyBorder="1" applyAlignment="1">
      <alignment horizontal="center" vertical="center" wrapText="1"/>
    </xf>
    <xf numFmtId="2" fontId="56" fillId="0" borderId="0" xfId="0" applyNumberFormat="1" applyFont="1" applyAlignment="1">
      <alignment horizontal="center"/>
    </xf>
    <xf numFmtId="0" fontId="33" fillId="2" borderId="30" xfId="0" applyFont="1" applyFill="1" applyBorder="1" applyAlignment="1">
      <alignment horizontal="center" vertical="center" wrapText="1"/>
    </xf>
    <xf numFmtId="167" fontId="26" fillId="0" borderId="1" xfId="55" applyNumberFormat="1" applyFont="1" applyFill="1" applyBorder="1" applyAlignment="1">
      <alignment horizontal="center" vertical="center"/>
    </xf>
    <xf numFmtId="3" fontId="26" fillId="0" borderId="1" xfId="55" applyNumberFormat="1" applyFont="1" applyBorder="1" applyAlignment="1">
      <alignment horizontal="center" vertical="center"/>
    </xf>
    <xf numFmtId="3" fontId="26" fillId="0" borderId="1" xfId="56" applyNumberFormat="1" applyFont="1" applyBorder="1" applyAlignment="1">
      <alignment horizontal="center" vertical="center"/>
    </xf>
    <xf numFmtId="1" fontId="26" fillId="0" borderId="24" xfId="46" applyNumberFormat="1" applyFont="1" applyFill="1" applyBorder="1" applyAlignment="1">
      <alignment horizontal="right" vertical="center"/>
    </xf>
    <xf numFmtId="9" fontId="26" fillId="0" borderId="1" xfId="55" applyNumberFormat="1" applyFont="1" applyFill="1" applyBorder="1" applyAlignment="1">
      <alignment horizontal="center" vertical="center"/>
    </xf>
    <xf numFmtId="3" fontId="26" fillId="0" borderId="3" xfId="11" applyNumberFormat="1" applyFont="1" applyFill="1" applyBorder="1" applyAlignment="1">
      <alignment horizontal="center" vertical="center"/>
    </xf>
    <xf numFmtId="1" fontId="26" fillId="0" borderId="29" xfId="0" applyNumberFormat="1" applyFont="1" applyFill="1" applyBorder="1" applyAlignment="1">
      <alignment horizontal="center" vertical="center"/>
    </xf>
    <xf numFmtId="3" fontId="26" fillId="0" borderId="29" xfId="55" applyNumberFormat="1" applyFont="1" applyFill="1" applyBorder="1" applyAlignment="1">
      <alignment horizontal="center" vertical="center"/>
    </xf>
    <xf numFmtId="1" fontId="26" fillId="0" borderId="1" xfId="0" quotePrefix="1" applyNumberFormat="1" applyFont="1" applyFill="1" applyBorder="1" applyAlignment="1">
      <alignment horizontal="center" vertical="center"/>
    </xf>
    <xf numFmtId="1" fontId="26" fillId="0" borderId="31" xfId="55" applyNumberFormat="1" applyFont="1" applyFill="1" applyBorder="1" applyAlignment="1">
      <alignment horizontal="center" vertical="center"/>
    </xf>
    <xf numFmtId="1" fontId="26" fillId="0" borderId="31" xfId="0" quotePrefix="1" applyNumberFormat="1" applyFont="1" applyFill="1" applyBorder="1" applyAlignment="1">
      <alignment horizontal="center" vertical="center"/>
    </xf>
    <xf numFmtId="166" fontId="26" fillId="0" borderId="31" xfId="56" applyNumberFormat="1" applyFont="1" applyFill="1" applyBorder="1" applyAlignment="1">
      <alignment horizontal="center" vertical="center"/>
    </xf>
    <xf numFmtId="1" fontId="33" fillId="0" borderId="62" xfId="56"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2" fontId="32" fillId="0" borderId="4" xfId="0" applyNumberFormat="1" applyFont="1" applyFill="1" applyBorder="1" applyAlignment="1">
      <alignment horizontal="center" vertical="center"/>
    </xf>
    <xf numFmtId="0" fontId="34" fillId="0" borderId="0" xfId="0" applyFont="1" applyFill="1" applyAlignment="1">
      <alignment horizontal="center"/>
    </xf>
    <xf numFmtId="0" fontId="56" fillId="0" borderId="0" xfId="48" applyFont="1" applyFill="1" applyBorder="1" applyAlignment="1">
      <alignment vertical="top" wrapText="1"/>
    </xf>
    <xf numFmtId="11" fontId="32" fillId="0" borderId="0" xfId="0" applyNumberFormat="1" applyFont="1" applyFill="1" applyAlignment="1">
      <alignment horizontal="center"/>
    </xf>
    <xf numFmtId="0" fontId="32" fillId="0" borderId="41" xfId="0" applyFont="1" applyBorder="1" applyAlignment="1">
      <alignment vertical="center"/>
    </xf>
    <xf numFmtId="0" fontId="32" fillId="0" borderId="42" xfId="0" applyFont="1" applyBorder="1" applyAlignment="1">
      <alignment vertical="center"/>
    </xf>
    <xf numFmtId="0" fontId="32" fillId="0" borderId="36" xfId="0" applyFont="1" applyBorder="1" applyAlignment="1">
      <alignment vertical="center"/>
    </xf>
    <xf numFmtId="2" fontId="32" fillId="0" borderId="86" xfId="58" applyNumberFormat="1" applyFont="1" applyFill="1" applyBorder="1" applyAlignment="1">
      <alignment horizontal="center" vertical="center"/>
    </xf>
    <xf numFmtId="168" fontId="32" fillId="0" borderId="86" xfId="58" applyNumberFormat="1" applyFont="1" applyFill="1" applyBorder="1" applyAlignment="1">
      <alignment horizontal="center" vertical="center"/>
    </xf>
    <xf numFmtId="3" fontId="32" fillId="0" borderId="26" xfId="58"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0" fontId="34" fillId="0" borderId="0" xfId="0" applyFont="1" applyFill="1" applyAlignment="1">
      <alignment horizontal="center"/>
    </xf>
    <xf numFmtId="0" fontId="33" fillId="0" borderId="0" xfId="0" applyFont="1" applyFill="1" applyAlignment="1">
      <alignment horizontal="center"/>
    </xf>
    <xf numFmtId="171" fontId="32" fillId="0" borderId="0" xfId="0" quotePrefix="1" applyNumberFormat="1" applyFont="1" applyFill="1" applyBorder="1" applyAlignment="1">
      <alignment horizontal="center"/>
    </xf>
    <xf numFmtId="11" fontId="53" fillId="0" borderId="0" xfId="0" applyNumberFormat="1" applyFont="1" applyFill="1"/>
    <xf numFmtId="2" fontId="26" fillId="2" borderId="15" xfId="0" applyNumberFormat="1" applyFont="1" applyFill="1" applyBorder="1" applyAlignment="1">
      <alignment horizontal="center"/>
    </xf>
    <xf numFmtId="166" fontId="33" fillId="0" borderId="4" xfId="0" applyNumberFormat="1" applyFont="1" applyFill="1" applyBorder="1" applyAlignment="1">
      <alignment horizontal="center"/>
    </xf>
    <xf numFmtId="3" fontId="33" fillId="0" borderId="4" xfId="0" applyNumberFormat="1" applyFont="1" applyFill="1" applyBorder="1" applyAlignment="1">
      <alignment horizontal="center"/>
    </xf>
    <xf numFmtId="2" fontId="26" fillId="0" borderId="29" xfId="4" applyNumberFormat="1" applyFont="1" applyFill="1" applyBorder="1" applyAlignment="1">
      <alignment horizontal="center" vertical="center"/>
    </xf>
    <xf numFmtId="2" fontId="26" fillId="0" borderId="1" xfId="4" applyNumberFormat="1" applyFont="1" applyFill="1" applyBorder="1" applyAlignment="1">
      <alignment horizontal="center" vertical="center"/>
    </xf>
    <xf numFmtId="11" fontId="26" fillId="0" borderId="0" xfId="0" quotePrefix="1" applyNumberFormat="1" applyFont="1" applyFill="1" applyBorder="1" applyAlignment="1">
      <alignment horizontal="center" vertical="center"/>
    </xf>
    <xf numFmtId="11" fontId="32" fillId="0" borderId="0" xfId="0" quotePrefix="1" applyNumberFormat="1" applyFont="1" applyFill="1" applyBorder="1" applyAlignment="1">
      <alignment horizontal="center" vertical="center"/>
    </xf>
    <xf numFmtId="11" fontId="26" fillId="0" borderId="0" xfId="0" applyNumberFormat="1" applyFont="1" applyFill="1" applyBorder="1" applyAlignment="1">
      <alignment horizontal="center" vertical="center"/>
    </xf>
    <xf numFmtId="11" fontId="32" fillId="0" borderId="0" xfId="0" applyNumberFormat="1" applyFont="1" applyFill="1" applyBorder="1" applyAlignment="1">
      <alignment horizontal="center" vertical="center"/>
    </xf>
    <xf numFmtId="168" fontId="26" fillId="0" borderId="0" xfId="4" applyNumberFormat="1" applyFont="1" applyFill="1" applyBorder="1" applyAlignment="1">
      <alignment horizontal="center" vertical="center"/>
    </xf>
    <xf numFmtId="168" fontId="26" fillId="0" borderId="0" xfId="0" applyNumberFormat="1" applyFont="1" applyFill="1" applyAlignment="1">
      <alignment horizontal="center"/>
    </xf>
    <xf numFmtId="171" fontId="26" fillId="0" borderId="0" xfId="0" applyNumberFormat="1" applyFont="1" applyFill="1" applyAlignment="1">
      <alignment horizontal="center"/>
    </xf>
    <xf numFmtId="0" fontId="55" fillId="0" borderId="0" xfId="0" applyFont="1" applyAlignment="1">
      <alignment horizontal="left"/>
    </xf>
    <xf numFmtId="0" fontId="26" fillId="0" borderId="0" xfId="0" applyFont="1" applyAlignment="1">
      <alignment vertical="top" wrapText="1"/>
    </xf>
    <xf numFmtId="0" fontId="37" fillId="0" borderId="0" xfId="0" applyFont="1" applyAlignment="1">
      <alignment horizontal="left"/>
    </xf>
    <xf numFmtId="0" fontId="33" fillId="0" borderId="82"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4" fillId="2" borderId="0" xfId="0" applyFont="1" applyFill="1" applyAlignment="1">
      <alignment horizontal="center"/>
    </xf>
    <xf numFmtId="0" fontId="33" fillId="0" borderId="30" xfId="0" applyFont="1" applyBorder="1" applyAlignment="1">
      <alignment horizontal="center" vertical="center"/>
    </xf>
    <xf numFmtId="0" fontId="56" fillId="0" borderId="0" xfId="0" applyNumberFormat="1" applyFont="1" applyFill="1" applyAlignment="1">
      <alignment horizontal="left" vertical="top" wrapText="1"/>
    </xf>
    <xf numFmtId="0" fontId="33" fillId="0" borderId="22" xfId="0" applyFont="1" applyBorder="1" applyAlignment="1">
      <alignment horizontal="center" vertical="center" wrapText="1"/>
    </xf>
    <xf numFmtId="0" fontId="33" fillId="0" borderId="30" xfId="0" applyFont="1" applyBorder="1" applyAlignment="1">
      <alignment horizontal="center" vertical="center" wrapText="1"/>
    </xf>
    <xf numFmtId="1" fontId="26" fillId="0" borderId="43" xfId="4" applyNumberFormat="1" applyFont="1" applyFill="1" applyBorder="1" applyAlignment="1">
      <alignment horizontal="center" vertical="center"/>
    </xf>
    <xf numFmtId="1" fontId="26" fillId="0" borderId="33" xfId="4" applyNumberFormat="1" applyFont="1" applyFill="1" applyBorder="1" applyAlignment="1">
      <alignment horizontal="center" vertical="center"/>
    </xf>
    <xf numFmtId="0" fontId="77" fillId="0" borderId="0" xfId="0" applyFont="1" applyFill="1"/>
    <xf numFmtId="11" fontId="35" fillId="0" borderId="0" xfId="0" applyNumberFormat="1" applyFont="1"/>
    <xf numFmtId="0" fontId="33" fillId="0" borderId="39" xfId="0" applyFont="1" applyBorder="1" applyAlignment="1">
      <alignment horizontal="left" vertical="center"/>
    </xf>
    <xf numFmtId="0" fontId="26" fillId="0" borderId="39" xfId="0" applyFont="1" applyBorder="1" applyAlignment="1">
      <alignment horizontal="centerContinuous" vertical="center"/>
    </xf>
    <xf numFmtId="0" fontId="26" fillId="0" borderId="0" xfId="0" applyFont="1" applyAlignment="1">
      <alignment horizontal="centerContinuous" vertical="center"/>
    </xf>
    <xf numFmtId="0" fontId="26" fillId="0" borderId="51" xfId="46" applyFont="1" applyBorder="1" applyAlignment="1">
      <alignment vertical="center"/>
    </xf>
    <xf numFmtId="0" fontId="26" fillId="0" borderId="86" xfId="46" applyFont="1" applyBorder="1" applyAlignment="1">
      <alignment horizontal="left" vertical="center"/>
    </xf>
    <xf numFmtId="0" fontId="26" fillId="0" borderId="0" xfId="46" applyFont="1" applyAlignment="1">
      <alignment horizontal="centerContinuous" vertical="center"/>
    </xf>
    <xf numFmtId="11" fontId="26" fillId="0" borderId="10" xfId="46" applyNumberFormat="1" applyFont="1" applyBorder="1" applyAlignment="1">
      <alignment vertical="center" wrapText="1"/>
    </xf>
    <xf numFmtId="1" fontId="26" fillId="0" borderId="45" xfId="46" applyNumberFormat="1" applyFont="1" applyBorder="1" applyAlignment="1">
      <alignment horizontal="left" vertical="center" wrapText="1"/>
    </xf>
    <xf numFmtId="1" fontId="26" fillId="0" borderId="0" xfId="46" applyNumberFormat="1" applyFont="1" applyAlignment="1">
      <alignment horizontal="center" vertical="center" wrapText="1"/>
    </xf>
    <xf numFmtId="166" fontId="26" fillId="0" borderId="10" xfId="46" applyNumberFormat="1" applyFont="1" applyBorder="1" applyAlignment="1">
      <alignment vertical="center" wrapText="1"/>
    </xf>
    <xf numFmtId="0" fontId="32" fillId="0" borderId="52" xfId="0" applyFont="1" applyBorder="1" applyAlignment="1">
      <alignment vertical="center"/>
    </xf>
    <xf numFmtId="3" fontId="26" fillId="0" borderId="8" xfId="0" applyNumberFormat="1" applyFont="1" applyBorder="1" applyAlignment="1">
      <alignment vertical="center"/>
    </xf>
    <xf numFmtId="0" fontId="32" fillId="0" borderId="45" xfId="0" applyFont="1" applyBorder="1" applyAlignment="1">
      <alignment vertical="center"/>
    </xf>
    <xf numFmtId="0" fontId="32" fillId="0" borderId="35" xfId="0" applyFont="1" applyBorder="1" applyAlignment="1">
      <alignment vertical="center"/>
    </xf>
    <xf numFmtId="3" fontId="32" fillId="0" borderId="37" xfId="0" applyNumberFormat="1" applyFont="1" applyBorder="1" applyAlignment="1">
      <alignment vertical="center"/>
    </xf>
    <xf numFmtId="0" fontId="32" fillId="0" borderId="56" xfId="0" applyFont="1" applyBorder="1" applyAlignment="1">
      <alignment vertical="center"/>
    </xf>
    <xf numFmtId="0" fontId="32" fillId="0" borderId="85" xfId="0" applyFont="1" applyBorder="1"/>
    <xf numFmtId="0" fontId="34" fillId="0" borderId="0" xfId="0" applyFont="1" applyAlignment="1">
      <alignment vertical="center"/>
    </xf>
    <xf numFmtId="0" fontId="34" fillId="0" borderId="30" xfId="0" applyFont="1" applyBorder="1" applyAlignment="1">
      <alignment horizontal="center"/>
    </xf>
    <xf numFmtId="0" fontId="34" fillId="0" borderId="58" xfId="0" applyFont="1" applyBorder="1" applyAlignment="1">
      <alignment horizontal="center"/>
    </xf>
    <xf numFmtId="11" fontId="7" fillId="0" borderId="0" xfId="0" applyNumberFormat="1" applyFont="1" applyAlignment="1">
      <alignment vertical="center"/>
    </xf>
    <xf numFmtId="184" fontId="32" fillId="0" borderId="0" xfId="0" applyNumberFormat="1" applyFont="1"/>
    <xf numFmtId="0" fontId="32" fillId="0" borderId="0" xfId="0" applyFont="1" applyAlignment="1">
      <alignment horizontal="right" vertical="center"/>
    </xf>
    <xf numFmtId="2" fontId="32" fillId="0" borderId="0" xfId="0" applyNumberFormat="1" applyFont="1" applyAlignment="1">
      <alignment vertical="center"/>
    </xf>
    <xf numFmtId="0" fontId="32" fillId="0" borderId="0" xfId="0" applyFont="1" applyAlignment="1">
      <alignment horizontal="right"/>
    </xf>
    <xf numFmtId="2" fontId="26" fillId="0" borderId="4" xfId="0" applyNumberFormat="1" applyFont="1" applyFill="1" applyBorder="1" applyAlignment="1">
      <alignment horizontal="center" vertical="center"/>
    </xf>
    <xf numFmtId="0" fontId="33" fillId="0" borderId="30" xfId="0" applyFont="1" applyFill="1" applyBorder="1" applyAlignment="1">
      <alignment horizontal="center" vertical="center" wrapText="1"/>
    </xf>
    <xf numFmtId="0" fontId="56" fillId="0" borderId="0" xfId="48" applyFont="1" applyFill="1" applyBorder="1" applyAlignment="1">
      <alignment vertical="top" wrapText="1"/>
    </xf>
    <xf numFmtId="0" fontId="33" fillId="0" borderId="30" xfId="0" applyFont="1" applyBorder="1" applyAlignment="1">
      <alignment horizontal="center" vertical="center" wrapText="1"/>
    </xf>
    <xf numFmtId="0" fontId="33" fillId="0" borderId="0" xfId="62" applyFont="1" applyAlignment="1">
      <alignment vertical="center"/>
    </xf>
    <xf numFmtId="0" fontId="32" fillId="0" borderId="0" xfId="62" applyFont="1"/>
    <xf numFmtId="0" fontId="33" fillId="0" borderId="0" xfId="63" applyFont="1" applyAlignment="1">
      <alignment vertical="center"/>
    </xf>
    <xf numFmtId="0" fontId="35" fillId="0" borderId="0" xfId="63" applyFont="1"/>
    <xf numFmtId="0" fontId="33" fillId="0" borderId="0" xfId="62" applyFont="1" applyAlignment="1">
      <alignment horizontal="center" vertical="center"/>
    </xf>
    <xf numFmtId="0" fontId="34" fillId="0" borderId="0" xfId="64" applyFont="1" applyAlignment="1">
      <alignment vertical="center"/>
    </xf>
    <xf numFmtId="0" fontId="32" fillId="0" borderId="0" xfId="64" applyFont="1" applyAlignment="1">
      <alignment vertical="center"/>
    </xf>
    <xf numFmtId="0" fontId="78" fillId="0" borderId="0" xfId="64" applyFont="1"/>
    <xf numFmtId="0" fontId="32" fillId="0" borderId="0" xfId="62" applyFont="1" applyAlignment="1">
      <alignment wrapText="1"/>
    </xf>
    <xf numFmtId="0" fontId="34" fillId="0" borderId="79" xfId="64" applyFont="1" applyBorder="1" applyAlignment="1">
      <alignment vertical="center"/>
    </xf>
    <xf numFmtId="0" fontId="33" fillId="0" borderId="62" xfId="64" applyFont="1" applyBorder="1" applyAlignment="1">
      <alignment horizontal="center" vertical="center"/>
    </xf>
    <xf numFmtId="0" fontId="34" fillId="0" borderId="62" xfId="64" applyFont="1" applyBorder="1" applyAlignment="1">
      <alignment vertical="center"/>
    </xf>
    <xf numFmtId="0" fontId="32" fillId="0" borderId="0" xfId="63" applyFont="1" applyAlignment="1">
      <alignment wrapText="1"/>
    </xf>
    <xf numFmtId="0" fontId="32" fillId="0" borderId="23" xfId="64" applyFont="1" applyBorder="1" applyAlignment="1">
      <alignment vertical="center"/>
    </xf>
    <xf numFmtId="0" fontId="32" fillId="0" borderId="29" xfId="64" applyFont="1" applyBorder="1" applyAlignment="1">
      <alignment vertical="center"/>
    </xf>
    <xf numFmtId="0" fontId="32" fillId="0" borderId="21" xfId="64" applyFont="1" applyBorder="1" applyAlignment="1">
      <alignment vertical="center"/>
    </xf>
    <xf numFmtId="0" fontId="32" fillId="0" borderId="1" xfId="64" applyFont="1" applyBorder="1" applyAlignment="1">
      <alignment vertical="center"/>
    </xf>
    <xf numFmtId="0" fontId="32" fillId="0" borderId="0" xfId="63" applyFont="1" applyAlignment="1">
      <alignment horizontal="left" wrapText="1"/>
    </xf>
    <xf numFmtId="0" fontId="79" fillId="0" borderId="0" xfId="64" applyFont="1" applyAlignment="1">
      <alignment horizontal="center"/>
    </xf>
    <xf numFmtId="0" fontId="79" fillId="0" borderId="0" xfId="64" applyFont="1" applyAlignment="1">
      <alignment horizontal="left"/>
    </xf>
    <xf numFmtId="0" fontId="80" fillId="0" borderId="0" xfId="64" applyFont="1" applyAlignment="1">
      <alignment horizontal="center"/>
    </xf>
    <xf numFmtId="0" fontId="26" fillId="0" borderId="21" xfId="64" applyFont="1" applyBorder="1" applyAlignment="1">
      <alignment vertical="center"/>
    </xf>
    <xf numFmtId="0" fontId="26" fillId="0" borderId="1" xfId="64" applyFont="1" applyBorder="1" applyAlignment="1">
      <alignment vertical="center"/>
    </xf>
    <xf numFmtId="0" fontId="32" fillId="0" borderId="35" xfId="64" applyFont="1" applyBorder="1" applyAlignment="1">
      <alignment vertical="center"/>
    </xf>
    <xf numFmtId="0" fontId="32" fillId="0" borderId="31" xfId="64" applyFont="1" applyBorder="1" applyAlignment="1">
      <alignment vertical="center"/>
    </xf>
    <xf numFmtId="167" fontId="26" fillId="0" borderId="1" xfId="64" applyNumberFormat="1" applyFont="1" applyBorder="1" applyAlignment="1">
      <alignment horizontal="center" vertical="center"/>
    </xf>
    <xf numFmtId="1" fontId="26" fillId="0" borderId="1" xfId="64" applyNumberFormat="1" applyFont="1" applyBorder="1" applyAlignment="1">
      <alignment horizontal="center" vertical="center"/>
    </xf>
    <xf numFmtId="3" fontId="26" fillId="0" borderId="1" xfId="64" applyNumberFormat="1" applyFont="1" applyBorder="1" applyAlignment="1">
      <alignment horizontal="center" vertical="center"/>
    </xf>
    <xf numFmtId="0" fontId="32" fillId="0" borderId="11" xfId="64" applyFont="1" applyBorder="1" applyAlignment="1">
      <alignment horizontal="left" vertical="center"/>
    </xf>
    <xf numFmtId="0" fontId="32" fillId="0" borderId="12" xfId="64" applyFont="1" applyBorder="1" applyAlignment="1">
      <alignment horizontal="left" vertical="center"/>
    </xf>
    <xf numFmtId="0" fontId="32" fillId="0" borderId="26" xfId="64" applyFont="1" applyBorder="1" applyAlignment="1">
      <alignment horizontal="left" vertical="center"/>
    </xf>
    <xf numFmtId="167" fontId="32" fillId="0" borderId="1" xfId="64" applyNumberFormat="1" applyFont="1" applyBorder="1" applyAlignment="1">
      <alignment horizontal="center" vertical="center"/>
    </xf>
    <xf numFmtId="171" fontId="78" fillId="0" borderId="0" xfId="64" applyNumberFormat="1" applyFont="1"/>
    <xf numFmtId="168" fontId="32" fillId="0" borderId="1" xfId="64" applyNumberFormat="1" applyFont="1" applyBorder="1" applyAlignment="1">
      <alignment horizontal="center" vertical="center"/>
    </xf>
    <xf numFmtId="0" fontId="32" fillId="0" borderId="1" xfId="64" applyFont="1" applyBorder="1" applyAlignment="1">
      <alignment horizontal="center" vertical="center"/>
    </xf>
    <xf numFmtId="166" fontId="32" fillId="0" borderId="31" xfId="64" applyNumberFormat="1" applyFont="1" applyBorder="1" applyAlignment="1">
      <alignment horizontal="center" vertical="center"/>
    </xf>
    <xf numFmtId="168" fontId="26" fillId="0" borderId="1" xfId="64" applyNumberFormat="1" applyFont="1" applyBorder="1" applyAlignment="1">
      <alignment horizontal="center" vertical="center"/>
    </xf>
    <xf numFmtId="2" fontId="26" fillId="0" borderId="1" xfId="64" applyNumberFormat="1" applyFont="1" applyBorder="1" applyAlignment="1">
      <alignment horizontal="center" vertical="center"/>
    </xf>
    <xf numFmtId="2" fontId="32" fillId="0" borderId="1" xfId="64" applyNumberFormat="1" applyFont="1" applyBorder="1" applyAlignment="1">
      <alignment horizontal="center" vertical="center"/>
    </xf>
    <xf numFmtId="178" fontId="32" fillId="0" borderId="1" xfId="64" applyNumberFormat="1" applyFont="1" applyBorder="1" applyAlignment="1">
      <alignment horizontal="center" vertical="center"/>
    </xf>
    <xf numFmtId="0" fontId="26" fillId="0" borderId="52" xfId="64" applyFont="1" applyBorder="1" applyAlignment="1">
      <alignment vertical="center"/>
    </xf>
    <xf numFmtId="1" fontId="26" fillId="0" borderId="3" xfId="64" applyNumberFormat="1" applyFont="1" applyBorder="1" applyAlignment="1">
      <alignment horizontal="center" vertical="center"/>
    </xf>
    <xf numFmtId="2" fontId="26" fillId="0" borderId="3" xfId="64" applyNumberFormat="1" applyFont="1" applyBorder="1" applyAlignment="1">
      <alignment horizontal="center" vertical="center"/>
    </xf>
    <xf numFmtId="0" fontId="32" fillId="0" borderId="3" xfId="64" applyFont="1" applyBorder="1" applyAlignment="1">
      <alignment vertical="center"/>
    </xf>
    <xf numFmtId="0" fontId="26" fillId="0" borderId="35" xfId="64" applyFont="1" applyBorder="1" applyAlignment="1">
      <alignment vertical="center"/>
    </xf>
    <xf numFmtId="1" fontId="26" fillId="0" borderId="31" xfId="64" applyNumberFormat="1" applyFont="1" applyBorder="1" applyAlignment="1">
      <alignment horizontal="center" vertical="center"/>
    </xf>
    <xf numFmtId="0" fontId="26" fillId="0" borderId="31" xfId="64" applyFont="1" applyBorder="1" applyAlignment="1">
      <alignment vertical="center"/>
    </xf>
    <xf numFmtId="0" fontId="35" fillId="0" borderId="0" xfId="64" applyFont="1" applyAlignment="1">
      <alignment vertical="center"/>
    </xf>
    <xf numFmtId="2" fontId="35" fillId="0" borderId="0" xfId="64" applyNumberFormat="1" applyFont="1" applyAlignment="1">
      <alignment horizontal="center" vertical="center"/>
    </xf>
    <xf numFmtId="0" fontId="35" fillId="0" borderId="0" xfId="64" applyFont="1" applyAlignment="1">
      <alignment horizontal="left" vertical="center" wrapText="1"/>
    </xf>
    <xf numFmtId="2" fontId="32" fillId="0" borderId="1" xfId="64" quotePrefix="1" applyNumberFormat="1" applyFont="1" applyBorder="1" applyAlignment="1">
      <alignment horizontal="center" vertical="center"/>
    </xf>
    <xf numFmtId="0" fontId="34" fillId="0" borderId="35" xfId="64" applyFont="1" applyBorder="1" applyAlignment="1">
      <alignment vertical="center"/>
    </xf>
    <xf numFmtId="11" fontId="34" fillId="0" borderId="31" xfId="64" applyNumberFormat="1" applyFont="1" applyBorder="1" applyAlignment="1">
      <alignment horizontal="center" vertical="center"/>
    </xf>
    <xf numFmtId="0" fontId="34" fillId="0" borderId="31" xfId="64" applyFont="1" applyBorder="1" applyAlignment="1">
      <alignment vertical="center"/>
    </xf>
    <xf numFmtId="0" fontId="32" fillId="0" borderId="0" xfId="64" applyFont="1"/>
    <xf numFmtId="0" fontId="32" fillId="0" borderId="0" xfId="64" applyFont="1" applyAlignment="1">
      <alignment horizontal="left"/>
    </xf>
    <xf numFmtId="0" fontId="64" fillId="0" borderId="0" xfId="65" applyFont="1" applyAlignment="1">
      <alignment vertical="center" readingOrder="1"/>
    </xf>
    <xf numFmtId="0" fontId="4" fillId="0" borderId="0" xfId="45"/>
    <xf numFmtId="2" fontId="4" fillId="0" borderId="0" xfId="45" applyNumberFormat="1" applyAlignment="1">
      <alignment horizontal="center"/>
    </xf>
    <xf numFmtId="0" fontId="48" fillId="0" borderId="0" xfId="62" applyFont="1"/>
    <xf numFmtId="0" fontId="33" fillId="0" borderId="62" xfId="64" applyFont="1" applyFill="1" applyBorder="1" applyAlignment="1">
      <alignment horizontal="center" vertical="center"/>
    </xf>
    <xf numFmtId="11" fontId="33" fillId="0" borderId="30" xfId="0" applyNumberFormat="1" applyFont="1" applyFill="1" applyBorder="1" applyAlignment="1">
      <alignment horizontal="center" vertical="center"/>
    </xf>
    <xf numFmtId="3" fontId="34" fillId="0" borderId="62" xfId="0" applyNumberFormat="1" applyFont="1" applyFill="1" applyBorder="1" applyAlignment="1">
      <alignment horizontal="center" vertical="center"/>
    </xf>
    <xf numFmtId="0" fontId="33" fillId="0" borderId="27" xfId="0" applyFont="1" applyBorder="1" applyAlignment="1">
      <alignment horizontal="center" wrapText="1"/>
    </xf>
    <xf numFmtId="0" fontId="33" fillId="0" borderId="28" xfId="0" applyFont="1" applyBorder="1" applyAlignment="1">
      <alignment horizontal="center" wrapText="1"/>
    </xf>
    <xf numFmtId="0" fontId="33" fillId="0" borderId="82" xfId="0" applyFont="1" applyBorder="1" applyAlignment="1">
      <alignment horizontal="center" wrapText="1"/>
    </xf>
    <xf numFmtId="0" fontId="33" fillId="0" borderId="46" xfId="0" applyFont="1" applyBorder="1" applyAlignment="1">
      <alignment horizontal="center" wrapText="1"/>
    </xf>
    <xf numFmtId="0" fontId="33" fillId="0" borderId="40" xfId="0" applyFont="1" applyBorder="1" applyAlignment="1">
      <alignment horizontal="center" vertical="center" wrapText="1"/>
    </xf>
    <xf numFmtId="0" fontId="33" fillId="0" borderId="47" xfId="0" applyFont="1" applyBorder="1" applyAlignment="1">
      <alignment horizontal="center" vertical="center"/>
    </xf>
    <xf numFmtId="0" fontId="33" fillId="0" borderId="40" xfId="0" applyFont="1" applyBorder="1" applyAlignment="1">
      <alignment horizontal="center"/>
    </xf>
    <xf numFmtId="168" fontId="26" fillId="0" borderId="51" xfId="0" applyNumberFormat="1" applyFont="1" applyBorder="1" applyAlignment="1">
      <alignment horizontal="center"/>
    </xf>
    <xf numFmtId="171" fontId="26" fillId="0" borderId="4" xfId="0" applyNumberFormat="1" applyFont="1" applyBorder="1" applyAlignment="1">
      <alignment horizontal="center"/>
    </xf>
    <xf numFmtId="11" fontId="26" fillId="0" borderId="33" xfId="0" applyNumberFormat="1" applyFont="1" applyBorder="1" applyAlignment="1">
      <alignment horizontal="center"/>
    </xf>
    <xf numFmtId="11" fontId="26" fillId="0" borderId="32" xfId="0" applyNumberFormat="1" applyFont="1" applyBorder="1" applyAlignment="1">
      <alignment horizontal="center"/>
    </xf>
    <xf numFmtId="0" fontId="26" fillId="0" borderId="22" xfId="0" quotePrefix="1" applyFont="1" applyBorder="1" applyAlignment="1">
      <alignment horizontal="center"/>
    </xf>
    <xf numFmtId="0" fontId="26" fillId="0" borderId="30" xfId="0" quotePrefix="1" applyFont="1" applyBorder="1" applyAlignment="1">
      <alignment horizontal="center"/>
    </xf>
    <xf numFmtId="0" fontId="26" fillId="0" borderId="40" xfId="0" quotePrefix="1" applyFont="1" applyBorder="1" applyAlignment="1">
      <alignment horizontal="center"/>
    </xf>
    <xf numFmtId="2" fontId="33" fillId="0" borderId="30" xfId="0" applyNumberFormat="1" applyFont="1" applyBorder="1" applyAlignment="1">
      <alignment horizontal="center"/>
    </xf>
    <xf numFmtId="0" fontId="33" fillId="0" borderId="43" xfId="0" applyFont="1" applyFill="1" applyBorder="1" applyAlignment="1">
      <alignment horizontal="center" vertical="center" wrapText="1"/>
    </xf>
    <xf numFmtId="0" fontId="32" fillId="0" borderId="43" xfId="0" applyFont="1" applyFill="1" applyBorder="1" applyAlignment="1">
      <alignment horizontal="center"/>
    </xf>
    <xf numFmtId="0" fontId="32" fillId="0" borderId="34" xfId="0" applyFont="1" applyFill="1" applyBorder="1" applyAlignment="1">
      <alignment horizontal="center"/>
    </xf>
    <xf numFmtId="0" fontId="32" fillId="0" borderId="32" xfId="0" applyFont="1" applyFill="1" applyBorder="1" applyAlignment="1">
      <alignment horizontal="center"/>
    </xf>
    <xf numFmtId="168" fontId="26" fillId="0" borderId="35" xfId="0" applyNumberFormat="1" applyFont="1" applyBorder="1" applyAlignment="1">
      <alignment horizontal="center"/>
    </xf>
    <xf numFmtId="171" fontId="26" fillId="0" borderId="31" xfId="0" applyNumberFormat="1" applyFont="1" applyBorder="1" applyAlignment="1">
      <alignment horizontal="center"/>
    </xf>
    <xf numFmtId="3" fontId="34" fillId="0" borderId="57" xfId="0" quotePrefix="1" applyNumberFormat="1" applyFont="1" applyFill="1" applyBorder="1" applyAlignment="1">
      <alignment horizontal="center" vertical="center"/>
    </xf>
    <xf numFmtId="0" fontId="32" fillId="0" borderId="29" xfId="0" applyFont="1" applyFill="1" applyBorder="1" applyAlignment="1">
      <alignment vertical="center"/>
    </xf>
    <xf numFmtId="4" fontId="32" fillId="0" borderId="29" xfId="0" applyNumberFormat="1" applyFont="1" applyFill="1" applyBorder="1" applyAlignment="1">
      <alignment horizontal="center" vertical="center"/>
    </xf>
    <xf numFmtId="4" fontId="32" fillId="0" borderId="24" xfId="0" applyNumberFormat="1" applyFont="1" applyFill="1" applyBorder="1" applyAlignment="1">
      <alignment horizontal="center" vertical="center"/>
    </xf>
    <xf numFmtId="0" fontId="32" fillId="0" borderId="85" xfId="0" applyFont="1" applyFill="1" applyBorder="1"/>
    <xf numFmtId="167" fontId="32" fillId="0" borderId="0" xfId="0" applyNumberFormat="1" applyFont="1" applyFill="1" applyAlignment="1">
      <alignment horizontal="center"/>
    </xf>
    <xf numFmtId="0" fontId="32" fillId="0" borderId="1" xfId="0" applyFont="1" applyFill="1" applyBorder="1" applyAlignment="1">
      <alignment vertical="center"/>
    </xf>
    <xf numFmtId="4" fontId="32" fillId="0" borderId="4" xfId="0" applyNumberFormat="1" applyFont="1" applyFill="1" applyBorder="1" applyAlignment="1">
      <alignment horizontal="center" vertical="center"/>
    </xf>
    <xf numFmtId="4" fontId="32" fillId="0" borderId="11" xfId="0" applyNumberFormat="1" applyFont="1" applyFill="1" applyBorder="1" applyAlignment="1">
      <alignment horizontal="center" vertical="center"/>
    </xf>
    <xf numFmtId="2" fontId="26" fillId="0" borderId="1" xfId="48" applyNumberFormat="1" applyFont="1" applyFill="1" applyBorder="1" applyAlignment="1">
      <alignment horizontal="center" vertical="center"/>
    </xf>
    <xf numFmtId="183" fontId="32" fillId="0" borderId="1" xfId="0" applyNumberFormat="1" applyFont="1" applyFill="1" applyBorder="1" applyAlignment="1">
      <alignment horizontal="center" vertical="center"/>
    </xf>
    <xf numFmtId="182" fontId="32" fillId="0" borderId="11" xfId="0" applyNumberFormat="1" applyFont="1" applyFill="1" applyBorder="1" applyAlignment="1">
      <alignment horizontal="center" vertical="center"/>
    </xf>
    <xf numFmtId="2" fontId="32" fillId="0" borderId="0" xfId="0" applyNumberFormat="1" applyFont="1" applyFill="1" applyAlignment="1">
      <alignment horizontal="center"/>
    </xf>
    <xf numFmtId="182" fontId="32" fillId="0" borderId="1" xfId="0" applyNumberFormat="1" applyFont="1" applyFill="1" applyBorder="1" applyAlignment="1">
      <alignment horizontal="center" vertical="center"/>
    </xf>
    <xf numFmtId="182" fontId="32" fillId="0" borderId="4" xfId="0" applyNumberFormat="1" applyFont="1" applyFill="1" applyBorder="1" applyAlignment="1">
      <alignment horizontal="center" vertical="center"/>
    </xf>
    <xf numFmtId="0" fontId="32" fillId="0" borderId="52" xfId="0" applyFont="1" applyFill="1" applyBorder="1" applyAlignment="1">
      <alignment horizontal="left" vertical="center"/>
    </xf>
    <xf numFmtId="2" fontId="26" fillId="0" borderId="3" xfId="48" applyNumberFormat="1" applyFont="1" applyFill="1" applyBorder="1" applyAlignment="1">
      <alignment horizontal="center" vertical="center"/>
    </xf>
    <xf numFmtId="4" fontId="32" fillId="0" borderId="10" xfId="0" applyNumberFormat="1" applyFont="1" applyFill="1" applyBorder="1" applyAlignment="1">
      <alignment horizontal="center" vertical="center"/>
    </xf>
    <xf numFmtId="3" fontId="32" fillId="0" borderId="1" xfId="0" applyNumberFormat="1" applyFont="1" applyFill="1" applyBorder="1" applyAlignment="1">
      <alignment horizontal="center" vertical="center"/>
    </xf>
    <xf numFmtId="3" fontId="32" fillId="0" borderId="34" xfId="0" applyNumberFormat="1" applyFont="1" applyFill="1" applyBorder="1" applyAlignment="1">
      <alignment horizontal="center" vertical="center"/>
    </xf>
    <xf numFmtId="182" fontId="32" fillId="0" borderId="34" xfId="0" applyNumberFormat="1" applyFont="1" applyFill="1" applyBorder="1" applyAlignment="1">
      <alignment horizontal="center" vertical="center"/>
    </xf>
    <xf numFmtId="3" fontId="32" fillId="0" borderId="31" xfId="0" applyNumberFormat="1" applyFont="1" applyFill="1" applyBorder="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vertical="center" wrapText="1"/>
    </xf>
    <xf numFmtId="0" fontId="34" fillId="0" borderId="0" xfId="0" applyFont="1" applyFill="1"/>
    <xf numFmtId="0" fontId="34" fillId="0" borderId="27" xfId="0" applyFont="1" applyFill="1" applyBorder="1"/>
    <xf numFmtId="0" fontId="34" fillId="0" borderId="28" xfId="0" applyFont="1" applyFill="1" applyBorder="1" applyAlignment="1">
      <alignment horizontal="center" wrapText="1"/>
    </xf>
    <xf numFmtId="0" fontId="34" fillId="0" borderId="22" xfId="0" applyFont="1" applyFill="1" applyBorder="1"/>
    <xf numFmtId="0" fontId="34" fillId="0" borderId="30" xfId="0" applyFont="1" applyFill="1" applyBorder="1" applyAlignment="1">
      <alignment horizontal="center"/>
    </xf>
    <xf numFmtId="0" fontId="34" fillId="0" borderId="31" xfId="0" applyFont="1" applyFill="1" applyBorder="1" applyAlignment="1">
      <alignment horizontal="center"/>
    </xf>
    <xf numFmtId="0" fontId="34" fillId="0" borderId="32" xfId="0" applyFont="1" applyFill="1" applyBorder="1" applyAlignment="1">
      <alignment horizontal="center"/>
    </xf>
    <xf numFmtId="0" fontId="26" fillId="0" borderId="21" xfId="58" applyFont="1" applyFill="1" applyBorder="1" applyAlignment="1">
      <alignment horizontal="left" vertical="center"/>
    </xf>
    <xf numFmtId="0" fontId="26" fillId="0" borderId="54" xfId="58" applyFont="1" applyFill="1" applyBorder="1" applyAlignment="1">
      <alignment horizontal="left" vertical="center"/>
    </xf>
    <xf numFmtId="0" fontId="34" fillId="0" borderId="30" xfId="0" applyFont="1" applyFill="1" applyBorder="1" applyAlignment="1">
      <alignment horizontal="right"/>
    </xf>
    <xf numFmtId="11" fontId="26" fillId="0" borderId="34" xfId="0" applyNumberFormat="1" applyFont="1" applyFill="1" applyBorder="1" applyAlignment="1">
      <alignment horizontal="center"/>
    </xf>
    <xf numFmtId="182" fontId="26" fillId="0" borderId="1" xfId="0" applyNumberFormat="1" applyFont="1" applyFill="1" applyBorder="1" applyAlignment="1">
      <alignment horizontal="center"/>
    </xf>
    <xf numFmtId="182" fontId="26" fillId="0" borderId="43" xfId="0" applyNumberFormat="1" applyFont="1" applyFill="1" applyBorder="1" applyAlignment="1">
      <alignment horizontal="center"/>
    </xf>
    <xf numFmtId="182" fontId="26" fillId="0" borderId="34" xfId="0" applyNumberFormat="1" applyFont="1" applyFill="1" applyBorder="1" applyAlignment="1">
      <alignment horizontal="center"/>
    </xf>
    <xf numFmtId="168" fontId="26" fillId="0" borderId="1" xfId="0" applyNumberFormat="1" applyFont="1" applyFill="1" applyBorder="1" applyAlignment="1">
      <alignment horizontal="center"/>
    </xf>
    <xf numFmtId="168" fontId="26" fillId="0" borderId="34" xfId="0" applyNumberFormat="1" applyFont="1" applyFill="1" applyBorder="1" applyAlignment="1">
      <alignment horizontal="center"/>
    </xf>
    <xf numFmtId="11" fontId="32" fillId="2" borderId="29" xfId="0" quotePrefix="1" applyNumberFormat="1" applyFont="1" applyFill="1" applyBorder="1" applyAlignment="1">
      <alignment horizontal="center"/>
    </xf>
    <xf numFmtId="11" fontId="32" fillId="2" borderId="3" xfId="0" quotePrefix="1" applyNumberFormat="1" applyFont="1" applyFill="1" applyBorder="1" applyAlignment="1">
      <alignment horizontal="center"/>
    </xf>
    <xf numFmtId="11" fontId="32" fillId="2" borderId="31" xfId="0" quotePrefix="1" applyNumberFormat="1" applyFont="1" applyFill="1" applyBorder="1" applyAlignment="1">
      <alignment horizontal="center"/>
    </xf>
    <xf numFmtId="0" fontId="56" fillId="0" borderId="0" xfId="0" applyFont="1" applyFill="1" applyAlignment="1">
      <alignment vertical="top" wrapText="1"/>
    </xf>
    <xf numFmtId="0" fontId="56" fillId="0" borderId="0" xfId="0" applyFont="1" applyFill="1" applyAlignment="1">
      <alignment horizontal="left" vertical="top" wrapText="1"/>
    </xf>
    <xf numFmtId="2" fontId="26" fillId="0" borderId="9" xfId="0" applyNumberFormat="1" applyFont="1" applyBorder="1" applyAlignment="1">
      <alignment horizontal="center"/>
    </xf>
    <xf numFmtId="166" fontId="26" fillId="0" borderId="15" xfId="46" applyNumberFormat="1" applyFont="1" applyFill="1" applyBorder="1" applyAlignment="1">
      <alignment horizontal="right" vertical="center"/>
    </xf>
    <xf numFmtId="167" fontId="33" fillId="0" borderId="47" xfId="0" applyNumberFormat="1" applyFont="1" applyBorder="1" applyAlignment="1">
      <alignment horizontal="center"/>
    </xf>
    <xf numFmtId="2" fontId="26" fillId="0" borderId="51" xfId="0" applyNumberFormat="1" applyFont="1" applyBorder="1" applyAlignment="1">
      <alignment horizontal="center"/>
    </xf>
    <xf numFmtId="168" fontId="26" fillId="0" borderId="4" xfId="0" applyNumberFormat="1" applyFont="1" applyBorder="1" applyAlignment="1">
      <alignment horizontal="center"/>
    </xf>
    <xf numFmtId="2" fontId="26" fillId="0" borderId="4" xfId="0" applyNumberFormat="1" applyFont="1" applyBorder="1" applyAlignment="1">
      <alignment horizontal="center"/>
    </xf>
    <xf numFmtId="2" fontId="26" fillId="0" borderId="33" xfId="0" applyNumberFormat="1" applyFont="1" applyBorder="1" applyAlignment="1">
      <alignment horizontal="center"/>
    </xf>
    <xf numFmtId="168" fontId="26" fillId="0" borderId="33" xfId="0" applyNumberFormat="1" applyFont="1" applyBorder="1" applyAlignment="1">
      <alignment horizontal="center"/>
    </xf>
    <xf numFmtId="2" fontId="26" fillId="0" borderId="35" xfId="0" applyNumberFormat="1" applyFont="1" applyBorder="1" applyAlignment="1">
      <alignment horizontal="center"/>
    </xf>
    <xf numFmtId="167" fontId="26" fillId="0" borderId="9" xfId="0" applyNumberFormat="1" applyFont="1" applyBorder="1" applyAlignment="1">
      <alignment horizontal="center"/>
    </xf>
    <xf numFmtId="168" fontId="26" fillId="0" borderId="31" xfId="0" applyNumberFormat="1" applyFont="1" applyBorder="1" applyAlignment="1">
      <alignment horizontal="center"/>
    </xf>
    <xf numFmtId="171" fontId="26" fillId="0" borderId="32" xfId="0" applyNumberFormat="1" applyFont="1" applyBorder="1" applyAlignment="1">
      <alignment horizontal="center"/>
    </xf>
    <xf numFmtId="171" fontId="26" fillId="0" borderId="33" xfId="0" applyNumberFormat="1" applyFont="1" applyBorder="1" applyAlignment="1">
      <alignment horizontal="center"/>
    </xf>
    <xf numFmtId="2" fontId="33" fillId="0" borderId="40" xfId="0" applyNumberFormat="1" applyFont="1" applyBorder="1" applyAlignment="1">
      <alignment horizontal="center"/>
    </xf>
    <xf numFmtId="171" fontId="26" fillId="0" borderId="53" xfId="0" applyNumberFormat="1" applyFont="1" applyFill="1" applyBorder="1" applyAlignment="1">
      <alignment horizontal="center" vertical="center"/>
    </xf>
    <xf numFmtId="168" fontId="26" fillId="0" borderId="70" xfId="0" applyNumberFormat="1" applyFont="1" applyFill="1" applyBorder="1" applyAlignment="1">
      <alignment horizontal="center" vertical="center"/>
    </xf>
    <xf numFmtId="168" fontId="26" fillId="0" borderId="7" xfId="0" applyNumberFormat="1" applyFont="1" applyFill="1" applyBorder="1" applyAlignment="1">
      <alignment horizontal="center" vertical="center"/>
    </xf>
    <xf numFmtId="168" fontId="32" fillId="0" borderId="1" xfId="64" quotePrefix="1" applyNumberFormat="1" applyFont="1" applyBorder="1" applyAlignment="1">
      <alignment horizontal="center" vertical="center"/>
    </xf>
    <xf numFmtId="0" fontId="60" fillId="0" borderId="0" xfId="0" applyFont="1" applyFill="1" applyAlignment="1">
      <alignment horizontal="left" vertical="top" readingOrder="1"/>
    </xf>
    <xf numFmtId="1" fontId="32" fillId="0" borderId="43" xfId="58" applyNumberFormat="1" applyFont="1" applyFill="1" applyBorder="1" applyAlignment="1">
      <alignment horizontal="center" vertical="center"/>
    </xf>
    <xf numFmtId="1" fontId="32" fillId="0" borderId="34" xfId="58" applyNumberFormat="1" applyFont="1" applyFill="1" applyBorder="1" applyAlignment="1">
      <alignment horizontal="center" vertical="center"/>
    </xf>
    <xf numFmtId="167" fontId="33" fillId="0" borderId="40" xfId="0" applyNumberFormat="1" applyFont="1" applyFill="1" applyBorder="1" applyAlignment="1">
      <alignment horizontal="center" vertical="center"/>
    </xf>
    <xf numFmtId="167" fontId="32" fillId="0" borderId="25" xfId="58" applyNumberFormat="1" applyFont="1" applyFill="1" applyBorder="1" applyAlignment="1">
      <alignment horizontal="center" vertical="center"/>
    </xf>
    <xf numFmtId="167" fontId="32" fillId="0" borderId="86" xfId="58" applyNumberFormat="1" applyFont="1" applyFill="1" applyBorder="1" applyAlignment="1">
      <alignment horizontal="center" vertical="center"/>
    </xf>
    <xf numFmtId="1" fontId="34" fillId="2" borderId="37" xfId="0" applyNumberFormat="1" applyFont="1" applyFill="1" applyBorder="1" applyAlignment="1">
      <alignment horizontal="center"/>
    </xf>
    <xf numFmtId="167" fontId="34" fillId="2" borderId="42" xfId="0" applyNumberFormat="1" applyFont="1" applyFill="1" applyBorder="1" applyAlignment="1">
      <alignment horizontal="center"/>
    </xf>
    <xf numFmtId="11" fontId="32" fillId="0" borderId="29" xfId="0" applyNumberFormat="1" applyFont="1" applyFill="1" applyBorder="1" applyAlignment="1">
      <alignment horizontal="center" vertical="center"/>
    </xf>
    <xf numFmtId="11" fontId="32" fillId="0" borderId="43" xfId="0" applyNumberFormat="1" applyFont="1" applyFill="1" applyBorder="1" applyAlignment="1">
      <alignment horizontal="center" vertical="center"/>
    </xf>
    <xf numFmtId="11" fontId="32" fillId="0" borderId="4" xfId="0" applyNumberFormat="1" applyFont="1" applyFill="1" applyBorder="1" applyAlignment="1">
      <alignment horizontal="center" vertical="center"/>
    </xf>
    <xf numFmtId="11" fontId="32" fillId="0" borderId="33" xfId="0" applyNumberFormat="1" applyFont="1" applyFill="1" applyBorder="1" applyAlignment="1">
      <alignment horizontal="center" vertical="center"/>
    </xf>
    <xf numFmtId="11" fontId="32" fillId="0" borderId="1" xfId="0" applyNumberFormat="1" applyFont="1" applyFill="1" applyBorder="1" applyAlignment="1">
      <alignment horizontal="center" vertical="center"/>
    </xf>
    <xf numFmtId="171" fontId="32" fillId="0" borderId="34" xfId="0" applyNumberFormat="1" applyFont="1" applyFill="1" applyBorder="1" applyAlignment="1">
      <alignment horizontal="center" vertical="center"/>
    </xf>
    <xf numFmtId="168" fontId="32" fillId="0" borderId="34" xfId="0" applyNumberFormat="1" applyFont="1" applyFill="1" applyBorder="1" applyAlignment="1">
      <alignment horizontal="center" vertical="center"/>
    </xf>
    <xf numFmtId="11" fontId="32" fillId="0" borderId="34" xfId="0" applyNumberFormat="1" applyFont="1" applyFill="1" applyBorder="1" applyAlignment="1">
      <alignment horizontal="center" vertical="center"/>
    </xf>
    <xf numFmtId="11" fontId="32" fillId="0" borderId="31" xfId="0" applyNumberFormat="1" applyFont="1" applyFill="1" applyBorder="1" applyAlignment="1">
      <alignment horizontal="center" vertical="center"/>
    </xf>
    <xf numFmtId="11" fontId="32" fillId="0" borderId="32" xfId="0" applyNumberFormat="1" applyFont="1" applyFill="1" applyBorder="1" applyAlignment="1">
      <alignment horizontal="center" vertical="center"/>
    </xf>
    <xf numFmtId="0" fontId="32" fillId="0" borderId="39" xfId="0" applyFont="1" applyBorder="1"/>
    <xf numFmtId="0" fontId="26" fillId="2" borderId="31" xfId="47" applyFont="1" applyFill="1" applyBorder="1" applyAlignment="1">
      <alignment horizontal="center" vertical="center"/>
    </xf>
    <xf numFmtId="168" fontId="26" fillId="2" borderId="31" xfId="47" applyNumberFormat="1" applyFont="1" applyFill="1" applyBorder="1" applyAlignment="1">
      <alignment horizontal="center" vertical="center"/>
    </xf>
    <xf numFmtId="0" fontId="32" fillId="0" borderId="38" xfId="0" applyFont="1" applyFill="1" applyBorder="1"/>
    <xf numFmtId="0" fontId="32" fillId="0" borderId="60" xfId="0" applyFont="1" applyFill="1" applyBorder="1"/>
    <xf numFmtId="0" fontId="32" fillId="0" borderId="19" xfId="0" applyFont="1" applyBorder="1"/>
    <xf numFmtId="0" fontId="32" fillId="0" borderId="69" xfId="0" applyFont="1" applyBorder="1"/>
    <xf numFmtId="0" fontId="34" fillId="0" borderId="29" xfId="0" applyFont="1" applyFill="1" applyBorder="1" applyAlignment="1">
      <alignment horizontal="right"/>
    </xf>
    <xf numFmtId="168" fontId="34" fillId="0" borderId="29" xfId="0" applyNumberFormat="1" applyFont="1" applyFill="1" applyBorder="1" applyAlignment="1">
      <alignment horizontal="center"/>
    </xf>
    <xf numFmtId="168" fontId="34" fillId="0" borderId="43" xfId="0" applyNumberFormat="1" applyFont="1" applyFill="1" applyBorder="1" applyAlignment="1">
      <alignment horizontal="center"/>
    </xf>
    <xf numFmtId="168" fontId="34" fillId="0" borderId="31" xfId="0" applyNumberFormat="1" applyFont="1" applyFill="1" applyBorder="1" applyAlignment="1">
      <alignment horizontal="center"/>
    </xf>
    <xf numFmtId="2" fontId="34" fillId="0" borderId="59" xfId="0" applyNumberFormat="1" applyFont="1" applyFill="1" applyBorder="1" applyAlignment="1">
      <alignment horizontal="center"/>
    </xf>
    <xf numFmtId="11" fontId="32" fillId="0" borderId="0" xfId="0" applyNumberFormat="1" applyFont="1"/>
    <xf numFmtId="169" fontId="26" fillId="0" borderId="0" xfId="0" applyNumberFormat="1" applyFont="1" applyFill="1" applyAlignment="1">
      <alignment horizontal="right"/>
    </xf>
    <xf numFmtId="11" fontId="26" fillId="0" borderId="3" xfId="0" applyNumberFormat="1" applyFont="1" applyFill="1" applyBorder="1" applyAlignment="1">
      <alignment horizontal="center" vertical="center"/>
    </xf>
    <xf numFmtId="0" fontId="26" fillId="0" borderId="52" xfId="0" applyFont="1" applyFill="1" applyBorder="1" applyAlignment="1">
      <alignment horizontal="center" vertical="center"/>
    </xf>
    <xf numFmtId="2" fontId="26" fillId="0" borderId="3" xfId="0" quotePrefix="1" applyNumberFormat="1" applyFont="1" applyFill="1" applyBorder="1" applyAlignment="1">
      <alignment horizontal="center" vertical="center"/>
    </xf>
    <xf numFmtId="168" fontId="26" fillId="0" borderId="3" xfId="0" quotePrefix="1" applyNumberFormat="1" applyFont="1" applyFill="1" applyBorder="1" applyAlignment="1">
      <alignment horizontal="center" vertical="center"/>
    </xf>
    <xf numFmtId="3" fontId="26" fillId="0" borderId="80" xfId="11" quotePrefix="1" applyNumberFormat="1" applyFont="1" applyFill="1" applyBorder="1" applyAlignment="1">
      <alignment horizontal="center" vertical="center"/>
    </xf>
    <xf numFmtId="167" fontId="26" fillId="0" borderId="31" xfId="11" applyNumberFormat="1" applyFont="1" applyFill="1" applyBorder="1" applyAlignment="1">
      <alignment horizontal="center" vertical="center"/>
    </xf>
    <xf numFmtId="3" fontId="33" fillId="0" borderId="1" xfId="0" applyNumberFormat="1" applyFont="1" applyFill="1" applyBorder="1" applyAlignment="1">
      <alignment horizontal="center"/>
    </xf>
    <xf numFmtId="166" fontId="33" fillId="0" borderId="1" xfId="0" applyNumberFormat="1" applyFont="1" applyFill="1" applyBorder="1" applyAlignment="1">
      <alignment horizontal="center"/>
    </xf>
    <xf numFmtId="3" fontId="33" fillId="0" borderId="34" xfId="0" applyNumberFormat="1" applyFont="1" applyFill="1" applyBorder="1" applyAlignment="1">
      <alignment horizontal="center"/>
    </xf>
    <xf numFmtId="0" fontId="34" fillId="0" borderId="67" xfId="0" applyFont="1" applyFill="1" applyBorder="1" applyAlignment="1">
      <alignment horizontal="center" wrapText="1"/>
    </xf>
    <xf numFmtId="0" fontId="34" fillId="0" borderId="39" xfId="0" applyFont="1" applyFill="1" applyBorder="1" applyAlignment="1">
      <alignment horizontal="center" vertical="center"/>
    </xf>
    <xf numFmtId="11" fontId="32" fillId="0" borderId="8" xfId="0" quotePrefix="1" applyNumberFormat="1" applyFont="1" applyFill="1" applyBorder="1" applyAlignment="1">
      <alignment horizontal="center"/>
    </xf>
    <xf numFmtId="11" fontId="32" fillId="0" borderId="42" xfId="0" quotePrefix="1" applyNumberFormat="1" applyFont="1" applyFill="1" applyBorder="1" applyAlignment="1">
      <alignment horizontal="center"/>
    </xf>
    <xf numFmtId="2" fontId="33" fillId="0" borderId="24" xfId="0" applyNumberFormat="1" applyFont="1" applyFill="1" applyBorder="1" applyAlignment="1">
      <alignment horizontal="center"/>
    </xf>
    <xf numFmtId="0" fontId="60" fillId="0" borderId="0" xfId="0" applyFont="1" applyFill="1" applyAlignment="1">
      <alignment vertical="top"/>
    </xf>
    <xf numFmtId="0" fontId="48" fillId="0" borderId="0" xfId="57" applyFont="1" applyFill="1" applyAlignment="1">
      <alignment horizontal="right"/>
    </xf>
    <xf numFmtId="0" fontId="56" fillId="0" borderId="0" xfId="4" applyNumberFormat="1" applyFont="1" applyFill="1" applyBorder="1" applyAlignment="1">
      <alignment horizontal="left"/>
    </xf>
    <xf numFmtId="0" fontId="56" fillId="0" borderId="0" xfId="49" applyFont="1" applyFill="1" applyAlignment="1">
      <alignment horizontal="center" vertical="center"/>
    </xf>
    <xf numFmtId="0" fontId="56" fillId="0" borderId="0" xfId="50" applyFont="1" applyFill="1" applyAlignment="1">
      <alignment horizontal="left" vertical="center"/>
    </xf>
    <xf numFmtId="0" fontId="56" fillId="0" borderId="0" xfId="0" applyNumberFormat="1" applyFont="1" applyFill="1" applyAlignment="1">
      <alignment vertical="top"/>
    </xf>
    <xf numFmtId="167" fontId="26" fillId="0" borderId="1" xfId="64" applyNumberFormat="1" applyFont="1" applyFill="1" applyBorder="1" applyAlignment="1">
      <alignment horizontal="center" vertical="center"/>
    </xf>
    <xf numFmtId="167" fontId="26" fillId="0" borderId="4" xfId="58" applyNumberFormat="1" applyFont="1" applyFill="1" applyBorder="1" applyAlignment="1">
      <alignment horizontal="center" vertical="center"/>
    </xf>
    <xf numFmtId="3" fontId="26" fillId="0" borderId="1" xfId="64" applyNumberFormat="1" applyFont="1" applyFill="1" applyBorder="1" applyAlignment="1">
      <alignment horizontal="center" vertical="center"/>
    </xf>
    <xf numFmtId="3" fontId="32" fillId="0" borderId="1" xfId="64" applyNumberFormat="1" applyFont="1" applyFill="1" applyBorder="1" applyAlignment="1">
      <alignment horizontal="center" vertical="center"/>
    </xf>
    <xf numFmtId="0" fontId="56" fillId="0" borderId="0" xfId="50" applyFont="1" applyFill="1" applyAlignment="1">
      <alignment horizontal="right"/>
    </xf>
    <xf numFmtId="167" fontId="56" fillId="0" borderId="0" xfId="50" applyNumberFormat="1" applyFont="1" applyFill="1" applyAlignment="1">
      <alignment horizontal="center" vertical="center"/>
    </xf>
    <xf numFmtId="4" fontId="26" fillId="0" borderId="43" xfId="0" applyNumberFormat="1" applyFont="1" applyFill="1" applyBorder="1" applyAlignment="1">
      <alignment horizontal="center" vertical="center"/>
    </xf>
    <xf numFmtId="4" fontId="26" fillId="0" borderId="33" xfId="0" applyNumberFormat="1" applyFont="1" applyFill="1" applyBorder="1" applyAlignment="1">
      <alignment horizontal="center" vertical="center"/>
    </xf>
    <xf numFmtId="183" fontId="26" fillId="0" borderId="34" xfId="0" applyNumberFormat="1" applyFont="1" applyFill="1" applyBorder="1" applyAlignment="1">
      <alignment horizontal="center" vertical="center"/>
    </xf>
    <xf numFmtId="183" fontId="26" fillId="0" borderId="32" xfId="0" applyNumberFormat="1" applyFont="1" applyFill="1" applyBorder="1" applyAlignment="1">
      <alignment horizontal="center" vertical="center"/>
    </xf>
    <xf numFmtId="0" fontId="33" fillId="0" borderId="30" xfId="0" applyFont="1" applyFill="1" applyBorder="1" applyAlignment="1">
      <alignment horizontal="center" vertical="center"/>
    </xf>
    <xf numFmtId="168" fontId="26" fillId="0" borderId="1" xfId="48" applyNumberFormat="1" applyFont="1" applyFill="1" applyBorder="1" applyAlignment="1">
      <alignment horizontal="center" vertical="center"/>
    </xf>
    <xf numFmtId="2" fontId="32" fillId="0" borderId="29" xfId="0" applyNumberFormat="1" applyFont="1" applyFill="1" applyBorder="1" applyAlignment="1">
      <alignment horizontal="center" vertical="center"/>
    </xf>
    <xf numFmtId="167" fontId="32" fillId="0" borderId="43" xfId="0" applyNumberFormat="1" applyFont="1" applyFill="1" applyBorder="1" applyAlignment="1">
      <alignment horizontal="center" vertical="center"/>
    </xf>
    <xf numFmtId="11" fontId="26" fillId="0" borderId="1" xfId="48" applyNumberFormat="1" applyFont="1" applyFill="1" applyBorder="1" applyAlignment="1">
      <alignment horizontal="center" vertical="center"/>
    </xf>
    <xf numFmtId="168" fontId="32" fillId="0" borderId="4" xfId="0" applyNumberFormat="1" applyFont="1" applyFill="1" applyBorder="1" applyAlignment="1">
      <alignment horizontal="center" vertical="center"/>
    </xf>
    <xf numFmtId="167" fontId="26" fillId="0" borderId="34" xfId="0" applyNumberFormat="1" applyFont="1" applyFill="1" applyBorder="1" applyAlignment="1">
      <alignment horizontal="center" vertical="center"/>
    </xf>
    <xf numFmtId="0" fontId="32" fillId="0" borderId="21" xfId="0" applyFont="1" applyFill="1" applyBorder="1"/>
    <xf numFmtId="3" fontId="26" fillId="0" borderId="15" xfId="48" applyNumberFormat="1" applyFont="1" applyFill="1" applyBorder="1" applyAlignment="1">
      <alignment horizontal="center" vertical="center"/>
    </xf>
    <xf numFmtId="3" fontId="32" fillId="0" borderId="4" xfId="0" applyNumberFormat="1" applyFont="1" applyFill="1" applyBorder="1" applyAlignment="1">
      <alignment horizontal="center" vertical="center"/>
    </xf>
    <xf numFmtId="11" fontId="26" fillId="0" borderId="11" xfId="48" applyNumberFormat="1" applyFont="1" applyFill="1" applyBorder="1" applyAlignment="1">
      <alignment horizontal="center" vertical="center"/>
    </xf>
    <xf numFmtId="168" fontId="32" fillId="0" borderId="29" xfId="0" applyNumberFormat="1" applyFont="1" applyFill="1" applyBorder="1" applyAlignment="1">
      <alignment horizontal="center" vertical="center"/>
    </xf>
    <xf numFmtId="168" fontId="26" fillId="0" borderId="30" xfId="0" applyNumberFormat="1" applyFont="1" applyFill="1" applyBorder="1" applyAlignment="1">
      <alignment horizontal="center" vertical="center"/>
    </xf>
    <xf numFmtId="11" fontId="26" fillId="0" borderId="1" xfId="58" applyNumberFormat="1" applyFont="1" applyFill="1" applyBorder="1" applyAlignment="1">
      <alignment horizontal="center" vertical="center" wrapText="1"/>
    </xf>
    <xf numFmtId="11" fontId="26" fillId="0" borderId="3" xfId="58" applyNumberFormat="1" applyFont="1" applyFill="1" applyBorder="1" applyAlignment="1">
      <alignment horizontal="center" vertical="center" wrapText="1"/>
    </xf>
    <xf numFmtId="11" fontId="26" fillId="0" borderId="47" xfId="58" applyNumberFormat="1" applyFont="1" applyFill="1" applyBorder="1" applyAlignment="1">
      <alignment horizontal="center" vertical="center" wrapText="1"/>
    </xf>
    <xf numFmtId="168" fontId="26" fillId="0" borderId="31" xfId="48" applyNumberFormat="1" applyFont="1" applyFill="1" applyBorder="1" applyAlignment="1">
      <alignment horizontal="center" vertical="center"/>
    </xf>
    <xf numFmtId="2" fontId="32" fillId="0" borderId="3" xfId="0" applyNumberFormat="1" applyFont="1" applyBorder="1" applyAlignment="1">
      <alignment horizontal="center" vertical="center" wrapText="1"/>
    </xf>
    <xf numFmtId="2" fontId="32" fillId="0" borderId="1" xfId="0" applyNumberFormat="1" applyFont="1" applyBorder="1" applyAlignment="1">
      <alignment horizontal="center" vertical="center" wrapText="1"/>
    </xf>
    <xf numFmtId="2" fontId="32" fillId="0" borderId="32" xfId="0" applyNumberFormat="1" applyFont="1" applyBorder="1" applyAlignment="1">
      <alignment horizontal="center" vertical="center" wrapText="1"/>
    </xf>
    <xf numFmtId="167" fontId="26" fillId="0" borderId="37" xfId="0" quotePrefix="1" applyNumberFormat="1" applyFont="1" applyFill="1" applyBorder="1" applyAlignment="1">
      <alignment horizontal="center" vertical="center" wrapText="1"/>
    </xf>
    <xf numFmtId="167" fontId="26" fillId="0" borderId="31" xfId="0" quotePrefix="1" applyNumberFormat="1" applyFont="1" applyFill="1" applyBorder="1" applyAlignment="1">
      <alignment horizontal="center" vertical="center" wrapText="1"/>
    </xf>
    <xf numFmtId="167" fontId="32" fillId="0" borderId="32" xfId="58" applyNumberFormat="1" applyFont="1" applyFill="1" applyBorder="1" applyAlignment="1">
      <alignment horizontal="center" vertical="center"/>
    </xf>
    <xf numFmtId="168" fontId="26" fillId="0" borderId="43" xfId="0" applyNumberFormat="1" applyFont="1" applyFill="1" applyBorder="1" applyAlignment="1">
      <alignment horizontal="center"/>
    </xf>
    <xf numFmtId="171" fontId="53" fillId="0" borderId="0" xfId="0" applyNumberFormat="1" applyFont="1" applyFill="1"/>
    <xf numFmtId="168" fontId="34" fillId="0" borderId="0" xfId="0" applyNumberFormat="1" applyFont="1" applyFill="1" applyAlignment="1">
      <alignment horizontal="left"/>
    </xf>
    <xf numFmtId="3" fontId="26" fillId="0" borderId="80" xfId="0" applyNumberFormat="1" applyFont="1" applyFill="1" applyBorder="1" applyAlignment="1">
      <alignment horizontal="center" vertical="center"/>
    </xf>
    <xf numFmtId="3" fontId="26" fillId="0" borderId="53" xfId="0" applyNumberFormat="1" applyFont="1" applyFill="1" applyBorder="1" applyAlignment="1">
      <alignment horizontal="center" vertical="center"/>
    </xf>
    <xf numFmtId="3" fontId="26" fillId="0" borderId="33" xfId="0" applyNumberFormat="1" applyFont="1" applyFill="1" applyBorder="1" applyAlignment="1">
      <alignment horizontal="center" vertical="center"/>
    </xf>
    <xf numFmtId="167" fontId="26" fillId="0" borderId="3" xfId="11" applyNumberFormat="1" applyFont="1" applyFill="1" applyBorder="1" applyAlignment="1">
      <alignment horizontal="center" vertical="center"/>
    </xf>
    <xf numFmtId="167" fontId="26" fillId="0" borderId="2" xfId="11" applyNumberFormat="1" applyFont="1" applyFill="1" applyBorder="1" applyAlignment="1">
      <alignment horizontal="center" vertical="center"/>
    </xf>
    <xf numFmtId="167" fontId="26" fillId="0" borderId="4" xfId="11" applyNumberFormat="1" applyFont="1" applyFill="1" applyBorder="1" applyAlignment="1">
      <alignment horizontal="center" vertical="center"/>
    </xf>
    <xf numFmtId="168" fontId="26" fillId="0" borderId="3" xfId="11" quotePrefix="1" applyNumberFormat="1" applyFont="1" applyFill="1" applyBorder="1" applyAlignment="1">
      <alignment horizontal="center" vertical="center"/>
    </xf>
    <xf numFmtId="168" fontId="26" fillId="0" borderId="2" xfId="11" quotePrefix="1" applyNumberFormat="1" applyFont="1" applyFill="1" applyBorder="1" applyAlignment="1">
      <alignment horizontal="center" vertical="center"/>
    </xf>
    <xf numFmtId="168" fontId="26" fillId="0" borderId="4" xfId="11" quotePrefix="1" applyNumberFormat="1" applyFont="1" applyFill="1" applyBorder="1" applyAlignment="1">
      <alignment horizontal="center" vertical="center"/>
    </xf>
    <xf numFmtId="2" fontId="26" fillId="0" borderId="3" xfId="0" applyNumberFormat="1" applyFont="1" applyFill="1" applyBorder="1" applyAlignment="1">
      <alignment horizontal="center" vertical="center"/>
    </xf>
    <xf numFmtId="2" fontId="26" fillId="0" borderId="2" xfId="0"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167" fontId="26" fillId="0" borderId="28" xfId="0" applyNumberFormat="1" applyFont="1" applyFill="1" applyBorder="1" applyAlignment="1">
      <alignment horizontal="center" vertical="center"/>
    </xf>
    <xf numFmtId="167" fontId="26" fillId="0" borderId="2" xfId="0" applyNumberFormat="1" applyFont="1" applyFill="1" applyBorder="1" applyAlignment="1">
      <alignment horizontal="center" vertical="center"/>
    </xf>
    <xf numFmtId="167" fontId="26" fillId="0" borderId="4" xfId="0" applyNumberFormat="1" applyFont="1" applyFill="1" applyBorder="1" applyAlignment="1">
      <alignment horizontal="center" vertical="center"/>
    </xf>
    <xf numFmtId="3" fontId="26" fillId="0" borderId="82" xfId="0" applyNumberFormat="1" applyFont="1" applyFill="1" applyBorder="1" applyAlignment="1">
      <alignment horizontal="center" vertical="center"/>
    </xf>
    <xf numFmtId="2" fontId="26" fillId="0" borderId="3" xfId="11" quotePrefix="1" applyNumberFormat="1" applyFont="1" applyFill="1" applyBorder="1" applyAlignment="1">
      <alignment horizontal="center" vertical="center"/>
    </xf>
    <xf numFmtId="2" fontId="26" fillId="0" borderId="2" xfId="11" quotePrefix="1" applyNumberFormat="1" applyFont="1" applyFill="1" applyBorder="1" applyAlignment="1">
      <alignment horizontal="center" vertical="center"/>
    </xf>
    <xf numFmtId="2" fontId="26" fillId="0" borderId="4" xfId="11" quotePrefix="1" applyNumberFormat="1" applyFont="1" applyFill="1" applyBorder="1" applyAlignment="1">
      <alignment horizontal="center" vertical="center"/>
    </xf>
    <xf numFmtId="167" fontId="26" fillId="0" borderId="3" xfId="11" quotePrefix="1" applyNumberFormat="1" applyFont="1" applyFill="1" applyBorder="1" applyAlignment="1">
      <alignment horizontal="center" vertical="center"/>
    </xf>
    <xf numFmtId="167" fontId="26" fillId="0" borderId="2" xfId="11" quotePrefix="1" applyNumberFormat="1" applyFont="1" applyFill="1" applyBorder="1" applyAlignment="1">
      <alignment horizontal="center" vertical="center"/>
    </xf>
    <xf numFmtId="167" fontId="26" fillId="0" borderId="4" xfId="11" quotePrefix="1" applyNumberFormat="1" applyFont="1" applyFill="1" applyBorder="1" applyAlignment="1">
      <alignment horizontal="center" vertical="center"/>
    </xf>
    <xf numFmtId="0" fontId="26" fillId="0" borderId="28"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3" fillId="0" borderId="0" xfId="0" applyFont="1" applyAlignment="1">
      <alignment horizontal="center"/>
    </xf>
    <xf numFmtId="0" fontId="33" fillId="0" borderId="28"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22" xfId="0" applyFont="1" applyFill="1" applyBorder="1" applyAlignment="1">
      <alignment horizontal="center" vertical="center" wrapText="1"/>
    </xf>
    <xf numFmtId="1" fontId="26" fillId="0" borderId="28" xfId="0" applyNumberFormat="1" applyFont="1" applyFill="1" applyBorder="1" applyAlignment="1">
      <alignment horizontal="center" vertical="center"/>
    </xf>
    <xf numFmtId="1" fontId="26" fillId="0" borderId="2" xfId="0" applyNumberFormat="1" applyFont="1" applyFill="1" applyBorder="1" applyAlignment="1">
      <alignment horizontal="center" vertical="center"/>
    </xf>
    <xf numFmtId="1" fontId="26" fillId="0" borderId="4" xfId="0" applyNumberFormat="1" applyFont="1" applyFill="1" applyBorder="1" applyAlignment="1">
      <alignment horizontal="center" vertical="center"/>
    </xf>
    <xf numFmtId="0" fontId="34" fillId="2" borderId="0" xfId="0" applyFont="1" applyFill="1" applyAlignment="1">
      <alignment horizontal="center"/>
    </xf>
    <xf numFmtId="0" fontId="34" fillId="2" borderId="27"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4" fillId="2" borderId="75" xfId="0" applyFont="1" applyFill="1" applyBorder="1" applyAlignment="1">
      <alignment horizontal="center" vertical="center" wrapText="1"/>
    </xf>
    <xf numFmtId="0" fontId="55" fillId="0" borderId="0" xfId="0" applyFont="1" applyAlignment="1">
      <alignment horizontal="left"/>
    </xf>
    <xf numFmtId="0" fontId="33" fillId="0" borderId="27"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56" fillId="0" borderId="0" xfId="48" applyFont="1" applyFill="1" applyBorder="1" applyAlignment="1">
      <alignment horizontal="left" vertical="top" wrapText="1"/>
    </xf>
    <xf numFmtId="0" fontId="56" fillId="0" borderId="0" xfId="0" applyFont="1" applyFill="1" applyAlignment="1">
      <alignment horizontal="left" vertical="top" wrapText="1"/>
    </xf>
    <xf numFmtId="0" fontId="34" fillId="2" borderId="28" xfId="58" applyFont="1" applyFill="1" applyBorder="1" applyAlignment="1">
      <alignment horizontal="center" vertical="center" wrapText="1"/>
    </xf>
    <xf numFmtId="0" fontId="34" fillId="2" borderId="30" xfId="58" applyFont="1" applyFill="1" applyBorder="1" applyAlignment="1">
      <alignment horizontal="center" vertical="center" wrapText="1"/>
    </xf>
    <xf numFmtId="0" fontId="34" fillId="2" borderId="28" xfId="58" applyFont="1" applyFill="1" applyBorder="1" applyAlignment="1">
      <alignment horizontal="center" vertical="center"/>
    </xf>
    <xf numFmtId="0" fontId="34" fillId="2" borderId="30" xfId="58" applyFont="1" applyFill="1" applyBorder="1" applyAlignment="1">
      <alignment horizontal="center" vertical="center"/>
    </xf>
    <xf numFmtId="0" fontId="34" fillId="0" borderId="0" xfId="0" applyFont="1" applyFill="1" applyAlignment="1">
      <alignment horizontal="center"/>
    </xf>
    <xf numFmtId="0" fontId="33" fillId="2" borderId="28"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0" borderId="24" xfId="47" applyFont="1" applyFill="1" applyBorder="1" applyAlignment="1">
      <alignment horizontal="center" vertical="center" wrapText="1"/>
    </xf>
    <xf numFmtId="0" fontId="33" fillId="0" borderId="25" xfId="47" applyFont="1" applyFill="1" applyBorder="1" applyAlignment="1">
      <alignment horizontal="center" vertical="center" wrapText="1"/>
    </xf>
    <xf numFmtId="0" fontId="34" fillId="0" borderId="27" xfId="58" applyFont="1" applyBorder="1" applyAlignment="1">
      <alignment horizontal="center" vertical="center"/>
    </xf>
    <xf numFmtId="0" fontId="34" fillId="0" borderId="22" xfId="58" applyFont="1" applyBorder="1" applyAlignment="1">
      <alignment horizontal="center" vertical="center"/>
    </xf>
    <xf numFmtId="0" fontId="33" fillId="0" borderId="24" xfId="0" applyFont="1" applyBorder="1" applyAlignment="1">
      <alignment horizontal="center"/>
    </xf>
    <xf numFmtId="0" fontId="33" fillId="0" borderId="25" xfId="0" applyFont="1" applyBorder="1" applyAlignment="1">
      <alignment horizontal="center"/>
    </xf>
    <xf numFmtId="0" fontId="56" fillId="0" borderId="0" xfId="48" applyFont="1" applyAlignment="1">
      <alignment vertical="top" wrapText="1"/>
    </xf>
    <xf numFmtId="0" fontId="56" fillId="0" borderId="0" xfId="0" applyFont="1" applyFill="1" applyAlignment="1">
      <alignment vertical="top" wrapText="1"/>
    </xf>
    <xf numFmtId="0" fontId="56" fillId="0" borderId="0" xfId="47" applyFont="1" applyFill="1" applyAlignment="1">
      <alignment horizontal="left" vertical="top" wrapText="1"/>
    </xf>
    <xf numFmtId="0" fontId="33" fillId="0" borderId="28" xfId="0" applyFont="1" applyBorder="1" applyAlignment="1">
      <alignment horizontal="center" vertical="center"/>
    </xf>
    <xf numFmtId="0" fontId="33" fillId="0" borderId="30" xfId="0" applyFont="1" applyBorder="1" applyAlignment="1">
      <alignment horizontal="center" vertical="center"/>
    </xf>
    <xf numFmtId="0" fontId="33" fillId="2" borderId="27"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55" fillId="0" borderId="0" xfId="0" applyFont="1" applyFill="1" applyAlignment="1">
      <alignment horizontal="left"/>
    </xf>
    <xf numFmtId="0" fontId="33" fillId="2" borderId="27" xfId="0" applyFont="1" applyFill="1" applyBorder="1" applyAlignment="1">
      <alignment horizontal="center" vertical="center"/>
    </xf>
    <xf numFmtId="0" fontId="33" fillId="2" borderId="22" xfId="0" applyFont="1" applyFill="1" applyBorder="1" applyAlignment="1">
      <alignment horizontal="center" vertical="center"/>
    </xf>
    <xf numFmtId="0" fontId="26" fillId="0" borderId="0" xfId="0" applyFont="1" applyAlignment="1">
      <alignment vertical="top" wrapText="1"/>
    </xf>
    <xf numFmtId="0" fontId="33" fillId="2" borderId="28" xfId="58" applyFont="1" applyFill="1" applyBorder="1" applyAlignment="1">
      <alignment horizontal="center" vertical="center" wrapText="1"/>
    </xf>
    <xf numFmtId="0" fontId="33" fillId="2" borderId="30" xfId="58" applyFont="1" applyFill="1" applyBorder="1" applyAlignment="1">
      <alignment horizontal="center" vertical="center" wrapText="1"/>
    </xf>
    <xf numFmtId="0" fontId="33" fillId="2" borderId="28" xfId="58" applyFont="1" applyFill="1" applyBorder="1" applyAlignment="1">
      <alignment horizontal="center" vertical="center"/>
    </xf>
    <xf numFmtId="0" fontId="33" fillId="2" borderId="30" xfId="58" applyFont="1" applyFill="1" applyBorder="1" applyAlignment="1">
      <alignment horizontal="center" vertical="center"/>
    </xf>
    <xf numFmtId="0" fontId="56" fillId="0" borderId="0" xfId="48" applyFont="1" applyAlignment="1">
      <alignment horizontal="left" vertical="top" wrapText="1"/>
    </xf>
    <xf numFmtId="0" fontId="26" fillId="0" borderId="41" xfId="0" applyFont="1" applyFill="1" applyBorder="1" applyAlignment="1">
      <alignment horizontal="left"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56" fillId="0" borderId="0" xfId="48" applyFont="1" applyFill="1" applyBorder="1" applyAlignment="1">
      <alignment vertical="top" wrapText="1"/>
    </xf>
    <xf numFmtId="0" fontId="33" fillId="0" borderId="0" xfId="0" applyFont="1" applyFill="1" applyAlignment="1">
      <alignment horizontal="center"/>
    </xf>
    <xf numFmtId="0" fontId="33" fillId="0" borderId="0" xfId="0" applyFont="1" applyFill="1" applyAlignment="1">
      <alignment horizontal="center" vertical="center"/>
    </xf>
    <xf numFmtId="0" fontId="56" fillId="0" borderId="0" xfId="48" applyFont="1" applyFill="1" applyBorder="1" applyAlignment="1">
      <alignment wrapText="1"/>
    </xf>
    <xf numFmtId="0" fontId="34" fillId="0" borderId="61" xfId="0" applyFont="1" applyFill="1" applyBorder="1" applyAlignment="1">
      <alignment horizontal="right" vertical="center"/>
    </xf>
    <xf numFmtId="0" fontId="34" fillId="0" borderId="12" xfId="0" applyFont="1" applyFill="1" applyBorder="1" applyAlignment="1">
      <alignment horizontal="right" vertical="center"/>
    </xf>
    <xf numFmtId="0" fontId="34" fillId="0" borderId="13" xfId="0" applyFont="1" applyFill="1" applyBorder="1" applyAlignment="1">
      <alignment horizontal="right" vertical="center"/>
    </xf>
    <xf numFmtId="0" fontId="34" fillId="0" borderId="27"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3" fillId="2" borderId="28" xfId="0" applyFont="1" applyFill="1" applyBorder="1" applyAlignment="1">
      <alignment horizontal="center" vertical="center"/>
    </xf>
    <xf numFmtId="0" fontId="33" fillId="2" borderId="30" xfId="0" applyFont="1" applyFill="1" applyBorder="1" applyAlignment="1">
      <alignment horizontal="center" vertical="center"/>
    </xf>
    <xf numFmtId="0" fontId="56" fillId="0" borderId="0" xfId="48" applyFont="1" applyFill="1" applyBorder="1" applyAlignment="1">
      <alignment vertical="top"/>
    </xf>
    <xf numFmtId="0" fontId="33" fillId="0" borderId="28" xfId="58" applyFont="1" applyFill="1" applyBorder="1" applyAlignment="1">
      <alignment horizontal="center" vertical="center"/>
    </xf>
    <xf numFmtId="0" fontId="33" fillId="0" borderId="30" xfId="58" applyFont="1" applyFill="1" applyBorder="1" applyAlignment="1">
      <alignment horizontal="center" vertical="center"/>
    </xf>
    <xf numFmtId="0" fontId="34" fillId="2" borderId="27" xfId="58" applyFont="1" applyFill="1" applyBorder="1" applyAlignment="1">
      <alignment horizontal="center" vertical="center" wrapText="1"/>
    </xf>
    <xf numFmtId="0" fontId="34" fillId="2" borderId="22" xfId="58" applyFont="1" applyFill="1" applyBorder="1" applyAlignment="1">
      <alignment horizontal="center" vertical="center" wrapText="1"/>
    </xf>
    <xf numFmtId="0" fontId="34" fillId="2" borderId="24" xfId="58" applyFont="1" applyFill="1" applyBorder="1" applyAlignment="1">
      <alignment horizontal="center" vertical="center"/>
    </xf>
    <xf numFmtId="0" fontId="34" fillId="2" borderId="25" xfId="58" applyFont="1" applyFill="1" applyBorder="1" applyAlignment="1">
      <alignment horizontal="center" vertical="center"/>
    </xf>
    <xf numFmtId="0" fontId="33" fillId="0" borderId="14" xfId="0" applyFont="1" applyFill="1" applyBorder="1" applyAlignment="1">
      <alignment horizontal="left" wrapText="1"/>
    </xf>
    <xf numFmtId="0" fontId="33" fillId="0" borderId="27" xfId="58" applyFont="1" applyFill="1" applyBorder="1" applyAlignment="1">
      <alignment horizontal="center" vertical="center"/>
    </xf>
    <xf numFmtId="0" fontId="33" fillId="0" borderId="22" xfId="58" applyFont="1" applyFill="1" applyBorder="1" applyAlignment="1">
      <alignment horizontal="center" vertical="center"/>
    </xf>
    <xf numFmtId="0" fontId="37" fillId="0" borderId="0" xfId="0" applyFont="1" applyAlignment="1">
      <alignment horizontal="left"/>
    </xf>
    <xf numFmtId="3" fontId="26" fillId="0" borderId="28" xfId="58" applyNumberFormat="1" applyFont="1" applyBorder="1" applyAlignment="1">
      <alignment horizontal="center" vertical="center" wrapText="1"/>
    </xf>
    <xf numFmtId="3" fontId="26" fillId="0" borderId="2" xfId="58" applyNumberFormat="1" applyFont="1" applyBorder="1" applyAlignment="1">
      <alignment horizontal="center" vertical="center" wrapText="1"/>
    </xf>
    <xf numFmtId="3" fontId="26" fillId="0" borderId="30" xfId="58" applyNumberFormat="1" applyFont="1" applyBorder="1" applyAlignment="1">
      <alignment horizontal="center" vertical="center" wrapText="1"/>
    </xf>
    <xf numFmtId="0" fontId="26" fillId="0" borderId="28" xfId="58" applyFont="1" applyBorder="1" applyAlignment="1">
      <alignment horizontal="center" vertical="center" wrapText="1"/>
    </xf>
    <xf numFmtId="0" fontId="26" fillId="0" borderId="2" xfId="58" applyFont="1" applyBorder="1" applyAlignment="1">
      <alignment horizontal="center" vertical="center" wrapText="1"/>
    </xf>
    <xf numFmtId="0" fontId="26" fillId="0" borderId="30" xfId="58" applyFont="1" applyBorder="1" applyAlignment="1">
      <alignment horizontal="center" vertical="center" wrapText="1"/>
    </xf>
    <xf numFmtId="0" fontId="56" fillId="0" borderId="0" xfId="48" applyFont="1" applyFill="1" applyAlignment="1">
      <alignment vertical="top" wrapText="1"/>
    </xf>
    <xf numFmtId="0" fontId="26" fillId="0" borderId="60" xfId="0" applyFont="1" applyBorder="1" applyAlignment="1">
      <alignment horizontal="left" vertical="center"/>
    </xf>
    <xf numFmtId="0" fontId="26" fillId="0" borderId="19" xfId="0" applyFont="1" applyBorder="1" applyAlignment="1">
      <alignment horizontal="left" vertical="center"/>
    </xf>
    <xf numFmtId="0" fontId="26" fillId="0" borderId="69" xfId="0" applyFont="1" applyBorder="1" applyAlignment="1">
      <alignment horizontal="left" vertical="center"/>
    </xf>
    <xf numFmtId="0" fontId="26" fillId="0" borderId="41" xfId="0" applyFont="1" applyFill="1" applyBorder="1" applyAlignment="1">
      <alignment vertical="center"/>
    </xf>
    <xf numFmtId="0" fontId="26" fillId="0" borderId="42" xfId="0" applyFont="1" applyFill="1" applyBorder="1" applyAlignment="1">
      <alignment vertical="center"/>
    </xf>
    <xf numFmtId="0" fontId="26" fillId="0" borderId="36" xfId="0" applyFont="1" applyFill="1" applyBorder="1" applyAlignment="1">
      <alignment vertical="center"/>
    </xf>
    <xf numFmtId="0" fontId="34" fillId="0" borderId="0" xfId="0" applyFont="1" applyFill="1" applyAlignment="1">
      <alignment horizontal="center" wrapText="1"/>
    </xf>
    <xf numFmtId="0" fontId="55" fillId="0" borderId="0" xfId="58" applyFont="1" applyAlignment="1">
      <alignment horizontal="left"/>
    </xf>
    <xf numFmtId="0" fontId="29" fillId="0" borderId="0" xfId="0" applyFont="1" applyFill="1" applyAlignment="1">
      <alignment horizontal="center"/>
    </xf>
    <xf numFmtId="0" fontId="29" fillId="0" borderId="0" xfId="0" applyFont="1" applyAlignment="1">
      <alignment horizontal="center"/>
    </xf>
    <xf numFmtId="0" fontId="33" fillId="0" borderId="6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56" fillId="0" borderId="0" xfId="0" applyNumberFormat="1" applyFont="1" applyFill="1" applyAlignment="1">
      <alignment horizontal="left" vertical="top" wrapText="1"/>
    </xf>
    <xf numFmtId="0" fontId="33" fillId="0" borderId="65" xfId="58" applyFont="1" applyFill="1" applyBorder="1" applyAlignment="1">
      <alignment horizontal="right" vertical="center" wrapText="1"/>
    </xf>
    <xf numFmtId="0" fontId="33" fillId="0" borderId="71" xfId="58" applyFont="1" applyFill="1" applyBorder="1" applyAlignment="1">
      <alignment horizontal="right" vertical="center" wrapText="1"/>
    </xf>
    <xf numFmtId="0" fontId="34" fillId="0" borderId="11" xfId="0" applyFont="1" applyBorder="1" applyAlignment="1">
      <alignment horizontal="center" vertical="center" wrapText="1"/>
    </xf>
    <xf numFmtId="0" fontId="34" fillId="0" borderId="26" xfId="0" applyFont="1" applyBorder="1" applyAlignment="1">
      <alignment horizontal="center" vertical="center" wrapText="1"/>
    </xf>
    <xf numFmtId="0" fontId="45" fillId="0" borderId="0" xfId="0" applyFont="1" applyFill="1" applyAlignment="1">
      <alignment horizontal="left" vertical="top" wrapText="1" readingOrder="1"/>
    </xf>
    <xf numFmtId="0" fontId="30" fillId="0" borderId="0" xfId="0" applyFont="1" applyFill="1" applyAlignment="1">
      <alignment horizontal="center" vertical="center"/>
    </xf>
    <xf numFmtId="0" fontId="33" fillId="0" borderId="68"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4" fillId="0" borderId="67"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4" xfId="0" applyFont="1" applyBorder="1" applyAlignment="1">
      <alignment horizontal="center" vertical="center"/>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13" xfId="0" applyFont="1" applyBorder="1" applyAlignment="1">
      <alignment horizontal="center" vertical="center" wrapText="1"/>
    </xf>
    <xf numFmtId="0" fontId="26" fillId="0" borderId="52"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30" fillId="0" borderId="0" xfId="0" applyFont="1" applyAlignment="1">
      <alignment horizontal="center" vertical="center"/>
    </xf>
    <xf numFmtId="0" fontId="33" fillId="0" borderId="27"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69" xfId="0" applyFont="1" applyFill="1" applyBorder="1" applyAlignment="1">
      <alignment horizontal="center" vertical="center" wrapText="1"/>
    </xf>
    <xf numFmtId="0" fontId="57" fillId="0" borderId="0" xfId="49" applyFont="1" applyFill="1" applyAlignment="1">
      <alignment vertical="top" wrapText="1"/>
    </xf>
    <xf numFmtId="0" fontId="26" fillId="0" borderId="22" xfId="0" applyFont="1" applyFill="1" applyBorder="1" applyAlignment="1">
      <alignment horizontal="center" vertical="center" wrapText="1"/>
    </xf>
    <xf numFmtId="0" fontId="33" fillId="0" borderId="0" xfId="0" applyFont="1" applyAlignment="1">
      <alignment horizontal="center" vertical="center"/>
    </xf>
    <xf numFmtId="0" fontId="33" fillId="0" borderId="24" xfId="0" applyFont="1" applyBorder="1" applyAlignment="1">
      <alignment horizontal="center" vertical="center" wrapText="1"/>
    </xf>
    <xf numFmtId="0" fontId="33" fillId="0" borderId="69" xfId="0" applyFont="1" applyBorder="1" applyAlignment="1">
      <alignment horizontal="center" vertical="center" wrapText="1"/>
    </xf>
    <xf numFmtId="0" fontId="56" fillId="0" borderId="0" xfId="0" applyFont="1" applyFill="1" applyBorder="1" applyAlignment="1">
      <alignment horizontal="left" vertical="top" wrapText="1"/>
    </xf>
    <xf numFmtId="0" fontId="33" fillId="0" borderId="24" xfId="0" applyFont="1" applyFill="1" applyBorder="1" applyAlignment="1">
      <alignment horizontal="center"/>
    </xf>
    <xf numFmtId="0" fontId="33" fillId="0" borderId="25" xfId="0" applyFont="1" applyFill="1" applyBorder="1" applyAlignment="1">
      <alignment horizontal="center"/>
    </xf>
    <xf numFmtId="0" fontId="33" fillId="0" borderId="0" xfId="62" applyFont="1" applyAlignment="1">
      <alignment horizontal="center" vertical="center"/>
    </xf>
    <xf numFmtId="0" fontId="33" fillId="0" borderId="0" xfId="63" applyFont="1" applyAlignment="1">
      <alignment horizontal="center" vertical="center"/>
    </xf>
    <xf numFmtId="0" fontId="34" fillId="0" borderId="89" xfId="64" applyFont="1" applyBorder="1" applyAlignment="1">
      <alignment horizontal="left" vertical="center"/>
    </xf>
    <xf numFmtId="0" fontId="34" fillId="0" borderId="66" xfId="64" applyFont="1" applyBorder="1" applyAlignment="1">
      <alignment horizontal="left" vertical="center"/>
    </xf>
    <xf numFmtId="0" fontId="34" fillId="0" borderId="72" xfId="64" applyFont="1" applyBorder="1" applyAlignment="1">
      <alignment horizontal="left" vertical="center"/>
    </xf>
    <xf numFmtId="1" fontId="26" fillId="0" borderId="11" xfId="64" applyNumberFormat="1" applyFont="1" applyFill="1" applyBorder="1" applyAlignment="1">
      <alignment horizontal="center" vertical="center"/>
    </xf>
    <xf numFmtId="1" fontId="26" fillId="0" borderId="12" xfId="64" applyNumberFormat="1" applyFont="1" applyFill="1" applyBorder="1" applyAlignment="1">
      <alignment horizontal="center" vertical="center"/>
    </xf>
    <xf numFmtId="1" fontId="26" fillId="0" borderId="13" xfId="64" applyNumberFormat="1" applyFont="1" applyFill="1" applyBorder="1" applyAlignment="1">
      <alignment horizontal="center" vertical="center"/>
    </xf>
    <xf numFmtId="0" fontId="32" fillId="0" borderId="24" xfId="64" applyFont="1" applyBorder="1" applyAlignment="1">
      <alignment vertical="center"/>
    </xf>
    <xf numFmtId="0" fontId="32" fillId="0" borderId="19" xfId="64" applyFont="1" applyBorder="1" applyAlignment="1">
      <alignment vertical="center"/>
    </xf>
    <xf numFmtId="0" fontId="32" fillId="0" borderId="25" xfId="64" applyFont="1" applyBorder="1" applyAlignment="1">
      <alignment vertical="center"/>
    </xf>
    <xf numFmtId="0" fontId="26" fillId="0" borderId="11" xfId="64" applyFont="1" applyFill="1" applyBorder="1" applyAlignment="1">
      <alignment vertical="center"/>
    </xf>
    <xf numFmtId="0" fontId="26" fillId="0" borderId="12" xfId="64" applyFont="1" applyFill="1" applyBorder="1" applyAlignment="1">
      <alignment vertical="center"/>
    </xf>
    <xf numFmtId="0" fontId="26" fillId="0" borderId="26" xfId="64" applyFont="1" applyFill="1" applyBorder="1" applyAlignment="1">
      <alignment vertical="center"/>
    </xf>
    <xf numFmtId="3" fontId="26" fillId="0" borderId="11" xfId="64" applyNumberFormat="1" applyFont="1" applyFill="1" applyBorder="1" applyAlignment="1">
      <alignment horizontal="center" vertical="center"/>
    </xf>
    <xf numFmtId="3" fontId="26" fillId="0" borderId="12" xfId="64" applyNumberFormat="1" applyFont="1" applyFill="1" applyBorder="1" applyAlignment="1">
      <alignment horizontal="center" vertical="center"/>
    </xf>
    <xf numFmtId="3" fontId="26" fillId="0" borderId="13" xfId="64" applyNumberFormat="1" applyFont="1" applyFill="1" applyBorder="1" applyAlignment="1">
      <alignment horizontal="center" vertical="center"/>
    </xf>
    <xf numFmtId="0" fontId="26" fillId="0" borderId="11" xfId="64" applyFont="1" applyBorder="1" applyAlignment="1">
      <alignment vertical="center"/>
    </xf>
    <xf numFmtId="0" fontId="26" fillId="0" borderId="12" xfId="64" applyFont="1" applyBorder="1" applyAlignment="1">
      <alignment vertical="center"/>
    </xf>
    <xf numFmtId="0" fontId="26" fillId="0" borderId="26" xfId="64" applyFont="1" applyBorder="1" applyAlignment="1">
      <alignment vertical="center"/>
    </xf>
    <xf numFmtId="0" fontId="32" fillId="0" borderId="11" xfId="64" applyFont="1" applyFill="1" applyBorder="1" applyAlignment="1">
      <alignment vertical="center"/>
    </xf>
    <xf numFmtId="0" fontId="32" fillId="0" borderId="12" xfId="64" applyFont="1" applyFill="1" applyBorder="1" applyAlignment="1">
      <alignment vertical="center"/>
    </xf>
    <xf numFmtId="0" fontId="32" fillId="0" borderId="26" xfId="64" applyFont="1" applyFill="1" applyBorder="1" applyAlignment="1">
      <alignment vertical="center"/>
    </xf>
    <xf numFmtId="0" fontId="32" fillId="0" borderId="11" xfId="64" applyFont="1" applyBorder="1" applyAlignment="1">
      <alignment vertical="center"/>
    </xf>
    <xf numFmtId="0" fontId="32" fillId="0" borderId="12" xfId="64" applyFont="1" applyBorder="1" applyAlignment="1">
      <alignment vertical="center"/>
    </xf>
    <xf numFmtId="0" fontId="32" fillId="0" borderId="26" xfId="64" applyFont="1" applyBorder="1" applyAlignment="1">
      <alignment vertical="center"/>
    </xf>
    <xf numFmtId="0" fontId="26" fillId="0" borderId="11" xfId="64" applyFont="1" applyBorder="1" applyAlignment="1">
      <alignment horizontal="left" vertical="center"/>
    </xf>
    <xf numFmtId="0" fontId="26" fillId="0" borderId="12" xfId="64" applyFont="1" applyBorder="1" applyAlignment="1">
      <alignment horizontal="left" vertical="center"/>
    </xf>
    <xf numFmtId="0" fontId="26" fillId="0" borderId="26" xfId="64" applyFont="1" applyBorder="1" applyAlignment="1">
      <alignment horizontal="left" vertical="center"/>
    </xf>
    <xf numFmtId="0" fontId="26" fillId="0" borderId="37" xfId="64" applyFont="1" applyFill="1" applyBorder="1" applyAlignment="1">
      <alignment vertical="center"/>
    </xf>
    <xf numFmtId="0" fontId="26" fillId="0" borderId="42" xfId="64" applyFont="1" applyFill="1" applyBorder="1" applyAlignment="1">
      <alignment vertical="center"/>
    </xf>
    <xf numFmtId="0" fontId="26" fillId="0" borderId="56" xfId="64" applyFont="1" applyFill="1" applyBorder="1" applyAlignment="1">
      <alignment vertical="center"/>
    </xf>
    <xf numFmtId="0" fontId="26" fillId="0" borderId="24" xfId="64" applyFont="1" applyBorder="1" applyAlignment="1">
      <alignment horizontal="left" vertical="center" wrapText="1"/>
    </xf>
    <xf numFmtId="0" fontId="26" fillId="0" borderId="19" xfId="64" applyFont="1" applyBorder="1" applyAlignment="1">
      <alignment horizontal="left" vertical="center" wrapText="1"/>
    </xf>
    <xf numFmtId="0" fontId="26" fillId="0" borderId="25" xfId="64" applyFont="1" applyBorder="1" applyAlignment="1">
      <alignment horizontal="left" vertical="center" wrapText="1"/>
    </xf>
    <xf numFmtId="0" fontId="26" fillId="0" borderId="11" xfId="64" applyFont="1" applyBorder="1" applyAlignment="1">
      <alignment horizontal="left" vertical="center" wrapText="1"/>
    </xf>
    <xf numFmtId="0" fontId="26" fillId="0" borderId="12" xfId="64" applyFont="1" applyBorder="1" applyAlignment="1">
      <alignment horizontal="left" vertical="center" wrapText="1"/>
    </xf>
    <xf numFmtId="0" fontId="26" fillId="0" borderId="26" xfId="64" applyFont="1" applyBorder="1" applyAlignment="1">
      <alignment horizontal="left" vertical="center" wrapText="1"/>
    </xf>
    <xf numFmtId="0" fontId="32" fillId="0" borderId="11" xfId="64" applyFont="1" applyBorder="1" applyAlignment="1">
      <alignment horizontal="left" vertical="center"/>
    </xf>
    <xf numFmtId="0" fontId="32" fillId="0" borderId="12" xfId="64" applyFont="1" applyBorder="1" applyAlignment="1">
      <alignment horizontal="left" vertical="center"/>
    </xf>
    <xf numFmtId="0" fontId="32" fillId="0" borderId="26" xfId="64" applyFont="1" applyBorder="1" applyAlignment="1">
      <alignment horizontal="left" vertical="center"/>
    </xf>
    <xf numFmtId="0" fontId="26" fillId="0" borderId="37" xfId="64" applyFont="1" applyBorder="1" applyAlignment="1">
      <alignment horizontal="left" vertical="center"/>
    </xf>
    <xf numFmtId="0" fontId="26" fillId="0" borderId="42" xfId="64" applyFont="1" applyBorder="1" applyAlignment="1">
      <alignment horizontal="left" vertical="center"/>
    </xf>
    <xf numFmtId="0" fontId="26" fillId="0" borderId="56" xfId="64" applyFont="1" applyBorder="1" applyAlignment="1">
      <alignment horizontal="left" vertical="center"/>
    </xf>
    <xf numFmtId="0" fontId="32" fillId="0" borderId="24" xfId="64" applyFont="1" applyBorder="1" applyAlignment="1">
      <alignment horizontal="left" vertical="center"/>
    </xf>
    <xf numFmtId="0" fontId="32" fillId="0" borderId="19" xfId="64" applyFont="1" applyBorder="1" applyAlignment="1">
      <alignment horizontal="left" vertical="center"/>
    </xf>
    <xf numFmtId="0" fontId="32" fillId="0" borderId="25" xfId="64" applyFont="1" applyBorder="1" applyAlignment="1">
      <alignment horizontal="left" vertical="center"/>
    </xf>
    <xf numFmtId="0" fontId="78" fillId="0" borderId="0" xfId="64" applyFont="1" applyAlignment="1">
      <alignment horizontal="left"/>
    </xf>
    <xf numFmtId="0" fontId="26" fillId="0" borderId="37" xfId="64" applyFont="1" applyBorder="1" applyAlignment="1">
      <alignment horizontal="left" vertical="center" wrapText="1"/>
    </xf>
    <xf numFmtId="0" fontId="26" fillId="0" borderId="42" xfId="64" applyFont="1" applyBorder="1" applyAlignment="1">
      <alignment horizontal="left" vertical="center" wrapText="1"/>
    </xf>
    <xf numFmtId="0" fontId="26" fillId="0" borderId="56" xfId="64" applyFont="1" applyBorder="1" applyAlignment="1">
      <alignment horizontal="left" vertical="center" wrapText="1"/>
    </xf>
    <xf numFmtId="0" fontId="32" fillId="0" borderId="37" xfId="64" applyFont="1" applyBorder="1" applyAlignment="1">
      <alignment horizontal="left" vertical="center"/>
    </xf>
    <xf numFmtId="0" fontId="32" fillId="0" borderId="42" xfId="64" applyFont="1" applyBorder="1" applyAlignment="1">
      <alignment horizontal="left" vertical="center"/>
    </xf>
    <xf numFmtId="0" fontId="32" fillId="0" borderId="56" xfId="64" applyFont="1" applyBorder="1" applyAlignment="1">
      <alignment horizontal="left" vertical="center"/>
    </xf>
    <xf numFmtId="0" fontId="32" fillId="0" borderId="24" xfId="64" applyFont="1" applyBorder="1" applyAlignment="1">
      <alignment horizontal="center" vertical="center"/>
    </xf>
    <xf numFmtId="0" fontId="32" fillId="0" borderId="19" xfId="64" applyFont="1" applyBorder="1" applyAlignment="1">
      <alignment horizontal="center" vertical="center"/>
    </xf>
    <xf numFmtId="0" fontId="32" fillId="0" borderId="69" xfId="64" applyFont="1" applyBorder="1" applyAlignment="1">
      <alignment horizontal="center" vertical="center"/>
    </xf>
    <xf numFmtId="0" fontId="32" fillId="0" borderId="37" xfId="64" applyFont="1" applyFill="1" applyBorder="1" applyAlignment="1">
      <alignment horizontal="center" vertical="center"/>
    </xf>
    <xf numFmtId="0" fontId="32" fillId="0" borderId="42" xfId="64" applyFont="1" applyFill="1" applyBorder="1" applyAlignment="1">
      <alignment horizontal="center" vertical="center"/>
    </xf>
    <xf numFmtId="0" fontId="32" fillId="0" borderId="36" xfId="64" applyFont="1" applyFill="1" applyBorder="1" applyAlignment="1">
      <alignment horizontal="center" vertical="center"/>
    </xf>
    <xf numFmtId="2" fontId="32" fillId="0" borderId="11" xfId="64" applyNumberFormat="1" applyFont="1" applyBorder="1" applyAlignment="1">
      <alignment horizontal="center" vertical="center"/>
    </xf>
    <xf numFmtId="2" fontId="32" fillId="0" borderId="12" xfId="64" applyNumberFormat="1" applyFont="1" applyBorder="1" applyAlignment="1">
      <alignment horizontal="center" vertical="center"/>
    </xf>
    <xf numFmtId="2" fontId="32" fillId="0" borderId="13" xfId="64" applyNumberFormat="1" applyFont="1" applyBorder="1" applyAlignment="1">
      <alignment horizontal="center" vertical="center"/>
    </xf>
    <xf numFmtId="171" fontId="26" fillId="0" borderId="11" xfId="64" applyNumberFormat="1" applyFont="1" applyBorder="1" applyAlignment="1">
      <alignment horizontal="center" vertical="center"/>
    </xf>
    <xf numFmtId="171" fontId="26" fillId="0" borderId="12" xfId="64" applyNumberFormat="1" applyFont="1" applyBorder="1" applyAlignment="1">
      <alignment horizontal="center" vertical="center"/>
    </xf>
    <xf numFmtId="171" fontId="26" fillId="0" borderId="13" xfId="64" applyNumberFormat="1" applyFont="1" applyBorder="1" applyAlignment="1">
      <alignment horizontal="center" vertical="center"/>
    </xf>
    <xf numFmtId="0" fontId="32" fillId="0" borderId="11" xfId="64" applyFont="1" applyBorder="1" applyAlignment="1">
      <alignment horizontal="center" vertical="center"/>
    </xf>
    <xf numFmtId="0" fontId="32" fillId="0" borderId="12" xfId="64" applyFont="1" applyBorder="1" applyAlignment="1">
      <alignment horizontal="center" vertical="center"/>
    </xf>
    <xf numFmtId="0" fontId="32" fillId="0" borderId="13" xfId="64" applyFont="1" applyBorder="1" applyAlignment="1">
      <alignment horizontal="center" vertical="center"/>
    </xf>
    <xf numFmtId="0" fontId="56" fillId="0" borderId="0" xfId="0" applyFont="1" applyFill="1" applyAlignment="1">
      <alignment horizontal="left" wrapText="1"/>
    </xf>
    <xf numFmtId="0" fontId="33" fillId="0" borderId="28" xfId="0" applyFont="1" applyFill="1" applyBorder="1" applyAlignment="1">
      <alignment horizontal="center" wrapText="1"/>
    </xf>
    <xf numFmtId="0" fontId="33" fillId="0" borderId="30" xfId="0" applyFont="1" applyFill="1" applyBorder="1" applyAlignment="1">
      <alignment horizontal="center" wrapText="1"/>
    </xf>
    <xf numFmtId="0" fontId="29" fillId="0" borderId="0" xfId="0" applyFont="1" applyAlignment="1">
      <alignment horizontal="center" vertical="center"/>
    </xf>
    <xf numFmtId="0" fontId="32" fillId="0" borderId="41" xfId="0" applyFont="1" applyFill="1" applyBorder="1" applyAlignment="1">
      <alignment horizontal="left" vertical="center"/>
    </xf>
    <xf numFmtId="0" fontId="32" fillId="0" borderId="42" xfId="0" applyFont="1" applyFill="1" applyBorder="1" applyAlignment="1">
      <alignment horizontal="left" vertical="center"/>
    </xf>
    <xf numFmtId="0" fontId="32" fillId="0" borderId="36" xfId="0" applyFont="1" applyFill="1" applyBorder="1" applyAlignment="1">
      <alignment horizontal="left" vertical="center"/>
    </xf>
    <xf numFmtId="0" fontId="37" fillId="0" borderId="0" xfId="0" applyFont="1" applyFill="1" applyAlignment="1">
      <alignment horizontal="left"/>
    </xf>
    <xf numFmtId="0" fontId="56" fillId="0" borderId="0" xfId="0" applyFont="1" applyFill="1" applyAlignment="1">
      <alignment horizontal="left" vertical="center" wrapText="1"/>
    </xf>
    <xf numFmtId="0" fontId="34" fillId="0" borderId="24" xfId="0" applyFont="1" applyFill="1" applyBorder="1" applyAlignment="1">
      <alignment horizontal="center" wrapText="1"/>
    </xf>
    <xf numFmtId="0" fontId="34" fillId="0" borderId="25" xfId="0" applyFont="1" applyFill="1" applyBorder="1" applyAlignment="1">
      <alignment horizontal="center" wrapText="1"/>
    </xf>
    <xf numFmtId="0" fontId="48" fillId="0" borderId="0" xfId="0" applyFont="1" applyAlignment="1">
      <alignment horizontal="left" vertical="top" wrapText="1"/>
    </xf>
    <xf numFmtId="0" fontId="34" fillId="0" borderId="27"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26" fillId="0" borderId="52" xfId="46" applyFont="1" applyBorder="1" applyAlignment="1">
      <alignment horizontal="left" vertical="center" wrapText="1"/>
    </xf>
    <xf numFmtId="0" fontId="26" fillId="0" borderId="51" xfId="46" applyFont="1" applyBorder="1" applyAlignment="1">
      <alignment horizontal="left" vertical="center" wrapText="1"/>
    </xf>
  </cellXfs>
  <cellStyles count="66">
    <cellStyle name="args.style" xfId="14" xr:uid="{00000000-0005-0000-0000-000000000000}"/>
    <cellStyle name="bill" xfId="15" xr:uid="{00000000-0005-0000-0000-000001000000}"/>
    <cellStyle name="Calc Currency (0)" xfId="16" xr:uid="{00000000-0005-0000-0000-000002000000}"/>
    <cellStyle name="Comma" xfId="11" builtinId="3"/>
    <cellStyle name="Comma 10" xfId="41" xr:uid="{00000000-0005-0000-0000-000004000000}"/>
    <cellStyle name="Comma 2" xfId="3" xr:uid="{00000000-0005-0000-0000-000005000000}"/>
    <cellStyle name="Comma 3" xfId="2" xr:uid="{00000000-0005-0000-0000-000006000000}"/>
    <cellStyle name="Comma 4" xfId="56" xr:uid="{383E742B-8A90-46E7-835C-E8FEB61AF809}"/>
    <cellStyle name="Comma0" xfId="17" xr:uid="{00000000-0005-0000-0000-000007000000}"/>
    <cellStyle name="Copied" xfId="18" xr:uid="{00000000-0005-0000-0000-000008000000}"/>
    <cellStyle name="Currency0" xfId="19" xr:uid="{00000000-0005-0000-0000-000009000000}"/>
    <cellStyle name="Date" xfId="20" xr:uid="{00000000-0005-0000-0000-00000A000000}"/>
    <cellStyle name="Entered" xfId="21" xr:uid="{00000000-0005-0000-0000-00000B000000}"/>
    <cellStyle name="Fixed" xfId="22" xr:uid="{00000000-0005-0000-0000-00000C000000}"/>
    <cellStyle name="Grey" xfId="23" xr:uid="{00000000-0005-0000-0000-00000D000000}"/>
    <cellStyle name="Header1" xfId="24" xr:uid="{00000000-0005-0000-0000-00000E000000}"/>
    <cellStyle name="Header2" xfId="25" xr:uid="{00000000-0005-0000-0000-00000F000000}"/>
    <cellStyle name="HEADINGS" xfId="26" xr:uid="{00000000-0005-0000-0000-000010000000}"/>
    <cellStyle name="HEADINGSTOP" xfId="27" xr:uid="{00000000-0005-0000-0000-000011000000}"/>
    <cellStyle name="Input [yellow]" xfId="28" xr:uid="{00000000-0005-0000-0000-000012000000}"/>
    <cellStyle name="ncform" xfId="29" xr:uid="{00000000-0005-0000-0000-000013000000}"/>
    <cellStyle name="Normal" xfId="0" builtinId="0"/>
    <cellStyle name="Normal - Style1" xfId="30" xr:uid="{00000000-0005-0000-0000-000015000000}"/>
    <cellStyle name="Normal 10 6" xfId="45" xr:uid="{00000000-0005-0000-0000-000016000000}"/>
    <cellStyle name="Normal 14" xfId="42" xr:uid="{00000000-0005-0000-0000-000017000000}"/>
    <cellStyle name="Normal 2" xfId="4" xr:uid="{00000000-0005-0000-0000-000018000000}"/>
    <cellStyle name="Normal 2 2" xfId="44" xr:uid="{00000000-0005-0000-0000-000019000000}"/>
    <cellStyle name="Normal 2 2 2" xfId="48" xr:uid="{00000000-0005-0000-0000-00001A000000}"/>
    <cellStyle name="Normal 2 3" xfId="54" xr:uid="{73B72936-2C79-455F-90FA-43DFC4E47766}"/>
    <cellStyle name="Normal 2 5" xfId="61" xr:uid="{66EAB60C-26A7-4B39-A706-C5491F8A4C03}"/>
    <cellStyle name="Normal 20" xfId="46" xr:uid="{00000000-0005-0000-0000-00001B000000}"/>
    <cellStyle name="Normal 20 2" xfId="53" xr:uid="{78E56C3B-1E8E-4750-B858-17E372BE1F4C}"/>
    <cellStyle name="Normal 22" xfId="47" xr:uid="{00000000-0005-0000-0000-00001C000000}"/>
    <cellStyle name="Normal 22 2" xfId="58" xr:uid="{543AB999-2450-49B7-8738-943B72980EAD}"/>
    <cellStyle name="Normal 22 7" xfId="63" xr:uid="{EC0BB7F8-ADA6-473C-AD06-1771A2A478E9}"/>
    <cellStyle name="Normal 23" xfId="52" xr:uid="{F7C34E1F-0D01-4AEF-BE51-EA16552D0215}"/>
    <cellStyle name="Normal 23 2" xfId="65" xr:uid="{1E68F8F5-4BB5-4630-89FF-BB1696A02A40}"/>
    <cellStyle name="Normal 24" xfId="51" xr:uid="{C875C047-6D6F-4A65-9D7A-D35651239391}"/>
    <cellStyle name="Normal 27" xfId="62" xr:uid="{A8AB9B0D-C0C9-4292-8CEB-CAE744C940E7}"/>
    <cellStyle name="Normal 3" xfId="12" xr:uid="{00000000-0005-0000-0000-00001D000000}"/>
    <cellStyle name="Normal 3 2" xfId="57" xr:uid="{E50CF4C3-53AF-415F-9D7E-EA678B42A1A2}"/>
    <cellStyle name="Normal 3 3" xfId="59" xr:uid="{4F6165C1-3963-4326-985B-F38B8BE4B2AF}"/>
    <cellStyle name="Normal 34" xfId="64" xr:uid="{C92EE1BB-0A1F-4851-B36E-4245ABA9CA89}"/>
    <cellStyle name="Normal 4" xfId="5" xr:uid="{00000000-0005-0000-0000-00001E000000}"/>
    <cellStyle name="Normal 5" xfId="6" xr:uid="{00000000-0005-0000-0000-00001F000000}"/>
    <cellStyle name="Normal 6" xfId="60" xr:uid="{DD7BC378-ED99-481A-8481-027A0EC30EA2}"/>
    <cellStyle name="Normal 8" xfId="39" xr:uid="{00000000-0005-0000-0000-000020000000}"/>
    <cellStyle name="Normal 8 2" xfId="7" xr:uid="{00000000-0005-0000-0000-000021000000}"/>
    <cellStyle name="Normal_Ash Grove Emission Calcs 10182005" xfId="49" xr:uid="{00000000-0005-0000-0000-000022000000}"/>
    <cellStyle name="Normal_Calcsdfp" xfId="8" xr:uid="{00000000-0005-0000-0000-000023000000}"/>
    <cellStyle name="Normal_ET_Eemis_05_BDA" xfId="50" xr:uid="{00000000-0005-0000-0000-000024000000}"/>
    <cellStyle name="Normal_HAP emissions" xfId="9" xr:uid="{00000000-0005-0000-0000-000025000000}"/>
    <cellStyle name="per.style" xfId="31" xr:uid="{00000000-0005-0000-0000-000026000000}"/>
    <cellStyle name="Percent" xfId="1" builtinId="5"/>
    <cellStyle name="Percent [2]" xfId="32" xr:uid="{00000000-0005-0000-0000-000028000000}"/>
    <cellStyle name="Percent 10" xfId="43" xr:uid="{00000000-0005-0000-0000-000029000000}"/>
    <cellStyle name="Percent 2" xfId="10" xr:uid="{00000000-0005-0000-0000-00002A000000}"/>
    <cellStyle name="Percent 3" xfId="13" xr:uid="{00000000-0005-0000-0000-00002B000000}"/>
    <cellStyle name="Percent 4" xfId="40" xr:uid="{00000000-0005-0000-0000-00002C000000}"/>
    <cellStyle name="Percent 5" xfId="55" xr:uid="{665E2437-FB58-4016-8365-6AAA21812833}"/>
    <cellStyle name="regstoresfromspecstores" xfId="33" xr:uid="{00000000-0005-0000-0000-00002D000000}"/>
    <cellStyle name="RevList" xfId="34" xr:uid="{00000000-0005-0000-0000-00002E000000}"/>
    <cellStyle name="Shade1" xfId="35" xr:uid="{00000000-0005-0000-0000-00002F000000}"/>
    <cellStyle name="SHADEDSTORES" xfId="36" xr:uid="{00000000-0005-0000-0000-000030000000}"/>
    <cellStyle name="specstores" xfId="37" xr:uid="{00000000-0005-0000-0000-000031000000}"/>
    <cellStyle name="Subtotal" xfId="38" xr:uid="{00000000-0005-0000-0000-000032000000}"/>
  </cellStyles>
  <dxfs count="2">
    <dxf>
      <fill>
        <patternFill>
          <bgColor rgb="FFFF00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19</xdr:row>
      <xdr:rowOff>60961</xdr:rowOff>
    </xdr:from>
    <xdr:to>
      <xdr:col>2</xdr:col>
      <xdr:colOff>600075</xdr:colOff>
      <xdr:row>22</xdr:row>
      <xdr:rowOff>58638</xdr:rowOff>
    </xdr:to>
    <xdr:pic>
      <xdr:nvPicPr>
        <xdr:cNvPr id="2" name="Picture 1">
          <a:extLst>
            <a:ext uri="{FF2B5EF4-FFF2-40B4-BE49-F238E27FC236}">
              <a16:creationId xmlns:a16="http://schemas.microsoft.com/office/drawing/2014/main" id="{B517218F-F5B8-4DFE-9C21-B6826DCEA5B2}"/>
            </a:ext>
          </a:extLst>
        </xdr:cNvPr>
        <xdr:cNvPicPr>
          <a:picLocks noChangeAspect="1"/>
        </xdr:cNvPicPr>
      </xdr:nvPicPr>
      <xdr:blipFill>
        <a:blip xmlns:r="http://schemas.openxmlformats.org/officeDocument/2006/relationships" r:embed="rId1"/>
        <a:stretch>
          <a:fillRect/>
        </a:stretch>
      </xdr:blipFill>
      <xdr:spPr>
        <a:xfrm>
          <a:off x="516255" y="4918711"/>
          <a:ext cx="1312545" cy="540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13</xdr:row>
      <xdr:rowOff>104775</xdr:rowOff>
    </xdr:from>
    <xdr:to>
      <xdr:col>2</xdr:col>
      <xdr:colOff>1509181</xdr:colOff>
      <xdr:row>15</xdr:row>
      <xdr:rowOff>74479</xdr:rowOff>
    </xdr:to>
    <xdr:pic>
      <xdr:nvPicPr>
        <xdr:cNvPr id="2" name="Picture 6">
          <a:extLst>
            <a:ext uri="{FF2B5EF4-FFF2-40B4-BE49-F238E27FC236}">
              <a16:creationId xmlns:a16="http://schemas.microsoft.com/office/drawing/2014/main" id="{FF5565CB-DE5A-4FD3-8DAD-B563A6F3C9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3257550"/>
          <a:ext cx="2128306" cy="350704"/>
        </a:xfrm>
        <a:prstGeom prst="rect">
          <a:avLst/>
        </a:prstGeom>
        <a:solidFill>
          <a:srgbClr val="FFFFFF"/>
        </a:solidFill>
        <a:ln w="9525">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tabSelected="1" workbookViewId="0">
      <selection activeCell="B1" sqref="B1:M1"/>
    </sheetView>
  </sheetViews>
  <sheetFormatPr defaultColWidth="8.88671875" defaultRowHeight="11.4"/>
  <cols>
    <col min="1" max="1" width="2.88671875" style="19" customWidth="1"/>
    <col min="2" max="2" width="28" style="19" customWidth="1"/>
    <col min="3" max="3" width="35.88671875" style="19" customWidth="1"/>
    <col min="4" max="4" width="25.5546875" style="19" customWidth="1"/>
    <col min="5" max="5" width="22.109375" style="19" customWidth="1"/>
    <col min="6" max="6" width="10.33203125" style="19" customWidth="1"/>
    <col min="7" max="9" width="9.6640625" style="19" customWidth="1"/>
    <col min="10" max="10" width="8.88671875" style="19" customWidth="1"/>
    <col min="11" max="11" width="9.33203125" style="19" customWidth="1"/>
    <col min="12" max="12" width="10.88671875" style="19" customWidth="1"/>
    <col min="13" max="13" width="10.6640625" style="19" customWidth="1"/>
    <col min="14" max="14" width="4.44140625" style="19" customWidth="1"/>
    <col min="15" max="16384" width="8.88671875" style="19"/>
  </cols>
  <sheetData>
    <row r="1" spans="1:15">
      <c r="A1" s="32"/>
      <c r="B1" s="1380" t="s">
        <v>450</v>
      </c>
      <c r="C1" s="1380"/>
      <c r="D1" s="1380"/>
      <c r="E1" s="1380"/>
      <c r="F1" s="1380"/>
      <c r="G1" s="1380"/>
      <c r="H1" s="1380"/>
      <c r="I1" s="1380"/>
      <c r="J1" s="1380"/>
      <c r="K1" s="1380"/>
      <c r="L1" s="1380"/>
      <c r="M1" s="1380"/>
    </row>
    <row r="2" spans="1:15">
      <c r="A2" s="32"/>
      <c r="B2" s="1380" t="s">
        <v>465</v>
      </c>
      <c r="C2" s="1380"/>
      <c r="D2" s="1380"/>
      <c r="E2" s="1380"/>
      <c r="F2" s="1380"/>
      <c r="G2" s="1380"/>
      <c r="H2" s="1380"/>
      <c r="I2" s="1380"/>
      <c r="J2" s="1380"/>
      <c r="K2" s="1380"/>
      <c r="L2" s="1380"/>
      <c r="M2" s="1380"/>
    </row>
    <row r="3" spans="1:15">
      <c r="B3" s="1380" t="s">
        <v>286</v>
      </c>
      <c r="C3" s="1380"/>
      <c r="D3" s="1380"/>
      <c r="E3" s="1380"/>
      <c r="F3" s="1380"/>
      <c r="G3" s="1380"/>
      <c r="H3" s="1380"/>
      <c r="I3" s="1380"/>
      <c r="J3" s="1380"/>
      <c r="K3" s="1380"/>
      <c r="L3" s="1380"/>
      <c r="M3" s="1380"/>
    </row>
    <row r="4" spans="1:15" ht="12" thickBot="1"/>
    <row r="5" spans="1:15" ht="24" customHeight="1" thickTop="1">
      <c r="B5" s="1383" t="s">
        <v>84</v>
      </c>
      <c r="C5" s="1381" t="s">
        <v>183</v>
      </c>
      <c r="D5" s="1381" t="s">
        <v>184</v>
      </c>
      <c r="E5" s="1381" t="s">
        <v>185</v>
      </c>
      <c r="F5" s="1016" t="s">
        <v>2</v>
      </c>
      <c r="G5" s="1017" t="s">
        <v>6</v>
      </c>
      <c r="H5" s="1018" t="s">
        <v>7</v>
      </c>
      <c r="I5" s="1016" t="s">
        <v>555</v>
      </c>
      <c r="J5" s="1018" t="s">
        <v>556</v>
      </c>
      <c r="K5" s="1019" t="s">
        <v>557</v>
      </c>
      <c r="L5" s="1019" t="s">
        <v>75</v>
      </c>
      <c r="M5" s="1020" t="s">
        <v>432</v>
      </c>
      <c r="N5" s="371"/>
      <c r="O5" s="538"/>
    </row>
    <row r="6" spans="1:15" ht="15.75" customHeight="1" thickBot="1">
      <c r="B6" s="1384"/>
      <c r="C6" s="1382"/>
      <c r="D6" s="1382"/>
      <c r="E6" s="1382"/>
      <c r="F6" s="1021" t="s">
        <v>8</v>
      </c>
      <c r="G6" s="1022" t="s">
        <v>8</v>
      </c>
      <c r="H6" s="1023" t="s">
        <v>8</v>
      </c>
      <c r="I6" s="1021" t="s">
        <v>8</v>
      </c>
      <c r="J6" s="1023" t="s">
        <v>8</v>
      </c>
      <c r="K6" s="1024" t="s">
        <v>8</v>
      </c>
      <c r="L6" s="1024" t="s">
        <v>8</v>
      </c>
      <c r="M6" s="1025" t="s">
        <v>8</v>
      </c>
      <c r="N6" s="371"/>
      <c r="O6" s="538"/>
    </row>
    <row r="7" spans="1:15" ht="15" customHeight="1" thickTop="1">
      <c r="B7" s="576" t="s">
        <v>508</v>
      </c>
      <c r="C7" s="291" t="s">
        <v>24</v>
      </c>
      <c r="D7" s="1378" t="s">
        <v>509</v>
      </c>
      <c r="E7" s="1378" t="s">
        <v>454</v>
      </c>
      <c r="F7" s="1385">
        <f>'3a-RTO - Dryer GHM DHM'!D20</f>
        <v>138.83322229169383</v>
      </c>
      <c r="G7" s="1385">
        <f>'3a-RTO - Dryer GHM DHM'!D21</f>
        <v>132.22194196061636</v>
      </c>
      <c r="H7" s="1368">
        <f>'3a-RTO - Dryer GHM DHM'!D24</f>
        <v>30.173363890941445</v>
      </c>
      <c r="I7" s="1368">
        <f>'3a-RTO - Dryer GHM DHM'!D25</f>
        <v>30.173363890941445</v>
      </c>
      <c r="J7" s="1368">
        <f>'3a-RTO - Dryer GHM DHM'!D26</f>
        <v>30.173363890941445</v>
      </c>
      <c r="K7" s="1368">
        <f>'3a-RTO - Dryer GHM DHM'!D22</f>
        <v>19.195350000000001</v>
      </c>
      <c r="L7" s="1368">
        <f>'3a-RTO - Dryer GHM DHM'!D23</f>
        <v>72.328232802042209</v>
      </c>
      <c r="M7" s="1371">
        <f>'3a-RTO - Dryer GHM DHM'!D27</f>
        <v>214500</v>
      </c>
      <c r="N7" s="371"/>
      <c r="O7" s="540"/>
    </row>
    <row r="8" spans="1:15" ht="15" customHeight="1">
      <c r="B8" s="577" t="s">
        <v>568</v>
      </c>
      <c r="C8" s="578" t="s">
        <v>598</v>
      </c>
      <c r="D8" s="1379"/>
      <c r="E8" s="1379"/>
      <c r="F8" s="1386"/>
      <c r="G8" s="1386"/>
      <c r="H8" s="1369"/>
      <c r="I8" s="1369"/>
      <c r="J8" s="1369"/>
      <c r="K8" s="1369"/>
      <c r="L8" s="1369"/>
      <c r="M8" s="1357"/>
      <c r="N8" s="371"/>
      <c r="O8" s="540"/>
    </row>
    <row r="9" spans="1:15" ht="27.75" customHeight="1">
      <c r="B9" s="122" t="s">
        <v>569</v>
      </c>
      <c r="C9" s="472" t="s">
        <v>662</v>
      </c>
      <c r="D9" s="579" t="s">
        <v>614</v>
      </c>
      <c r="E9" s="472" t="s">
        <v>607</v>
      </c>
      <c r="F9" s="1387"/>
      <c r="G9" s="1387"/>
      <c r="H9" s="1370"/>
      <c r="I9" s="1370"/>
      <c r="J9" s="1370"/>
      <c r="K9" s="1370"/>
      <c r="L9" s="1370"/>
      <c r="M9" s="1358"/>
      <c r="N9" s="371"/>
      <c r="O9" s="540"/>
    </row>
    <row r="10" spans="1:15" ht="15" customHeight="1">
      <c r="B10" s="577" t="s">
        <v>524</v>
      </c>
      <c r="C10" s="581" t="s">
        <v>525</v>
      </c>
      <c r="D10" s="359" t="s">
        <v>98</v>
      </c>
      <c r="E10" s="359" t="s">
        <v>98</v>
      </c>
      <c r="F10" s="142">
        <f>'3b-Dryer (Furnace Bypass)'!F13+'3c-Dryer (Furnace Idle)'!F14</f>
        <v>2.644425</v>
      </c>
      <c r="G10" s="142">
        <f>'3b-Dryer (Furnace Bypass)'!F14+'3c-Dryer (Furnace Idle)'!F15</f>
        <v>0.96962249999999994</v>
      </c>
      <c r="H10" s="142">
        <f>'3b-Dryer (Furnace Bypass)'!F17+'3c-Dryer (Furnace Idle)'!F18</f>
        <v>2.5430553750000002</v>
      </c>
      <c r="I10" s="142">
        <f>'3b-Dryer (Furnace Bypass)'!F18+'3c-Dryer (Furnace Idle)'!F19</f>
        <v>2.2786128749999999</v>
      </c>
      <c r="J10" s="142">
        <f>'3b-Dryer (Furnace Bypass)'!F19+'3c-Dryer (Furnace Idle)'!F20</f>
        <v>1.970096625</v>
      </c>
      <c r="K10" s="1060">
        <f>'3b-Dryer (Furnace Bypass)'!F15+'3c-Dryer (Furnace Idle)'!F16</f>
        <v>0.110184375</v>
      </c>
      <c r="L10" s="221">
        <f>'3b-Dryer (Furnace Bypass)'!F16+'3c-Dryer (Furnace Idle)'!F17</f>
        <v>7.4925375000000002E-2</v>
      </c>
      <c r="M10" s="798">
        <f>'3b-Dryer (Furnace Bypass)'!F23+'3c-Dryer (Furnace Idle)'!F24</f>
        <v>923.58880768492793</v>
      </c>
      <c r="N10" s="371"/>
      <c r="O10" s="540"/>
    </row>
    <row r="11" spans="1:15" ht="15" customHeight="1">
      <c r="B11" s="582" t="s">
        <v>467</v>
      </c>
      <c r="C11" s="583" t="s">
        <v>468</v>
      </c>
      <c r="D11" s="359" t="s">
        <v>98</v>
      </c>
      <c r="E11" s="359" t="s">
        <v>98</v>
      </c>
      <c r="F11" s="142">
        <f>'4-Dryer Duct Burners'!G13</f>
        <v>1.8035294117647058</v>
      </c>
      <c r="G11" s="142">
        <f>'4-Dryer Duct Burners'!G14</f>
        <v>1.0735294117647058</v>
      </c>
      <c r="H11" s="142">
        <f>'4-Dryer Duct Burners'!G19</f>
        <v>0.16317647058823531</v>
      </c>
      <c r="I11" s="142">
        <f>'4-Dryer Duct Burners'!G19</f>
        <v>0.16317647058823531</v>
      </c>
      <c r="J11" s="142">
        <f>'4-Dryer Duct Burners'!G19</f>
        <v>0.16317647058823531</v>
      </c>
      <c r="K11" s="221">
        <f>'4-Dryer Duct Burners'!G15</f>
        <v>1.2882352941176472E-2</v>
      </c>
      <c r="L11" s="142">
        <f>'4-Dryer Duct Burners'!G16</f>
        <v>0.11808823529411765</v>
      </c>
      <c r="M11" s="798">
        <f>'4-Dryer Duct Burners'!G23</f>
        <v>2581.8000176470587</v>
      </c>
      <c r="N11" s="371"/>
      <c r="O11" s="540"/>
    </row>
    <row r="12" spans="1:15" ht="24.75" customHeight="1">
      <c r="B12" s="122" t="s">
        <v>597</v>
      </c>
      <c r="C12" s="472" t="s">
        <v>570</v>
      </c>
      <c r="D12" s="472" t="s">
        <v>596</v>
      </c>
      <c r="E12" s="472" t="s">
        <v>573</v>
      </c>
      <c r="F12" s="1375">
        <f>'5-RCO - PC-PM-DSHM'!D17</f>
        <v>22.389579499232063</v>
      </c>
      <c r="G12" s="1372">
        <f>'5-RCO - PC-PM-DSHM'!D18</f>
        <v>6.5844688184910183</v>
      </c>
      <c r="H12" s="1365">
        <f>'5-RCO - PC-PM-DSHM'!D21</f>
        <v>4.9780278531449387</v>
      </c>
      <c r="I12" s="1365">
        <f>'5-RCO - PC-PM-DSHM'!D22</f>
        <v>4.9780278531449387</v>
      </c>
      <c r="J12" s="1365">
        <f>'5-RCO - PC-PM-DSHM'!D23</f>
        <v>4.9780278531449387</v>
      </c>
      <c r="K12" s="1362">
        <f>'5-RCO - PC-PM-DSHM'!D19</f>
        <v>5.1014117647058828E-2</v>
      </c>
      <c r="L12" s="1359">
        <f>'5-RCO - PC-PM-DSHM'!D20</f>
        <v>37.531204327492894</v>
      </c>
      <c r="M12" s="1356">
        <f>'5-RCO - PC-PM-DSHM'!D24</f>
        <v>10263.453808235294</v>
      </c>
      <c r="N12" s="538"/>
      <c r="O12" s="538"/>
    </row>
    <row r="13" spans="1:15" ht="22.5" customHeight="1">
      <c r="B13" s="122" t="s">
        <v>511</v>
      </c>
      <c r="C13" s="472" t="s">
        <v>512</v>
      </c>
      <c r="D13" s="472" t="s">
        <v>550</v>
      </c>
      <c r="E13" s="472" t="s">
        <v>549</v>
      </c>
      <c r="F13" s="1376"/>
      <c r="G13" s="1373"/>
      <c r="H13" s="1366"/>
      <c r="I13" s="1366"/>
      <c r="J13" s="1366"/>
      <c r="K13" s="1363"/>
      <c r="L13" s="1360"/>
      <c r="M13" s="1357"/>
      <c r="N13" s="538"/>
      <c r="O13" s="538"/>
    </row>
    <row r="14" spans="1:15" ht="22.5" customHeight="1">
      <c r="B14" s="122" t="s">
        <v>516</v>
      </c>
      <c r="C14" s="472" t="s">
        <v>453</v>
      </c>
      <c r="D14" s="472" t="s">
        <v>550</v>
      </c>
      <c r="E14" s="580" t="s">
        <v>549</v>
      </c>
      <c r="F14" s="1377"/>
      <c r="G14" s="1374"/>
      <c r="H14" s="1367"/>
      <c r="I14" s="1367"/>
      <c r="J14" s="1367"/>
      <c r="K14" s="1364"/>
      <c r="L14" s="1361"/>
      <c r="M14" s="1358"/>
      <c r="N14" s="538"/>
      <c r="O14" s="538"/>
    </row>
    <row r="15" spans="1:15" ht="15" customHeight="1">
      <c r="B15" s="582" t="s">
        <v>85</v>
      </c>
      <c r="C15" s="65" t="s">
        <v>83</v>
      </c>
      <c r="D15" s="65" t="s">
        <v>276</v>
      </c>
      <c r="E15" s="316" t="s">
        <v>187</v>
      </c>
      <c r="F15" s="542" t="s">
        <v>98</v>
      </c>
      <c r="G15" s="541" t="s">
        <v>98</v>
      </c>
      <c r="H15" s="120">
        <f>'8 - Baghouses and Cyclones'!L8</f>
        <v>0.82068685714285705</v>
      </c>
      <c r="I15" s="120">
        <f>'8 - Baghouses and Cyclones'!N8</f>
        <v>0.82068685714285705</v>
      </c>
      <c r="J15" s="120">
        <f>'8 - Baghouses and Cyclones'!P8</f>
        <v>0.82068685714285705</v>
      </c>
      <c r="K15" s="541" t="s">
        <v>98</v>
      </c>
      <c r="L15" s="542" t="s">
        <v>98</v>
      </c>
      <c r="M15" s="543" t="s">
        <v>98</v>
      </c>
      <c r="N15" s="538"/>
      <c r="O15" s="538"/>
    </row>
    <row r="16" spans="1:15" ht="37.5" customHeight="1">
      <c r="B16" s="122" t="s">
        <v>460</v>
      </c>
      <c r="C16" s="472" t="s">
        <v>574</v>
      </c>
      <c r="D16" s="65" t="s">
        <v>186</v>
      </c>
      <c r="E16" s="316" t="s">
        <v>187</v>
      </c>
      <c r="F16" s="542" t="s">
        <v>98</v>
      </c>
      <c r="G16" s="541" t="s">
        <v>98</v>
      </c>
      <c r="H16" s="121">
        <f>'8 - Baghouses and Cyclones'!L10</f>
        <v>13.327714285714285</v>
      </c>
      <c r="I16" s="121">
        <f>'8 - Baghouses and Cyclones'!N10</f>
        <v>12.128220000000001</v>
      </c>
      <c r="J16" s="120">
        <f>'8 - Baghouses and Cyclones'!P10</f>
        <v>5.331085714285714</v>
      </c>
      <c r="K16" s="541" t="s">
        <v>98</v>
      </c>
      <c r="L16" s="542" t="s">
        <v>98</v>
      </c>
      <c r="M16" s="543" t="s">
        <v>98</v>
      </c>
      <c r="N16" s="538"/>
      <c r="O16" s="538"/>
    </row>
    <row r="17" spans="2:15" ht="15" customHeight="1">
      <c r="B17" s="582" t="s">
        <v>278</v>
      </c>
      <c r="C17" s="65" t="s">
        <v>279</v>
      </c>
      <c r="D17" s="65" t="s">
        <v>280</v>
      </c>
      <c r="E17" s="316" t="s">
        <v>187</v>
      </c>
      <c r="F17" s="542" t="s">
        <v>98</v>
      </c>
      <c r="G17" s="541" t="s">
        <v>98</v>
      </c>
      <c r="H17" s="120">
        <f>'8 - Baghouses and Cyclones'!L9</f>
        <v>1.3515428571428569</v>
      </c>
      <c r="I17" s="120">
        <f>'8 - Baghouses and Cyclones'!N9</f>
        <v>1.3515428571428569</v>
      </c>
      <c r="J17" s="120">
        <f>'8 - Baghouses and Cyclones'!P9</f>
        <v>1.3515428571428569</v>
      </c>
      <c r="K17" s="541" t="s">
        <v>98</v>
      </c>
      <c r="L17" s="542" t="s">
        <v>98</v>
      </c>
      <c r="M17" s="543" t="s">
        <v>98</v>
      </c>
      <c r="N17" s="538"/>
      <c r="O17" s="538"/>
    </row>
    <row r="18" spans="2:15" ht="15" customHeight="1">
      <c r="B18" s="122" t="s">
        <v>195</v>
      </c>
      <c r="C18" s="472" t="s">
        <v>275</v>
      </c>
      <c r="D18" s="584" t="s">
        <v>98</v>
      </c>
      <c r="E18" s="585" t="s">
        <v>98</v>
      </c>
      <c r="F18" s="542" t="s">
        <v>98</v>
      </c>
      <c r="G18" s="541" t="s">
        <v>98</v>
      </c>
      <c r="H18" s="799">
        <f>SUM('9 - Material Handling'!N11:N13)</f>
        <v>7.1722178036826928E-2</v>
      </c>
      <c r="I18" s="799">
        <f>SUM('9 - Material Handling'!P11:P13)</f>
        <v>3.3922651774174903E-2</v>
      </c>
      <c r="J18" s="800">
        <f>SUM('9 - Material Handling'!R11:R13)</f>
        <v>5.136858697232201E-3</v>
      </c>
      <c r="K18" s="541" t="s">
        <v>98</v>
      </c>
      <c r="L18" s="801">
        <f>'7-Dried Wood Handling'!$E$17</f>
        <v>14.441161804543631</v>
      </c>
      <c r="M18" s="543" t="s">
        <v>98</v>
      </c>
      <c r="N18" s="538"/>
      <c r="O18" s="538"/>
    </row>
    <row r="19" spans="2:15" ht="15" customHeight="1">
      <c r="B19" s="122" t="s">
        <v>438</v>
      </c>
      <c r="C19" s="472" t="s">
        <v>439</v>
      </c>
      <c r="D19" s="584" t="s">
        <v>98</v>
      </c>
      <c r="E19" s="585" t="s">
        <v>98</v>
      </c>
      <c r="F19" s="542" t="s">
        <v>98</v>
      </c>
      <c r="G19" s="541" t="s">
        <v>98</v>
      </c>
      <c r="H19" s="227">
        <f>'9 - Material Handling'!N14</f>
        <v>2.6457936091624196E-4</v>
      </c>
      <c r="I19" s="227">
        <f>'9 - Material Handling'!P14</f>
        <v>1.2513888691984416E-4</v>
      </c>
      <c r="J19" s="227">
        <f>'9 - Material Handling'!R14</f>
        <v>1.8949602876433543E-5</v>
      </c>
      <c r="K19" s="541" t="s">
        <v>98</v>
      </c>
      <c r="L19" s="542" t="s">
        <v>98</v>
      </c>
      <c r="M19" s="543" t="s">
        <v>98</v>
      </c>
      <c r="N19" s="538"/>
      <c r="O19" s="538"/>
    </row>
    <row r="20" spans="2:15" ht="15" customHeight="1">
      <c r="B20" s="582" t="s">
        <v>220</v>
      </c>
      <c r="C20" s="65" t="s">
        <v>221</v>
      </c>
      <c r="D20" s="584" t="s">
        <v>98</v>
      </c>
      <c r="E20" s="585" t="s">
        <v>98</v>
      </c>
      <c r="F20" s="542" t="s">
        <v>98</v>
      </c>
      <c r="G20" s="541" t="s">
        <v>98</v>
      </c>
      <c r="H20" s="120">
        <f>SUM('9 - Material Handling'!N7:N10)+'10 - Storage Piles'!M11</f>
        <v>0.27395727394448505</v>
      </c>
      <c r="I20" s="120">
        <f>SUM('9 - Material Handling'!P7:P10)+'10 - Storage Piles'!O11</f>
        <v>0.12985109302938683</v>
      </c>
      <c r="J20" s="123">
        <f>SUM('9 - Material Handling'!R7:R10)+'10 - Storage Piles'!Q11</f>
        <v>1.9655852552979414E-2</v>
      </c>
      <c r="K20" s="541" t="s">
        <v>98</v>
      </c>
      <c r="L20" s="542">
        <f>'10 - Storage Piles'!S11</f>
        <v>6.1967672242748018</v>
      </c>
      <c r="M20" s="543" t="s">
        <v>98</v>
      </c>
      <c r="N20" s="538"/>
      <c r="O20" s="538"/>
    </row>
    <row r="21" spans="2:15" ht="15" customHeight="1">
      <c r="B21" s="582" t="s">
        <v>532</v>
      </c>
      <c r="C21" s="65" t="s">
        <v>531</v>
      </c>
      <c r="D21" s="584" t="s">
        <v>98</v>
      </c>
      <c r="E21" s="585" t="s">
        <v>98</v>
      </c>
      <c r="F21" s="584" t="s">
        <v>98</v>
      </c>
      <c r="G21" s="584" t="s">
        <v>98</v>
      </c>
      <c r="H21" s="584" t="s">
        <v>98</v>
      </c>
      <c r="I21" s="584" t="s">
        <v>98</v>
      </c>
      <c r="J21" s="584" t="s">
        <v>98</v>
      </c>
      <c r="K21" s="584" t="s">
        <v>98</v>
      </c>
      <c r="L21" s="584" t="s">
        <v>98</v>
      </c>
      <c r="M21" s="543" t="s">
        <v>98</v>
      </c>
      <c r="N21" s="538"/>
      <c r="O21" s="538"/>
    </row>
    <row r="22" spans="2:15" ht="15" customHeight="1">
      <c r="B22" s="582" t="s">
        <v>447</v>
      </c>
      <c r="C22" s="65" t="s">
        <v>599</v>
      </c>
      <c r="D22" s="584" t="s">
        <v>98</v>
      </c>
      <c r="E22" s="585" t="s">
        <v>98</v>
      </c>
      <c r="F22" s="542" t="s">
        <v>98</v>
      </c>
      <c r="G22" s="541" t="s">
        <v>98</v>
      </c>
      <c r="H22" s="123">
        <f>SUM('9 - Material Handling'!N15:N16)</f>
        <v>2.4390892912087622E-2</v>
      </c>
      <c r="I22" s="123">
        <f>SUM('9 - Material Handling'!P15:P16)</f>
        <v>1.1536233134095497E-2</v>
      </c>
      <c r="J22" s="233">
        <f>SUM('9 - Material Handling'!R15:R16)</f>
        <v>1.7469153031630326E-3</v>
      </c>
      <c r="K22" s="541" t="s">
        <v>98</v>
      </c>
      <c r="L22" s="541" t="s">
        <v>98</v>
      </c>
      <c r="M22" s="678" t="s">
        <v>98</v>
      </c>
      <c r="N22" s="538"/>
      <c r="O22" s="538"/>
    </row>
    <row r="23" spans="2:15" ht="15" customHeight="1">
      <c r="B23" s="582" t="s">
        <v>461</v>
      </c>
      <c r="C23" s="65" t="s">
        <v>386</v>
      </c>
      <c r="D23" s="584" t="s">
        <v>98</v>
      </c>
      <c r="E23" s="585" t="s">
        <v>98</v>
      </c>
      <c r="F23" s="541" t="s">
        <v>98</v>
      </c>
      <c r="G23" s="541" t="s">
        <v>98</v>
      </c>
      <c r="H23" s="541">
        <f>'6 - Bark Hog'!F14</f>
        <v>1.8281285714285715</v>
      </c>
      <c r="I23" s="541">
        <f>'6 - Bark Hog'!F15</f>
        <v>1.0054707142857142</v>
      </c>
      <c r="J23" s="542" t="s">
        <v>98</v>
      </c>
      <c r="K23" s="541" t="s">
        <v>98</v>
      </c>
      <c r="L23" s="541">
        <f>'6 - Bark Hog'!F13</f>
        <v>0.22860747785714289</v>
      </c>
      <c r="M23" s="543" t="s">
        <v>98</v>
      </c>
      <c r="N23" s="538"/>
      <c r="O23" s="538"/>
    </row>
    <row r="24" spans="2:15" ht="15" customHeight="1">
      <c r="B24" s="582" t="s">
        <v>464</v>
      </c>
      <c r="C24" s="65" t="s">
        <v>1</v>
      </c>
      <c r="D24" s="584" t="s">
        <v>98</v>
      </c>
      <c r="E24" s="584" t="s">
        <v>98</v>
      </c>
      <c r="F24" s="120">
        <f>'11 - IES-GN, IES-FWP'!F23</f>
        <v>0.50347408650261005</v>
      </c>
      <c r="G24" s="120">
        <f>'11 - IES-GN, IES-FWP'!F21</f>
        <v>0.57539895600298296</v>
      </c>
      <c r="H24" s="123">
        <f>'11 - IES-GN, IES-FWP'!F18</f>
        <v>2.8769947800149145E-2</v>
      </c>
      <c r="I24" s="123">
        <f>'11 - IES-GN, IES-FWP'!F19</f>
        <v>2.8769947800149145E-2</v>
      </c>
      <c r="J24" s="123">
        <f>'11 - IES-GN, IES-FWP'!F20</f>
        <v>2.8769947800149145E-2</v>
      </c>
      <c r="K24" s="233">
        <f>'11 - IES-GN, IES-FWP'!F22</f>
        <v>9.5207253886010366E-4</v>
      </c>
      <c r="L24" s="120">
        <f>'11 - IES-GN, IES-FWP'!F24</f>
        <v>0.21612500000000001</v>
      </c>
      <c r="M24" s="312">
        <f>'11 - IES-GN, IES-FWP'!F25</f>
        <v>100.62499999999999</v>
      </c>
      <c r="N24" s="371"/>
      <c r="O24" s="538"/>
    </row>
    <row r="25" spans="2:15" ht="15" customHeight="1">
      <c r="B25" s="582" t="s">
        <v>270</v>
      </c>
      <c r="C25" s="65" t="s">
        <v>4</v>
      </c>
      <c r="D25" s="584" t="s">
        <v>98</v>
      </c>
      <c r="E25" s="584" t="s">
        <v>98</v>
      </c>
      <c r="F25" s="120">
        <f>'11 - IES-GN, IES-FWP'!F66</f>
        <v>0.33532337430995257</v>
      </c>
      <c r="G25" s="120">
        <f>'11 - IES-GN, IES-FWP'!F64</f>
        <v>0.36756600645514026</v>
      </c>
      <c r="H25" s="123">
        <f>'11 - IES-GN, IES-FWP'!F61</f>
        <v>1.9345579287112648E-2</v>
      </c>
      <c r="I25" s="123">
        <f>'11 - IES-GN, IES-FWP'!F62</f>
        <v>1.9345579287112648E-2</v>
      </c>
      <c r="J25" s="123">
        <f>'11 - IES-GN, IES-FWP'!F63</f>
        <v>1.9345579287112648E-2</v>
      </c>
      <c r="K25" s="233">
        <f>'11 - IES-GN, IES-FWP'!F65</f>
        <v>6.3652849740932643E-4</v>
      </c>
      <c r="L25" s="120">
        <f>'11 - IES-GN, IES-FWP'!F67</f>
        <v>2.0699769837210537E-2</v>
      </c>
      <c r="M25" s="802">
        <f>'11 - IES-GN, IES-FWP'!F68</f>
        <v>67.274999999999991</v>
      </c>
      <c r="N25" s="371"/>
      <c r="O25" s="538"/>
    </row>
    <row r="26" spans="2:15" ht="24" customHeight="1">
      <c r="B26" s="704" t="s">
        <v>462</v>
      </c>
      <c r="C26" s="705" t="s">
        <v>267</v>
      </c>
      <c r="D26" s="584" t="s">
        <v>98</v>
      </c>
      <c r="E26" s="585" t="s">
        <v>98</v>
      </c>
      <c r="F26" s="541" t="s">
        <v>98</v>
      </c>
      <c r="G26" s="541" t="s">
        <v>98</v>
      </c>
      <c r="H26" s="541" t="s">
        <v>98</v>
      </c>
      <c r="I26" s="541" t="s">
        <v>98</v>
      </c>
      <c r="J26" s="541" t="s">
        <v>98</v>
      </c>
      <c r="K26" s="541" t="s">
        <v>98</v>
      </c>
      <c r="L26" s="1300">
        <f>'12 - Diesel Storage Tanks'!C60</f>
        <v>3.1280375077680916E-4</v>
      </c>
      <c r="M26" s="543" t="s">
        <v>98</v>
      </c>
    </row>
    <row r="27" spans="2:15">
      <c r="B27" s="704" t="s">
        <v>463</v>
      </c>
      <c r="C27" s="706" t="s">
        <v>268</v>
      </c>
      <c r="D27" s="584" t="s">
        <v>98</v>
      </c>
      <c r="E27" s="585" t="s">
        <v>98</v>
      </c>
      <c r="F27" s="541" t="s">
        <v>98</v>
      </c>
      <c r="G27" s="541" t="s">
        <v>98</v>
      </c>
      <c r="H27" s="541" t="s">
        <v>98</v>
      </c>
      <c r="I27" s="541" t="s">
        <v>98</v>
      </c>
      <c r="J27" s="541" t="s">
        <v>98</v>
      </c>
      <c r="K27" s="541" t="s">
        <v>98</v>
      </c>
      <c r="L27" s="227">
        <f>'12 - Diesel Storage Tanks'!D60</f>
        <v>1.4475185007721886E-4</v>
      </c>
      <c r="M27" s="543" t="s">
        <v>98</v>
      </c>
    </row>
    <row r="28" spans="2:15" ht="15" customHeight="1">
      <c r="B28" s="704" t="s">
        <v>533</v>
      </c>
      <c r="C28" s="706" t="s">
        <v>535</v>
      </c>
      <c r="D28" s="584" t="s">
        <v>98</v>
      </c>
      <c r="E28" s="585" t="s">
        <v>98</v>
      </c>
      <c r="F28" s="541" t="s">
        <v>98</v>
      </c>
      <c r="G28" s="541" t="s">
        <v>98</v>
      </c>
      <c r="H28" s="541" t="s">
        <v>98</v>
      </c>
      <c r="I28" s="541" t="s">
        <v>98</v>
      </c>
      <c r="J28" s="541" t="s">
        <v>98</v>
      </c>
      <c r="K28" s="541" t="s">
        <v>98</v>
      </c>
      <c r="L28" s="227">
        <f>'12 - Diesel Storage Tanks'!E60</f>
        <v>4.0293733600749914E-4</v>
      </c>
      <c r="M28" s="543" t="s">
        <v>98</v>
      </c>
    </row>
    <row r="29" spans="2:15" ht="15" customHeight="1">
      <c r="B29" s="704" t="s">
        <v>534</v>
      </c>
      <c r="C29" s="706" t="s">
        <v>536</v>
      </c>
      <c r="D29" s="584" t="s">
        <v>98</v>
      </c>
      <c r="E29" s="585" t="s">
        <v>98</v>
      </c>
      <c r="F29" s="541" t="s">
        <v>98</v>
      </c>
      <c r="G29" s="541" t="s">
        <v>98</v>
      </c>
      <c r="H29" s="541" t="s">
        <v>98</v>
      </c>
      <c r="I29" s="541" t="s">
        <v>98</v>
      </c>
      <c r="J29" s="541" t="s">
        <v>98</v>
      </c>
      <c r="K29" s="541" t="s">
        <v>98</v>
      </c>
      <c r="L29" s="227">
        <f>'12 - Diesel Storage Tanks'!F60</f>
        <v>6.3056229407990917E-4</v>
      </c>
      <c r="M29" s="543" t="s">
        <v>98</v>
      </c>
    </row>
    <row r="30" spans="2:15" ht="15" customHeight="1">
      <c r="B30" s="704" t="s">
        <v>538</v>
      </c>
      <c r="C30" s="706" t="s">
        <v>537</v>
      </c>
      <c r="D30" s="584" t="s">
        <v>98</v>
      </c>
      <c r="E30" s="585" t="s">
        <v>98</v>
      </c>
      <c r="F30" s="584" t="s">
        <v>98</v>
      </c>
      <c r="G30" s="584" t="s">
        <v>98</v>
      </c>
      <c r="H30" s="584" t="s">
        <v>98</v>
      </c>
      <c r="I30" s="584" t="s">
        <v>98</v>
      </c>
      <c r="J30" s="584" t="s">
        <v>98</v>
      </c>
      <c r="K30" s="584" t="s">
        <v>98</v>
      </c>
      <c r="L30" s="584" t="s">
        <v>98</v>
      </c>
      <c r="M30" s="543" t="s">
        <v>98</v>
      </c>
    </row>
    <row r="31" spans="2:15" ht="15" customHeight="1">
      <c r="B31" s="1301" t="s">
        <v>799</v>
      </c>
      <c r="C31" s="706" t="s">
        <v>810</v>
      </c>
      <c r="D31" s="584" t="s">
        <v>98</v>
      </c>
      <c r="E31" s="584" t="s">
        <v>98</v>
      </c>
      <c r="F31" s="1302">
        <f>'14 - Boilers'!F17*'14 - Boilers'!C10</f>
        <v>7.1419764705882365</v>
      </c>
      <c r="G31" s="1302">
        <f>'14 - Boilers'!F18*'14 - Boilers'!C10</f>
        <v>4.251176470588236</v>
      </c>
      <c r="H31" s="1302">
        <f>'14 - Boilers'!F21*'14 - Boilers'!C10</f>
        <v>0.64617882352941181</v>
      </c>
      <c r="I31" s="1302">
        <f>'14 - Boilers'!F22*'14 - Boilers'!C10</f>
        <v>0.64617882352941181</v>
      </c>
      <c r="J31" s="1302">
        <f>'14 - Boilers'!F23*'14 - Boilers'!C10</f>
        <v>0.64617882352941181</v>
      </c>
      <c r="K31" s="1303">
        <f>'14 - Boilers'!F19*'14 - Boilers'!C10</f>
        <v>5.1014117647058828E-2</v>
      </c>
      <c r="L31" s="1302">
        <f>'14 - Boilers'!F20*'14 - Boilers'!C10</f>
        <v>0.46762941176470596</v>
      </c>
      <c r="M31" s="1304">
        <f>'14 - Boilers'!F27*'14 - Boilers'!C10</f>
        <v>10223.928069882351</v>
      </c>
    </row>
    <row r="32" spans="2:15" ht="15" customHeight="1" thickBot="1">
      <c r="B32" s="707" t="s">
        <v>98</v>
      </c>
      <c r="C32" s="708" t="s">
        <v>417</v>
      </c>
      <c r="D32" s="584" t="s">
        <v>98</v>
      </c>
      <c r="E32" s="584" t="s">
        <v>98</v>
      </c>
      <c r="F32" s="713" t="s">
        <v>98</v>
      </c>
      <c r="G32" s="713" t="s">
        <v>98</v>
      </c>
      <c r="H32" s="1305">
        <f>'13a - Paved Roads'!O14+'13b - Unpaved Roads'!O17</f>
        <v>23.424896213414847</v>
      </c>
      <c r="I32" s="713">
        <f>'13a - Paved Roads'!Q14+'13b - Unpaved Roads'!P17</f>
        <v>4.4720296412922167</v>
      </c>
      <c r="J32" s="713">
        <f>'13a - Paved Roads'!S14+'13b - Unpaved Roads'!Q17</f>
        <v>0.52059839098310468</v>
      </c>
      <c r="K32" s="713" t="s">
        <v>98</v>
      </c>
      <c r="L32" s="714" t="s">
        <v>98</v>
      </c>
      <c r="M32" s="715" t="s">
        <v>98</v>
      </c>
    </row>
    <row r="33" spans="1:13" ht="15" customHeight="1" thickTop="1">
      <c r="B33" s="544"/>
      <c r="C33" s="545"/>
      <c r="D33" s="545"/>
      <c r="E33" s="803" t="s">
        <v>215</v>
      </c>
      <c r="F33" s="1067">
        <f>SUM(F7:F32)</f>
        <v>173.65153013409144</v>
      </c>
      <c r="G33" s="1067">
        <f t="shared" ref="G33:L33" si="0">SUM(G7:G32)</f>
        <v>146.04370412391845</v>
      </c>
      <c r="H33" s="1066">
        <f>SUM(H7:H32)</f>
        <v>79.67522164938903</v>
      </c>
      <c r="I33" s="1066">
        <f t="shared" si="0"/>
        <v>58.240860626979519</v>
      </c>
      <c r="J33" s="1066">
        <f t="shared" si="0"/>
        <v>46.029431586002076</v>
      </c>
      <c r="K33" s="1066">
        <f t="shared" si="0"/>
        <v>19.422033564271569</v>
      </c>
      <c r="L33" s="1067">
        <f t="shared" si="0"/>
        <v>131.62493248333769</v>
      </c>
      <c r="M33" s="804">
        <f>SUM(M7:M32)</f>
        <v>238660.67070344964</v>
      </c>
    </row>
    <row r="34" spans="1:13" ht="15" customHeight="1">
      <c r="B34" s="546"/>
      <c r="C34" s="547"/>
      <c r="D34" s="547"/>
      <c r="E34" s="728" t="s">
        <v>448</v>
      </c>
      <c r="F34" s="1306">
        <f>SUM(F7:F18,F23:F31)</f>
        <v>173.65153013409144</v>
      </c>
      <c r="G34" s="1306">
        <f t="shared" ref="G34:H34" si="1">SUM(G7:G18,G23:G31)</f>
        <v>146.04370412391845</v>
      </c>
      <c r="H34" s="1307">
        <f t="shared" si="1"/>
        <v>55.951712689756697</v>
      </c>
      <c r="I34" s="1307">
        <f>SUM(I7:I18,I23:I31)</f>
        <v>53.627318520636898</v>
      </c>
      <c r="J34" s="1307">
        <f>SUM(J7:J18,J23:J31)</f>
        <v>45.487411477559952</v>
      </c>
      <c r="K34" s="1307">
        <f>SUM(K7:K18,K23:K31)</f>
        <v>19.422033564271569</v>
      </c>
      <c r="L34" s="1306">
        <f>SUM(L7:L18,L23:L31)</f>
        <v>125.42816525906284</v>
      </c>
      <c r="M34" s="1308">
        <f>SUM(M7:M18,M23:M31)</f>
        <v>238660.67070344964</v>
      </c>
    </row>
    <row r="35" spans="1:13" ht="15" customHeight="1" thickBot="1">
      <c r="B35" s="548"/>
      <c r="C35" s="549"/>
      <c r="D35" s="549"/>
      <c r="E35" s="729" t="s">
        <v>266</v>
      </c>
      <c r="F35" s="550">
        <v>250</v>
      </c>
      <c r="G35" s="550">
        <v>250</v>
      </c>
      <c r="H35" s="550">
        <v>250</v>
      </c>
      <c r="I35" s="550">
        <v>250</v>
      </c>
      <c r="J35" s="550">
        <v>250</v>
      </c>
      <c r="K35" s="550">
        <v>250</v>
      </c>
      <c r="L35" s="550">
        <v>250</v>
      </c>
      <c r="M35" s="730" t="s">
        <v>98</v>
      </c>
    </row>
    <row r="36" spans="1:13" ht="12" thickTop="1">
      <c r="A36" s="432" t="s">
        <v>196</v>
      </c>
      <c r="B36" s="205"/>
    </row>
    <row r="37" spans="1:13" ht="12">
      <c r="A37" s="794" t="s">
        <v>100</v>
      </c>
      <c r="B37" s="205" t="s">
        <v>539</v>
      </c>
    </row>
    <row r="38" spans="1:13" ht="12">
      <c r="A38" s="794"/>
      <c r="B38" s="205"/>
    </row>
    <row r="41" spans="1:13">
      <c r="E41" s="654"/>
    </row>
    <row r="42" spans="1:13">
      <c r="F42" s="1033"/>
      <c r="G42" s="1033"/>
      <c r="H42" s="1033"/>
      <c r="I42" s="1033"/>
      <c r="J42" s="1033"/>
      <c r="K42" s="1033"/>
      <c r="L42" s="1033"/>
      <c r="M42" s="1031"/>
    </row>
    <row r="43" spans="1:13">
      <c r="F43" s="1034"/>
      <c r="G43" s="1034"/>
      <c r="H43" s="1034"/>
      <c r="I43" s="1034"/>
      <c r="J43" s="1034"/>
      <c r="K43" s="1034"/>
      <c r="L43" s="1034"/>
      <c r="M43" s="1032"/>
    </row>
  </sheetData>
  <mergeCells count="25">
    <mergeCell ref="E7:E8"/>
    <mergeCell ref="B1:M1"/>
    <mergeCell ref="B2:M2"/>
    <mergeCell ref="B3:M3"/>
    <mergeCell ref="E5:E6"/>
    <mergeCell ref="D5:D6"/>
    <mergeCell ref="C5:C6"/>
    <mergeCell ref="B5:B6"/>
    <mergeCell ref="D7:D8"/>
    <mergeCell ref="F7:F9"/>
    <mergeCell ref="G7:G9"/>
    <mergeCell ref="H7:H9"/>
    <mergeCell ref="I7:I9"/>
    <mergeCell ref="I12:I14"/>
    <mergeCell ref="H12:H14"/>
    <mergeCell ref="L7:L9"/>
    <mergeCell ref="G12:G14"/>
    <mergeCell ref="F12:F14"/>
    <mergeCell ref="M12:M14"/>
    <mergeCell ref="L12:L14"/>
    <mergeCell ref="K12:K14"/>
    <mergeCell ref="J12:J14"/>
    <mergeCell ref="J7:J9"/>
    <mergeCell ref="K7:K9"/>
    <mergeCell ref="M7:M9"/>
  </mergeCells>
  <phoneticPr fontId="72" type="noConversion"/>
  <conditionalFormatting sqref="M35">
    <cfRule type="containsText" dxfId="1" priority="2" operator="containsText" text="Yes">
      <formula>NOT(ISERROR(SEARCH("Yes",M35)))</formula>
    </cfRule>
  </conditionalFormatting>
  <printOptions horizontalCentered="1"/>
  <pageMargins left="0.25" right="0.25" top="0.75" bottom="0.75" header="0.3" footer="0.3"/>
  <pageSetup scale="69" fitToWidth="0" fitToHeight="0" orientation="landscape" r:id="rId1"/>
  <headerFoot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7CCD-4BCE-4CD0-87B2-D3D4B8D279EA}">
  <dimension ref="A1:R31"/>
  <sheetViews>
    <sheetView workbookViewId="0">
      <selection activeCell="G18" sqref="G18"/>
    </sheetView>
  </sheetViews>
  <sheetFormatPr defaultColWidth="9.109375" defaultRowHeight="11.4"/>
  <cols>
    <col min="1" max="1" width="2.6640625" style="5" customWidth="1"/>
    <col min="2" max="2" width="17" style="5" customWidth="1"/>
    <col min="3" max="3" width="31.44140625" style="5" customWidth="1"/>
    <col min="4" max="4" width="19.88671875" style="5" customWidth="1"/>
    <col min="5" max="5" width="21.88671875" style="5" customWidth="1"/>
    <col min="6" max="6" width="12.33203125" style="95" customWidth="1"/>
    <col min="7" max="8" width="12.109375" style="95" customWidth="1"/>
    <col min="9" max="9" width="12.6640625" style="5" customWidth="1"/>
    <col min="10" max="10" width="11.88671875" style="5" customWidth="1"/>
    <col min="11" max="17" width="9.109375" style="5"/>
    <col min="18" max="18" width="13.109375" style="5" bestFit="1" customWidth="1"/>
    <col min="19" max="16384" width="9.109375" style="5"/>
  </cols>
  <sheetData>
    <row r="1" spans="1:18" s="53" customFormat="1" ht="12.6">
      <c r="B1" s="1489" t="s">
        <v>341</v>
      </c>
      <c r="C1" s="1489"/>
      <c r="D1" s="1489"/>
      <c r="E1" s="1489"/>
      <c r="F1" s="1489"/>
      <c r="G1" s="1489"/>
      <c r="H1" s="1489"/>
      <c r="I1" s="1489"/>
      <c r="J1" s="1489"/>
      <c r="K1" s="1489"/>
      <c r="L1" s="1489"/>
      <c r="M1" s="1489"/>
      <c r="N1" s="1489"/>
      <c r="O1" s="1489"/>
      <c r="P1" s="1489"/>
    </row>
    <row r="2" spans="1:18" s="53" customFormat="1" ht="12.6">
      <c r="B2" s="1489" t="s">
        <v>344</v>
      </c>
      <c r="C2" s="1489"/>
      <c r="D2" s="1489"/>
      <c r="E2" s="1489"/>
      <c r="F2" s="1489"/>
      <c r="G2" s="1489"/>
      <c r="H2" s="1489"/>
      <c r="I2" s="1489"/>
      <c r="J2" s="1489"/>
      <c r="K2" s="1489"/>
      <c r="L2" s="1489"/>
      <c r="M2" s="1489"/>
      <c r="N2" s="1489"/>
      <c r="O2" s="1489"/>
      <c r="P2" s="1489"/>
    </row>
    <row r="3" spans="1:18" s="53" customFormat="1" ht="12.6">
      <c r="B3" s="1489" t="str">
        <f>'3a-RTO - Dryer GHM DHM'!B3:J3</f>
        <v>Enviva Pellets Ahoskie, LLC</v>
      </c>
      <c r="C3" s="1489"/>
      <c r="D3" s="1489"/>
      <c r="E3" s="1489"/>
      <c r="F3" s="1489"/>
      <c r="G3" s="1489"/>
      <c r="H3" s="1489"/>
      <c r="I3" s="1489"/>
      <c r="J3" s="1489"/>
      <c r="K3" s="1489"/>
      <c r="L3" s="1489"/>
      <c r="M3" s="1489"/>
      <c r="N3" s="1489"/>
      <c r="O3" s="1489"/>
      <c r="P3" s="1489"/>
    </row>
    <row r="4" spans="1:18" s="53" customFormat="1" ht="12" thickBot="1">
      <c r="A4" s="80"/>
      <c r="B4" s="80"/>
    </row>
    <row r="5" spans="1:18" s="53" customFormat="1" ht="16.5" customHeight="1" thickTop="1">
      <c r="A5" s="80"/>
      <c r="B5" s="1383" t="s">
        <v>84</v>
      </c>
      <c r="C5" s="1381" t="s">
        <v>183</v>
      </c>
      <c r="D5" s="1381" t="s">
        <v>184</v>
      </c>
      <c r="E5" s="1381" t="s">
        <v>185</v>
      </c>
      <c r="F5" s="1445" t="s">
        <v>188</v>
      </c>
      <c r="G5" s="1381" t="s">
        <v>345</v>
      </c>
      <c r="H5" s="1381" t="s">
        <v>78</v>
      </c>
      <c r="I5" s="1494" t="s">
        <v>189</v>
      </c>
      <c r="J5" s="1495"/>
      <c r="K5" s="1498" t="s">
        <v>94</v>
      </c>
      <c r="L5" s="1499"/>
      <c r="M5" s="1499"/>
      <c r="N5" s="1499"/>
      <c r="O5" s="1499"/>
      <c r="P5" s="1500"/>
    </row>
    <row r="6" spans="1:18" s="53" customFormat="1" ht="13.5" customHeight="1">
      <c r="A6" s="80"/>
      <c r="B6" s="1490"/>
      <c r="C6" s="1491"/>
      <c r="D6" s="1491"/>
      <c r="E6" s="1491"/>
      <c r="F6" s="1492"/>
      <c r="G6" s="1493"/>
      <c r="H6" s="1493"/>
      <c r="I6" s="1496"/>
      <c r="J6" s="1497"/>
      <c r="K6" s="1486" t="s">
        <v>89</v>
      </c>
      <c r="L6" s="1501"/>
      <c r="M6" s="1486" t="s">
        <v>190</v>
      </c>
      <c r="N6" s="1501"/>
      <c r="O6" s="1486" t="s">
        <v>346</v>
      </c>
      <c r="P6" s="1487"/>
    </row>
    <row r="7" spans="1:18" ht="25.8" thickBot="1">
      <c r="B7" s="1384"/>
      <c r="C7" s="1382"/>
      <c r="D7" s="1382"/>
      <c r="E7" s="1382"/>
      <c r="F7" s="81" t="s">
        <v>191</v>
      </c>
      <c r="G7" s="167" t="s">
        <v>192</v>
      </c>
      <c r="H7" s="167" t="s">
        <v>277</v>
      </c>
      <c r="I7" s="82" t="s">
        <v>193</v>
      </c>
      <c r="J7" s="82" t="s">
        <v>194</v>
      </c>
      <c r="K7" s="83" t="s">
        <v>561</v>
      </c>
      <c r="L7" s="329" t="s">
        <v>323</v>
      </c>
      <c r="M7" s="83" t="s">
        <v>561</v>
      </c>
      <c r="N7" s="329" t="s">
        <v>323</v>
      </c>
      <c r="O7" s="83" t="s">
        <v>561</v>
      </c>
      <c r="P7" s="330" t="s">
        <v>323</v>
      </c>
    </row>
    <row r="8" spans="1:18" s="87" customFormat="1" ht="15" customHeight="1" thickTop="1">
      <c r="B8" s="470" t="s">
        <v>85</v>
      </c>
      <c r="C8" s="85" t="s">
        <v>83</v>
      </c>
      <c r="D8" s="471" t="s">
        <v>276</v>
      </c>
      <c r="E8" s="472" t="s">
        <v>584</v>
      </c>
      <c r="F8" s="861">
        <v>2186</v>
      </c>
      <c r="G8" s="927">
        <v>0.01</v>
      </c>
      <c r="H8" s="859">
        <v>8760</v>
      </c>
      <c r="I8" s="502">
        <v>1</v>
      </c>
      <c r="J8" s="503">
        <v>1</v>
      </c>
      <c r="K8" s="1347">
        <f>$F8*$G8*$B$29/$B$30</f>
        <v>0.18737142857142855</v>
      </c>
      <c r="L8" s="88">
        <f t="shared" ref="L8" si="0">K8*H8/2000</f>
        <v>0.82068685714285705</v>
      </c>
      <c r="M8" s="1347">
        <f>K8*I8</f>
        <v>0.18737142857142855</v>
      </c>
      <c r="N8" s="89">
        <f>H8*M8/2000</f>
        <v>0.82068685714285705</v>
      </c>
      <c r="O8" s="1348">
        <f t="shared" ref="O8:O10" si="1">K8*J8</f>
        <v>0.18737142857142855</v>
      </c>
      <c r="P8" s="86">
        <f>O8*H8/2000</f>
        <v>0.82068685714285705</v>
      </c>
    </row>
    <row r="9" spans="1:18" s="87" customFormat="1" ht="15" customHeight="1">
      <c r="B9" s="470" t="s">
        <v>278</v>
      </c>
      <c r="C9" s="85" t="s">
        <v>279</v>
      </c>
      <c r="D9" s="474" t="s">
        <v>280</v>
      </c>
      <c r="E9" s="472" t="s">
        <v>584</v>
      </c>
      <c r="F9" s="862">
        <v>3600</v>
      </c>
      <c r="G9" s="860">
        <v>0.01</v>
      </c>
      <c r="H9" s="859">
        <v>8760</v>
      </c>
      <c r="I9" s="505">
        <v>1</v>
      </c>
      <c r="J9" s="505">
        <v>1</v>
      </c>
      <c r="K9" s="575">
        <f>$F9*$G9*$B$29/$B$30</f>
        <v>0.30857142857142855</v>
      </c>
      <c r="L9" s="88">
        <f t="shared" ref="L9" si="2">K9*H9/2000</f>
        <v>1.3515428571428569</v>
      </c>
      <c r="M9" s="88">
        <f>K9*I9</f>
        <v>0.30857142857142855</v>
      </c>
      <c r="N9" s="89">
        <f>H9*M9/2000</f>
        <v>1.3515428571428569</v>
      </c>
      <c r="O9" s="90">
        <f t="shared" ref="O9" si="3">K9*J9</f>
        <v>0.30857142857142855</v>
      </c>
      <c r="P9" s="86">
        <f>O9*H9/2000</f>
        <v>1.3515428571428569</v>
      </c>
      <c r="R9" s="91"/>
    </row>
    <row r="10" spans="1:18" s="84" customFormat="1" ht="40.5" customHeight="1" thickBot="1">
      <c r="B10" s="475" t="s">
        <v>392</v>
      </c>
      <c r="C10" s="476" t="s">
        <v>575</v>
      </c>
      <c r="D10" s="92" t="s">
        <v>186</v>
      </c>
      <c r="E10" s="92" t="s">
        <v>585</v>
      </c>
      <c r="F10" s="856">
        <v>35500</v>
      </c>
      <c r="G10" s="857">
        <v>0.01</v>
      </c>
      <c r="H10" s="858">
        <v>8760</v>
      </c>
      <c r="I10" s="504">
        <v>0.91</v>
      </c>
      <c r="J10" s="504">
        <v>0.4</v>
      </c>
      <c r="K10" s="477">
        <f>$F10*$G10*$B$29/$B$30</f>
        <v>3.0428571428571427</v>
      </c>
      <c r="L10" s="1351">
        <f>K10*H10/2000</f>
        <v>13.327714285714285</v>
      </c>
      <c r="M10" s="478">
        <f>K10*I10</f>
        <v>2.7690000000000001</v>
      </c>
      <c r="N10" s="1350">
        <f>H10*M10/2000</f>
        <v>12.128220000000001</v>
      </c>
      <c r="O10" s="477">
        <f t="shared" si="1"/>
        <v>1.2171428571428571</v>
      </c>
      <c r="P10" s="1349">
        <f>O10*H10/2000</f>
        <v>5.331085714285714</v>
      </c>
    </row>
    <row r="11" spans="1:18" ht="12" thickTop="1">
      <c r="A11" s="324" t="s">
        <v>196</v>
      </c>
      <c r="B11" s="299"/>
      <c r="C11" s="299"/>
      <c r="D11" s="299"/>
      <c r="E11" s="299"/>
      <c r="F11" s="325"/>
      <c r="G11" s="325"/>
      <c r="H11" s="325"/>
      <c r="I11" s="262"/>
      <c r="J11" s="262"/>
      <c r="K11" s="262"/>
      <c r="L11" s="262"/>
      <c r="M11" s="262"/>
      <c r="N11" s="262"/>
      <c r="O11" s="262"/>
      <c r="P11" s="262"/>
    </row>
    <row r="12" spans="1:18" s="935" customFormat="1" ht="12.75" customHeight="1">
      <c r="A12" s="208" t="s">
        <v>100</v>
      </c>
      <c r="B12" s="933" t="s">
        <v>587</v>
      </c>
      <c r="C12" s="933"/>
      <c r="D12" s="933"/>
      <c r="E12" s="933"/>
      <c r="F12" s="933"/>
      <c r="G12" s="933"/>
      <c r="H12" s="933"/>
      <c r="I12" s="934"/>
      <c r="J12" s="934"/>
      <c r="K12" s="934"/>
      <c r="L12" s="934"/>
      <c r="M12" s="934"/>
      <c r="N12" s="934"/>
      <c r="O12" s="934"/>
      <c r="P12" s="934"/>
    </row>
    <row r="13" spans="1:18" s="935" customFormat="1" ht="12.75" customHeight="1">
      <c r="A13" s="208" t="s">
        <v>159</v>
      </c>
      <c r="B13" s="265" t="s">
        <v>625</v>
      </c>
      <c r="C13" s="932"/>
      <c r="D13" s="932"/>
      <c r="E13" s="932"/>
      <c r="F13" s="932"/>
      <c r="G13" s="932"/>
      <c r="H13" s="932"/>
      <c r="I13" s="934"/>
      <c r="J13" s="934"/>
      <c r="K13" s="934"/>
      <c r="L13" s="934"/>
      <c r="M13" s="934"/>
      <c r="N13" s="934"/>
      <c r="O13" s="934"/>
      <c r="P13" s="934"/>
    </row>
    <row r="14" spans="1:18" s="935" customFormat="1" ht="12.75" customHeight="1">
      <c r="A14" s="208" t="s">
        <v>160</v>
      </c>
      <c r="B14" s="265" t="s">
        <v>347</v>
      </c>
      <c r="C14" s="932"/>
      <c r="D14" s="932"/>
      <c r="E14" s="932"/>
      <c r="F14" s="932"/>
      <c r="G14" s="932"/>
      <c r="H14" s="932"/>
      <c r="I14" s="934"/>
      <c r="J14" s="934"/>
      <c r="K14" s="934"/>
      <c r="L14" s="934"/>
      <c r="M14" s="934"/>
      <c r="N14" s="934"/>
      <c r="O14" s="934"/>
      <c r="P14" s="934"/>
    </row>
    <row r="15" spans="1:18" s="935" customFormat="1" ht="12.75" customHeight="1">
      <c r="A15" s="208" t="s">
        <v>161</v>
      </c>
      <c r="B15" s="265" t="s">
        <v>348</v>
      </c>
      <c r="C15" s="932"/>
      <c r="D15" s="932"/>
      <c r="E15" s="932"/>
      <c r="F15" s="932"/>
      <c r="G15" s="932"/>
      <c r="H15" s="932"/>
      <c r="I15" s="934"/>
      <c r="J15" s="934"/>
      <c r="K15" s="934"/>
      <c r="L15" s="934"/>
      <c r="M15" s="934"/>
      <c r="N15" s="934"/>
      <c r="O15" s="934"/>
      <c r="P15" s="934"/>
    </row>
    <row r="16" spans="1:18" s="935" customFormat="1" ht="12.75" customHeight="1">
      <c r="B16" s="265" t="s">
        <v>349</v>
      </c>
      <c r="C16" s="932"/>
      <c r="D16" s="932"/>
      <c r="E16" s="932"/>
      <c r="F16" s="932"/>
      <c r="G16" s="932"/>
      <c r="H16" s="932"/>
      <c r="I16" s="934"/>
      <c r="J16" s="934"/>
      <c r="K16" s="934"/>
      <c r="L16" s="934"/>
      <c r="M16" s="934"/>
      <c r="N16" s="934"/>
      <c r="O16" s="934"/>
      <c r="P16" s="934"/>
    </row>
    <row r="17" spans="1:16" s="935" customFormat="1" ht="12.75" customHeight="1">
      <c r="A17" s="208" t="s">
        <v>162</v>
      </c>
      <c r="B17" s="265" t="s">
        <v>586</v>
      </c>
      <c r="C17" s="932"/>
      <c r="D17" s="932"/>
      <c r="E17" s="932"/>
      <c r="F17" s="932"/>
      <c r="G17" s="932"/>
      <c r="H17" s="932"/>
      <c r="I17" s="934"/>
      <c r="J17" s="934"/>
      <c r="K17" s="934"/>
      <c r="L17" s="934"/>
      <c r="M17" s="934"/>
      <c r="N17" s="934"/>
      <c r="O17" s="934"/>
      <c r="P17" s="934"/>
    </row>
    <row r="18" spans="1:16" s="84" customFormat="1" ht="9.75" customHeight="1">
      <c r="A18" s="326"/>
      <c r="B18" s="272"/>
      <c r="C18" s="299"/>
      <c r="D18" s="299"/>
      <c r="E18" s="299"/>
      <c r="F18" s="326"/>
      <c r="G18" s="325"/>
      <c r="H18" s="325"/>
      <c r="I18" s="326"/>
      <c r="J18" s="326"/>
      <c r="K18" s="326"/>
      <c r="L18" s="326"/>
      <c r="M18" s="326"/>
      <c r="N18" s="326"/>
      <c r="O18" s="326"/>
      <c r="P18" s="326"/>
    </row>
    <row r="19" spans="1:16">
      <c r="A19" s="324" t="s">
        <v>197</v>
      </c>
      <c r="B19" s="262"/>
      <c r="C19" s="299"/>
      <c r="D19" s="299"/>
      <c r="E19" s="299"/>
      <c r="F19" s="327"/>
      <c r="G19" s="325"/>
      <c r="H19" s="325"/>
      <c r="I19" s="262"/>
      <c r="J19" s="262"/>
      <c r="K19" s="262"/>
      <c r="L19" s="262"/>
      <c r="M19" s="262"/>
      <c r="N19" s="262"/>
      <c r="O19" s="262"/>
      <c r="P19" s="262"/>
    </row>
    <row r="20" spans="1:16">
      <c r="A20" s="324"/>
      <c r="B20" s="262" t="s">
        <v>198</v>
      </c>
      <c r="C20" s="299"/>
      <c r="D20" s="270" t="s">
        <v>199</v>
      </c>
      <c r="E20" s="325"/>
      <c r="F20" s="325"/>
      <c r="G20" s="262"/>
      <c r="H20" s="262"/>
      <c r="I20" s="262"/>
      <c r="J20" s="262"/>
      <c r="K20" s="262"/>
      <c r="L20" s="262"/>
      <c r="M20" s="262"/>
      <c r="N20" s="262"/>
      <c r="O20" s="262"/>
      <c r="P20" s="262"/>
    </row>
    <row r="21" spans="1:16">
      <c r="A21" s="324"/>
      <c r="B21" s="262" t="s">
        <v>200</v>
      </c>
      <c r="C21" s="299"/>
      <c r="D21" s="270" t="s">
        <v>201</v>
      </c>
      <c r="E21" s="325"/>
      <c r="F21" s="325"/>
      <c r="G21" s="262"/>
      <c r="H21" s="262"/>
      <c r="I21" s="262"/>
      <c r="J21" s="262"/>
      <c r="K21" s="262"/>
      <c r="L21" s="262"/>
      <c r="M21" s="262"/>
      <c r="N21" s="262"/>
      <c r="O21" s="262"/>
      <c r="P21" s="262"/>
    </row>
    <row r="22" spans="1:16" s="53" customFormat="1">
      <c r="A22" s="270"/>
      <c r="B22" s="271" t="s">
        <v>202</v>
      </c>
      <c r="C22" s="272"/>
      <c r="D22" s="206" t="s">
        <v>309</v>
      </c>
      <c r="E22" s="325"/>
      <c r="F22" s="325"/>
      <c r="G22" s="270"/>
      <c r="H22" s="270"/>
      <c r="I22" s="270"/>
      <c r="J22" s="270"/>
      <c r="K22" s="270"/>
      <c r="L22" s="270"/>
      <c r="M22" s="270"/>
      <c r="N22" s="270"/>
      <c r="O22" s="270"/>
      <c r="P22" s="270"/>
    </row>
    <row r="23" spans="1:16" s="53" customFormat="1">
      <c r="A23" s="270"/>
      <c r="B23" s="270" t="s">
        <v>203</v>
      </c>
      <c r="C23" s="272"/>
      <c r="D23" s="272" t="s">
        <v>310</v>
      </c>
      <c r="E23" s="325"/>
      <c r="F23" s="325"/>
      <c r="G23" s="270"/>
      <c r="H23" s="270"/>
      <c r="I23" s="270"/>
      <c r="J23" s="270"/>
      <c r="K23" s="270"/>
      <c r="L23" s="270"/>
      <c r="M23" s="270"/>
      <c r="N23" s="270"/>
      <c r="O23" s="270"/>
      <c r="P23" s="270"/>
    </row>
    <row r="24" spans="1:16" s="53" customFormat="1">
      <c r="A24" s="270"/>
      <c r="B24" s="270" t="s">
        <v>204</v>
      </c>
      <c r="C24" s="272"/>
      <c r="D24" s="270" t="s">
        <v>105</v>
      </c>
      <c r="E24" s="325"/>
      <c r="F24" s="325"/>
      <c r="G24" s="270"/>
      <c r="H24" s="270"/>
      <c r="I24" s="270"/>
      <c r="J24" s="270"/>
      <c r="K24" s="270"/>
      <c r="L24" s="270"/>
      <c r="M24" s="270"/>
      <c r="N24" s="270"/>
      <c r="O24" s="270"/>
      <c r="P24" s="270"/>
    </row>
    <row r="25" spans="1:16" s="53" customFormat="1">
      <c r="A25" s="270"/>
      <c r="B25" s="270" t="s">
        <v>104</v>
      </c>
      <c r="C25" s="272"/>
      <c r="D25" s="272"/>
      <c r="E25" s="272"/>
      <c r="F25" s="270"/>
      <c r="G25" s="325"/>
      <c r="H25" s="325"/>
      <c r="I25" s="270"/>
      <c r="J25" s="270"/>
      <c r="K25" s="270"/>
      <c r="L25" s="270"/>
      <c r="M25" s="270"/>
      <c r="N25" s="270"/>
      <c r="O25" s="270"/>
      <c r="P25" s="270"/>
    </row>
    <row r="26" spans="1:16" s="53" customFormat="1">
      <c r="C26" s="54"/>
      <c r="D26" s="54"/>
      <c r="E26" s="54"/>
      <c r="G26" s="94"/>
      <c r="H26" s="94"/>
    </row>
    <row r="27" spans="1:16">
      <c r="A27" s="168"/>
      <c r="B27" s="96"/>
      <c r="C27" s="93"/>
      <c r="D27" s="93"/>
      <c r="E27" s="93"/>
      <c r="F27" s="94"/>
      <c r="G27" s="94"/>
      <c r="H27" s="94"/>
    </row>
    <row r="28" spans="1:16">
      <c r="A28" s="5" t="s">
        <v>77</v>
      </c>
    </row>
    <row r="29" spans="1:16">
      <c r="B29" s="5">
        <v>60</v>
      </c>
      <c r="C29" s="5" t="s">
        <v>205</v>
      </c>
    </row>
    <row r="30" spans="1:16">
      <c r="B30" s="5">
        <v>7000</v>
      </c>
      <c r="C30" s="5" t="s">
        <v>206</v>
      </c>
    </row>
    <row r="31" spans="1:16">
      <c r="B31" s="5">
        <v>2000</v>
      </c>
      <c r="C31" s="5" t="s">
        <v>207</v>
      </c>
    </row>
  </sheetData>
  <mergeCells count="15">
    <mergeCell ref="O6:P6"/>
    <mergeCell ref="B1:P1"/>
    <mergeCell ref="B2:P2"/>
    <mergeCell ref="B3:P3"/>
    <mergeCell ref="B5:B7"/>
    <mergeCell ref="C5:C7"/>
    <mergeCell ref="D5:D7"/>
    <mergeCell ref="E5:E7"/>
    <mergeCell ref="F5:F6"/>
    <mergeCell ref="G5:G6"/>
    <mergeCell ref="H5:H6"/>
    <mergeCell ref="I5:J6"/>
    <mergeCell ref="K5:P5"/>
    <mergeCell ref="K6:L6"/>
    <mergeCell ref="M6:N6"/>
  </mergeCells>
  <pageMargins left="0.25" right="0.25" top="0.75" bottom="0.75" header="0.3" footer="0.3"/>
  <pageSetup scale="60" fitToWidth="0" fitToHeight="0" orientation="landscape" r:id="rId1"/>
  <headerFooter>
    <oddFooter>&amp;CPage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231B2-3DFC-41B7-B30D-0E1600A2A655}">
  <dimension ref="A1:T50"/>
  <sheetViews>
    <sheetView workbookViewId="0">
      <selection activeCell="B1" sqref="B1"/>
    </sheetView>
  </sheetViews>
  <sheetFormatPr defaultColWidth="9.109375" defaultRowHeight="11.4"/>
  <cols>
    <col min="1" max="1" width="2.6640625" style="5" customWidth="1"/>
    <col min="2" max="2" width="15.6640625" style="5" customWidth="1"/>
    <col min="3" max="3" width="44.88671875" style="5" customWidth="1"/>
    <col min="4" max="4" width="9.88671875" style="5" customWidth="1"/>
    <col min="5" max="5" width="18.44140625" style="5" customWidth="1"/>
    <col min="6" max="6" width="8.6640625" style="5" bestFit="1" customWidth="1"/>
    <col min="7" max="7" width="11.44140625" style="5" bestFit="1" customWidth="1"/>
    <col min="8" max="11" width="9.5546875" style="5" bestFit="1" customWidth="1"/>
    <col min="12" max="12" width="10.33203125" style="5" customWidth="1"/>
    <col min="13" max="13" width="11.109375" style="5" customWidth="1"/>
    <col min="14" max="14" width="11" style="5" customWidth="1"/>
    <col min="15" max="18" width="10.33203125" style="5" bestFit="1" customWidth="1"/>
    <col min="19" max="19" width="2" style="5" customWidth="1"/>
    <col min="20" max="16384" width="9.109375" style="5"/>
  </cols>
  <sheetData>
    <row r="1" spans="1:20" ht="15" customHeight="1">
      <c r="B1" s="355" t="s">
        <v>521</v>
      </c>
      <c r="C1" s="356"/>
      <c r="D1" s="356"/>
      <c r="E1" s="356"/>
      <c r="F1" s="356"/>
      <c r="G1" s="356"/>
      <c r="H1" s="356"/>
      <c r="I1" s="356"/>
      <c r="J1" s="356"/>
      <c r="K1" s="356"/>
      <c r="L1" s="6"/>
      <c r="M1" s="6"/>
      <c r="N1" s="6"/>
      <c r="O1" s="6"/>
      <c r="P1" s="6"/>
      <c r="Q1" s="6"/>
      <c r="R1" s="6"/>
    </row>
    <row r="2" spans="1:20" ht="15" customHeight="1">
      <c r="B2" s="355" t="s">
        <v>368</v>
      </c>
      <c r="C2" s="356"/>
      <c r="D2" s="356"/>
      <c r="E2" s="356"/>
      <c r="F2" s="356"/>
      <c r="G2" s="356"/>
      <c r="H2" s="356"/>
      <c r="I2" s="356"/>
      <c r="J2" s="356"/>
      <c r="K2" s="356"/>
      <c r="L2" s="6"/>
      <c r="M2" s="6"/>
      <c r="N2" s="6"/>
      <c r="O2" s="6"/>
      <c r="P2" s="6"/>
      <c r="Q2" s="6"/>
      <c r="R2" s="6"/>
    </row>
    <row r="3" spans="1:20" ht="15" customHeight="1">
      <c r="B3" s="1506" t="str">
        <f>'3a-RTO - Dryer GHM DHM'!B3:J3</f>
        <v>Enviva Pellets Ahoskie, LLC</v>
      </c>
      <c r="C3" s="1506"/>
      <c r="D3" s="1506"/>
      <c r="E3" s="1506"/>
      <c r="F3" s="1506"/>
      <c r="G3" s="1506"/>
      <c r="H3" s="1506"/>
      <c r="I3" s="1506"/>
      <c r="J3" s="1506"/>
      <c r="K3" s="1506"/>
      <c r="L3" s="1506"/>
      <c r="M3" s="1506"/>
      <c r="N3" s="1506"/>
      <c r="O3" s="1506"/>
      <c r="P3" s="1506"/>
      <c r="Q3" s="1506"/>
      <c r="R3" s="1506"/>
    </row>
    <row r="4" spans="1:20" ht="14.4" thickBot="1">
      <c r="A4" s="357"/>
      <c r="B4" s="357"/>
      <c r="C4" s="357"/>
      <c r="D4" s="357"/>
      <c r="E4" s="357"/>
      <c r="F4" s="357"/>
      <c r="G4" s="357"/>
      <c r="H4" s="357"/>
      <c r="I4" s="357"/>
      <c r="J4" s="357"/>
      <c r="K4" s="357"/>
      <c r="L4" s="357"/>
      <c r="M4" s="357"/>
      <c r="N4" s="357"/>
      <c r="O4" s="357"/>
      <c r="P4" s="357"/>
    </row>
    <row r="5" spans="1:20" ht="41.25" customHeight="1" thickTop="1">
      <c r="A5" s="357"/>
      <c r="B5" s="1507" t="s">
        <v>0</v>
      </c>
      <c r="C5" s="1381" t="s">
        <v>208</v>
      </c>
      <c r="D5" s="1509" t="s">
        <v>271</v>
      </c>
      <c r="E5" s="1509" t="s">
        <v>273</v>
      </c>
      <c r="F5" s="1509" t="s">
        <v>209</v>
      </c>
      <c r="G5" s="97" t="s">
        <v>369</v>
      </c>
      <c r="H5" s="170" t="s">
        <v>602</v>
      </c>
      <c r="I5" s="170" t="s">
        <v>603</v>
      </c>
      <c r="J5" s="170" t="s">
        <v>604</v>
      </c>
      <c r="K5" s="1398" t="s">
        <v>605</v>
      </c>
      <c r="L5" s="1511"/>
      <c r="M5" s="1398" t="s">
        <v>620</v>
      </c>
      <c r="N5" s="1511"/>
      <c r="O5" s="1398" t="s">
        <v>224</v>
      </c>
      <c r="P5" s="1511"/>
      <c r="Q5" s="1398" t="s">
        <v>225</v>
      </c>
      <c r="R5" s="1399"/>
    </row>
    <row r="6" spans="1:20" ht="15.75" customHeight="1" thickBot="1">
      <c r="A6" s="357"/>
      <c r="B6" s="1508"/>
      <c r="C6" s="1382"/>
      <c r="D6" s="1510"/>
      <c r="E6" s="1510"/>
      <c r="F6" s="1510"/>
      <c r="G6" s="98" t="s">
        <v>212</v>
      </c>
      <c r="H6" s="99" t="s">
        <v>213</v>
      </c>
      <c r="I6" s="99" t="s">
        <v>213</v>
      </c>
      <c r="J6" s="99" t="s">
        <v>213</v>
      </c>
      <c r="K6" s="100" t="s">
        <v>214</v>
      </c>
      <c r="L6" s="176" t="s">
        <v>8</v>
      </c>
      <c r="M6" s="167" t="s">
        <v>23</v>
      </c>
      <c r="N6" s="176" t="s">
        <v>8</v>
      </c>
      <c r="O6" s="1118" t="s">
        <v>23</v>
      </c>
      <c r="P6" s="1120" t="s">
        <v>8</v>
      </c>
      <c r="Q6" s="1118" t="s">
        <v>23</v>
      </c>
      <c r="R6" s="358" t="s">
        <v>8</v>
      </c>
    </row>
    <row r="7" spans="1:20" ht="15" customHeight="1" thickTop="1">
      <c r="A7" s="357"/>
      <c r="B7" s="1505" t="s">
        <v>220</v>
      </c>
      <c r="C7" s="85" t="s">
        <v>659</v>
      </c>
      <c r="D7" s="359" t="s">
        <v>98</v>
      </c>
      <c r="E7" s="359" t="s">
        <v>98</v>
      </c>
      <c r="F7" s="166">
        <v>1</v>
      </c>
      <c r="G7" s="864">
        <v>0.48</v>
      </c>
      <c r="H7" s="227">
        <f>$D$25*0.0032*((($D$28/5)^1.3)/(($G7*100/2)^1.4))</f>
        <v>3.7373835377950323E-5</v>
      </c>
      <c r="I7" s="227">
        <f>$D$26*0.0032*((($D$28/5)^1.3)/(($G7*100/2)^1.4))</f>
        <v>1.767681403011164E-5</v>
      </c>
      <c r="J7" s="865">
        <f>$D$27*0.0032*((($D$28/5)^1.3)/(($G7*100/2)^1.4))</f>
        <v>2.6767746959883343E-6</v>
      </c>
      <c r="K7" s="875">
        <v>100</v>
      </c>
      <c r="L7" s="166">
        <v>182500</v>
      </c>
      <c r="M7" s="258">
        <f t="shared" ref="M7:M15" si="0">H7*K7*F7</f>
        <v>3.7373835377950324E-3</v>
      </c>
      <c r="N7" s="258">
        <f>H7*L7/2000*F7</f>
        <v>3.4103624782379671E-3</v>
      </c>
      <c r="O7" s="258">
        <f>I7*K7*F7</f>
        <v>1.7676814030111641E-3</v>
      </c>
      <c r="P7" s="866">
        <f>L7*I7/2000*F7</f>
        <v>1.6130092802476871E-3</v>
      </c>
      <c r="Q7" s="866">
        <f>J7*K7*F7</f>
        <v>2.6767746959883342E-4</v>
      </c>
      <c r="R7" s="259">
        <f>J7*L7/2000*F7</f>
        <v>2.4425569100893554E-4</v>
      </c>
    </row>
    <row r="8" spans="1:20" ht="30" customHeight="1">
      <c r="A8" s="357"/>
      <c r="B8" s="1503"/>
      <c r="C8" s="863" t="s">
        <v>546</v>
      </c>
      <c r="D8" s="359" t="s">
        <v>98</v>
      </c>
      <c r="E8" s="359" t="s">
        <v>98</v>
      </c>
      <c r="F8" s="165">
        <v>4</v>
      </c>
      <c r="G8" s="867">
        <v>0.48</v>
      </c>
      <c r="H8" s="227">
        <f>$D$25*0.0032*((($D$28/5)^1.3)/(($G8*100/2)^1.4))</f>
        <v>3.7373835377950323E-5</v>
      </c>
      <c r="I8" s="227">
        <f>$D$26*0.0032*((($D$28/5)^1.3)/(($G8*100/2)^1.4))</f>
        <v>1.767681403011164E-5</v>
      </c>
      <c r="J8" s="865">
        <f>$D$27*0.0032*((($D$28/5)^1.3)/(($G8*100/2)^1.4))</f>
        <v>2.6767746959883343E-6</v>
      </c>
      <c r="K8" s="875">
        <v>21</v>
      </c>
      <c r="L8" s="166">
        <f>L7</f>
        <v>182500</v>
      </c>
      <c r="M8" s="227">
        <f t="shared" si="0"/>
        <v>3.1394021717478272E-3</v>
      </c>
      <c r="N8" s="227">
        <f>H8*L8/2000*F8</f>
        <v>1.3641449912951869E-2</v>
      </c>
      <c r="O8" s="227">
        <f>I8*K8*F8</f>
        <v>1.4848523785293778E-3</v>
      </c>
      <c r="P8" s="868">
        <f>L8*I8/2000*F8</f>
        <v>6.4520371209907485E-3</v>
      </c>
      <c r="Q8" s="868">
        <f>J8*K8*F8</f>
        <v>2.2484907446302009E-4</v>
      </c>
      <c r="R8" s="228">
        <f>J8*L8/2000*F8</f>
        <v>9.7702276403574214E-4</v>
      </c>
      <c r="T8" s="103"/>
    </row>
    <row r="9" spans="1:20" ht="15" customHeight="1">
      <c r="A9" s="357"/>
      <c r="B9" s="1503"/>
      <c r="C9" s="863" t="s">
        <v>661</v>
      </c>
      <c r="D9" s="359" t="s">
        <v>98</v>
      </c>
      <c r="E9" s="359" t="s">
        <v>98</v>
      </c>
      <c r="F9" s="165">
        <v>4</v>
      </c>
      <c r="G9" s="867">
        <v>0.48</v>
      </c>
      <c r="H9" s="227">
        <f>$D$25*0.0032*((($D$28/5)^1.3)/(($G9*100/2)^1.4))</f>
        <v>3.7373835377950323E-5</v>
      </c>
      <c r="I9" s="227">
        <f>$D$26*0.0032*((($D$28/5)^1.3)/(($G9*100/2)^1.4))</f>
        <v>1.767681403011164E-5</v>
      </c>
      <c r="J9" s="865">
        <f>$D$27*0.0032*((($D$28/5)^1.3)/(($G9*100/2)^1.4))</f>
        <v>2.6767746959883343E-6</v>
      </c>
      <c r="K9" s="875">
        <v>440</v>
      </c>
      <c r="L9" s="166">
        <v>1100000</v>
      </c>
      <c r="M9" s="227">
        <f t="shared" si="0"/>
        <v>6.5777950265192564E-2</v>
      </c>
      <c r="N9" s="227">
        <f>H9*L9/2000*F9</f>
        <v>8.2222437831490705E-2</v>
      </c>
      <c r="O9" s="227">
        <f>I9*K9*F9</f>
        <v>3.1111192692996486E-2</v>
      </c>
      <c r="P9" s="868">
        <f>L9*I9/2000*F9</f>
        <v>3.8888990866245608E-2</v>
      </c>
      <c r="Q9" s="868">
        <f>J9*K9*F9</f>
        <v>4.7111234649394682E-3</v>
      </c>
      <c r="R9" s="228">
        <f>J9*L9/2000*F9</f>
        <v>5.8889043311743348E-3</v>
      </c>
    </row>
    <row r="10" spans="1:20" ht="30" customHeight="1">
      <c r="A10" s="357"/>
      <c r="B10" s="1504"/>
      <c r="C10" s="863" t="s">
        <v>519</v>
      </c>
      <c r="D10" s="359" t="s">
        <v>98</v>
      </c>
      <c r="E10" s="359" t="s">
        <v>98</v>
      </c>
      <c r="F10" s="165">
        <v>8</v>
      </c>
      <c r="G10" s="867">
        <v>0.48</v>
      </c>
      <c r="H10" s="227">
        <f>$D$25*0.0032*((($D$28/5)^1.3)/(($G10*100/2)^1.4))</f>
        <v>3.7373835377950323E-5</v>
      </c>
      <c r="I10" s="227">
        <f>$D$26*0.0032*((($D$28/5)^1.3)/(($G10*100/2)^1.4))</f>
        <v>1.767681403011164E-5</v>
      </c>
      <c r="J10" s="865">
        <f>$D$27*0.0032*((($D$28/5)^1.3)/(($G10*100/2)^1.4))</f>
        <v>2.6767746959883343E-6</v>
      </c>
      <c r="K10" s="875">
        <v>150</v>
      </c>
      <c r="L10" s="166">
        <f>'3a-RTO - Dryer GHM DHM'!C6/0.5</f>
        <v>1100000</v>
      </c>
      <c r="M10" s="227">
        <f t="shared" si="0"/>
        <v>4.4848602453540387E-2</v>
      </c>
      <c r="N10" s="227">
        <f>H10*L10/2000*F10</f>
        <v>0.16444487566298141</v>
      </c>
      <c r="O10" s="227">
        <f>I10*K10*F10</f>
        <v>2.1212176836133967E-2</v>
      </c>
      <c r="P10" s="868">
        <f>L10*I10/2000*F10</f>
        <v>7.7777981732491216E-2</v>
      </c>
      <c r="Q10" s="868">
        <f>J10*K10*F10</f>
        <v>3.2121296351860012E-3</v>
      </c>
      <c r="R10" s="228">
        <f>J10*L10/2000*F10</f>
        <v>1.177780866234867E-2</v>
      </c>
    </row>
    <row r="11" spans="1:20" ht="30" customHeight="1">
      <c r="A11" s="357"/>
      <c r="B11" s="1502" t="s">
        <v>195</v>
      </c>
      <c r="C11" s="85" t="s">
        <v>382</v>
      </c>
      <c r="D11" s="359" t="s">
        <v>272</v>
      </c>
      <c r="E11" s="359" t="s">
        <v>274</v>
      </c>
      <c r="F11" s="166">
        <v>1</v>
      </c>
      <c r="G11" s="867">
        <v>0.1</v>
      </c>
      <c r="H11" s="227">
        <f>$D$25*0.0032*((($D$29/5)^1.3)/(($G11*100/2)^1.4))</f>
        <v>7.559649858954091E-5</v>
      </c>
      <c r="I11" s="227">
        <f>$D$26*0.0032*((($D$29/5)^1.3)/(($G11*100/2)^1.4))</f>
        <v>3.5755100684242321E-5</v>
      </c>
      <c r="J11" s="227">
        <f>$D$27*0.0032*((($D$29/5)^1.3)/(($G11*100/2)^1.4))</f>
        <v>5.4143438178995524E-6</v>
      </c>
      <c r="K11" s="875">
        <f>'3a-RTO - Dryer GHM DHM'!C7/(1-G11)</f>
        <v>69.761542364282079</v>
      </c>
      <c r="L11" s="468">
        <v>632500</v>
      </c>
      <c r="M11" s="227">
        <f t="shared" si="0"/>
        <v>5.2737283389456486E-3</v>
      </c>
      <c r="N11" s="120">
        <f t="shared" ref="N11" si="1">H11*L11/2000*F11</f>
        <v>2.3907392678942312E-2</v>
      </c>
      <c r="O11" s="227">
        <f t="shared" ref="O11" si="2">I11*K11*F11</f>
        <v>2.4943309711229419E-3</v>
      </c>
      <c r="P11" s="868">
        <f t="shared" ref="P11" si="3">L11*I11/2000*F11</f>
        <v>1.1307550591391633E-2</v>
      </c>
      <c r="Q11" s="868">
        <f t="shared" ref="Q11" si="4">J11*K11*F11</f>
        <v>3.777129756271884E-4</v>
      </c>
      <c r="R11" s="228">
        <f t="shared" ref="R11" si="5">J11*L11/2000*F11</f>
        <v>1.7122862324107336E-3</v>
      </c>
    </row>
    <row r="12" spans="1:20" ht="30" customHeight="1">
      <c r="A12" s="357"/>
      <c r="B12" s="1503"/>
      <c r="C12" s="85" t="s">
        <v>385</v>
      </c>
      <c r="D12" s="359" t="s">
        <v>272</v>
      </c>
      <c r="E12" s="359" t="s">
        <v>274</v>
      </c>
      <c r="F12" s="166">
        <v>1</v>
      </c>
      <c r="G12" s="867">
        <v>0.1</v>
      </c>
      <c r="H12" s="227">
        <f>$D$25*0.0032*((($D$29/5)^1.3)/(($G12*100/2)^1.4))</f>
        <v>7.559649858954091E-5</v>
      </c>
      <c r="I12" s="227">
        <f>$D$26*0.0032*((($D$29/5)^1.3)/(($G12*100/2)^1.4))</f>
        <v>3.5755100684242321E-5</v>
      </c>
      <c r="J12" s="227">
        <f>$D$27*0.0032*((($D$29/5)^1.3)/(($G12*100/2)^1.4))</f>
        <v>5.4143438178995524E-6</v>
      </c>
      <c r="K12" s="875">
        <f>K11</f>
        <v>69.761542364282079</v>
      </c>
      <c r="L12" s="468">
        <f>L11</f>
        <v>632500</v>
      </c>
      <c r="M12" s="227">
        <f t="shared" si="0"/>
        <v>5.2737283389456486E-3</v>
      </c>
      <c r="N12" s="123">
        <f t="shared" ref="N12" si="6">H12*L12/2000*F12</f>
        <v>2.3907392678942312E-2</v>
      </c>
      <c r="O12" s="227">
        <f t="shared" ref="O12:O13" si="7">I12*K12*F12</f>
        <v>2.4943309711229419E-3</v>
      </c>
      <c r="P12" s="868">
        <f t="shared" ref="P12" si="8">L12*I12/2000*F12</f>
        <v>1.1307550591391633E-2</v>
      </c>
      <c r="Q12" s="868">
        <f t="shared" ref="Q12" si="9">J12*K12*F12</f>
        <v>3.777129756271884E-4</v>
      </c>
      <c r="R12" s="228">
        <f t="shared" ref="R12:R13" si="10">J12*L12/2000*F12</f>
        <v>1.7122862324107336E-3</v>
      </c>
    </row>
    <row r="13" spans="1:20" ht="30" customHeight="1">
      <c r="A13" s="357"/>
      <c r="B13" s="1504"/>
      <c r="C13" s="85" t="s">
        <v>383</v>
      </c>
      <c r="D13" s="359" t="s">
        <v>272</v>
      </c>
      <c r="E13" s="359" t="s">
        <v>274</v>
      </c>
      <c r="F13" s="166">
        <v>1</v>
      </c>
      <c r="G13" s="867">
        <v>0.1</v>
      </c>
      <c r="H13" s="227">
        <f>$D$25*0.0032*((($D$29/5)^1.3)/(($G13*100/2)^1.4))</f>
        <v>7.559649858954091E-5</v>
      </c>
      <c r="I13" s="227">
        <f>$D$26*0.0032*((($D$29/5)^1.3)/(($G13*100/2)^1.4))</f>
        <v>3.5755100684242321E-5</v>
      </c>
      <c r="J13" s="227">
        <f>$D$27*0.0032*((($D$29/5)^1.3)/(($G13*100/2)^1.4))</f>
        <v>5.4143438178995524E-6</v>
      </c>
      <c r="K13" s="875">
        <f>K12</f>
        <v>69.761542364282079</v>
      </c>
      <c r="L13" s="468">
        <f>L12</f>
        <v>632500</v>
      </c>
      <c r="M13" s="227">
        <f t="shared" si="0"/>
        <v>5.2737283389456486E-3</v>
      </c>
      <c r="N13" s="123">
        <f>H13*L13/2000*F13</f>
        <v>2.3907392678942312E-2</v>
      </c>
      <c r="O13" s="227">
        <f t="shared" si="7"/>
        <v>2.4943309711229419E-3</v>
      </c>
      <c r="P13" s="868">
        <f>L13*I13/2000*F13</f>
        <v>1.1307550591391633E-2</v>
      </c>
      <c r="Q13" s="868">
        <f>J13*K13*F13</f>
        <v>3.777129756271884E-4</v>
      </c>
      <c r="R13" s="228">
        <f t="shared" si="10"/>
        <v>1.7122862324107336E-3</v>
      </c>
    </row>
    <row r="14" spans="1:20" ht="15" customHeight="1">
      <c r="A14" s="357"/>
      <c r="B14" s="941" t="s">
        <v>438</v>
      </c>
      <c r="C14" s="942" t="s">
        <v>439</v>
      </c>
      <c r="D14" s="943" t="s">
        <v>98</v>
      </c>
      <c r="E14" s="943" t="s">
        <v>98</v>
      </c>
      <c r="F14" s="944">
        <v>1</v>
      </c>
      <c r="G14" s="1040">
        <v>0.1</v>
      </c>
      <c r="H14" s="227">
        <f>$D$25*0.0032*((($D$28/5)^1.3)/(($G14*100/2)^1.4))</f>
        <v>3.3597379163967232E-4</v>
      </c>
      <c r="I14" s="227">
        <f>$D$26*0.0032*((($D$28/5)^1.3)/(($G14*100/2)^1.4))</f>
        <v>1.5890652307281797E-4</v>
      </c>
      <c r="J14" s="227">
        <f>$D$27*0.0032*((($D$28/5)^1.3)/(($G14*100/2)^1.4))</f>
        <v>2.4062987779598151E-5</v>
      </c>
      <c r="K14" s="875">
        <v>25</v>
      </c>
      <c r="L14" s="468">
        <v>1575</v>
      </c>
      <c r="M14" s="227">
        <f>H14*K14*F14</f>
        <v>8.3993447909918081E-3</v>
      </c>
      <c r="N14" s="227">
        <f>H14*L14/2000*F14</f>
        <v>2.6457936091624196E-4</v>
      </c>
      <c r="O14" s="227">
        <f t="shared" ref="O14" si="11">I14*K14*F14</f>
        <v>3.9726630768204488E-3</v>
      </c>
      <c r="P14" s="868">
        <f>L14*I14/2000*F14</f>
        <v>1.2513888691984416E-4</v>
      </c>
      <c r="Q14" s="868">
        <f>J14*K14*F14</f>
        <v>6.0157469448995384E-4</v>
      </c>
      <c r="R14" s="228">
        <f t="shared" ref="R14" si="12">J14*L14/2000*F14</f>
        <v>1.8949602876433543E-5</v>
      </c>
    </row>
    <row r="15" spans="1:20" ht="15" customHeight="1">
      <c r="A15" s="357"/>
      <c r="B15" s="1502" t="s">
        <v>447</v>
      </c>
      <c r="C15" s="85" t="s">
        <v>660</v>
      </c>
      <c r="D15" s="359" t="s">
        <v>98</v>
      </c>
      <c r="E15" s="359" t="s">
        <v>98</v>
      </c>
      <c r="F15" s="166">
        <v>1</v>
      </c>
      <c r="G15" s="867">
        <v>0.14000000000000001</v>
      </c>
      <c r="H15" s="227">
        <f>$D$25*0.0032*((($D$28/5)^1.3)/(($G15*100/2)^1.4))</f>
        <v>2.0976167904395354E-4</v>
      </c>
      <c r="I15" s="227">
        <f>$D$26*0.0032*((($D$28/5)^1.3)/(($G15*100/2)^1.4))</f>
        <v>9.9211604953221275E-5</v>
      </c>
      <c r="J15" s="227">
        <f>$D$27*0.0032*((($D$28/5)^1.3)/(($G15*100/2)^1.4))</f>
        <v>1.502347160720208E-5</v>
      </c>
      <c r="K15" s="875">
        <v>50</v>
      </c>
      <c r="L15" s="468">
        <f>'5-RCO - PC-PM-DSHM'!C9/(1-'9 - Material Handling'!G15)</f>
        <v>116279.06976744186</v>
      </c>
      <c r="M15" s="227">
        <f t="shared" si="0"/>
        <v>1.0488083952197677E-2</v>
      </c>
      <c r="N15" s="227">
        <f t="shared" ref="N15" si="13">H15*L15/2000*F15</f>
        <v>1.2195446456043811E-2</v>
      </c>
      <c r="O15" s="227">
        <f t="shared" ref="O15" si="14">I15*K15*F15</f>
        <v>4.9605802476610636E-3</v>
      </c>
      <c r="P15" s="868">
        <f t="shared" ref="P15" si="15">L15*I15/2000*F15</f>
        <v>5.7681165670477484E-3</v>
      </c>
      <c r="Q15" s="868">
        <f t="shared" ref="Q15" si="16">J15*K15*F15</f>
        <v>7.5117358036010399E-4</v>
      </c>
      <c r="R15" s="228">
        <f t="shared" ref="R15" si="17">J15*L15/2000*F15</f>
        <v>8.7345765158151629E-4</v>
      </c>
    </row>
    <row r="16" spans="1:20" ht="15" customHeight="1">
      <c r="A16" s="357"/>
      <c r="B16" s="1504"/>
      <c r="C16" s="85" t="s">
        <v>541</v>
      </c>
      <c r="D16" s="359" t="s">
        <v>98</v>
      </c>
      <c r="E16" s="359" t="s">
        <v>98</v>
      </c>
      <c r="F16" s="166">
        <v>1</v>
      </c>
      <c r="G16" s="867">
        <v>0.14000000000000001</v>
      </c>
      <c r="H16" s="227">
        <f>$D$25*0.0032*((($D$28/5)^1.3)/(($G16*100/2)^1.4))</f>
        <v>2.0976167904395354E-4</v>
      </c>
      <c r="I16" s="227">
        <f>$D$26*0.0032*((($D$28/5)^1.3)/(($G16*100/2)^1.4))</f>
        <v>9.9211604953221275E-5</v>
      </c>
      <c r="J16" s="227">
        <f>$D$27*0.0032*((($D$28/5)^1.3)/(($G16*100/2)^1.4))</f>
        <v>1.502347160720208E-5</v>
      </c>
      <c r="K16" s="875">
        <v>20</v>
      </c>
      <c r="L16" s="468">
        <f>L15</f>
        <v>116279.06976744186</v>
      </c>
      <c r="M16" s="227">
        <f t="shared" ref="M16" si="18">H16*K16*F16</f>
        <v>4.195233580879071E-3</v>
      </c>
      <c r="N16" s="227">
        <f t="shared" ref="N16" si="19">H16*L16/2000*F16</f>
        <v>1.2195446456043811E-2</v>
      </c>
      <c r="O16" s="227">
        <f t="shared" ref="O16" si="20">I16*K16*F16</f>
        <v>1.9842320990644253E-3</v>
      </c>
      <c r="P16" s="868">
        <f t="shared" ref="P16" si="21">L16*I16/2000*F16</f>
        <v>5.7681165670477484E-3</v>
      </c>
      <c r="Q16" s="868">
        <f t="shared" ref="Q16" si="22">J16*K16*F16</f>
        <v>3.0046943214404162E-4</v>
      </c>
      <c r="R16" s="228">
        <f>J16*L16/2000*F16</f>
        <v>8.7345765158151629E-4</v>
      </c>
    </row>
    <row r="17" spans="1:18" ht="15" customHeight="1" thickBot="1">
      <c r="A17" s="357"/>
      <c r="B17" s="125"/>
      <c r="C17" s="126"/>
      <c r="D17" s="126"/>
      <c r="E17" s="126"/>
      <c r="F17" s="127"/>
      <c r="G17" s="128"/>
      <c r="H17" s="129"/>
      <c r="I17" s="129"/>
      <c r="J17" s="130"/>
      <c r="K17" s="131"/>
      <c r="L17" s="132" t="s">
        <v>215</v>
      </c>
      <c r="M17" s="812">
        <f>SUM(M7:M16)</f>
        <v>0.15640718576918131</v>
      </c>
      <c r="N17" s="812">
        <f t="shared" ref="N17:Q17" si="23">SUM(N7:N16)</f>
        <v>0.36009677619549274</v>
      </c>
      <c r="O17" s="261">
        <f t="shared" si="23"/>
        <v>7.3976371647585762E-2</v>
      </c>
      <c r="P17" s="812">
        <f t="shared" si="23"/>
        <v>0.17031604279516552</v>
      </c>
      <c r="Q17" s="261">
        <f t="shared" si="23"/>
        <v>1.1202136278062991E-2</v>
      </c>
      <c r="R17" s="842">
        <f>SUM(R7:R16)</f>
        <v>2.5790715051839348E-2</v>
      </c>
    </row>
    <row r="18" spans="1:18" ht="12" thickTop="1">
      <c r="A18" s="1393" t="s">
        <v>196</v>
      </c>
      <c r="B18" s="1393"/>
      <c r="C18" s="262"/>
      <c r="D18" s="262"/>
      <c r="E18" s="262"/>
      <c r="F18" s="262"/>
      <c r="G18" s="262"/>
      <c r="H18" s="262"/>
      <c r="I18" s="262"/>
      <c r="J18" s="262"/>
      <c r="K18" s="262"/>
      <c r="L18" s="262"/>
      <c r="M18" s="781"/>
      <c r="N18" s="781"/>
      <c r="O18" s="781"/>
      <c r="P18" s="781"/>
      <c r="Q18" s="781"/>
      <c r="R18" s="781"/>
    </row>
    <row r="19" spans="1:18" s="357" customFormat="1" ht="13.8">
      <c r="A19" s="264" t="s">
        <v>100</v>
      </c>
      <c r="B19" s="207" t="s">
        <v>370</v>
      </c>
      <c r="C19" s="360"/>
      <c r="D19" s="360"/>
      <c r="E19" s="360"/>
      <c r="F19" s="360"/>
      <c r="G19" s="361"/>
      <c r="H19" s="361"/>
      <c r="I19" s="361"/>
      <c r="J19" s="361"/>
      <c r="K19" s="360"/>
      <c r="L19" s="360"/>
      <c r="M19" s="360"/>
      <c r="N19" s="360"/>
      <c r="O19" s="360"/>
      <c r="P19" s="360"/>
      <c r="Q19" s="360"/>
      <c r="R19" s="362"/>
    </row>
    <row r="20" spans="1:18" s="357" customFormat="1" ht="13.8">
      <c r="A20" s="264"/>
      <c r="B20" s="968"/>
      <c r="C20" s="1314"/>
      <c r="D20" s="360"/>
      <c r="E20" s="360"/>
      <c r="F20" s="360"/>
      <c r="G20" s="361"/>
      <c r="H20" s="361"/>
      <c r="I20" s="361"/>
      <c r="J20" s="361"/>
      <c r="K20" s="360"/>
      <c r="L20" s="360"/>
      <c r="M20" s="360"/>
      <c r="N20" s="360"/>
      <c r="O20" s="360"/>
      <c r="P20" s="360"/>
      <c r="Q20" s="360"/>
      <c r="R20" s="362"/>
    </row>
    <row r="21" spans="1:18" s="357" customFormat="1" ht="13.8">
      <c r="A21" s="264"/>
      <c r="B21" s="968"/>
      <c r="C21" s="1314"/>
      <c r="D21" s="360"/>
      <c r="E21" s="360"/>
      <c r="F21" s="360"/>
      <c r="G21" s="361"/>
      <c r="H21" s="361"/>
      <c r="I21" s="361"/>
      <c r="J21" s="361"/>
      <c r="K21" s="360"/>
      <c r="L21" s="360"/>
      <c r="M21" s="360"/>
      <c r="N21" s="360"/>
      <c r="O21" s="360"/>
      <c r="P21" s="360"/>
      <c r="Q21" s="360"/>
      <c r="R21" s="362"/>
    </row>
    <row r="22" spans="1:18" s="357" customFormat="1" ht="13.8">
      <c r="A22" s="264"/>
      <c r="B22" s="1315"/>
      <c r="C22" s="1316"/>
      <c r="D22" s="360"/>
      <c r="E22" s="360"/>
      <c r="F22" s="360"/>
      <c r="G22" s="361"/>
      <c r="H22" s="361"/>
      <c r="I22" s="361"/>
      <c r="J22" s="361"/>
      <c r="K22" s="360"/>
      <c r="L22" s="360"/>
      <c r="M22" s="360"/>
      <c r="N22" s="360"/>
      <c r="O22" s="360"/>
      <c r="P22" s="360"/>
      <c r="Q22" s="360"/>
      <c r="R22" s="362"/>
    </row>
    <row r="23" spans="1:18" s="357" customFormat="1" ht="13.8">
      <c r="A23" s="264"/>
      <c r="B23" s="1315"/>
      <c r="C23" s="1316"/>
      <c r="D23" s="360"/>
      <c r="E23" s="360"/>
      <c r="F23" s="360"/>
      <c r="G23" s="361"/>
      <c r="H23" s="361"/>
      <c r="I23" s="361"/>
      <c r="J23" s="361"/>
      <c r="K23" s="360"/>
      <c r="L23" s="360"/>
      <c r="M23" s="360"/>
      <c r="N23" s="360"/>
      <c r="O23" s="360"/>
      <c r="P23" s="360"/>
      <c r="Q23" s="360"/>
      <c r="R23" s="362"/>
    </row>
    <row r="24" spans="1:18" s="357" customFormat="1" ht="13.8">
      <c r="A24" s="264"/>
      <c r="B24" s="207" t="s">
        <v>216</v>
      </c>
      <c r="C24" s="207" t="s">
        <v>217</v>
      </c>
      <c r="D24" s="207"/>
      <c r="E24" s="207"/>
      <c r="F24" s="207"/>
      <c r="G24" s="363"/>
      <c r="H24" s="361"/>
      <c r="I24" s="361"/>
      <c r="J24" s="361"/>
      <c r="K24" s="360"/>
      <c r="L24" s="360"/>
      <c r="M24" s="360"/>
      <c r="N24" s="360"/>
      <c r="O24" s="360"/>
      <c r="P24" s="360"/>
      <c r="Q24" s="360"/>
      <c r="R24" s="362"/>
    </row>
    <row r="25" spans="1:18" s="357" customFormat="1" ht="13.8">
      <c r="A25" s="264"/>
      <c r="B25" s="207"/>
      <c r="C25" s="207" t="s">
        <v>218</v>
      </c>
      <c r="D25" s="364">
        <v>0.74</v>
      </c>
      <c r="E25" s="362"/>
      <c r="F25" s="361"/>
      <c r="G25" s="361"/>
      <c r="H25" s="361"/>
      <c r="I25" s="360"/>
      <c r="J25" s="360"/>
      <c r="K25" s="360"/>
      <c r="L25" s="360"/>
      <c r="M25" s="360"/>
      <c r="N25" s="360"/>
      <c r="O25" s="360"/>
      <c r="P25" s="362"/>
      <c r="Q25" s="262"/>
      <c r="R25" s="262"/>
    </row>
    <row r="26" spans="1:18" s="357" customFormat="1" ht="13.8">
      <c r="A26" s="264"/>
      <c r="B26" s="207"/>
      <c r="C26" s="207" t="s">
        <v>371</v>
      </c>
      <c r="D26" s="364">
        <v>0.35</v>
      </c>
      <c r="E26" s="362"/>
      <c r="F26" s="361"/>
      <c r="G26" s="361"/>
      <c r="H26" s="361"/>
      <c r="I26" s="360"/>
      <c r="J26" s="360"/>
      <c r="K26" s="360"/>
      <c r="L26" s="360"/>
      <c r="M26" s="360"/>
      <c r="N26" s="360"/>
      <c r="O26" s="360"/>
      <c r="P26" s="362"/>
      <c r="Q26" s="262"/>
      <c r="R26" s="262"/>
    </row>
    <row r="27" spans="1:18" s="357" customFormat="1" ht="13.8">
      <c r="A27" s="264"/>
      <c r="B27" s="207"/>
      <c r="C27" s="207" t="s">
        <v>372</v>
      </c>
      <c r="D27" s="364">
        <v>5.2999999999999999E-2</v>
      </c>
      <c r="E27" s="362"/>
      <c r="F27" s="361"/>
      <c r="G27" s="361"/>
      <c r="H27" s="361"/>
      <c r="I27" s="360"/>
      <c r="J27" s="360"/>
      <c r="K27" s="360"/>
      <c r="L27" s="360"/>
      <c r="M27" s="360"/>
      <c r="N27" s="360"/>
      <c r="O27" s="360"/>
      <c r="P27" s="362"/>
      <c r="Q27" s="262"/>
      <c r="R27" s="262"/>
    </row>
    <row r="28" spans="1:18" s="357" customFormat="1" ht="13.8">
      <c r="A28" s="264"/>
      <c r="B28" s="207"/>
      <c r="C28" s="207" t="s">
        <v>219</v>
      </c>
      <c r="D28" s="364">
        <v>6.3</v>
      </c>
      <c r="E28" s="362"/>
      <c r="F28" s="361"/>
      <c r="G28" s="361"/>
      <c r="H28" s="361"/>
      <c r="I28" s="360"/>
      <c r="J28" s="360"/>
      <c r="K28" s="360"/>
      <c r="L28" s="360"/>
      <c r="M28" s="360"/>
      <c r="N28" s="360"/>
      <c r="O28" s="360"/>
      <c r="P28" s="362"/>
      <c r="Q28" s="262"/>
      <c r="R28" s="262"/>
    </row>
    <row r="29" spans="1:18" s="357" customFormat="1" ht="13.8">
      <c r="A29" s="264"/>
      <c r="B29" s="207"/>
      <c r="C29" s="207" t="s">
        <v>384</v>
      </c>
      <c r="D29" s="364">
        <v>2</v>
      </c>
      <c r="E29" s="362"/>
      <c r="F29" s="361"/>
      <c r="G29" s="361"/>
      <c r="H29" s="361"/>
      <c r="I29" s="360"/>
      <c r="J29" s="360"/>
      <c r="K29" s="360"/>
      <c r="L29" s="360"/>
      <c r="M29" s="360"/>
      <c r="N29" s="360"/>
      <c r="O29" s="360"/>
      <c r="P29" s="362"/>
      <c r="Q29" s="262"/>
      <c r="R29" s="262"/>
    </row>
    <row r="30" spans="1:18" s="357" customFormat="1" ht="13.8">
      <c r="A30" s="264"/>
      <c r="B30" s="207"/>
      <c r="C30" s="207" t="s">
        <v>666</v>
      </c>
      <c r="D30" s="364"/>
      <c r="E30" s="362"/>
      <c r="F30" s="361"/>
      <c r="G30" s="361"/>
      <c r="H30" s="361"/>
      <c r="I30" s="360"/>
      <c r="J30" s="360"/>
      <c r="K30" s="360"/>
      <c r="L30" s="360"/>
      <c r="M30" s="360"/>
      <c r="N30" s="360"/>
      <c r="O30" s="360"/>
      <c r="P30" s="362"/>
      <c r="Q30" s="262"/>
      <c r="R30" s="262"/>
    </row>
    <row r="31" spans="1:18" s="357" customFormat="1" ht="14.25" customHeight="1">
      <c r="A31" s="264" t="s">
        <v>159</v>
      </c>
      <c r="B31" s="207" t="s">
        <v>528</v>
      </c>
      <c r="C31" s="207"/>
      <c r="D31" s="207"/>
      <c r="E31" s="207"/>
      <c r="F31" s="207"/>
      <c r="G31" s="207"/>
      <c r="H31" s="207"/>
      <c r="I31" s="207"/>
      <c r="J31" s="207"/>
      <c r="K31" s="207"/>
      <c r="L31" s="207"/>
      <c r="M31" s="207"/>
      <c r="N31" s="207"/>
      <c r="O31" s="207"/>
      <c r="P31" s="207"/>
      <c r="Q31" s="207"/>
      <c r="R31" s="207"/>
    </row>
    <row r="32" spans="1:18" s="357" customFormat="1" ht="14.25" customHeight="1">
      <c r="A32" s="264"/>
      <c r="B32" s="207"/>
      <c r="C32" s="207"/>
      <c r="D32" s="207"/>
      <c r="E32" s="207"/>
      <c r="F32" s="207"/>
      <c r="G32" s="207"/>
      <c r="H32" s="207"/>
      <c r="I32" s="207"/>
      <c r="J32" s="207"/>
      <c r="K32" s="207"/>
      <c r="L32" s="207"/>
      <c r="M32" s="207"/>
      <c r="N32" s="207"/>
      <c r="O32" s="207"/>
      <c r="P32" s="207"/>
      <c r="Q32" s="207"/>
      <c r="R32" s="207"/>
    </row>
    <row r="33" spans="1:18" s="357" customFormat="1" ht="14.25" customHeight="1">
      <c r="A33" s="274" t="s">
        <v>313</v>
      </c>
      <c r="B33" s="207"/>
      <c r="C33" s="207"/>
      <c r="D33" s="207"/>
      <c r="E33" s="207"/>
      <c r="F33" s="207"/>
      <c r="G33" s="207"/>
      <c r="H33" s="207"/>
      <c r="I33" s="207"/>
      <c r="J33" s="207"/>
      <c r="K33" s="207"/>
      <c r="L33" s="207"/>
      <c r="M33" s="207"/>
      <c r="N33" s="207"/>
      <c r="O33" s="207"/>
      <c r="P33" s="207"/>
      <c r="Q33" s="207"/>
      <c r="R33" s="207"/>
    </row>
    <row r="34" spans="1:18" s="357" customFormat="1" ht="14.25" customHeight="1">
      <c r="A34" s="274"/>
      <c r="B34" s="207" t="s">
        <v>645</v>
      </c>
      <c r="C34" s="207"/>
      <c r="D34" s="207"/>
      <c r="E34" s="207"/>
      <c r="F34" s="207"/>
      <c r="G34" s="207"/>
      <c r="H34" s="207"/>
      <c r="I34" s="207"/>
      <c r="J34" s="207"/>
      <c r="K34" s="207"/>
      <c r="L34" s="207"/>
      <c r="M34" s="207"/>
      <c r="N34" s="207"/>
      <c r="O34" s="207"/>
      <c r="P34" s="207"/>
      <c r="Q34" s="207"/>
      <c r="R34" s="207"/>
    </row>
    <row r="35" spans="1:18">
      <c r="A35" s="262"/>
      <c r="B35" s="262"/>
      <c r="C35" s="262"/>
      <c r="D35" s="262"/>
      <c r="E35" s="262"/>
      <c r="F35" s="262"/>
      <c r="G35" s="262"/>
      <c r="H35" s="262"/>
      <c r="I35" s="262"/>
      <c r="J35" s="262"/>
      <c r="K35" s="262"/>
      <c r="L35" s="262"/>
      <c r="M35" s="262"/>
      <c r="N35" s="262"/>
      <c r="O35" s="262"/>
      <c r="P35" s="262"/>
      <c r="Q35" s="262"/>
      <c r="R35" s="262"/>
    </row>
    <row r="36" spans="1:18">
      <c r="A36" s="1014" t="s">
        <v>197</v>
      </c>
      <c r="B36" s="1014"/>
      <c r="C36" s="1014"/>
      <c r="D36" s="268"/>
      <c r="E36" s="268"/>
      <c r="F36" s="262"/>
      <c r="G36" s="262"/>
      <c r="H36" s="262"/>
      <c r="I36" s="262"/>
      <c r="J36" s="262"/>
      <c r="K36" s="262"/>
      <c r="L36" s="262"/>
      <c r="M36" s="262"/>
      <c r="N36" s="262"/>
      <c r="O36" s="262"/>
      <c r="P36" s="262"/>
      <c r="Q36" s="262"/>
      <c r="R36" s="262"/>
    </row>
    <row r="37" spans="1:18">
      <c r="A37" s="268"/>
      <c r="B37" s="306" t="s">
        <v>104</v>
      </c>
      <c r="C37" s="268"/>
      <c r="D37" s="268"/>
      <c r="E37" s="268"/>
      <c r="F37" s="262"/>
      <c r="G37" s="262"/>
      <c r="H37" s="262"/>
      <c r="I37" s="262"/>
      <c r="J37" s="262"/>
      <c r="K37" s="262"/>
      <c r="L37" s="262"/>
      <c r="M37" s="262"/>
      <c r="N37" s="262"/>
      <c r="O37" s="262"/>
      <c r="P37" s="262"/>
      <c r="Q37" s="262"/>
      <c r="R37" s="262"/>
    </row>
    <row r="38" spans="1:18">
      <c r="A38" s="262"/>
      <c r="B38" s="271" t="s">
        <v>106</v>
      </c>
      <c r="C38" s="262"/>
      <c r="D38" s="262"/>
      <c r="E38" s="262"/>
      <c r="F38" s="262"/>
      <c r="G38" s="262"/>
      <c r="H38" s="262"/>
      <c r="I38" s="262"/>
      <c r="J38" s="262"/>
      <c r="K38" s="262"/>
      <c r="L38" s="262"/>
      <c r="M38" s="262"/>
      <c r="N38" s="262"/>
      <c r="O38" s="262"/>
      <c r="P38" s="262"/>
      <c r="Q38" s="262"/>
      <c r="R38" s="262"/>
    </row>
    <row r="39" spans="1:18">
      <c r="A39" s="262"/>
      <c r="B39" s="271" t="s">
        <v>166</v>
      </c>
      <c r="C39" s="262"/>
      <c r="D39" s="262"/>
      <c r="E39" s="262"/>
      <c r="F39" s="262"/>
      <c r="G39" s="262"/>
      <c r="H39" s="262"/>
      <c r="I39" s="262"/>
      <c r="J39" s="262"/>
      <c r="K39" s="262"/>
      <c r="L39" s="262"/>
      <c r="M39" s="262"/>
      <c r="N39" s="262"/>
      <c r="O39" s="262"/>
      <c r="P39" s="262"/>
      <c r="Q39" s="262"/>
      <c r="R39" s="262"/>
    </row>
    <row r="40" spans="1:18">
      <c r="A40" s="262"/>
      <c r="B40" s="206" t="s">
        <v>309</v>
      </c>
      <c r="C40" s="262"/>
      <c r="D40" s="262"/>
      <c r="E40" s="262"/>
      <c r="F40" s="262"/>
      <c r="G40" s="262"/>
      <c r="H40" s="262"/>
      <c r="I40" s="262"/>
      <c r="J40" s="262"/>
      <c r="K40" s="262"/>
      <c r="L40" s="262"/>
      <c r="M40" s="262"/>
      <c r="N40" s="262"/>
      <c r="O40" s="262"/>
      <c r="P40" s="262"/>
      <c r="Q40" s="262"/>
      <c r="R40" s="262"/>
    </row>
    <row r="41" spans="1:18">
      <c r="A41" s="262"/>
      <c r="B41" s="272" t="s">
        <v>310</v>
      </c>
      <c r="C41" s="262"/>
      <c r="D41" s="262"/>
      <c r="E41" s="262"/>
      <c r="F41" s="262"/>
      <c r="G41" s="262"/>
      <c r="H41" s="262"/>
      <c r="I41" s="262"/>
      <c r="J41" s="262"/>
      <c r="K41" s="262"/>
      <c r="L41" s="262"/>
      <c r="M41" s="262"/>
      <c r="N41" s="262"/>
      <c r="O41" s="262"/>
      <c r="P41" s="262"/>
      <c r="Q41" s="262"/>
      <c r="R41" s="262"/>
    </row>
    <row r="42" spans="1:18">
      <c r="A42" s="262"/>
      <c r="B42" s="271" t="s">
        <v>105</v>
      </c>
      <c r="C42" s="262"/>
      <c r="D42" s="262"/>
      <c r="E42" s="262"/>
      <c r="F42" s="262"/>
      <c r="G42" s="262"/>
      <c r="H42" s="262"/>
      <c r="I42" s="262"/>
      <c r="J42" s="262"/>
      <c r="K42" s="262"/>
      <c r="L42" s="262"/>
      <c r="M42" s="262"/>
      <c r="N42" s="262"/>
      <c r="O42" s="262"/>
      <c r="P42" s="262"/>
      <c r="Q42" s="262"/>
      <c r="R42" s="262"/>
    </row>
    <row r="43" spans="1:18">
      <c r="A43" s="262"/>
      <c r="B43" s="270" t="s">
        <v>109</v>
      </c>
      <c r="C43" s="262"/>
      <c r="D43" s="262"/>
      <c r="E43" s="262"/>
      <c r="F43" s="262"/>
      <c r="G43" s="262"/>
      <c r="H43" s="262"/>
      <c r="I43" s="262"/>
      <c r="J43" s="262"/>
      <c r="K43" s="262"/>
      <c r="L43" s="262"/>
      <c r="M43" s="262"/>
      <c r="N43" s="262"/>
      <c r="O43" s="262"/>
      <c r="P43" s="262"/>
      <c r="Q43" s="262"/>
      <c r="R43" s="262"/>
    </row>
    <row r="45" spans="1:18">
      <c r="A45" s="112"/>
      <c r="B45" s="53"/>
      <c r="C45" s="112"/>
      <c r="D45" s="112"/>
      <c r="E45" s="112"/>
      <c r="F45" s="112"/>
      <c r="G45" s="112"/>
      <c r="H45" s="112"/>
      <c r="L45" s="112"/>
    </row>
    <row r="46" spans="1:18" ht="14.4" customHeight="1">
      <c r="A46" s="26"/>
      <c r="B46" s="1488"/>
      <c r="C46" s="1488"/>
      <c r="D46" s="1488"/>
      <c r="E46" s="1488"/>
      <c r="F46" s="1488"/>
      <c r="G46" s="1488"/>
      <c r="H46" s="1488"/>
      <c r="I46" s="1488"/>
      <c r="J46" s="1488"/>
      <c r="K46" s="1488"/>
      <c r="L46" s="1488"/>
      <c r="M46" s="1488"/>
      <c r="N46" s="1488"/>
      <c r="O46" s="1488"/>
      <c r="P46" s="1488"/>
      <c r="Q46" s="1488"/>
      <c r="R46" s="1488"/>
    </row>
    <row r="47" spans="1:18">
      <c r="F47" s="5" t="s">
        <v>55</v>
      </c>
    </row>
    <row r="48" spans="1:18">
      <c r="B48" s="113"/>
      <c r="C48" s="114"/>
      <c r="D48" s="114"/>
      <c r="E48" s="114"/>
    </row>
    <row r="49" spans="2:5">
      <c r="B49" s="113"/>
      <c r="C49" s="114"/>
      <c r="D49" s="114"/>
      <c r="E49" s="114"/>
    </row>
    <row r="50" spans="2:5">
      <c r="B50" s="115"/>
      <c r="C50" s="116"/>
      <c r="D50" s="116"/>
      <c r="E50" s="116"/>
    </row>
  </sheetData>
  <mergeCells count="15">
    <mergeCell ref="B3:R3"/>
    <mergeCell ref="B5:B6"/>
    <mergeCell ref="C5:C6"/>
    <mergeCell ref="D5:D6"/>
    <mergeCell ref="E5:E6"/>
    <mergeCell ref="F5:F6"/>
    <mergeCell ref="K5:L5"/>
    <mergeCell ref="M5:N5"/>
    <mergeCell ref="O5:P5"/>
    <mergeCell ref="Q5:R5"/>
    <mergeCell ref="B46:R46"/>
    <mergeCell ref="B11:B13"/>
    <mergeCell ref="B7:B10"/>
    <mergeCell ref="A18:B18"/>
    <mergeCell ref="B15:B16"/>
  </mergeCells>
  <pageMargins left="0.25" right="0.25" top="0.75" bottom="0.75" header="0.3" footer="0.3"/>
  <pageSetup scale="55" orientation="landscape" r:id="rId1"/>
  <headerFooter>
    <oddFooter>&amp;CPage &amp;P of &amp;N</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B637B-EAFD-4771-B123-60445D3862CA}">
  <dimension ref="A1:U52"/>
  <sheetViews>
    <sheetView workbookViewId="0">
      <selection activeCell="C28" sqref="C28"/>
    </sheetView>
  </sheetViews>
  <sheetFormatPr defaultColWidth="9.109375" defaultRowHeight="11.4"/>
  <cols>
    <col min="1" max="1" width="2.6640625" style="5" customWidth="1"/>
    <col min="2" max="2" width="10.5546875" style="5" customWidth="1"/>
    <col min="3" max="3" width="31.33203125" style="5" customWidth="1"/>
    <col min="4" max="4" width="12.6640625" style="5" customWidth="1"/>
    <col min="5" max="5" width="11.6640625" style="5" customWidth="1"/>
    <col min="6" max="6" width="11.88671875" style="5" customWidth="1"/>
    <col min="7" max="7" width="11.6640625" style="5" customWidth="1"/>
    <col min="8" max="8" width="10" style="5" bestFit="1" customWidth="1"/>
    <col min="9" max="9" width="8.109375" style="5" customWidth="1"/>
    <col min="10" max="10" width="9.88671875" style="5" customWidth="1"/>
    <col min="11" max="11" width="10" style="5" customWidth="1"/>
    <col min="12" max="17" width="10.33203125" style="5" customWidth="1"/>
    <col min="18" max="19" width="9" style="5" customWidth="1"/>
    <col min="20" max="20" width="2" style="5" customWidth="1"/>
    <col min="21" max="16384" width="9.109375" style="5"/>
  </cols>
  <sheetData>
    <row r="1" spans="1:21" s="19" customFormat="1" ht="15" customHeight="1">
      <c r="B1" s="1514" t="s">
        <v>445</v>
      </c>
      <c r="C1" s="1514"/>
      <c r="D1" s="1514"/>
      <c r="E1" s="1514"/>
      <c r="F1" s="1514"/>
      <c r="G1" s="1514"/>
      <c r="H1" s="1514"/>
      <c r="I1" s="1514"/>
      <c r="J1" s="1514"/>
      <c r="K1" s="1514"/>
      <c r="L1" s="1514"/>
      <c r="M1" s="1514"/>
      <c r="N1" s="1514"/>
      <c r="O1" s="1514"/>
      <c r="P1" s="1514"/>
      <c r="Q1" s="1514"/>
      <c r="R1" s="1514"/>
      <c r="S1" s="117"/>
    </row>
    <row r="2" spans="1:21" s="19" customFormat="1" ht="15" customHeight="1">
      <c r="B2" s="1514" t="s">
        <v>545</v>
      </c>
      <c r="C2" s="1514"/>
      <c r="D2" s="1514"/>
      <c r="E2" s="1514"/>
      <c r="F2" s="1514"/>
      <c r="G2" s="1514"/>
      <c r="H2" s="1514"/>
      <c r="I2" s="1514"/>
      <c r="J2" s="1514"/>
      <c r="K2" s="1514"/>
      <c r="L2" s="1514"/>
      <c r="M2" s="1514"/>
      <c r="N2" s="1514"/>
      <c r="O2" s="1514"/>
      <c r="P2" s="1514"/>
      <c r="Q2" s="1514"/>
      <c r="R2" s="1514"/>
      <c r="S2" s="117"/>
    </row>
    <row r="3" spans="1:21" s="19" customFormat="1" ht="15" customHeight="1">
      <c r="B3" s="1438" t="str">
        <f>'3a-RTO - Dryer GHM DHM'!B3:J3</f>
        <v>Enviva Pellets Ahoskie, LLC</v>
      </c>
      <c r="C3" s="1438"/>
      <c r="D3" s="1438"/>
      <c r="E3" s="1438"/>
      <c r="F3" s="1438"/>
      <c r="G3" s="1438"/>
      <c r="H3" s="1438"/>
      <c r="I3" s="1438"/>
      <c r="J3" s="1438"/>
      <c r="K3" s="1438"/>
      <c r="L3" s="1438"/>
      <c r="M3" s="1438"/>
      <c r="N3" s="1438"/>
      <c r="O3" s="1438"/>
      <c r="P3" s="1438"/>
      <c r="Q3" s="1438"/>
      <c r="R3" s="1438"/>
      <c r="S3" s="117"/>
    </row>
    <row r="4" spans="1:21" ht="15" thickBot="1">
      <c r="A4"/>
      <c r="B4"/>
      <c r="C4"/>
      <c r="D4"/>
      <c r="E4"/>
      <c r="F4"/>
      <c r="G4"/>
      <c r="H4"/>
      <c r="I4"/>
      <c r="J4"/>
      <c r="K4" s="331"/>
      <c r="L4"/>
      <c r="M4"/>
      <c r="N4"/>
      <c r="O4"/>
    </row>
    <row r="5" spans="1:21" ht="54" customHeight="1" thickTop="1">
      <c r="A5"/>
      <c r="B5" s="1507" t="s">
        <v>0</v>
      </c>
      <c r="C5" s="1509" t="s">
        <v>5</v>
      </c>
      <c r="D5" s="1515" t="s">
        <v>350</v>
      </c>
      <c r="E5" s="1516"/>
      <c r="F5" s="1398" t="s">
        <v>351</v>
      </c>
      <c r="G5" s="1511"/>
      <c r="H5" s="23" t="s">
        <v>613</v>
      </c>
      <c r="I5" s="186" t="s">
        <v>391</v>
      </c>
      <c r="J5" s="469" t="s">
        <v>222</v>
      </c>
      <c r="K5" s="332" t="s">
        <v>352</v>
      </c>
      <c r="L5" s="1398" t="s">
        <v>223</v>
      </c>
      <c r="M5" s="1511"/>
      <c r="N5" s="1398" t="s">
        <v>224</v>
      </c>
      <c r="O5" s="1511"/>
      <c r="P5" s="1398" t="s">
        <v>225</v>
      </c>
      <c r="Q5" s="1511"/>
      <c r="R5" s="1398" t="s">
        <v>572</v>
      </c>
      <c r="S5" s="1399"/>
      <c r="T5" s="333"/>
    </row>
    <row r="6" spans="1:21" ht="29.25" customHeight="1" thickBot="1">
      <c r="A6"/>
      <c r="B6" s="1508"/>
      <c r="C6" s="1510"/>
      <c r="D6" s="176" t="s">
        <v>353</v>
      </c>
      <c r="E6" s="172" t="s">
        <v>226</v>
      </c>
      <c r="F6" s="176" t="s">
        <v>353</v>
      </c>
      <c r="G6" s="172" t="s">
        <v>226</v>
      </c>
      <c r="H6" s="681" t="s">
        <v>227</v>
      </c>
      <c r="I6" s="681" t="s">
        <v>227</v>
      </c>
      <c r="J6" s="681" t="s">
        <v>227</v>
      </c>
      <c r="K6" s="99" t="s">
        <v>228</v>
      </c>
      <c r="L6" s="682" t="s">
        <v>23</v>
      </c>
      <c r="M6" s="683" t="s">
        <v>8</v>
      </c>
      <c r="N6" s="684" t="s">
        <v>23</v>
      </c>
      <c r="O6" s="683" t="s">
        <v>8</v>
      </c>
      <c r="P6" s="681" t="s">
        <v>23</v>
      </c>
      <c r="Q6" s="685" t="s">
        <v>8</v>
      </c>
      <c r="R6" s="681" t="s">
        <v>23</v>
      </c>
      <c r="S6" s="686" t="s">
        <v>8</v>
      </c>
      <c r="T6" s="225"/>
      <c r="U6" s="93"/>
    </row>
    <row r="7" spans="1:21" ht="15" thickTop="1">
      <c r="A7"/>
      <c r="B7" s="1505" t="s">
        <v>455</v>
      </c>
      <c r="C7" s="33" t="s">
        <v>517</v>
      </c>
      <c r="D7" s="143">
        <f>1.7*($E$17/1.5)*((365-$E$18)/235)*($E$19/15)</f>
        <v>7.2563555555555572E-3</v>
      </c>
      <c r="E7" s="869">
        <f>D7/$B$51/$B$50</f>
        <v>6.9409584056048723E-9</v>
      </c>
      <c r="F7" s="143">
        <v>3.6</v>
      </c>
      <c r="G7" s="869">
        <f>F7/$B$51/$B$50</f>
        <v>3.4435261707988978E-6</v>
      </c>
      <c r="H7" s="924">
        <v>300</v>
      </c>
      <c r="I7" s="652">
        <v>350</v>
      </c>
      <c r="J7" s="924">
        <v>20</v>
      </c>
      <c r="K7" s="940">
        <f t="shared" ref="K7:K8" si="0">(2*(I7*J7)+2*(H7*J7)+(H7*I7))*1.2</f>
        <v>157200</v>
      </c>
      <c r="L7" s="838">
        <f>E7*K7</f>
        <v>1.091118661361086E-3</v>
      </c>
      <c r="M7" s="838">
        <f>L7*8760/2000</f>
        <v>4.7790997367615565E-3</v>
      </c>
      <c r="N7" s="838">
        <f>L7*$E$20</f>
        <v>5.4555933068054299E-4</v>
      </c>
      <c r="O7" s="838">
        <f>N7*8760/2000</f>
        <v>2.3895498683807782E-3</v>
      </c>
      <c r="P7" s="838">
        <f>L7*$E$21</f>
        <v>8.1833899602081441E-5</v>
      </c>
      <c r="Q7" s="838">
        <f>P7*8760/2000</f>
        <v>3.5843248025711674E-4</v>
      </c>
      <c r="R7" s="143">
        <f>G7*K7*$B$52</f>
        <v>0.66041322314049578</v>
      </c>
      <c r="S7" s="292">
        <f>R7*8760/2000</f>
        <v>2.8926099173553714</v>
      </c>
      <c r="T7" s="334"/>
      <c r="U7" s="93"/>
    </row>
    <row r="8" spans="1:21" ht="14.4">
      <c r="A8"/>
      <c r="B8" s="1503"/>
      <c r="C8" s="36" t="s">
        <v>518</v>
      </c>
      <c r="D8" s="120">
        <f>1.7*($E$17/1.5)*((365-$E$18)/235)*($E$19/15)</f>
        <v>7.2563555555555572E-3</v>
      </c>
      <c r="E8" s="870">
        <f>D8/$B$51/$B$50</f>
        <v>6.9409584056048723E-9</v>
      </c>
      <c r="F8" s="120">
        <v>3.6</v>
      </c>
      <c r="G8" s="870">
        <f>F8/$B$51/$B$50</f>
        <v>3.4435261707988978E-6</v>
      </c>
      <c r="H8" s="875">
        <v>200</v>
      </c>
      <c r="I8" s="687">
        <v>400</v>
      </c>
      <c r="J8" s="876">
        <v>20</v>
      </c>
      <c r="K8" s="873">
        <f t="shared" si="0"/>
        <v>124800</v>
      </c>
      <c r="L8" s="222">
        <f>E8*K8</f>
        <v>8.6623160901948802E-4</v>
      </c>
      <c r="M8" s="222">
        <f>L8*8760/2000</f>
        <v>3.7940944475053574E-3</v>
      </c>
      <c r="N8" s="222">
        <f>L8*$E$20</f>
        <v>4.3311580450974401E-4</v>
      </c>
      <c r="O8" s="222">
        <f>N8*8760/2000</f>
        <v>1.8970472237526787E-3</v>
      </c>
      <c r="P8" s="222">
        <f>L8*$E$21</f>
        <v>6.4967370676461601E-5</v>
      </c>
      <c r="Q8" s="222">
        <f>P8*8760/2000</f>
        <v>2.8455708356290183E-4</v>
      </c>
      <c r="R8" s="142">
        <f>G8*K8*$B$52</f>
        <v>0.52429752066115698</v>
      </c>
      <c r="S8" s="224">
        <f>R8*8760/2000</f>
        <v>2.2964231404958677</v>
      </c>
      <c r="T8" s="225"/>
      <c r="U8" s="93"/>
    </row>
    <row r="9" spans="1:21" ht="14.4">
      <c r="A9"/>
      <c r="B9" s="1503"/>
      <c r="C9" s="36" t="s">
        <v>354</v>
      </c>
      <c r="D9" s="120">
        <f>1.7*($E$17/1.5)*((365-$E$18)/235)*($E$19/15)</f>
        <v>7.2563555555555572E-3</v>
      </c>
      <c r="E9" s="870">
        <f>D9/$B$51/$B$50</f>
        <v>6.9409584056048723E-9</v>
      </c>
      <c r="F9" s="120">
        <v>3.6</v>
      </c>
      <c r="G9" s="870">
        <f>F9/$B$51/$B$50</f>
        <v>3.4435261707988978E-6</v>
      </c>
      <c r="H9" s="875">
        <v>150</v>
      </c>
      <c r="I9" s="452">
        <v>40</v>
      </c>
      <c r="J9" s="875">
        <v>20</v>
      </c>
      <c r="K9" s="873">
        <f>(2*(I9*J9)+2*(H9*J9)+(H9*I9))*1.2</f>
        <v>16320</v>
      </c>
      <c r="L9" s="222">
        <f>E9*K9</f>
        <v>1.1327644117947151E-4</v>
      </c>
      <c r="M9" s="222">
        <f t="shared" ref="M9:M10" si="1">L9*8760/2000</f>
        <v>4.9615081236608521E-4</v>
      </c>
      <c r="N9" s="222">
        <f t="shared" ref="N9:N10" si="2">L9*$E$20</f>
        <v>5.6638220589735757E-5</v>
      </c>
      <c r="O9" s="222">
        <f t="shared" ref="O9:O10" si="3">N9*8760/2000</f>
        <v>2.480754061830426E-4</v>
      </c>
      <c r="P9" s="222">
        <f t="shared" ref="P9" si="4">L9*$E$21</f>
        <v>8.4957330884603628E-6</v>
      </c>
      <c r="Q9" s="222">
        <f t="shared" ref="Q9" si="5">P9*8760/2000</f>
        <v>3.7211310927456389E-5</v>
      </c>
      <c r="R9" s="221">
        <f>G9*K9*$B$52</f>
        <v>6.8561983471074367E-2</v>
      </c>
      <c r="S9" s="224">
        <f t="shared" ref="S9:S10" si="6">R9*8760/2000</f>
        <v>0.30030148760330572</v>
      </c>
      <c r="T9" s="225"/>
      <c r="U9" s="93"/>
    </row>
    <row r="10" spans="1:21" ht="15" thickBot="1">
      <c r="A10"/>
      <c r="B10" s="1513"/>
      <c r="C10" s="34" t="s">
        <v>515</v>
      </c>
      <c r="D10" s="152">
        <f>1.7*($E$17/1.5)*((365-$E$18)/235)*($E$19/15)</f>
        <v>7.2563555555555572E-3</v>
      </c>
      <c r="E10" s="871">
        <f>D10/$B$51/$B$50</f>
        <v>6.9409584056048723E-9</v>
      </c>
      <c r="F10" s="152">
        <v>3.6</v>
      </c>
      <c r="G10" s="871">
        <f>F10/$B$51/$B$50</f>
        <v>3.4435261707988978E-6</v>
      </c>
      <c r="H10" s="877">
        <v>200</v>
      </c>
      <c r="I10" s="458">
        <v>150</v>
      </c>
      <c r="J10" s="877">
        <v>20</v>
      </c>
      <c r="K10" s="461">
        <f>PI()*(H10/2)*SQRT(J10^2+(H10/2)^2)*1.2</f>
        <v>38445.701386593821</v>
      </c>
      <c r="L10" s="253">
        <f>E10*K10</f>
        <v>2.6685001419865327E-4</v>
      </c>
      <c r="M10" s="253">
        <f t="shared" si="1"/>
        <v>1.1688030621901013E-3</v>
      </c>
      <c r="N10" s="253">
        <f t="shared" si="2"/>
        <v>1.3342500709932664E-4</v>
      </c>
      <c r="O10" s="253">
        <f t="shared" si="3"/>
        <v>5.8440153109505066E-4</v>
      </c>
      <c r="P10" s="253">
        <f>L10*$E$21</f>
        <v>2.0013751064898994E-5</v>
      </c>
      <c r="Q10" s="253">
        <f>P10*8760/2000</f>
        <v>8.7660229664257593E-5</v>
      </c>
      <c r="R10" s="152">
        <f>G10*K10*$B$52</f>
        <v>0.16151431023293547</v>
      </c>
      <c r="S10" s="569">
        <f t="shared" si="6"/>
        <v>0.7074326788202574</v>
      </c>
      <c r="T10" s="225"/>
      <c r="U10" s="93"/>
    </row>
    <row r="11" spans="1:21" ht="15.6" thickTop="1" thickBot="1">
      <c r="A11"/>
      <c r="B11" s="125"/>
      <c r="C11" s="126"/>
      <c r="D11" s="127"/>
      <c r="E11" s="128"/>
      <c r="F11" s="129"/>
      <c r="G11" s="129"/>
      <c r="H11" s="129"/>
      <c r="I11" s="130"/>
      <c r="J11" s="131"/>
      <c r="K11" s="132" t="s">
        <v>215</v>
      </c>
      <c r="L11" s="1182">
        <f>SUM(L7:L10)</f>
        <v>2.337476725758699E-3</v>
      </c>
      <c r="M11" s="1182">
        <f>SUM(M7:M10)</f>
        <v>1.02381480588231E-2</v>
      </c>
      <c r="N11" s="1182">
        <f>SUM(N7:N10)</f>
        <v>1.1687383628793495E-3</v>
      </c>
      <c r="O11" s="1182">
        <f t="shared" ref="O11:S11" si="7">SUM(O7:O10)</f>
        <v>5.11907402941155E-3</v>
      </c>
      <c r="P11" s="1182">
        <f t="shared" si="7"/>
        <v>1.7531075443190239E-4</v>
      </c>
      <c r="Q11" s="1182">
        <f>SUM(Q7:Q10)</f>
        <v>7.6786110441173251E-4</v>
      </c>
      <c r="R11" s="812">
        <f t="shared" si="7"/>
        <v>1.4147870375056626</v>
      </c>
      <c r="S11" s="811">
        <f t="shared" si="7"/>
        <v>6.1967672242748018</v>
      </c>
      <c r="T11" s="225"/>
      <c r="U11" s="93"/>
    </row>
    <row r="12" spans="1:21" ht="12" thickTop="1">
      <c r="A12" s="1393" t="s">
        <v>196</v>
      </c>
      <c r="B12" s="1393"/>
      <c r="C12" s="335"/>
      <c r="D12" s="335"/>
      <c r="E12" s="335"/>
      <c r="F12" s="335"/>
      <c r="G12" s="335"/>
      <c r="H12" s="335"/>
      <c r="I12" s="335"/>
      <c r="J12" s="335"/>
      <c r="K12" s="335"/>
      <c r="L12" s="335"/>
      <c r="M12" s="335"/>
      <c r="N12" s="335"/>
      <c r="O12" s="335"/>
      <c r="P12" s="262"/>
      <c r="Q12" s="262"/>
      <c r="R12" s="262"/>
      <c r="S12" s="262"/>
    </row>
    <row r="13" spans="1:21" ht="12">
      <c r="A13" s="264" t="s">
        <v>100</v>
      </c>
      <c r="B13" s="328" t="s">
        <v>355</v>
      </c>
      <c r="C13" s="328"/>
      <c r="D13" s="328"/>
      <c r="E13" s="328"/>
      <c r="F13" s="328"/>
      <c r="G13" s="328"/>
      <c r="H13" s="328"/>
      <c r="I13" s="328"/>
      <c r="J13" s="328"/>
      <c r="K13" s="328"/>
      <c r="L13" s="328"/>
      <c r="M13" s="328"/>
      <c r="N13" s="328"/>
      <c r="O13" s="328"/>
      <c r="P13" s="328"/>
      <c r="Q13" s="328"/>
      <c r="R13" s="336"/>
      <c r="S13" s="336"/>
    </row>
    <row r="14" spans="1:21" ht="15" customHeight="1">
      <c r="A14" s="264"/>
      <c r="B14" s="336"/>
      <c r="C14" s="336"/>
      <c r="D14" s="336"/>
      <c r="E14" s="336"/>
      <c r="F14" s="336"/>
      <c r="G14" s="336"/>
      <c r="H14" s="336"/>
      <c r="I14" s="336"/>
      <c r="J14" s="336"/>
      <c r="K14" s="336"/>
      <c r="L14" s="336"/>
      <c r="M14" s="336"/>
      <c r="N14" s="336"/>
      <c r="O14" s="336"/>
      <c r="P14" s="336"/>
      <c r="Q14" s="336"/>
      <c r="R14" s="336"/>
      <c r="S14" s="336"/>
    </row>
    <row r="15" spans="1:21" ht="15" customHeight="1">
      <c r="A15" s="264"/>
      <c r="B15" s="336"/>
      <c r="C15" s="336"/>
      <c r="D15" s="336"/>
      <c r="E15" s="336"/>
      <c r="F15" s="336"/>
      <c r="G15" s="336"/>
      <c r="H15" s="336"/>
      <c r="I15" s="336"/>
      <c r="J15" s="336"/>
      <c r="K15" s="336"/>
      <c r="L15" s="336"/>
      <c r="M15" s="336"/>
      <c r="N15" s="336"/>
      <c r="O15" s="336"/>
      <c r="P15" s="336"/>
      <c r="Q15" s="336"/>
      <c r="R15" s="336"/>
      <c r="S15" s="336"/>
    </row>
    <row r="16" spans="1:21" ht="15" customHeight="1">
      <c r="A16" s="264"/>
      <c r="B16" s="336"/>
      <c r="C16" s="336"/>
      <c r="D16" s="336"/>
      <c r="E16" s="336"/>
      <c r="F16" s="336"/>
      <c r="G16" s="336"/>
      <c r="H16" s="336"/>
      <c r="I16" s="336"/>
      <c r="J16" s="336"/>
      <c r="K16" s="336"/>
      <c r="L16" s="336"/>
      <c r="M16" s="336"/>
      <c r="N16" s="336"/>
      <c r="O16" s="336"/>
      <c r="P16" s="336"/>
      <c r="Q16" s="336"/>
      <c r="R16" s="336"/>
      <c r="S16" s="336"/>
    </row>
    <row r="17" spans="1:20" customFormat="1" ht="15" customHeight="1">
      <c r="A17" s="264"/>
      <c r="B17" s="205" t="s">
        <v>216</v>
      </c>
      <c r="C17" s="335"/>
      <c r="D17" s="337" t="s">
        <v>229</v>
      </c>
      <c r="E17" s="1317">
        <v>9.4000000000000004E-3</v>
      </c>
      <c r="F17" s="1318" t="s">
        <v>790</v>
      </c>
      <c r="G17" s="338"/>
      <c r="H17" s="338"/>
      <c r="I17" s="273"/>
      <c r="J17" s="273"/>
      <c r="K17" s="273"/>
      <c r="L17" s="273"/>
      <c r="M17" s="273"/>
      <c r="N17" s="273"/>
      <c r="O17" s="273"/>
      <c r="P17" s="273"/>
      <c r="Q17" s="262"/>
      <c r="R17" s="262"/>
      <c r="S17" s="262"/>
      <c r="T17" s="5"/>
    </row>
    <row r="18" spans="1:20" customFormat="1" ht="15" customHeight="1">
      <c r="A18" s="264"/>
      <c r="B18" s="205"/>
      <c r="C18" s="335"/>
      <c r="D18" s="339" t="s">
        <v>230</v>
      </c>
      <c r="E18" s="340">
        <v>120</v>
      </c>
      <c r="F18" s="341" t="s">
        <v>231</v>
      </c>
      <c r="G18" s="338"/>
      <c r="H18" s="338"/>
      <c r="I18" s="273"/>
      <c r="J18" s="273"/>
      <c r="K18" s="273"/>
      <c r="L18" s="273"/>
      <c r="M18" s="273"/>
      <c r="N18" s="273"/>
      <c r="O18" s="273"/>
      <c r="P18" s="273"/>
      <c r="Q18" s="262"/>
      <c r="R18" s="262"/>
      <c r="S18" s="262"/>
      <c r="T18" s="5"/>
    </row>
    <row r="19" spans="1:20" customFormat="1" ht="15" customHeight="1">
      <c r="A19" s="264"/>
      <c r="B19" s="205"/>
      <c r="C19" s="335"/>
      <c r="D19" s="339" t="s">
        <v>232</v>
      </c>
      <c r="E19" s="925">
        <v>9.8000000000000007</v>
      </c>
      <c r="F19" s="341" t="s">
        <v>583</v>
      </c>
      <c r="G19" s="338"/>
      <c r="H19" s="338"/>
      <c r="I19" s="342"/>
      <c r="J19" s="342"/>
      <c r="K19" s="342"/>
      <c r="L19" s="342"/>
      <c r="M19" s="342"/>
      <c r="N19" s="342"/>
      <c r="O19" s="342"/>
      <c r="P19" s="273"/>
      <c r="Q19" s="262"/>
      <c r="R19" s="262"/>
      <c r="S19" s="262"/>
      <c r="T19" s="5"/>
    </row>
    <row r="20" spans="1:20" customFormat="1" ht="23.25" customHeight="1">
      <c r="A20" s="264"/>
      <c r="B20" s="205"/>
      <c r="C20" s="335"/>
      <c r="D20" s="339" t="s">
        <v>356</v>
      </c>
      <c r="E20" s="343">
        <v>0.5</v>
      </c>
      <c r="F20" s="1512" t="s">
        <v>357</v>
      </c>
      <c r="G20" s="1512"/>
      <c r="H20" s="1512"/>
      <c r="I20" s="1512"/>
      <c r="J20" s="1512"/>
      <c r="K20" s="1512"/>
      <c r="L20" s="1512"/>
      <c r="M20" s="1512"/>
      <c r="N20" s="1512"/>
      <c r="O20" s="1512"/>
      <c r="P20" s="1512"/>
      <c r="Q20" s="1512"/>
      <c r="R20" s="1512"/>
      <c r="S20" s="344"/>
      <c r="T20" s="177"/>
    </row>
    <row r="21" spans="1:20" customFormat="1" ht="23.25" customHeight="1">
      <c r="A21" s="264"/>
      <c r="B21" s="205"/>
      <c r="C21" s="335"/>
      <c r="D21" s="339" t="s">
        <v>358</v>
      </c>
      <c r="E21" s="345">
        <f>15%*E20</f>
        <v>7.4999999999999997E-2</v>
      </c>
      <c r="F21" s="1512" t="s">
        <v>359</v>
      </c>
      <c r="G21" s="1512"/>
      <c r="H21" s="1512"/>
      <c r="I21" s="1512"/>
      <c r="J21" s="1512"/>
      <c r="K21" s="1512"/>
      <c r="L21" s="1512"/>
      <c r="M21" s="1512"/>
      <c r="N21" s="1512"/>
      <c r="O21" s="1512"/>
      <c r="P21" s="1512"/>
      <c r="Q21" s="1512"/>
      <c r="R21" s="1512"/>
      <c r="S21" s="1512"/>
      <c r="T21" s="177"/>
    </row>
    <row r="22" spans="1:20" customFormat="1" ht="23.25" customHeight="1">
      <c r="A22" s="264" t="s">
        <v>159</v>
      </c>
      <c r="B22" s="1401" t="s">
        <v>360</v>
      </c>
      <c r="C22" s="1401"/>
      <c r="D22" s="1401"/>
      <c r="E22" s="1401"/>
      <c r="F22" s="1401"/>
      <c r="G22" s="1401"/>
      <c r="H22" s="1401"/>
      <c r="I22" s="1401"/>
      <c r="J22" s="1401"/>
      <c r="K22" s="1401"/>
      <c r="L22" s="1401"/>
      <c r="M22" s="1401"/>
      <c r="N22" s="1401"/>
      <c r="O22" s="1401"/>
      <c r="P22" s="1401"/>
      <c r="Q22" s="1401"/>
      <c r="R22" s="1401"/>
      <c r="S22" s="346"/>
      <c r="T22" s="177"/>
    </row>
    <row r="23" spans="1:20" customFormat="1" ht="14.4">
      <c r="A23" s="264" t="s">
        <v>160</v>
      </c>
      <c r="B23" s="433" t="s">
        <v>396</v>
      </c>
      <c r="C23" s="346"/>
      <c r="D23" s="346"/>
      <c r="E23" s="346"/>
      <c r="F23" s="346"/>
      <c r="G23" s="346"/>
      <c r="H23" s="346"/>
      <c r="I23" s="481"/>
      <c r="J23" s="481"/>
      <c r="K23" s="481"/>
      <c r="L23" s="481"/>
      <c r="M23" s="481"/>
      <c r="N23" s="481"/>
      <c r="O23" s="346"/>
      <c r="P23" s="346"/>
      <c r="Q23" s="346"/>
      <c r="R23" s="336"/>
      <c r="S23" s="336"/>
    </row>
    <row r="24" spans="1:20" customFormat="1" ht="13.5" customHeight="1">
      <c r="A24" s="264" t="s">
        <v>161</v>
      </c>
      <c r="B24" s="347" t="s">
        <v>361</v>
      </c>
      <c r="C24" s="336"/>
      <c r="D24" s="336"/>
      <c r="E24" s="336"/>
      <c r="F24" s="336"/>
      <c r="G24" s="336"/>
      <c r="H24" s="336"/>
      <c r="I24" s="336"/>
      <c r="J24" s="336"/>
      <c r="K24" s="336"/>
      <c r="L24" s="336"/>
      <c r="M24" s="336"/>
      <c r="N24" s="336"/>
      <c r="O24" s="336"/>
      <c r="P24" s="336"/>
      <c r="Q24" s="336"/>
      <c r="R24" s="336"/>
      <c r="S24" s="336"/>
    </row>
    <row r="25" spans="1:20">
      <c r="A25" s="262"/>
      <c r="B25" s="262"/>
      <c r="C25" s="262"/>
      <c r="D25" s="262"/>
      <c r="E25" s="262"/>
      <c r="F25" s="262"/>
      <c r="G25" s="262"/>
      <c r="H25" s="262"/>
      <c r="I25" s="262"/>
      <c r="J25" s="262"/>
      <c r="K25" s="262"/>
      <c r="L25" s="262"/>
      <c r="M25" s="262"/>
      <c r="N25" s="262"/>
      <c r="O25" s="262"/>
      <c r="P25" s="262"/>
      <c r="Q25" s="262"/>
      <c r="R25" s="262"/>
      <c r="S25" s="262"/>
    </row>
    <row r="26" spans="1:20">
      <c r="A26" s="1393" t="s">
        <v>197</v>
      </c>
      <c r="B26" s="1393"/>
      <c r="C26" s="1393"/>
      <c r="D26" s="262"/>
      <c r="E26" s="262"/>
      <c r="F26" s="262"/>
      <c r="G26" s="262"/>
      <c r="H26" s="262"/>
      <c r="I26" s="262"/>
      <c r="J26" s="262"/>
      <c r="K26" s="262"/>
      <c r="L26" s="262"/>
      <c r="M26" s="262"/>
      <c r="N26" s="262"/>
      <c r="O26" s="262"/>
      <c r="P26" s="262"/>
      <c r="Q26" s="262"/>
      <c r="R26" s="262"/>
      <c r="S26" s="262"/>
    </row>
    <row r="27" spans="1:20">
      <c r="A27" s="268"/>
      <c r="B27" s="306" t="s">
        <v>233</v>
      </c>
      <c r="C27" s="268"/>
      <c r="D27" s="262"/>
      <c r="E27" s="262"/>
      <c r="F27" s="271" t="s">
        <v>166</v>
      </c>
      <c r="G27" s="262"/>
      <c r="H27" s="262"/>
      <c r="I27" s="262"/>
      <c r="J27" s="262"/>
      <c r="K27" s="262"/>
      <c r="L27" s="262"/>
      <c r="M27" s="262"/>
      <c r="N27" s="262"/>
      <c r="O27" s="262"/>
      <c r="P27" s="262"/>
      <c r="Q27" s="262"/>
      <c r="R27" s="262"/>
      <c r="S27" s="262"/>
    </row>
    <row r="28" spans="1:20">
      <c r="A28" s="306"/>
      <c r="B28" s="306" t="s">
        <v>234</v>
      </c>
      <c r="C28" s="306"/>
      <c r="D28" s="262"/>
      <c r="E28" s="262"/>
      <c r="F28" s="206" t="s">
        <v>309</v>
      </c>
      <c r="G28" s="262"/>
      <c r="H28" s="262"/>
      <c r="I28" s="262"/>
      <c r="J28" s="262"/>
      <c r="K28" s="262"/>
      <c r="L28" s="262"/>
      <c r="M28" s="262"/>
      <c r="N28" s="262"/>
      <c r="O28" s="262"/>
      <c r="P28" s="262"/>
      <c r="Q28" s="262"/>
      <c r="R28" s="262"/>
      <c r="S28" s="262"/>
    </row>
    <row r="29" spans="1:20" ht="12">
      <c r="A29" s="268"/>
      <c r="B29" s="306" t="s">
        <v>362</v>
      </c>
      <c r="C29" s="268"/>
      <c r="D29" s="262"/>
      <c r="E29" s="262"/>
      <c r="F29" s="272" t="s">
        <v>310</v>
      </c>
      <c r="G29" s="262"/>
      <c r="H29" s="262"/>
      <c r="I29" s="262"/>
      <c r="J29" s="262"/>
      <c r="K29" s="262"/>
      <c r="L29" s="262"/>
      <c r="M29" s="262"/>
      <c r="N29" s="262"/>
      <c r="O29" s="262"/>
      <c r="P29" s="262"/>
      <c r="Q29" s="262"/>
      <c r="R29" s="262"/>
      <c r="S29" s="262"/>
    </row>
    <row r="30" spans="1:20">
      <c r="A30" s="262"/>
      <c r="B30" s="271" t="s">
        <v>106</v>
      </c>
      <c r="C30" s="262"/>
      <c r="D30" s="262"/>
      <c r="E30" s="262"/>
      <c r="F30" s="271" t="s">
        <v>105</v>
      </c>
      <c r="G30" s="262"/>
      <c r="H30" s="262"/>
      <c r="I30" s="262"/>
      <c r="J30" s="262"/>
      <c r="K30" s="262"/>
      <c r="L30" s="262"/>
      <c r="M30" s="262"/>
      <c r="N30" s="262"/>
      <c r="O30" s="262"/>
      <c r="P30" s="262"/>
      <c r="Q30" s="262"/>
      <c r="R30" s="262"/>
      <c r="S30" s="262"/>
    </row>
    <row r="31" spans="1:20">
      <c r="A31" s="262"/>
      <c r="B31" s="271" t="s">
        <v>235</v>
      </c>
      <c r="C31" s="262"/>
      <c r="D31" s="262"/>
      <c r="E31" s="262"/>
      <c r="F31" s="262" t="s">
        <v>363</v>
      </c>
      <c r="G31" s="262"/>
      <c r="H31" s="262"/>
      <c r="I31" s="262"/>
      <c r="J31" s="262"/>
      <c r="K31" s="262"/>
      <c r="L31" s="262"/>
      <c r="M31" s="262"/>
      <c r="N31" s="262"/>
      <c r="O31" s="262"/>
      <c r="P31" s="262"/>
      <c r="Q31" s="262"/>
      <c r="R31" s="262"/>
      <c r="S31" s="262"/>
    </row>
    <row r="32" spans="1:20">
      <c r="A32" s="262"/>
      <c r="B32" s="271" t="s">
        <v>236</v>
      </c>
      <c r="C32" s="262"/>
      <c r="D32" s="262"/>
      <c r="E32" s="262"/>
      <c r="F32" s="270" t="s">
        <v>109</v>
      </c>
      <c r="G32" s="262"/>
      <c r="H32" s="262"/>
      <c r="I32" s="262"/>
      <c r="J32" s="262"/>
      <c r="K32" s="262"/>
      <c r="L32" s="262"/>
      <c r="M32" s="262"/>
      <c r="N32" s="262"/>
      <c r="O32" s="262"/>
      <c r="P32" s="262"/>
      <c r="Q32" s="262"/>
      <c r="R32" s="262"/>
      <c r="S32" s="262"/>
    </row>
    <row r="33" spans="1:19">
      <c r="A33" s="262"/>
      <c r="B33" s="298" t="s">
        <v>237</v>
      </c>
      <c r="C33" s="262"/>
      <c r="D33" s="262"/>
      <c r="E33" s="262"/>
      <c r="F33" s="270" t="s">
        <v>107</v>
      </c>
      <c r="G33" s="262"/>
      <c r="H33" s="262"/>
      <c r="I33" s="262"/>
      <c r="J33" s="262"/>
      <c r="K33" s="262"/>
      <c r="L33" s="262"/>
      <c r="M33" s="262"/>
      <c r="N33" s="262"/>
      <c r="O33" s="262"/>
      <c r="P33" s="262"/>
      <c r="Q33" s="262"/>
      <c r="R33" s="262"/>
      <c r="S33" s="262"/>
    </row>
    <row r="34" spans="1:19">
      <c r="A34" s="262"/>
      <c r="C34" s="262"/>
      <c r="D34" s="262"/>
      <c r="E34" s="262"/>
      <c r="F34" s="270"/>
      <c r="G34" s="262"/>
      <c r="H34" s="262"/>
      <c r="I34" s="262"/>
      <c r="J34" s="262"/>
      <c r="K34" s="262"/>
      <c r="L34" s="262"/>
      <c r="M34" s="262"/>
      <c r="N34" s="262"/>
      <c r="O34" s="262"/>
      <c r="P34" s="262"/>
      <c r="Q34" s="262"/>
      <c r="R34" s="262"/>
      <c r="S34" s="262"/>
    </row>
    <row r="36" spans="1:19">
      <c r="A36" s="274" t="s">
        <v>313</v>
      </c>
      <c r="B36" s="271"/>
      <c r="C36" s="348"/>
      <c r="D36" s="348"/>
      <c r="E36" s="348"/>
      <c r="F36" s="348"/>
      <c r="G36" s="19"/>
      <c r="H36" s="19"/>
      <c r="I36" s="19"/>
      <c r="J36" s="348"/>
      <c r="K36" s="112"/>
    </row>
    <row r="37" spans="1:19">
      <c r="A37" s="274"/>
      <c r="B37" s="271" t="s">
        <v>364</v>
      </c>
      <c r="C37" s="274"/>
      <c r="D37" s="274"/>
      <c r="E37" s="274"/>
      <c r="F37" s="274"/>
      <c r="G37" s="205"/>
      <c r="H37" s="205"/>
      <c r="I37" s="205"/>
      <c r="J37" s="274"/>
      <c r="K37" s="349"/>
      <c r="L37" s="262"/>
      <c r="M37" s="262"/>
      <c r="N37" s="262"/>
      <c r="O37" s="262"/>
      <c r="P37" s="262"/>
      <c r="Q37" s="262"/>
    </row>
    <row r="38" spans="1:19" ht="12">
      <c r="A38" s="264"/>
      <c r="B38" s="350" t="s">
        <v>365</v>
      </c>
      <c r="C38" s="274"/>
      <c r="D38" s="274"/>
      <c r="E38" s="274"/>
      <c r="F38" s="274"/>
      <c r="G38" s="205"/>
      <c r="H38" s="205"/>
      <c r="I38" s="205"/>
      <c r="J38" s="274"/>
      <c r="K38" s="349"/>
      <c r="L38" s="262"/>
      <c r="M38" s="262"/>
      <c r="N38" s="262"/>
      <c r="O38" s="262"/>
      <c r="P38" s="262"/>
      <c r="Q38" s="262"/>
    </row>
    <row r="39" spans="1:19" ht="12">
      <c r="A39" s="264"/>
      <c r="B39" s="351" t="s">
        <v>366</v>
      </c>
      <c r="C39" s="350"/>
      <c r="D39" s="350"/>
      <c r="E39" s="350"/>
      <c r="F39" s="350"/>
      <c r="G39" s="350"/>
      <c r="H39" s="350"/>
      <c r="I39" s="350"/>
      <c r="J39" s="350"/>
      <c r="K39" s="352"/>
      <c r="L39" s="352"/>
      <c r="M39" s="352"/>
      <c r="N39" s="352"/>
      <c r="O39" s="352"/>
      <c r="P39" s="352"/>
      <c r="Q39" s="352"/>
      <c r="R39" s="175"/>
      <c r="S39" s="175"/>
    </row>
    <row r="40" spans="1:19">
      <c r="B40" s="262" t="s">
        <v>367</v>
      </c>
      <c r="C40" s="353"/>
      <c r="D40" s="353"/>
      <c r="E40" s="353"/>
      <c r="F40" s="353"/>
      <c r="G40" s="353"/>
      <c r="H40" s="353"/>
      <c r="I40" s="353"/>
      <c r="J40" s="353"/>
      <c r="K40" s="353"/>
      <c r="L40" s="353"/>
      <c r="M40" s="353"/>
      <c r="N40" s="353"/>
      <c r="O40" s="353"/>
      <c r="P40" s="353"/>
      <c r="Q40" s="353"/>
    </row>
    <row r="41" spans="1:19" ht="12">
      <c r="A41" s="264"/>
      <c r="B41" s="351" t="s">
        <v>818</v>
      </c>
      <c r="C41" s="353"/>
      <c r="D41" s="353"/>
      <c r="E41" s="353"/>
      <c r="F41" s="353"/>
      <c r="G41" s="353"/>
      <c r="H41" s="353"/>
      <c r="I41" s="353"/>
      <c r="J41" s="353"/>
      <c r="K41" s="353"/>
      <c r="L41" s="353"/>
      <c r="M41" s="353"/>
      <c r="N41" s="353"/>
      <c r="O41" s="353"/>
      <c r="P41" s="353"/>
      <c r="Q41" s="353"/>
    </row>
    <row r="42" spans="1:19" ht="12">
      <c r="A42" s="264"/>
      <c r="B42" s="1268"/>
      <c r="C42" s="353"/>
      <c r="D42" s="353"/>
      <c r="E42" s="353"/>
      <c r="F42" s="353"/>
      <c r="G42" s="353"/>
      <c r="H42" s="353"/>
      <c r="I42" s="353"/>
      <c r="J42" s="353"/>
      <c r="K42" s="353"/>
      <c r="L42" s="353"/>
      <c r="M42" s="353"/>
      <c r="N42" s="353"/>
      <c r="O42" s="353"/>
      <c r="P42" s="353"/>
      <c r="Q42" s="353"/>
    </row>
    <row r="43" spans="1:19" ht="12">
      <c r="A43" s="264"/>
      <c r="B43" s="354"/>
      <c r="C43" s="353"/>
      <c r="D43" s="353"/>
      <c r="E43" s="353"/>
      <c r="F43" s="353"/>
      <c r="G43" s="353"/>
      <c r="H43" s="353"/>
      <c r="I43" s="353"/>
      <c r="J43" s="353"/>
      <c r="K43" s="353"/>
      <c r="L43" s="353"/>
      <c r="M43" s="353"/>
      <c r="N43" s="353"/>
      <c r="O43" s="353"/>
      <c r="P43" s="353"/>
      <c r="Q43" s="353"/>
    </row>
    <row r="49" spans="1:3">
      <c r="A49" s="5" t="s">
        <v>77</v>
      </c>
      <c r="B49" s="113"/>
      <c r="C49" s="114"/>
    </row>
    <row r="50" spans="1:3" ht="12.6">
      <c r="B50" s="113">
        <v>43560</v>
      </c>
      <c r="C50" s="114" t="s">
        <v>238</v>
      </c>
    </row>
    <row r="51" spans="1:3">
      <c r="B51" s="134">
        <v>24</v>
      </c>
      <c r="C51" s="116" t="s">
        <v>239</v>
      </c>
    </row>
    <row r="52" spans="1:3">
      <c r="B52" s="19">
        <v>1.22</v>
      </c>
      <c r="C52" s="19" t="s">
        <v>240</v>
      </c>
    </row>
  </sheetData>
  <mergeCells count="17">
    <mergeCell ref="B1:R1"/>
    <mergeCell ref="B2:R2"/>
    <mergeCell ref="B3:R3"/>
    <mergeCell ref="B5:B6"/>
    <mergeCell ref="C5:C6"/>
    <mergeCell ref="D5:E5"/>
    <mergeCell ref="F5:G5"/>
    <mergeCell ref="L5:M5"/>
    <mergeCell ref="B22:R22"/>
    <mergeCell ref="A26:C26"/>
    <mergeCell ref="N5:O5"/>
    <mergeCell ref="P5:Q5"/>
    <mergeCell ref="R5:S5"/>
    <mergeCell ref="A12:B12"/>
    <mergeCell ref="F20:R20"/>
    <mergeCell ref="F21:S21"/>
    <mergeCell ref="B7:B10"/>
  </mergeCells>
  <pageMargins left="0.25" right="0.25" top="0.75" bottom="0.75" header="0.3" footer="0.3"/>
  <pageSetup scale="65" orientation="landscape" r:id="rId1"/>
  <headerFooter>
    <oddFooter>&amp;CPage &amp;P of &amp;N</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0901F-0154-4823-8DAA-FC29C734FF23}">
  <dimension ref="A1:I99"/>
  <sheetViews>
    <sheetView topLeftCell="A31" workbookViewId="0">
      <selection activeCell="B1" sqref="B1:G1"/>
    </sheetView>
  </sheetViews>
  <sheetFormatPr defaultColWidth="8.88671875" defaultRowHeight="11.4"/>
  <cols>
    <col min="1" max="1" width="4.44140625" style="93" customWidth="1"/>
    <col min="2" max="2" width="34.88671875" style="93" customWidth="1"/>
    <col min="3" max="3" width="12.5546875" style="93" customWidth="1"/>
    <col min="4" max="7" width="17.33203125" style="93" customWidth="1"/>
    <col min="8" max="8" width="4.44140625" style="93" customWidth="1"/>
    <col min="9" max="16384" width="8.88671875" style="93"/>
  </cols>
  <sheetData>
    <row r="1" spans="1:8" ht="12.6">
      <c r="B1" s="1477" t="s">
        <v>340</v>
      </c>
      <c r="C1" s="1477"/>
      <c r="D1" s="1477"/>
      <c r="E1" s="1477"/>
      <c r="F1" s="1477"/>
      <c r="G1" s="1477"/>
      <c r="H1" s="193"/>
    </row>
    <row r="2" spans="1:8" ht="12.6">
      <c r="B2" s="1477" t="s">
        <v>514</v>
      </c>
      <c r="C2" s="1477"/>
      <c r="D2" s="1477"/>
      <c r="E2" s="1477"/>
      <c r="F2" s="1477"/>
      <c r="G2" s="1477"/>
      <c r="H2" s="193"/>
    </row>
    <row r="3" spans="1:8" ht="12.6">
      <c r="B3" s="1477" t="str">
        <f>'3a-RTO - Dryer GHM DHM'!B3:J3</f>
        <v>Enviva Pellets Ahoskie, LLC</v>
      </c>
      <c r="C3" s="1477"/>
      <c r="D3" s="1477"/>
      <c r="E3" s="1477"/>
      <c r="F3" s="1477"/>
      <c r="G3" s="1477"/>
      <c r="H3" s="193"/>
    </row>
    <row r="5" spans="1:8">
      <c r="B5" s="365" t="s">
        <v>513</v>
      </c>
      <c r="C5" s="366"/>
      <c r="D5" s="366"/>
      <c r="E5" s="366"/>
    </row>
    <row r="6" spans="1:8">
      <c r="D6" s="225"/>
    </row>
    <row r="7" spans="1:8" ht="12" thickBot="1">
      <c r="B7" s="367" t="s">
        <v>53</v>
      </c>
      <c r="C7" s="367"/>
      <c r="D7" s="367"/>
      <c r="E7" s="367"/>
      <c r="F7" s="367"/>
      <c r="G7" s="367"/>
    </row>
    <row r="8" spans="1:8" ht="15" customHeight="1" thickTop="1">
      <c r="B8" s="368" t="s">
        <v>39</v>
      </c>
      <c r="C8" s="887">
        <f>C9/C99/1000000</f>
        <v>0.26099925428784493</v>
      </c>
      <c r="D8" s="369" t="s">
        <v>40</v>
      </c>
      <c r="E8" s="370"/>
      <c r="F8" s="371"/>
      <c r="G8" s="371"/>
    </row>
    <row r="9" spans="1:8" ht="15" customHeight="1">
      <c r="B9" s="373" t="s">
        <v>41</v>
      </c>
      <c r="C9" s="888">
        <v>350</v>
      </c>
      <c r="D9" s="374" t="s">
        <v>42</v>
      </c>
      <c r="E9" s="370"/>
      <c r="F9" s="371"/>
      <c r="G9" s="371"/>
    </row>
    <row r="10" spans="1:8" ht="15" customHeight="1">
      <c r="B10" s="373" t="s">
        <v>43</v>
      </c>
      <c r="C10" s="888">
        <v>500</v>
      </c>
      <c r="D10" s="374" t="s">
        <v>373</v>
      </c>
      <c r="E10" s="375"/>
      <c r="F10" s="371"/>
      <c r="G10" s="371"/>
    </row>
    <row r="11" spans="1:8" ht="15" customHeight="1">
      <c r="B11" s="373" t="s">
        <v>44</v>
      </c>
      <c r="C11" s="888">
        <v>19300</v>
      </c>
      <c r="D11" s="374" t="s">
        <v>45</v>
      </c>
      <c r="E11" s="375"/>
      <c r="F11" s="371"/>
      <c r="G11" s="371"/>
    </row>
    <row r="12" spans="1:8" ht="15" customHeight="1" thickBot="1">
      <c r="B12" s="376" t="s">
        <v>46</v>
      </c>
      <c r="C12" s="889">
        <v>7000</v>
      </c>
      <c r="D12" s="377" t="s">
        <v>47</v>
      </c>
      <c r="E12" s="378"/>
      <c r="F12" s="379" t="s">
        <v>56</v>
      </c>
    </row>
    <row r="13" spans="1:8" ht="12" thickTop="1">
      <c r="B13" s="380"/>
      <c r="C13" s="381"/>
      <c r="D13" s="380"/>
      <c r="E13" s="378"/>
      <c r="F13" s="379"/>
    </row>
    <row r="14" spans="1:8">
      <c r="B14" s="225"/>
      <c r="C14" s="225"/>
      <c r="D14" s="225"/>
      <c r="E14" s="225"/>
      <c r="F14" s="225"/>
      <c r="G14" s="225"/>
    </row>
    <row r="15" spans="1:8" ht="12" thickBot="1">
      <c r="A15" s="225"/>
      <c r="B15" s="382" t="s">
        <v>588</v>
      </c>
      <c r="C15" s="371"/>
      <c r="D15" s="371"/>
      <c r="E15" s="371"/>
      <c r="F15" s="371"/>
      <c r="G15" s="371"/>
    </row>
    <row r="16" spans="1:8" ht="15.75" customHeight="1" thickTop="1">
      <c r="B16" s="1394" t="s">
        <v>22</v>
      </c>
      <c r="C16" s="1381" t="s">
        <v>37</v>
      </c>
      <c r="D16" s="1396" t="s">
        <v>31</v>
      </c>
      <c r="E16" s="1518" t="s">
        <v>94</v>
      </c>
      <c r="F16" s="1519"/>
      <c r="H16" s="225"/>
    </row>
    <row r="17" spans="1:8" ht="24.75" customHeight="1" thickBot="1">
      <c r="B17" s="1395"/>
      <c r="C17" s="1382"/>
      <c r="D17" s="1397"/>
      <c r="E17" s="383" t="s">
        <v>561</v>
      </c>
      <c r="F17" s="384" t="s">
        <v>323</v>
      </c>
      <c r="H17" s="225"/>
    </row>
    <row r="18" spans="1:8" ht="15" customHeight="1" thickTop="1">
      <c r="B18" s="385" t="s">
        <v>7</v>
      </c>
      <c r="C18" s="429">
        <f>0.2</f>
        <v>0.2</v>
      </c>
      <c r="D18" s="928" t="s">
        <v>592</v>
      </c>
      <c r="E18" s="387">
        <f>C18*($C$8*1000)*0.0022046</f>
        <v>0.11507979120059658</v>
      </c>
      <c r="F18" s="1353">
        <f>E18*$C$10/2000</f>
        <v>2.8769947800149145E-2</v>
      </c>
    </row>
    <row r="19" spans="1:8" ht="15" customHeight="1">
      <c r="B19" s="389" t="s">
        <v>374</v>
      </c>
      <c r="C19" s="443">
        <f>0.2</f>
        <v>0.2</v>
      </c>
      <c r="D19" s="391" t="s">
        <v>592</v>
      </c>
      <c r="E19" s="392">
        <f>C19*($C$8*1000)*0.0022046</f>
        <v>0.11507979120059658</v>
      </c>
      <c r="F19" s="1244">
        <f t="shared" ref="F19:F25" si="0">E19*$C$10/2000</f>
        <v>2.8769947800149145E-2</v>
      </c>
    </row>
    <row r="20" spans="1:8" ht="15" customHeight="1">
      <c r="B20" s="389" t="s">
        <v>116</v>
      </c>
      <c r="C20" s="443">
        <f>0.2</f>
        <v>0.2</v>
      </c>
      <c r="D20" s="391" t="s">
        <v>592</v>
      </c>
      <c r="E20" s="392">
        <f>C20*($C$8*1000)*0.0022046</f>
        <v>0.11507979120059658</v>
      </c>
      <c r="F20" s="1244">
        <f t="shared" si="0"/>
        <v>2.8769947800149145E-2</v>
      </c>
    </row>
    <row r="21" spans="1:8" ht="15" customHeight="1">
      <c r="B21" s="389" t="s">
        <v>375</v>
      </c>
      <c r="C21" s="443">
        <f>4</f>
        <v>4</v>
      </c>
      <c r="D21" s="391" t="s">
        <v>593</v>
      </c>
      <c r="E21" s="392">
        <f>C21*($C$8*1000)*0.0022046</f>
        <v>2.3015958240119319</v>
      </c>
      <c r="F21" s="416">
        <f t="shared" si="0"/>
        <v>0.57539895600298296</v>
      </c>
    </row>
    <row r="22" spans="1:8" ht="15" customHeight="1">
      <c r="B22" s="389" t="s">
        <v>115</v>
      </c>
      <c r="C22" s="390">
        <v>15</v>
      </c>
      <c r="D22" s="391" t="s">
        <v>49</v>
      </c>
      <c r="E22" s="393">
        <f>(C9*C12/C11)*(C22/1000000)*64/32</f>
        <v>3.8082901554404146E-3</v>
      </c>
      <c r="F22" s="1239">
        <f>E22*$C$10/2000</f>
        <v>9.5207253886010366E-4</v>
      </c>
    </row>
    <row r="23" spans="1:8" ht="15" customHeight="1">
      <c r="B23" s="389" t="s">
        <v>2</v>
      </c>
      <c r="C23" s="443">
        <f>3.5</f>
        <v>3.5</v>
      </c>
      <c r="D23" s="394" t="s">
        <v>592</v>
      </c>
      <c r="E23" s="392">
        <f>C23*($C$8*1000)*0.0022046</f>
        <v>2.0138963460104402</v>
      </c>
      <c r="F23" s="416">
        <f t="shared" si="0"/>
        <v>0.50347408650261005</v>
      </c>
    </row>
    <row r="24" spans="1:8" ht="15" customHeight="1">
      <c r="B24" s="389" t="s">
        <v>50</v>
      </c>
      <c r="C24" s="393">
        <v>2.47E-3</v>
      </c>
      <c r="D24" s="394" t="s">
        <v>51</v>
      </c>
      <c r="E24" s="464">
        <f>C24*C9</f>
        <v>0.86450000000000005</v>
      </c>
      <c r="F24" s="416">
        <f t="shared" si="0"/>
        <v>0.21612500000000001</v>
      </c>
    </row>
    <row r="25" spans="1:8" ht="15" customHeight="1" thickBot="1">
      <c r="B25" s="395" t="s">
        <v>117</v>
      </c>
      <c r="C25" s="929">
        <v>1.1499999999999999</v>
      </c>
      <c r="D25" s="396" t="s">
        <v>51</v>
      </c>
      <c r="E25" s="463">
        <f>C25*C9</f>
        <v>402.49999999999994</v>
      </c>
      <c r="F25" s="417">
        <f t="shared" si="0"/>
        <v>100.62499999999999</v>
      </c>
    </row>
    <row r="26" spans="1:8" ht="12" thickTop="1">
      <c r="B26" s="225"/>
      <c r="C26" s="397"/>
      <c r="D26" s="398"/>
      <c r="E26" s="399"/>
      <c r="F26" s="400"/>
      <c r="G26" s="401"/>
      <c r="H26" s="225"/>
    </row>
    <row r="27" spans="1:8" ht="12" thickBot="1">
      <c r="A27" s="225"/>
      <c r="B27" s="382" t="s">
        <v>86</v>
      </c>
      <c r="C27" s="398"/>
      <c r="D27" s="371"/>
      <c r="E27" s="402"/>
      <c r="F27" s="402"/>
      <c r="G27" s="402"/>
      <c r="H27" s="225"/>
    </row>
    <row r="28" spans="1:8" ht="15.75" customHeight="1" thickTop="1">
      <c r="B28" s="1394" t="s">
        <v>22</v>
      </c>
      <c r="C28" s="1381" t="s">
        <v>37</v>
      </c>
      <c r="D28" s="1396" t="s">
        <v>31</v>
      </c>
      <c r="E28" s="1518" t="s">
        <v>94</v>
      </c>
      <c r="F28" s="1519"/>
      <c r="H28" s="225"/>
    </row>
    <row r="29" spans="1:8" ht="24.75" customHeight="1" thickBot="1">
      <c r="B29" s="1395"/>
      <c r="C29" s="1382"/>
      <c r="D29" s="1397"/>
      <c r="E29" s="383" t="s">
        <v>561</v>
      </c>
      <c r="F29" s="384" t="s">
        <v>323</v>
      </c>
      <c r="H29" s="225"/>
    </row>
    <row r="30" spans="1:8" ht="15" customHeight="1" thickTop="1">
      <c r="B30" s="403" t="s">
        <v>11</v>
      </c>
      <c r="C30" s="878">
        <f>0.000767*$C$12/1000000</f>
        <v>5.3689999999999998E-6</v>
      </c>
      <c r="D30" s="404" t="s">
        <v>51</v>
      </c>
      <c r="E30" s="404">
        <f t="shared" ref="E30:E38" si="1">C30*$C$9</f>
        <v>1.87915E-3</v>
      </c>
      <c r="F30" s="879">
        <f>E30*$C$10/2000</f>
        <v>4.697875E-4</v>
      </c>
    </row>
    <row r="31" spans="1:8" ht="15" customHeight="1">
      <c r="B31" s="405" t="s">
        <v>12</v>
      </c>
      <c r="C31" s="406">
        <f>0.0000925*$C$12/1000000</f>
        <v>6.4749999999999994E-7</v>
      </c>
      <c r="D31" s="407" t="s">
        <v>51</v>
      </c>
      <c r="E31" s="407">
        <f t="shared" si="1"/>
        <v>2.2662499999999999E-4</v>
      </c>
      <c r="F31" s="880">
        <f t="shared" ref="F31:F38" si="2">E31*$C$10/2000</f>
        <v>5.6656249999999998E-5</v>
      </c>
    </row>
    <row r="32" spans="1:8" ht="15" customHeight="1">
      <c r="B32" s="405" t="s">
        <v>13</v>
      </c>
      <c r="C32" s="406">
        <f>0.000933*$C$12/1000000</f>
        <v>6.5309999999999998E-6</v>
      </c>
      <c r="D32" s="407" t="s">
        <v>51</v>
      </c>
      <c r="E32" s="407">
        <f t="shared" si="1"/>
        <v>2.2858499999999999E-3</v>
      </c>
      <c r="F32" s="880">
        <f t="shared" si="2"/>
        <v>5.7146249999999997E-4</v>
      </c>
    </row>
    <row r="33" spans="1:8" ht="15" customHeight="1">
      <c r="B33" s="405" t="s">
        <v>25</v>
      </c>
      <c r="C33" s="406">
        <f>0.000000188*$C$12/1000000</f>
        <v>1.3159999999999998E-9</v>
      </c>
      <c r="D33" s="407" t="s">
        <v>576</v>
      </c>
      <c r="E33" s="407">
        <f t="shared" si="1"/>
        <v>4.6059999999999993E-7</v>
      </c>
      <c r="F33" s="880">
        <f t="shared" si="2"/>
        <v>1.1514999999999998E-7</v>
      </c>
    </row>
    <row r="34" spans="1:8" ht="15" customHeight="1">
      <c r="B34" s="405" t="s">
        <v>10</v>
      </c>
      <c r="C34" s="406">
        <f>0.0000391*$C$12/1000000</f>
        <v>2.7370000000000002E-7</v>
      </c>
      <c r="D34" s="406" t="s">
        <v>51</v>
      </c>
      <c r="E34" s="407">
        <f t="shared" si="1"/>
        <v>9.5795000000000014E-5</v>
      </c>
      <c r="F34" s="880">
        <f t="shared" si="2"/>
        <v>2.3948750000000003E-5</v>
      </c>
    </row>
    <row r="35" spans="1:8" ht="15" customHeight="1">
      <c r="B35" s="405" t="s">
        <v>15</v>
      </c>
      <c r="C35" s="406">
        <f>0.00118*$C$12/1000000</f>
        <v>8.2600000000000005E-6</v>
      </c>
      <c r="D35" s="406" t="s">
        <v>51</v>
      </c>
      <c r="E35" s="407">
        <f t="shared" si="1"/>
        <v>2.8910000000000003E-3</v>
      </c>
      <c r="F35" s="880">
        <f t="shared" si="2"/>
        <v>7.2275000000000009E-4</v>
      </c>
    </row>
    <row r="36" spans="1:8" ht="15" customHeight="1">
      <c r="B36" s="405" t="s">
        <v>68</v>
      </c>
      <c r="C36" s="406">
        <f>0.000168*$C$12/1000000</f>
        <v>1.1759999999999998E-6</v>
      </c>
      <c r="D36" s="406" t="s">
        <v>51</v>
      </c>
      <c r="E36" s="407">
        <f t="shared" si="1"/>
        <v>4.1159999999999992E-4</v>
      </c>
      <c r="F36" s="880">
        <f t="shared" si="2"/>
        <v>1.0289999999999998E-4</v>
      </c>
    </row>
    <row r="37" spans="1:8" ht="15" customHeight="1">
      <c r="B37" s="405" t="s">
        <v>21</v>
      </c>
      <c r="C37" s="406">
        <f>0.000409*$C$12/1000000</f>
        <v>2.8629999999999999E-6</v>
      </c>
      <c r="D37" s="406" t="s">
        <v>51</v>
      </c>
      <c r="E37" s="407">
        <f t="shared" si="1"/>
        <v>1.00205E-3</v>
      </c>
      <c r="F37" s="880">
        <f t="shared" si="2"/>
        <v>2.505125E-4</v>
      </c>
    </row>
    <row r="38" spans="1:8" ht="15" customHeight="1" thickBot="1">
      <c r="B38" s="408" t="s">
        <v>136</v>
      </c>
      <c r="C38" s="409">
        <f>0.000285*$C$12/1000000</f>
        <v>1.995E-6</v>
      </c>
      <c r="D38" s="409" t="s">
        <v>51</v>
      </c>
      <c r="E38" s="881">
        <f t="shared" si="1"/>
        <v>6.9824999999999998E-4</v>
      </c>
      <c r="F38" s="882">
        <f t="shared" si="2"/>
        <v>1.7456249999999999E-4</v>
      </c>
    </row>
    <row r="39" spans="1:8" ht="15" customHeight="1" thickTop="1" thickBot="1">
      <c r="B39" s="763"/>
      <c r="C39" s="764"/>
      <c r="D39" s="765" t="s">
        <v>562</v>
      </c>
      <c r="E39" s="885">
        <f>SUM(E30:E38)-E33</f>
        <v>9.49032E-3</v>
      </c>
      <c r="F39" s="886">
        <f>SUM(F30:F38)-F33</f>
        <v>2.37258E-3</v>
      </c>
    </row>
    <row r="40" spans="1:8" ht="12" thickTop="1">
      <c r="A40" s="410" t="s">
        <v>196</v>
      </c>
      <c r="B40" s="299"/>
      <c r="C40" s="411"/>
      <c r="D40" s="411"/>
      <c r="E40" s="411"/>
      <c r="F40" s="412"/>
      <c r="G40" s="411"/>
      <c r="H40" s="299"/>
    </row>
    <row r="41" spans="1:8" ht="22.5" customHeight="1">
      <c r="A41" s="413">
        <v>1</v>
      </c>
      <c r="B41" s="1483" t="s">
        <v>621</v>
      </c>
      <c r="C41" s="1483"/>
      <c r="D41" s="1483"/>
      <c r="E41" s="1483"/>
      <c r="F41" s="1483"/>
      <c r="G41" s="1483"/>
      <c r="H41" s="1483"/>
    </row>
    <row r="42" spans="1:8" ht="12">
      <c r="A42" s="414">
        <v>2</v>
      </c>
      <c r="B42" s="298" t="s">
        <v>589</v>
      </c>
      <c r="C42" s="298"/>
      <c r="D42" s="298"/>
      <c r="E42" s="298"/>
      <c r="F42" s="298"/>
      <c r="G42" s="298"/>
      <c r="H42" s="298"/>
    </row>
    <row r="43" spans="1:8" ht="12">
      <c r="A43" s="414">
        <v>3</v>
      </c>
      <c r="B43" s="298" t="s">
        <v>821</v>
      </c>
      <c r="C43" s="298"/>
      <c r="D43" s="298"/>
      <c r="E43" s="298"/>
      <c r="F43" s="298"/>
      <c r="G43" s="298"/>
      <c r="H43" s="298"/>
    </row>
    <row r="44" spans="1:8" ht="21" customHeight="1">
      <c r="A44" s="413">
        <v>4</v>
      </c>
      <c r="B44" s="1517" t="s">
        <v>590</v>
      </c>
      <c r="C44" s="1517"/>
      <c r="D44" s="1517"/>
      <c r="E44" s="1517"/>
      <c r="F44" s="1517"/>
      <c r="G44" s="1517"/>
      <c r="H44" s="1517"/>
    </row>
    <row r="45" spans="1:8" ht="24" customHeight="1">
      <c r="A45" s="413">
        <v>5</v>
      </c>
      <c r="B45" s="1416" t="s">
        <v>591</v>
      </c>
      <c r="C45" s="1416"/>
      <c r="D45" s="1416"/>
      <c r="E45" s="1416"/>
      <c r="F45" s="1416"/>
      <c r="G45" s="1416"/>
      <c r="H45" s="1416"/>
    </row>
    <row r="46" spans="1:8" ht="12">
      <c r="A46" s="414">
        <v>6</v>
      </c>
      <c r="B46" s="415" t="s">
        <v>52</v>
      </c>
      <c r="C46" s="298"/>
      <c r="D46" s="298"/>
      <c r="E46" s="298"/>
      <c r="F46" s="298"/>
      <c r="G46" s="298"/>
      <c r="H46" s="298"/>
    </row>
    <row r="47" spans="1:8">
      <c r="C47" s="366"/>
      <c r="D47" s="366"/>
    </row>
    <row r="48" spans="1:8">
      <c r="B48" s="365" t="s">
        <v>376</v>
      </c>
      <c r="C48" s="366"/>
      <c r="D48" s="366"/>
      <c r="E48" s="366"/>
    </row>
    <row r="49" spans="2:7">
      <c r="B49" s="382"/>
      <c r="C49" s="62"/>
      <c r="D49" s="62"/>
      <c r="E49" s="366"/>
    </row>
    <row r="50" spans="2:7" ht="12" thickBot="1">
      <c r="B50" s="418" t="s">
        <v>53</v>
      </c>
      <c r="C50" s="367"/>
      <c r="D50" s="367"/>
      <c r="E50" s="367"/>
      <c r="F50" s="367"/>
    </row>
    <row r="51" spans="2:7" ht="15" customHeight="1" thickTop="1">
      <c r="B51" s="368" t="s">
        <v>39</v>
      </c>
      <c r="C51" s="887">
        <f>C52/C99/1000000</f>
        <v>0.17449664429530201</v>
      </c>
      <c r="D51" s="369" t="s">
        <v>40</v>
      </c>
      <c r="E51" s="367"/>
      <c r="F51" s="367"/>
    </row>
    <row r="52" spans="2:7" ht="15" customHeight="1">
      <c r="B52" s="373" t="s">
        <v>41</v>
      </c>
      <c r="C52" s="888">
        <v>234</v>
      </c>
      <c r="D52" s="374" t="s">
        <v>54</v>
      </c>
      <c r="E52" s="370"/>
      <c r="F52" s="367"/>
    </row>
    <row r="53" spans="2:7" ht="15" customHeight="1">
      <c r="B53" s="373" t="s">
        <v>43</v>
      </c>
      <c r="C53" s="888">
        <v>500</v>
      </c>
      <c r="D53" s="374" t="s">
        <v>373</v>
      </c>
      <c r="E53" s="375"/>
      <c r="F53" s="371"/>
    </row>
    <row r="54" spans="2:7" ht="15" customHeight="1">
      <c r="B54" s="373" t="s">
        <v>44</v>
      </c>
      <c r="C54" s="888">
        <v>19300</v>
      </c>
      <c r="D54" s="374" t="s">
        <v>45</v>
      </c>
      <c r="E54" s="375"/>
      <c r="F54" s="371"/>
    </row>
    <row r="55" spans="2:7" ht="15" customHeight="1" thickBot="1">
      <c r="B55" s="376" t="s">
        <v>46</v>
      </c>
      <c r="C55" s="889">
        <v>7000</v>
      </c>
      <c r="D55" s="377" t="s">
        <v>47</v>
      </c>
      <c r="E55" s="378"/>
      <c r="F55" s="379" t="s">
        <v>56</v>
      </c>
    </row>
    <row r="56" spans="2:7" ht="12" thickTop="1">
      <c r="B56" s="380"/>
      <c r="C56" s="381"/>
      <c r="D56" s="380"/>
    </row>
    <row r="57" spans="2:7">
      <c r="B57" s="380"/>
      <c r="C57" s="381"/>
      <c r="D57" s="380"/>
    </row>
    <row r="58" spans="2:7" ht="12" thickBot="1">
      <c r="B58" s="382" t="s">
        <v>588</v>
      </c>
      <c r="C58" s="419"/>
      <c r="D58" s="420"/>
      <c r="E58" s="420"/>
      <c r="F58" s="420"/>
      <c r="G58" s="420"/>
    </row>
    <row r="59" spans="2:7" ht="15.75" customHeight="1" thickTop="1">
      <c r="B59" s="1394" t="s">
        <v>22</v>
      </c>
      <c r="C59" s="1381" t="s">
        <v>37</v>
      </c>
      <c r="D59" s="1396" t="s">
        <v>31</v>
      </c>
      <c r="E59" s="1518" t="s">
        <v>94</v>
      </c>
      <c r="F59" s="1519"/>
    </row>
    <row r="60" spans="2:7" ht="24.75" customHeight="1" thickBot="1">
      <c r="B60" s="1395"/>
      <c r="C60" s="1382"/>
      <c r="D60" s="1397"/>
      <c r="E60" s="383" t="s">
        <v>561</v>
      </c>
      <c r="F60" s="384" t="s">
        <v>323</v>
      </c>
    </row>
    <row r="61" spans="2:7" ht="15" customHeight="1" thickTop="1">
      <c r="B61" s="385" t="s">
        <v>7</v>
      </c>
      <c r="C61" s="393">
        <f>0.15/$C$98</f>
        <v>3.3069366302756662E-4</v>
      </c>
      <c r="D61" s="394" t="s">
        <v>616</v>
      </c>
      <c r="E61" s="1240">
        <f>C61*$C$52</f>
        <v>7.7382317148450591E-2</v>
      </c>
      <c r="F61" s="1241">
        <f>E61*$C$53/2000</f>
        <v>1.9345579287112648E-2</v>
      </c>
    </row>
    <row r="62" spans="2:7" ht="15" customHeight="1">
      <c r="B62" s="389" t="s">
        <v>374</v>
      </c>
      <c r="C62" s="393">
        <f>0.15/$C$98</f>
        <v>3.3069366302756662E-4</v>
      </c>
      <c r="D62" s="394" t="s">
        <v>616</v>
      </c>
      <c r="E62" s="1240">
        <f t="shared" ref="E62:E67" si="3">C62*$C$52</f>
        <v>7.7382317148450591E-2</v>
      </c>
      <c r="F62" s="1242">
        <f t="shared" ref="F62:F68" si="4">E62*$C$53/2000</f>
        <v>1.9345579287112648E-2</v>
      </c>
    </row>
    <row r="63" spans="2:7" ht="15" customHeight="1">
      <c r="B63" s="389" t="s">
        <v>116</v>
      </c>
      <c r="C63" s="393">
        <f>0.15/$C$98</f>
        <v>3.3069366302756662E-4</v>
      </c>
      <c r="D63" s="394" t="s">
        <v>616</v>
      </c>
      <c r="E63" s="1240">
        <f t="shared" si="3"/>
        <v>7.7382317148450591E-2</v>
      </c>
      <c r="F63" s="1242">
        <f t="shared" si="4"/>
        <v>1.9345579287112648E-2</v>
      </c>
    </row>
    <row r="64" spans="2:7" ht="15" customHeight="1">
      <c r="B64" s="389" t="s">
        <v>375</v>
      </c>
      <c r="C64" s="393">
        <f>(3*0.95)/C98</f>
        <v>6.2831795975237656E-3</v>
      </c>
      <c r="D64" s="394" t="s">
        <v>618</v>
      </c>
      <c r="E64" s="392">
        <f t="shared" si="3"/>
        <v>1.470264025820561</v>
      </c>
      <c r="F64" s="416">
        <f t="shared" si="4"/>
        <v>0.36756600645514026</v>
      </c>
    </row>
    <row r="65" spans="2:8" ht="15" customHeight="1">
      <c r="B65" s="389" t="s">
        <v>115</v>
      </c>
      <c r="C65" s="390">
        <v>15</v>
      </c>
      <c r="D65" s="391" t="s">
        <v>806</v>
      </c>
      <c r="E65" s="393">
        <f>(C52*C55/C54)*(C65/1000000)*64/32</f>
        <v>2.5461139896373057E-3</v>
      </c>
      <c r="F65" s="1239">
        <f>E65*$C$53/2000</f>
        <v>6.3652849740932643E-4</v>
      </c>
    </row>
    <row r="66" spans="2:8" ht="15" customHeight="1">
      <c r="B66" s="389" t="s">
        <v>2</v>
      </c>
      <c r="C66" s="393">
        <f>2.6/C98</f>
        <v>5.7320234924778217E-3</v>
      </c>
      <c r="D66" s="394" t="s">
        <v>616</v>
      </c>
      <c r="E66" s="392">
        <f t="shared" si="3"/>
        <v>1.3412934972398103</v>
      </c>
      <c r="F66" s="416">
        <f t="shared" si="4"/>
        <v>0.33532337430995257</v>
      </c>
    </row>
    <row r="67" spans="2:8" ht="15" customHeight="1">
      <c r="B67" s="389" t="s">
        <v>50</v>
      </c>
      <c r="C67" s="393">
        <f>(3*0.05*1.07)/C98</f>
        <v>3.5384221943949635E-4</v>
      </c>
      <c r="D67" s="394" t="s">
        <v>616</v>
      </c>
      <c r="E67" s="1243">
        <f t="shared" si="3"/>
        <v>8.2799079348842147E-2</v>
      </c>
      <c r="F67" s="1244">
        <f t="shared" si="4"/>
        <v>2.0699769837210537E-2</v>
      </c>
    </row>
    <row r="68" spans="2:8" ht="15" customHeight="1" thickBot="1">
      <c r="B68" s="395" t="s">
        <v>117</v>
      </c>
      <c r="C68" s="929">
        <v>1.1499999999999999</v>
      </c>
      <c r="D68" s="396" t="s">
        <v>807</v>
      </c>
      <c r="E68" s="795">
        <f>C68*C52</f>
        <v>269.09999999999997</v>
      </c>
      <c r="F68" s="417">
        <f t="shared" si="4"/>
        <v>67.274999999999991</v>
      </c>
    </row>
    <row r="69" spans="2:8" ht="12" thickTop="1">
      <c r="B69" s="380"/>
      <c r="C69" s="397"/>
      <c r="D69" s="398"/>
      <c r="E69" s="397"/>
      <c r="F69" s="398"/>
      <c r="G69" s="370"/>
      <c r="H69" s="225"/>
    </row>
    <row r="70" spans="2:8" ht="12" thickBot="1">
      <c r="B70" s="419" t="s">
        <v>86</v>
      </c>
      <c r="C70" s="421"/>
      <c r="D70" s="422"/>
      <c r="E70" s="423"/>
      <c r="F70" s="423"/>
      <c r="G70" s="371"/>
      <c r="H70" s="225"/>
    </row>
    <row r="71" spans="2:8" ht="12" customHeight="1" thickTop="1">
      <c r="B71" s="1394" t="s">
        <v>22</v>
      </c>
      <c r="C71" s="1381" t="s">
        <v>37</v>
      </c>
      <c r="D71" s="1381" t="s">
        <v>31</v>
      </c>
      <c r="E71" s="1518" t="s">
        <v>94</v>
      </c>
      <c r="F71" s="1519"/>
      <c r="G71" s="225"/>
    </row>
    <row r="72" spans="2:8" ht="24.75" customHeight="1" thickBot="1">
      <c r="B72" s="1395"/>
      <c r="C72" s="1382"/>
      <c r="D72" s="1382"/>
      <c r="E72" s="383" t="s">
        <v>561</v>
      </c>
      <c r="F72" s="384" t="s">
        <v>323</v>
      </c>
      <c r="G72" s="225"/>
    </row>
    <row r="73" spans="2:8" ht="15" customHeight="1" thickTop="1">
      <c r="B73" s="403" t="s">
        <v>11</v>
      </c>
      <c r="C73" s="878">
        <f>0.000767*$C$55/1000000</f>
        <v>5.3689999999999998E-6</v>
      </c>
      <c r="D73" s="404" t="s">
        <v>807</v>
      </c>
      <c r="E73" s="404">
        <f t="shared" ref="E73:E81" si="5">C73*$C$52</f>
        <v>1.256346E-3</v>
      </c>
      <c r="F73" s="879">
        <f>E73*$C$53/2000</f>
        <v>3.140865E-4</v>
      </c>
      <c r="G73" s="225"/>
    </row>
    <row r="74" spans="2:8" ht="15" customHeight="1">
      <c r="B74" s="405" t="s">
        <v>12</v>
      </c>
      <c r="C74" s="406">
        <f>0.0000925*$C$55/1000000</f>
        <v>6.4749999999999994E-7</v>
      </c>
      <c r="D74" s="407" t="s">
        <v>807</v>
      </c>
      <c r="E74" s="407">
        <f t="shared" si="5"/>
        <v>1.5151499999999999E-4</v>
      </c>
      <c r="F74" s="880">
        <f t="shared" ref="F74:F81" si="6">E74*$C$53/2000</f>
        <v>3.7878749999999997E-5</v>
      </c>
    </row>
    <row r="75" spans="2:8" ht="15" customHeight="1">
      <c r="B75" s="405" t="s">
        <v>13</v>
      </c>
      <c r="C75" s="406">
        <f>0.000933*$C$55/1000000</f>
        <v>6.5309999999999998E-6</v>
      </c>
      <c r="D75" s="407" t="s">
        <v>807</v>
      </c>
      <c r="E75" s="407">
        <f t="shared" si="5"/>
        <v>1.5282539999999999E-3</v>
      </c>
      <c r="F75" s="880">
        <f t="shared" si="6"/>
        <v>3.8206349999999999E-4</v>
      </c>
      <c r="G75" s="388"/>
    </row>
    <row r="76" spans="2:8" ht="15" customHeight="1">
      <c r="B76" s="405" t="s">
        <v>25</v>
      </c>
      <c r="C76" s="406">
        <f>0.000000188*$C$55/1000000</f>
        <v>1.3159999999999998E-9</v>
      </c>
      <c r="D76" s="407" t="s">
        <v>808</v>
      </c>
      <c r="E76" s="407">
        <f t="shared" si="5"/>
        <v>3.0794399999999994E-7</v>
      </c>
      <c r="F76" s="880">
        <f t="shared" si="6"/>
        <v>7.6985999999999985E-8</v>
      </c>
      <c r="G76" s="388"/>
    </row>
    <row r="77" spans="2:8" ht="15" customHeight="1">
      <c r="B77" s="405" t="s">
        <v>10</v>
      </c>
      <c r="C77" s="406">
        <f>0.0000391*$C$55/1000000</f>
        <v>2.7370000000000002E-7</v>
      </c>
      <c r="D77" s="407" t="s">
        <v>807</v>
      </c>
      <c r="E77" s="407">
        <f t="shared" si="5"/>
        <v>6.4045800000000003E-5</v>
      </c>
      <c r="F77" s="880">
        <f t="shared" si="6"/>
        <v>1.6011450000000001E-5</v>
      </c>
      <c r="G77" s="388"/>
    </row>
    <row r="78" spans="2:8" ht="15" customHeight="1">
      <c r="B78" s="405" t="s">
        <v>15</v>
      </c>
      <c r="C78" s="406">
        <f>0.00118*$C$55/1000000</f>
        <v>8.2600000000000005E-6</v>
      </c>
      <c r="D78" s="407" t="s">
        <v>807</v>
      </c>
      <c r="E78" s="407">
        <f t="shared" si="5"/>
        <v>1.9328400000000001E-3</v>
      </c>
      <c r="F78" s="880">
        <f t="shared" si="6"/>
        <v>4.8321000000000003E-4</v>
      </c>
      <c r="G78" s="388"/>
    </row>
    <row r="79" spans="2:8" ht="15" customHeight="1">
      <c r="B79" s="405" t="s">
        <v>68</v>
      </c>
      <c r="C79" s="406">
        <f>0.000168*$C$55/1000000</f>
        <v>1.1759999999999998E-6</v>
      </c>
      <c r="D79" s="407" t="s">
        <v>807</v>
      </c>
      <c r="E79" s="407">
        <f t="shared" si="5"/>
        <v>2.7518399999999999E-4</v>
      </c>
      <c r="F79" s="880">
        <f t="shared" si="6"/>
        <v>6.8795999999999997E-5</v>
      </c>
      <c r="G79" s="388"/>
    </row>
    <row r="80" spans="2:8" ht="15" customHeight="1">
      <c r="B80" s="405" t="s">
        <v>21</v>
      </c>
      <c r="C80" s="406">
        <f>0.000409*$C$55/1000000</f>
        <v>2.8629999999999999E-6</v>
      </c>
      <c r="D80" s="407" t="s">
        <v>807</v>
      </c>
      <c r="E80" s="407">
        <f t="shared" si="5"/>
        <v>6.6994199999999998E-4</v>
      </c>
      <c r="F80" s="880">
        <f t="shared" si="6"/>
        <v>1.6748549999999999E-4</v>
      </c>
      <c r="G80" s="388"/>
    </row>
    <row r="81" spans="1:9" ht="15" customHeight="1" thickBot="1">
      <c r="B81" s="408" t="s">
        <v>136</v>
      </c>
      <c r="C81" s="409">
        <f>0.000285*$C$55/1000000</f>
        <v>1.995E-6</v>
      </c>
      <c r="D81" s="407" t="s">
        <v>807</v>
      </c>
      <c r="E81" s="881">
        <f t="shared" si="5"/>
        <v>4.6683E-4</v>
      </c>
      <c r="F81" s="882">
        <f t="shared" si="6"/>
        <v>1.167075E-4</v>
      </c>
      <c r="G81" s="388"/>
    </row>
    <row r="82" spans="1:9" ht="15" customHeight="1" thickTop="1" thickBot="1">
      <c r="B82" s="763"/>
      <c r="C82" s="764"/>
      <c r="D82" s="765" t="s">
        <v>562</v>
      </c>
      <c r="E82" s="883">
        <f>SUM(E73:E81)-E76</f>
        <v>6.3449567999999991E-3</v>
      </c>
      <c r="F82" s="884">
        <f>SUM(F73:F81)-F76</f>
        <v>1.5862391999999998E-3</v>
      </c>
    </row>
    <row r="83" spans="1:9" ht="12" thickTop="1">
      <c r="A83" s="410" t="s">
        <v>196</v>
      </c>
      <c r="B83" s="204"/>
      <c r="C83" s="201"/>
      <c r="D83" s="201"/>
      <c r="E83" s="201"/>
      <c r="F83" s="203"/>
      <c r="G83" s="201"/>
    </row>
    <row r="84" spans="1:9" ht="23.25" customHeight="1">
      <c r="A84" s="413">
        <v>1</v>
      </c>
      <c r="B84" s="1483" t="s">
        <v>619</v>
      </c>
      <c r="C84" s="1483"/>
      <c r="D84" s="1483"/>
      <c r="E84" s="1483"/>
      <c r="F84" s="1483"/>
      <c r="G84" s="1483"/>
      <c r="H84" s="1483"/>
    </row>
    <row r="85" spans="1:9" ht="17.399999999999999" customHeight="1">
      <c r="A85" s="208" t="s">
        <v>801</v>
      </c>
      <c r="B85" s="206" t="s">
        <v>822</v>
      </c>
      <c r="C85" s="206"/>
      <c r="D85" s="206"/>
      <c r="E85" s="206"/>
      <c r="F85" s="206"/>
      <c r="G85" s="206"/>
      <c r="H85" s="206"/>
      <c r="I85" s="206"/>
    </row>
    <row r="86" spans="1:9" ht="23.25" customHeight="1">
      <c r="A86" s="208" t="s">
        <v>802</v>
      </c>
      <c r="B86" s="1401" t="s">
        <v>823</v>
      </c>
      <c r="C86" s="1401"/>
      <c r="D86" s="1401"/>
      <c r="E86" s="1401"/>
      <c r="F86" s="1401"/>
      <c r="G86" s="1401"/>
      <c r="H86" s="1401"/>
      <c r="I86" s="1248"/>
    </row>
    <row r="87" spans="1:9" ht="12" customHeight="1">
      <c r="A87" s="208" t="s">
        <v>803</v>
      </c>
      <c r="B87" s="1319" t="s">
        <v>819</v>
      </c>
      <c r="C87" s="1319"/>
      <c r="D87" s="1319"/>
      <c r="E87" s="1319"/>
      <c r="F87" s="1319"/>
      <c r="G87" s="1319"/>
      <c r="H87" s="1249"/>
      <c r="I87" s="1249"/>
    </row>
    <row r="88" spans="1:9" ht="22.95" customHeight="1">
      <c r="A88" s="208" t="s">
        <v>804</v>
      </c>
      <c r="B88" s="1517" t="s">
        <v>615</v>
      </c>
      <c r="C88" s="1517"/>
      <c r="D88" s="1517"/>
      <c r="E88" s="1517"/>
      <c r="F88" s="1517"/>
      <c r="G88" s="1517"/>
      <c r="H88" s="1517"/>
    </row>
    <row r="89" spans="1:9" ht="12.6" customHeight="1">
      <c r="A89" s="208" t="s">
        <v>805</v>
      </c>
      <c r="B89" s="363" t="s">
        <v>563</v>
      </c>
      <c r="H89" s="1085"/>
    </row>
    <row r="91" spans="1:9">
      <c r="A91" s="274" t="s">
        <v>313</v>
      </c>
    </row>
    <row r="92" spans="1:9">
      <c r="B92" s="299" t="s">
        <v>646</v>
      </c>
    </row>
    <row r="93" spans="1:9">
      <c r="B93" s="299"/>
    </row>
    <row r="94" spans="1:9">
      <c r="B94" s="299"/>
    </row>
    <row r="97" spans="1:4">
      <c r="A97" s="93" t="s">
        <v>77</v>
      </c>
    </row>
    <row r="98" spans="1:4">
      <c r="B98" s="1299" t="s">
        <v>430</v>
      </c>
      <c r="C98" s="814">
        <v>453.59199999999998</v>
      </c>
      <c r="D98" s="59" t="s">
        <v>431</v>
      </c>
    </row>
    <row r="99" spans="1:4">
      <c r="B99" s="1299" t="s">
        <v>820</v>
      </c>
      <c r="C99" s="372">
        <v>1.341E-3</v>
      </c>
      <c r="D99" s="59" t="s">
        <v>54</v>
      </c>
    </row>
  </sheetData>
  <mergeCells count="25">
    <mergeCell ref="B28:B29"/>
    <mergeCell ref="C28:C29"/>
    <mergeCell ref="D28:D29"/>
    <mergeCell ref="E16:F16"/>
    <mergeCell ref="E28:F28"/>
    <mergeCell ref="B1:G1"/>
    <mergeCell ref="B2:G2"/>
    <mergeCell ref="B3:G3"/>
    <mergeCell ref="B16:B17"/>
    <mergeCell ref="C16:C17"/>
    <mergeCell ref="D16:D17"/>
    <mergeCell ref="B88:H88"/>
    <mergeCell ref="B59:B60"/>
    <mergeCell ref="C59:C60"/>
    <mergeCell ref="D59:D60"/>
    <mergeCell ref="B41:H41"/>
    <mergeCell ref="E59:F59"/>
    <mergeCell ref="B44:H44"/>
    <mergeCell ref="B45:H45"/>
    <mergeCell ref="B84:H84"/>
    <mergeCell ref="B71:B72"/>
    <mergeCell ref="C71:C72"/>
    <mergeCell ref="D71:D72"/>
    <mergeCell ref="E71:F71"/>
    <mergeCell ref="B86:H86"/>
  </mergeCells>
  <phoneticPr fontId="72" type="noConversion"/>
  <pageMargins left="0.25" right="0.25" top="0.75" bottom="0.75" header="0.3" footer="0.3"/>
  <pageSetup scale="82" fitToWidth="0" fitToHeight="0" orientation="portrait" r:id="rId1"/>
  <headerFooter>
    <oddFooter>&amp;CPage &amp;P of &amp;N</oddFooter>
  </headerFooter>
  <rowBreaks count="1" manualBreakCount="1">
    <brk id="47" max="7"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8D5C-374D-4344-884F-719D94CFBF96}">
  <sheetPr>
    <pageSetUpPr fitToPage="1"/>
  </sheetPr>
  <dimension ref="A1:S80"/>
  <sheetViews>
    <sheetView topLeftCell="A46" workbookViewId="0">
      <selection activeCell="B1" sqref="B1:J1"/>
    </sheetView>
  </sheetViews>
  <sheetFormatPr defaultRowHeight="13.8" outlineLevelRow="1"/>
  <cols>
    <col min="1" max="1" width="3" style="1128" customWidth="1"/>
    <col min="2" max="2" width="44.88671875" style="1128" customWidth="1"/>
    <col min="3" max="6" width="13.109375" style="1128" customWidth="1"/>
    <col min="7" max="7" width="17.6640625" style="1128" customWidth="1"/>
    <col min="8" max="8" width="16.44140625" style="1128" customWidth="1"/>
    <col min="9" max="9" width="17.33203125" style="1128" customWidth="1"/>
    <col min="10" max="10" width="32.44140625" style="1128" customWidth="1"/>
    <col min="11" max="11" width="18" style="1128" customWidth="1"/>
    <col min="12" max="12" width="33.88671875" style="1128" customWidth="1"/>
    <col min="13" max="262" width="8.88671875" style="1128"/>
    <col min="263" max="263" width="40.44140625" style="1128" bestFit="1" customWidth="1"/>
    <col min="264" max="264" width="10.44140625" style="1128" bestFit="1" customWidth="1"/>
    <col min="265" max="265" width="17.6640625" style="1128" bestFit="1" customWidth="1"/>
    <col min="266" max="266" width="58.33203125" style="1128" customWidth="1"/>
    <col min="267" max="518" width="8.88671875" style="1128"/>
    <col min="519" max="519" width="40.44140625" style="1128" bestFit="1" customWidth="1"/>
    <col min="520" max="520" width="10.44140625" style="1128" bestFit="1" customWidth="1"/>
    <col min="521" max="521" width="17.6640625" style="1128" bestFit="1" customWidth="1"/>
    <col min="522" max="522" width="58.33203125" style="1128" customWidth="1"/>
    <col min="523" max="774" width="8.88671875" style="1128"/>
    <col min="775" max="775" width="40.44140625" style="1128" bestFit="1" customWidth="1"/>
    <col min="776" max="776" width="10.44140625" style="1128" bestFit="1" customWidth="1"/>
    <col min="777" max="777" width="17.6640625" style="1128" bestFit="1" customWidth="1"/>
    <col min="778" max="778" width="58.33203125" style="1128" customWidth="1"/>
    <col min="779" max="1030" width="8.88671875" style="1128"/>
    <col min="1031" max="1031" width="40.44140625" style="1128" bestFit="1" customWidth="1"/>
    <col min="1032" max="1032" width="10.44140625" style="1128" bestFit="1" customWidth="1"/>
    <col min="1033" max="1033" width="17.6640625" style="1128" bestFit="1" customWidth="1"/>
    <col min="1034" max="1034" width="58.33203125" style="1128" customWidth="1"/>
    <col min="1035" max="1286" width="8.88671875" style="1128"/>
    <col min="1287" max="1287" width="40.44140625" style="1128" bestFit="1" customWidth="1"/>
    <col min="1288" max="1288" width="10.44140625" style="1128" bestFit="1" customWidth="1"/>
    <col min="1289" max="1289" width="17.6640625" style="1128" bestFit="1" customWidth="1"/>
    <col min="1290" max="1290" width="58.33203125" style="1128" customWidth="1"/>
    <col min="1291" max="1542" width="8.88671875" style="1128"/>
    <col min="1543" max="1543" width="40.44140625" style="1128" bestFit="1" customWidth="1"/>
    <col min="1544" max="1544" width="10.44140625" style="1128" bestFit="1" customWidth="1"/>
    <col min="1545" max="1545" width="17.6640625" style="1128" bestFit="1" customWidth="1"/>
    <col min="1546" max="1546" width="58.33203125" style="1128" customWidth="1"/>
    <col min="1547" max="1798" width="8.88671875" style="1128"/>
    <col min="1799" max="1799" width="40.44140625" style="1128" bestFit="1" customWidth="1"/>
    <col min="1800" max="1800" width="10.44140625" style="1128" bestFit="1" customWidth="1"/>
    <col min="1801" max="1801" width="17.6640625" style="1128" bestFit="1" customWidth="1"/>
    <col min="1802" max="1802" width="58.33203125" style="1128" customWidth="1"/>
    <col min="1803" max="2054" width="8.88671875" style="1128"/>
    <col min="2055" max="2055" width="40.44140625" style="1128" bestFit="1" customWidth="1"/>
    <col min="2056" max="2056" width="10.44140625" style="1128" bestFit="1" customWidth="1"/>
    <col min="2057" max="2057" width="17.6640625" style="1128" bestFit="1" customWidth="1"/>
    <col min="2058" max="2058" width="58.33203125" style="1128" customWidth="1"/>
    <col min="2059" max="2310" width="8.88671875" style="1128"/>
    <col min="2311" max="2311" width="40.44140625" style="1128" bestFit="1" customWidth="1"/>
    <col min="2312" max="2312" width="10.44140625" style="1128" bestFit="1" customWidth="1"/>
    <col min="2313" max="2313" width="17.6640625" style="1128" bestFit="1" customWidth="1"/>
    <col min="2314" max="2314" width="58.33203125" style="1128" customWidth="1"/>
    <col min="2315" max="2566" width="8.88671875" style="1128"/>
    <col min="2567" max="2567" width="40.44140625" style="1128" bestFit="1" customWidth="1"/>
    <col min="2568" max="2568" width="10.44140625" style="1128" bestFit="1" customWidth="1"/>
    <col min="2569" max="2569" width="17.6640625" style="1128" bestFit="1" customWidth="1"/>
    <col min="2570" max="2570" width="58.33203125" style="1128" customWidth="1"/>
    <col min="2571" max="2822" width="8.88671875" style="1128"/>
    <col min="2823" max="2823" width="40.44140625" style="1128" bestFit="1" customWidth="1"/>
    <col min="2824" max="2824" width="10.44140625" style="1128" bestFit="1" customWidth="1"/>
    <col min="2825" max="2825" width="17.6640625" style="1128" bestFit="1" customWidth="1"/>
    <col min="2826" max="2826" width="58.33203125" style="1128" customWidth="1"/>
    <col min="2827" max="3078" width="8.88671875" style="1128"/>
    <col min="3079" max="3079" width="40.44140625" style="1128" bestFit="1" customWidth="1"/>
    <col min="3080" max="3080" width="10.44140625" style="1128" bestFit="1" customWidth="1"/>
    <col min="3081" max="3081" width="17.6640625" style="1128" bestFit="1" customWidth="1"/>
    <col min="3082" max="3082" width="58.33203125" style="1128" customWidth="1"/>
    <col min="3083" max="3334" width="8.88671875" style="1128"/>
    <col min="3335" max="3335" width="40.44140625" style="1128" bestFit="1" customWidth="1"/>
    <col min="3336" max="3336" width="10.44140625" style="1128" bestFit="1" customWidth="1"/>
    <col min="3337" max="3337" width="17.6640625" style="1128" bestFit="1" customWidth="1"/>
    <col min="3338" max="3338" width="58.33203125" style="1128" customWidth="1"/>
    <col min="3339" max="3590" width="8.88671875" style="1128"/>
    <col min="3591" max="3591" width="40.44140625" style="1128" bestFit="1" customWidth="1"/>
    <col min="3592" max="3592" width="10.44140625" style="1128" bestFit="1" customWidth="1"/>
    <col min="3593" max="3593" width="17.6640625" style="1128" bestFit="1" customWidth="1"/>
    <col min="3594" max="3594" width="58.33203125" style="1128" customWidth="1"/>
    <col min="3595" max="3846" width="8.88671875" style="1128"/>
    <col min="3847" max="3847" width="40.44140625" style="1128" bestFit="1" customWidth="1"/>
    <col min="3848" max="3848" width="10.44140625" style="1128" bestFit="1" customWidth="1"/>
    <col min="3849" max="3849" width="17.6640625" style="1128" bestFit="1" customWidth="1"/>
    <col min="3850" max="3850" width="58.33203125" style="1128" customWidth="1"/>
    <col min="3851" max="4102" width="8.88671875" style="1128"/>
    <col min="4103" max="4103" width="40.44140625" style="1128" bestFit="1" customWidth="1"/>
    <col min="4104" max="4104" width="10.44140625" style="1128" bestFit="1" customWidth="1"/>
    <col min="4105" max="4105" width="17.6640625" style="1128" bestFit="1" customWidth="1"/>
    <col min="4106" max="4106" width="58.33203125" style="1128" customWidth="1"/>
    <col min="4107" max="4358" width="8.88671875" style="1128"/>
    <col min="4359" max="4359" width="40.44140625" style="1128" bestFit="1" customWidth="1"/>
    <col min="4360" max="4360" width="10.44140625" style="1128" bestFit="1" customWidth="1"/>
    <col min="4361" max="4361" width="17.6640625" style="1128" bestFit="1" customWidth="1"/>
    <col min="4362" max="4362" width="58.33203125" style="1128" customWidth="1"/>
    <col min="4363" max="4614" width="8.88671875" style="1128"/>
    <col min="4615" max="4615" width="40.44140625" style="1128" bestFit="1" customWidth="1"/>
    <col min="4616" max="4616" width="10.44140625" style="1128" bestFit="1" customWidth="1"/>
    <col min="4617" max="4617" width="17.6640625" style="1128" bestFit="1" customWidth="1"/>
    <col min="4618" max="4618" width="58.33203125" style="1128" customWidth="1"/>
    <col min="4619" max="4870" width="8.88671875" style="1128"/>
    <col min="4871" max="4871" width="40.44140625" style="1128" bestFit="1" customWidth="1"/>
    <col min="4872" max="4872" width="10.44140625" style="1128" bestFit="1" customWidth="1"/>
    <col min="4873" max="4873" width="17.6640625" style="1128" bestFit="1" customWidth="1"/>
    <col min="4874" max="4874" width="58.33203125" style="1128" customWidth="1"/>
    <col min="4875" max="5126" width="8.88671875" style="1128"/>
    <col min="5127" max="5127" width="40.44140625" style="1128" bestFit="1" customWidth="1"/>
    <col min="5128" max="5128" width="10.44140625" style="1128" bestFit="1" customWidth="1"/>
    <col min="5129" max="5129" width="17.6640625" style="1128" bestFit="1" customWidth="1"/>
    <col min="5130" max="5130" width="58.33203125" style="1128" customWidth="1"/>
    <col min="5131" max="5382" width="8.88671875" style="1128"/>
    <col min="5383" max="5383" width="40.44140625" style="1128" bestFit="1" customWidth="1"/>
    <col min="5384" max="5384" width="10.44140625" style="1128" bestFit="1" customWidth="1"/>
    <col min="5385" max="5385" width="17.6640625" style="1128" bestFit="1" customWidth="1"/>
    <col min="5386" max="5386" width="58.33203125" style="1128" customWidth="1"/>
    <col min="5387" max="5638" width="8.88671875" style="1128"/>
    <col min="5639" max="5639" width="40.44140625" style="1128" bestFit="1" customWidth="1"/>
    <col min="5640" max="5640" width="10.44140625" style="1128" bestFit="1" customWidth="1"/>
    <col min="5641" max="5641" width="17.6640625" style="1128" bestFit="1" customWidth="1"/>
    <col min="5642" max="5642" width="58.33203125" style="1128" customWidth="1"/>
    <col min="5643" max="5894" width="8.88671875" style="1128"/>
    <col min="5895" max="5895" width="40.44140625" style="1128" bestFit="1" customWidth="1"/>
    <col min="5896" max="5896" width="10.44140625" style="1128" bestFit="1" customWidth="1"/>
    <col min="5897" max="5897" width="17.6640625" style="1128" bestFit="1" customWidth="1"/>
    <col min="5898" max="5898" width="58.33203125" style="1128" customWidth="1"/>
    <col min="5899" max="6150" width="8.88671875" style="1128"/>
    <col min="6151" max="6151" width="40.44140625" style="1128" bestFit="1" customWidth="1"/>
    <col min="6152" max="6152" width="10.44140625" style="1128" bestFit="1" customWidth="1"/>
    <col min="6153" max="6153" width="17.6640625" style="1128" bestFit="1" customWidth="1"/>
    <col min="6154" max="6154" width="58.33203125" style="1128" customWidth="1"/>
    <col min="6155" max="6406" width="8.88671875" style="1128"/>
    <col min="6407" max="6407" width="40.44140625" style="1128" bestFit="1" customWidth="1"/>
    <col min="6408" max="6408" width="10.44140625" style="1128" bestFit="1" customWidth="1"/>
    <col min="6409" max="6409" width="17.6640625" style="1128" bestFit="1" customWidth="1"/>
    <col min="6410" max="6410" width="58.33203125" style="1128" customWidth="1"/>
    <col min="6411" max="6662" width="8.88671875" style="1128"/>
    <col min="6663" max="6663" width="40.44140625" style="1128" bestFit="1" customWidth="1"/>
    <col min="6664" max="6664" width="10.44140625" style="1128" bestFit="1" customWidth="1"/>
    <col min="6665" max="6665" width="17.6640625" style="1128" bestFit="1" customWidth="1"/>
    <col min="6666" max="6666" width="58.33203125" style="1128" customWidth="1"/>
    <col min="6667" max="6918" width="8.88671875" style="1128"/>
    <col min="6919" max="6919" width="40.44140625" style="1128" bestFit="1" customWidth="1"/>
    <col min="6920" max="6920" width="10.44140625" style="1128" bestFit="1" customWidth="1"/>
    <col min="6921" max="6921" width="17.6640625" style="1128" bestFit="1" customWidth="1"/>
    <col min="6922" max="6922" width="58.33203125" style="1128" customWidth="1"/>
    <col min="6923" max="7174" width="8.88671875" style="1128"/>
    <col min="7175" max="7175" width="40.44140625" style="1128" bestFit="1" customWidth="1"/>
    <col min="7176" max="7176" width="10.44140625" style="1128" bestFit="1" customWidth="1"/>
    <col min="7177" max="7177" width="17.6640625" style="1128" bestFit="1" customWidth="1"/>
    <col min="7178" max="7178" width="58.33203125" style="1128" customWidth="1"/>
    <col min="7179" max="7430" width="8.88671875" style="1128"/>
    <col min="7431" max="7431" width="40.44140625" style="1128" bestFit="1" customWidth="1"/>
    <col min="7432" max="7432" width="10.44140625" style="1128" bestFit="1" customWidth="1"/>
    <col min="7433" max="7433" width="17.6640625" style="1128" bestFit="1" customWidth="1"/>
    <col min="7434" max="7434" width="58.33203125" style="1128" customWidth="1"/>
    <col min="7435" max="7686" width="8.88671875" style="1128"/>
    <col min="7687" max="7687" width="40.44140625" style="1128" bestFit="1" customWidth="1"/>
    <col min="7688" max="7688" width="10.44140625" style="1128" bestFit="1" customWidth="1"/>
    <col min="7689" max="7689" width="17.6640625" style="1128" bestFit="1" customWidth="1"/>
    <col min="7690" max="7690" width="58.33203125" style="1128" customWidth="1"/>
    <col min="7691" max="7942" width="8.88671875" style="1128"/>
    <col min="7943" max="7943" width="40.44140625" style="1128" bestFit="1" customWidth="1"/>
    <col min="7944" max="7944" width="10.44140625" style="1128" bestFit="1" customWidth="1"/>
    <col min="7945" max="7945" width="17.6640625" style="1128" bestFit="1" customWidth="1"/>
    <col min="7946" max="7946" width="58.33203125" style="1128" customWidth="1"/>
    <col min="7947" max="8198" width="8.88671875" style="1128"/>
    <col min="8199" max="8199" width="40.44140625" style="1128" bestFit="1" customWidth="1"/>
    <col min="8200" max="8200" width="10.44140625" style="1128" bestFit="1" customWidth="1"/>
    <col min="8201" max="8201" width="17.6640625" style="1128" bestFit="1" customWidth="1"/>
    <col min="8202" max="8202" width="58.33203125" style="1128" customWidth="1"/>
    <col min="8203" max="8454" width="8.88671875" style="1128"/>
    <col min="8455" max="8455" width="40.44140625" style="1128" bestFit="1" customWidth="1"/>
    <col min="8456" max="8456" width="10.44140625" style="1128" bestFit="1" customWidth="1"/>
    <col min="8457" max="8457" width="17.6640625" style="1128" bestFit="1" customWidth="1"/>
    <col min="8458" max="8458" width="58.33203125" style="1128" customWidth="1"/>
    <col min="8459" max="8710" width="8.88671875" style="1128"/>
    <col min="8711" max="8711" width="40.44140625" style="1128" bestFit="1" customWidth="1"/>
    <col min="8712" max="8712" width="10.44140625" style="1128" bestFit="1" customWidth="1"/>
    <col min="8713" max="8713" width="17.6640625" style="1128" bestFit="1" customWidth="1"/>
    <col min="8714" max="8714" width="58.33203125" style="1128" customWidth="1"/>
    <col min="8715" max="8966" width="8.88671875" style="1128"/>
    <col min="8967" max="8967" width="40.44140625" style="1128" bestFit="1" customWidth="1"/>
    <col min="8968" max="8968" width="10.44140625" style="1128" bestFit="1" customWidth="1"/>
    <col min="8969" max="8969" width="17.6640625" style="1128" bestFit="1" customWidth="1"/>
    <col min="8970" max="8970" width="58.33203125" style="1128" customWidth="1"/>
    <col min="8971" max="9222" width="8.88671875" style="1128"/>
    <col min="9223" max="9223" width="40.44140625" style="1128" bestFit="1" customWidth="1"/>
    <col min="9224" max="9224" width="10.44140625" style="1128" bestFit="1" customWidth="1"/>
    <col min="9225" max="9225" width="17.6640625" style="1128" bestFit="1" customWidth="1"/>
    <col min="9226" max="9226" width="58.33203125" style="1128" customWidth="1"/>
    <col min="9227" max="9478" width="8.88671875" style="1128"/>
    <col min="9479" max="9479" width="40.44140625" style="1128" bestFit="1" customWidth="1"/>
    <col min="9480" max="9480" width="10.44140625" style="1128" bestFit="1" customWidth="1"/>
    <col min="9481" max="9481" width="17.6640625" style="1128" bestFit="1" customWidth="1"/>
    <col min="9482" max="9482" width="58.33203125" style="1128" customWidth="1"/>
    <col min="9483" max="9734" width="8.88671875" style="1128"/>
    <col min="9735" max="9735" width="40.44140625" style="1128" bestFit="1" customWidth="1"/>
    <col min="9736" max="9736" width="10.44140625" style="1128" bestFit="1" customWidth="1"/>
    <col min="9737" max="9737" width="17.6640625" style="1128" bestFit="1" customWidth="1"/>
    <col min="9738" max="9738" width="58.33203125" style="1128" customWidth="1"/>
    <col min="9739" max="9990" width="8.88671875" style="1128"/>
    <col min="9991" max="9991" width="40.44140625" style="1128" bestFit="1" customWidth="1"/>
    <col min="9992" max="9992" width="10.44140625" style="1128" bestFit="1" customWidth="1"/>
    <col min="9993" max="9993" width="17.6640625" style="1128" bestFit="1" customWidth="1"/>
    <col min="9994" max="9994" width="58.33203125" style="1128" customWidth="1"/>
    <col min="9995" max="10246" width="8.88671875" style="1128"/>
    <col min="10247" max="10247" width="40.44140625" style="1128" bestFit="1" customWidth="1"/>
    <col min="10248" max="10248" width="10.44140625" style="1128" bestFit="1" customWidth="1"/>
    <col min="10249" max="10249" width="17.6640625" style="1128" bestFit="1" customWidth="1"/>
    <col min="10250" max="10250" width="58.33203125" style="1128" customWidth="1"/>
    <col min="10251" max="10502" width="8.88671875" style="1128"/>
    <col min="10503" max="10503" width="40.44140625" style="1128" bestFit="1" customWidth="1"/>
    <col min="10504" max="10504" width="10.44140625" style="1128" bestFit="1" customWidth="1"/>
    <col min="10505" max="10505" width="17.6640625" style="1128" bestFit="1" customWidth="1"/>
    <col min="10506" max="10506" width="58.33203125" style="1128" customWidth="1"/>
    <col min="10507" max="10758" width="8.88671875" style="1128"/>
    <col min="10759" max="10759" width="40.44140625" style="1128" bestFit="1" customWidth="1"/>
    <col min="10760" max="10760" width="10.44140625" style="1128" bestFit="1" customWidth="1"/>
    <col min="10761" max="10761" width="17.6640625" style="1128" bestFit="1" customWidth="1"/>
    <col min="10762" max="10762" width="58.33203125" style="1128" customWidth="1"/>
    <col min="10763" max="11014" width="8.88671875" style="1128"/>
    <col min="11015" max="11015" width="40.44140625" style="1128" bestFit="1" customWidth="1"/>
    <col min="11016" max="11016" width="10.44140625" style="1128" bestFit="1" customWidth="1"/>
    <col min="11017" max="11017" width="17.6640625" style="1128" bestFit="1" customWidth="1"/>
    <col min="11018" max="11018" width="58.33203125" style="1128" customWidth="1"/>
    <col min="11019" max="11270" width="8.88671875" style="1128"/>
    <col min="11271" max="11271" width="40.44140625" style="1128" bestFit="1" customWidth="1"/>
    <col min="11272" max="11272" width="10.44140625" style="1128" bestFit="1" customWidth="1"/>
    <col min="11273" max="11273" width="17.6640625" style="1128" bestFit="1" customWidth="1"/>
    <col min="11274" max="11274" width="58.33203125" style="1128" customWidth="1"/>
    <col min="11275" max="11526" width="8.88671875" style="1128"/>
    <col min="11527" max="11527" width="40.44140625" style="1128" bestFit="1" customWidth="1"/>
    <col min="11528" max="11528" width="10.44140625" style="1128" bestFit="1" customWidth="1"/>
    <col min="11529" max="11529" width="17.6640625" style="1128" bestFit="1" customWidth="1"/>
    <col min="11530" max="11530" width="58.33203125" style="1128" customWidth="1"/>
    <col min="11531" max="11782" width="8.88671875" style="1128"/>
    <col min="11783" max="11783" width="40.44140625" style="1128" bestFit="1" customWidth="1"/>
    <col min="11784" max="11784" width="10.44140625" style="1128" bestFit="1" customWidth="1"/>
    <col min="11785" max="11785" width="17.6640625" style="1128" bestFit="1" customWidth="1"/>
    <col min="11786" max="11786" width="58.33203125" style="1128" customWidth="1"/>
    <col min="11787" max="12038" width="8.88671875" style="1128"/>
    <col min="12039" max="12039" width="40.44140625" style="1128" bestFit="1" customWidth="1"/>
    <col min="12040" max="12040" width="10.44140625" style="1128" bestFit="1" customWidth="1"/>
    <col min="12041" max="12041" width="17.6640625" style="1128" bestFit="1" customWidth="1"/>
    <col min="12042" max="12042" width="58.33203125" style="1128" customWidth="1"/>
    <col min="12043" max="12294" width="8.88671875" style="1128"/>
    <col min="12295" max="12295" width="40.44140625" style="1128" bestFit="1" customWidth="1"/>
    <col min="12296" max="12296" width="10.44140625" style="1128" bestFit="1" customWidth="1"/>
    <col min="12297" max="12297" width="17.6640625" style="1128" bestFit="1" customWidth="1"/>
    <col min="12298" max="12298" width="58.33203125" style="1128" customWidth="1"/>
    <col min="12299" max="12550" width="8.88671875" style="1128"/>
    <col min="12551" max="12551" width="40.44140625" style="1128" bestFit="1" customWidth="1"/>
    <col min="12552" max="12552" width="10.44140625" style="1128" bestFit="1" customWidth="1"/>
    <col min="12553" max="12553" width="17.6640625" style="1128" bestFit="1" customWidth="1"/>
    <col min="12554" max="12554" width="58.33203125" style="1128" customWidth="1"/>
    <col min="12555" max="12806" width="8.88671875" style="1128"/>
    <col min="12807" max="12807" width="40.44140625" style="1128" bestFit="1" customWidth="1"/>
    <col min="12808" max="12808" width="10.44140625" style="1128" bestFit="1" customWidth="1"/>
    <col min="12809" max="12809" width="17.6640625" style="1128" bestFit="1" customWidth="1"/>
    <col min="12810" max="12810" width="58.33203125" style="1128" customWidth="1"/>
    <col min="12811" max="13062" width="8.88671875" style="1128"/>
    <col min="13063" max="13063" width="40.44140625" style="1128" bestFit="1" customWidth="1"/>
    <col min="13064" max="13064" width="10.44140625" style="1128" bestFit="1" customWidth="1"/>
    <col min="13065" max="13065" width="17.6640625" style="1128" bestFit="1" customWidth="1"/>
    <col min="13066" max="13066" width="58.33203125" style="1128" customWidth="1"/>
    <col min="13067" max="13318" width="8.88671875" style="1128"/>
    <col min="13319" max="13319" width="40.44140625" style="1128" bestFit="1" customWidth="1"/>
    <col min="13320" max="13320" width="10.44140625" style="1128" bestFit="1" customWidth="1"/>
    <col min="13321" max="13321" width="17.6640625" style="1128" bestFit="1" customWidth="1"/>
    <col min="13322" max="13322" width="58.33203125" style="1128" customWidth="1"/>
    <col min="13323" max="13574" width="8.88671875" style="1128"/>
    <col min="13575" max="13575" width="40.44140625" style="1128" bestFit="1" customWidth="1"/>
    <col min="13576" max="13576" width="10.44140625" style="1128" bestFit="1" customWidth="1"/>
    <col min="13577" max="13577" width="17.6640625" style="1128" bestFit="1" customWidth="1"/>
    <col min="13578" max="13578" width="58.33203125" style="1128" customWidth="1"/>
    <col min="13579" max="13830" width="8.88671875" style="1128"/>
    <col min="13831" max="13831" width="40.44140625" style="1128" bestFit="1" customWidth="1"/>
    <col min="13832" max="13832" width="10.44140625" style="1128" bestFit="1" customWidth="1"/>
    <col min="13833" max="13833" width="17.6640625" style="1128" bestFit="1" customWidth="1"/>
    <col min="13834" max="13834" width="58.33203125" style="1128" customWidth="1"/>
    <col min="13835" max="14086" width="8.88671875" style="1128"/>
    <col min="14087" max="14087" width="40.44140625" style="1128" bestFit="1" customWidth="1"/>
    <col min="14088" max="14088" width="10.44140625" style="1128" bestFit="1" customWidth="1"/>
    <col min="14089" max="14089" width="17.6640625" style="1128" bestFit="1" customWidth="1"/>
    <col min="14090" max="14090" width="58.33203125" style="1128" customWidth="1"/>
    <col min="14091" max="14342" width="8.88671875" style="1128"/>
    <col min="14343" max="14343" width="40.44140625" style="1128" bestFit="1" customWidth="1"/>
    <col min="14344" max="14344" width="10.44140625" style="1128" bestFit="1" customWidth="1"/>
    <col min="14345" max="14345" width="17.6640625" style="1128" bestFit="1" customWidth="1"/>
    <col min="14346" max="14346" width="58.33203125" style="1128" customWidth="1"/>
    <col min="14347" max="14598" width="8.88671875" style="1128"/>
    <col min="14599" max="14599" width="40.44140625" style="1128" bestFit="1" customWidth="1"/>
    <col min="14600" max="14600" width="10.44140625" style="1128" bestFit="1" customWidth="1"/>
    <col min="14601" max="14601" width="17.6640625" style="1128" bestFit="1" customWidth="1"/>
    <col min="14602" max="14602" width="58.33203125" style="1128" customWidth="1"/>
    <col min="14603" max="14854" width="8.88671875" style="1128"/>
    <col min="14855" max="14855" width="40.44140625" style="1128" bestFit="1" customWidth="1"/>
    <col min="14856" max="14856" width="10.44140625" style="1128" bestFit="1" customWidth="1"/>
    <col min="14857" max="14857" width="17.6640625" style="1128" bestFit="1" customWidth="1"/>
    <col min="14858" max="14858" width="58.33203125" style="1128" customWidth="1"/>
    <col min="14859" max="15110" width="8.88671875" style="1128"/>
    <col min="15111" max="15111" width="40.44140625" style="1128" bestFit="1" customWidth="1"/>
    <col min="15112" max="15112" width="10.44140625" style="1128" bestFit="1" customWidth="1"/>
    <col min="15113" max="15113" width="17.6640625" style="1128" bestFit="1" customWidth="1"/>
    <col min="15114" max="15114" width="58.33203125" style="1128" customWidth="1"/>
    <col min="15115" max="15366" width="8.88671875" style="1128"/>
    <col min="15367" max="15367" width="40.44140625" style="1128" bestFit="1" customWidth="1"/>
    <col min="15368" max="15368" width="10.44140625" style="1128" bestFit="1" customWidth="1"/>
    <col min="15369" max="15369" width="17.6640625" style="1128" bestFit="1" customWidth="1"/>
    <col min="15370" max="15370" width="58.33203125" style="1128" customWidth="1"/>
    <col min="15371" max="15622" width="8.88671875" style="1128"/>
    <col min="15623" max="15623" width="40.44140625" style="1128" bestFit="1" customWidth="1"/>
    <col min="15624" max="15624" width="10.44140625" style="1128" bestFit="1" customWidth="1"/>
    <col min="15625" max="15625" width="17.6640625" style="1128" bestFit="1" customWidth="1"/>
    <col min="15626" max="15626" width="58.33203125" style="1128" customWidth="1"/>
    <col min="15627" max="15878" width="8.88671875" style="1128"/>
    <col min="15879" max="15879" width="40.44140625" style="1128" bestFit="1" customWidth="1"/>
    <col min="15880" max="15880" width="10.44140625" style="1128" bestFit="1" customWidth="1"/>
    <col min="15881" max="15881" width="17.6640625" style="1128" bestFit="1" customWidth="1"/>
    <col min="15882" max="15882" width="58.33203125" style="1128" customWidth="1"/>
    <col min="15883" max="16134" width="8.88671875" style="1128"/>
    <col min="16135" max="16135" width="40.44140625" style="1128" bestFit="1" customWidth="1"/>
    <col min="16136" max="16136" width="10.44140625" style="1128" bestFit="1" customWidth="1"/>
    <col min="16137" max="16137" width="17.6640625" style="1128" bestFit="1" customWidth="1"/>
    <col min="16138" max="16138" width="58.33203125" style="1128" customWidth="1"/>
    <col min="16139" max="16384" width="8.88671875" style="1128"/>
  </cols>
  <sheetData>
    <row r="1" spans="2:19" s="1122" customFormat="1" ht="15" customHeight="1">
      <c r="B1" s="1520" t="s">
        <v>380</v>
      </c>
      <c r="C1" s="1520"/>
      <c r="D1" s="1520"/>
      <c r="E1" s="1520"/>
      <c r="F1" s="1520"/>
      <c r="G1" s="1520"/>
      <c r="H1" s="1520"/>
      <c r="I1" s="1520"/>
      <c r="J1" s="1520"/>
      <c r="K1" s="1121"/>
      <c r="L1" s="1121"/>
      <c r="M1" s="1121"/>
    </row>
    <row r="2" spans="2:19" s="1122" customFormat="1" ht="15" customHeight="1">
      <c r="B2" s="1520" t="s">
        <v>696</v>
      </c>
      <c r="C2" s="1520"/>
      <c r="D2" s="1520"/>
      <c r="E2" s="1520"/>
      <c r="F2" s="1520"/>
      <c r="G2" s="1520"/>
      <c r="H2" s="1520"/>
      <c r="I2" s="1520"/>
      <c r="J2" s="1520"/>
      <c r="K2" s="1121"/>
      <c r="L2" s="1121"/>
      <c r="M2" s="1121"/>
    </row>
    <row r="3" spans="2:19" s="1124" customFormat="1" ht="15" customHeight="1">
      <c r="B3" s="1521" t="s">
        <v>788</v>
      </c>
      <c r="C3" s="1521"/>
      <c r="D3" s="1521"/>
      <c r="E3" s="1521"/>
      <c r="F3" s="1521"/>
      <c r="G3" s="1521"/>
      <c r="H3" s="1521"/>
      <c r="I3" s="1521"/>
      <c r="J3" s="1521"/>
      <c r="K3" s="1123"/>
      <c r="L3" s="1123"/>
      <c r="M3" s="1123"/>
    </row>
    <row r="4" spans="2:19" s="1122" customFormat="1" ht="15" customHeight="1">
      <c r="B4" s="1520" t="str">
        <f>'3a-RTO - Dryer GHM DHM'!B3:J3</f>
        <v>Enviva Pellets Ahoskie, LLC</v>
      </c>
      <c r="C4" s="1520"/>
      <c r="D4" s="1520"/>
      <c r="E4" s="1520"/>
      <c r="F4" s="1520"/>
      <c r="G4" s="1520"/>
      <c r="H4" s="1520"/>
      <c r="I4" s="1520"/>
      <c r="J4" s="1520"/>
      <c r="K4" s="1121"/>
      <c r="L4" s="1121"/>
      <c r="M4" s="1121"/>
    </row>
    <row r="5" spans="2:19" s="1122" customFormat="1" ht="15" customHeight="1">
      <c r="B5" s="1125"/>
      <c r="C5" s="1125"/>
      <c r="D5" s="1125"/>
      <c r="E5" s="1125"/>
      <c r="F5" s="1125"/>
      <c r="G5" s="1125"/>
      <c r="H5" s="1125"/>
      <c r="I5" s="1125"/>
      <c r="J5" s="1125"/>
      <c r="K5" s="1121"/>
      <c r="L5" s="1121"/>
      <c r="M5" s="1121"/>
    </row>
    <row r="6" spans="2:19" ht="14.4" thickBot="1">
      <c r="B6" s="1126" t="s">
        <v>697</v>
      </c>
      <c r="C6" s="1127"/>
      <c r="D6" s="1127"/>
      <c r="E6" s="1127"/>
      <c r="F6" s="1127"/>
      <c r="G6" s="1127"/>
      <c r="H6" s="1127"/>
      <c r="I6" s="1127"/>
      <c r="J6" s="1127"/>
      <c r="N6" s="1129"/>
      <c r="O6" s="1129"/>
      <c r="P6" s="1129"/>
      <c r="Q6" s="1129"/>
      <c r="R6" s="1129"/>
    </row>
    <row r="7" spans="2:19" ht="16.5" customHeight="1" thickTop="1" thickBot="1">
      <c r="B7" s="1130" t="s">
        <v>5</v>
      </c>
      <c r="C7" s="1131" t="s">
        <v>462</v>
      </c>
      <c r="D7" s="1131" t="s">
        <v>463</v>
      </c>
      <c r="E7" s="1181" t="s">
        <v>533</v>
      </c>
      <c r="F7" s="1181" t="s">
        <v>534</v>
      </c>
      <c r="G7" s="1132" t="s">
        <v>31</v>
      </c>
      <c r="H7" s="1522" t="s">
        <v>452</v>
      </c>
      <c r="I7" s="1523"/>
      <c r="J7" s="1524"/>
      <c r="N7" s="1129"/>
      <c r="O7" s="1133"/>
      <c r="P7" s="1133"/>
      <c r="Q7" s="1133"/>
      <c r="R7" s="1133"/>
    </row>
    <row r="8" spans="2:19" ht="15.75" customHeight="1" thickTop="1">
      <c r="B8" s="1134" t="s">
        <v>698</v>
      </c>
      <c r="C8" s="1574">
        <v>0.25</v>
      </c>
      <c r="D8" s="1575"/>
      <c r="E8" s="1575"/>
      <c r="F8" s="1576"/>
      <c r="G8" s="1135" t="s">
        <v>699</v>
      </c>
      <c r="H8" s="1528" t="s">
        <v>700</v>
      </c>
      <c r="I8" s="1529"/>
      <c r="J8" s="1530"/>
      <c r="N8" s="1129"/>
      <c r="O8" s="1133"/>
      <c r="P8" s="1133"/>
      <c r="Q8" s="1133"/>
      <c r="R8" s="1133"/>
    </row>
    <row r="9" spans="2:19" ht="15.75" customHeight="1">
      <c r="B9" s="1136" t="s">
        <v>701</v>
      </c>
      <c r="C9" s="1534">
        <v>1349</v>
      </c>
      <c r="D9" s="1535"/>
      <c r="E9" s="1535"/>
      <c r="F9" s="1536"/>
      <c r="G9" s="1137" t="s">
        <v>699</v>
      </c>
      <c r="H9" s="1531" t="s">
        <v>789</v>
      </c>
      <c r="I9" s="1532"/>
      <c r="J9" s="1533"/>
      <c r="N9" s="1129"/>
      <c r="O9" s="1133"/>
      <c r="P9" s="1133"/>
      <c r="Q9" s="1133"/>
      <c r="R9" s="1133"/>
    </row>
    <row r="10" spans="2:19" ht="15.75" customHeight="1">
      <c r="B10" s="1136" t="s">
        <v>702</v>
      </c>
      <c r="C10" s="1525">
        <f>68.3+459.7</f>
        <v>528</v>
      </c>
      <c r="D10" s="1526"/>
      <c r="E10" s="1526"/>
      <c r="F10" s="1527"/>
      <c r="G10" s="1137" t="s">
        <v>703</v>
      </c>
      <c r="H10" s="1531" t="s">
        <v>789</v>
      </c>
      <c r="I10" s="1532"/>
      <c r="J10" s="1533"/>
      <c r="N10" s="1129"/>
      <c r="O10" s="1138"/>
      <c r="P10" s="1133"/>
      <c r="Q10" s="1133"/>
      <c r="R10" s="1133"/>
      <c r="S10" s="1122"/>
    </row>
    <row r="11" spans="2:19" ht="15.75" customHeight="1">
      <c r="B11" s="1136" t="s">
        <v>704</v>
      </c>
      <c r="C11" s="1525">
        <f>53+459.7</f>
        <v>512.70000000000005</v>
      </c>
      <c r="D11" s="1526"/>
      <c r="E11" s="1526"/>
      <c r="F11" s="1527"/>
      <c r="G11" s="1137" t="s">
        <v>703</v>
      </c>
      <c r="H11" s="1540" t="s">
        <v>789</v>
      </c>
      <c r="I11" s="1541"/>
      <c r="J11" s="1542"/>
      <c r="N11" s="1129"/>
      <c r="O11" s="1133"/>
      <c r="P11" s="1133"/>
      <c r="Q11" s="1133"/>
      <c r="R11" s="1133"/>
      <c r="S11" s="1122"/>
    </row>
    <row r="12" spans="2:19" ht="15.75" customHeight="1">
      <c r="B12" s="1136" t="s">
        <v>705</v>
      </c>
      <c r="C12" s="1586">
        <v>10.731</v>
      </c>
      <c r="D12" s="1587"/>
      <c r="E12" s="1587"/>
      <c r="F12" s="1588"/>
      <c r="G12" s="1137" t="s">
        <v>706</v>
      </c>
      <c r="H12" s="1537" t="s">
        <v>707</v>
      </c>
      <c r="I12" s="1538"/>
      <c r="J12" s="1539"/>
      <c r="K12" s="1139"/>
      <c r="L12" s="1140"/>
      <c r="N12" s="1129"/>
      <c r="O12" s="1133"/>
      <c r="P12" s="1133"/>
      <c r="Q12" s="1133"/>
      <c r="R12" s="1133"/>
      <c r="S12" s="1122"/>
    </row>
    <row r="13" spans="2:19" ht="15.75" customHeight="1">
      <c r="B13" s="1136" t="s">
        <v>708</v>
      </c>
      <c r="C13" s="1586">
        <v>1</v>
      </c>
      <c r="D13" s="1587"/>
      <c r="E13" s="1587"/>
      <c r="F13" s="1588"/>
      <c r="G13" s="1137" t="s">
        <v>699</v>
      </c>
      <c r="H13" s="1543" t="s">
        <v>709</v>
      </c>
      <c r="I13" s="1544"/>
      <c r="J13" s="1545"/>
      <c r="K13" s="1141"/>
      <c r="L13" s="1141"/>
      <c r="N13" s="1129"/>
      <c r="O13" s="1129"/>
      <c r="P13" s="1129"/>
      <c r="Q13" s="1129"/>
      <c r="R13" s="1129"/>
      <c r="S13" s="1122"/>
    </row>
    <row r="14" spans="2:19" ht="15.75" customHeight="1">
      <c r="B14" s="1142" t="s">
        <v>710</v>
      </c>
      <c r="C14" s="1583">
        <f>EXP(12.101-(8907/C10))</f>
        <v>8.4946546176516216E-3</v>
      </c>
      <c r="D14" s="1584"/>
      <c r="E14" s="1584"/>
      <c r="F14" s="1585"/>
      <c r="G14" s="1143" t="s">
        <v>711</v>
      </c>
      <c r="H14" s="1537" t="s">
        <v>712</v>
      </c>
      <c r="I14" s="1538"/>
      <c r="J14" s="1539"/>
      <c r="K14" s="1141"/>
      <c r="L14" s="1141"/>
      <c r="N14" s="1129"/>
      <c r="O14" s="1129"/>
      <c r="P14" s="1129"/>
      <c r="Q14" s="1129"/>
      <c r="R14" s="1129"/>
      <c r="S14" s="1122"/>
    </row>
    <row r="15" spans="2:19" ht="15.75" customHeight="1">
      <c r="B15" s="1142" t="s">
        <v>713</v>
      </c>
      <c r="C15" s="1583">
        <f>EXP(12.101-(8907/C11))</f>
        <v>5.1347065094645662E-3</v>
      </c>
      <c r="D15" s="1584"/>
      <c r="E15" s="1584"/>
      <c r="F15" s="1585"/>
      <c r="G15" s="1143" t="s">
        <v>711</v>
      </c>
      <c r="H15" s="1537" t="s">
        <v>712</v>
      </c>
      <c r="I15" s="1538"/>
      <c r="J15" s="1539"/>
      <c r="N15" s="1129"/>
      <c r="O15" s="1129"/>
      <c r="P15" s="1129"/>
      <c r="Q15" s="1129"/>
      <c r="R15" s="1129"/>
      <c r="S15" s="1122"/>
    </row>
    <row r="16" spans="2:19" ht="15.75" customHeight="1">
      <c r="B16" s="1136" t="s">
        <v>714</v>
      </c>
      <c r="C16" s="1583">
        <f>C14-C15</f>
        <v>3.3599481081870554E-3</v>
      </c>
      <c r="D16" s="1584"/>
      <c r="E16" s="1584"/>
      <c r="F16" s="1585"/>
      <c r="G16" s="1143" t="s">
        <v>711</v>
      </c>
      <c r="H16" s="1537" t="s">
        <v>715</v>
      </c>
      <c r="I16" s="1538"/>
      <c r="J16" s="1539"/>
      <c r="N16" s="1133"/>
      <c r="O16" s="1129"/>
      <c r="P16" s="1129"/>
      <c r="Q16" s="1129"/>
      <c r="R16" s="1129"/>
      <c r="S16" s="1129"/>
    </row>
    <row r="17" spans="2:19" ht="15.75" customHeight="1">
      <c r="B17" s="1136" t="s">
        <v>716</v>
      </c>
      <c r="C17" s="1580">
        <f>0.03--0.03</f>
        <v>0.06</v>
      </c>
      <c r="D17" s="1581"/>
      <c r="E17" s="1581"/>
      <c r="F17" s="1582"/>
      <c r="G17" s="1137" t="s">
        <v>711</v>
      </c>
      <c r="H17" s="1537" t="s">
        <v>717</v>
      </c>
      <c r="I17" s="1538"/>
      <c r="J17" s="1539"/>
      <c r="N17" s="1133"/>
      <c r="O17" s="1133"/>
      <c r="P17" s="1133"/>
      <c r="Q17" s="1133"/>
      <c r="R17" s="1133"/>
      <c r="S17" s="1129"/>
    </row>
    <row r="18" spans="2:19" ht="15.75" customHeight="1" thickBot="1">
      <c r="B18" s="1144" t="s">
        <v>718</v>
      </c>
      <c r="C18" s="1577">
        <v>14.68</v>
      </c>
      <c r="D18" s="1578"/>
      <c r="E18" s="1578"/>
      <c r="F18" s="1579"/>
      <c r="G18" s="1145" t="s">
        <v>711</v>
      </c>
      <c r="H18" s="1549" t="s">
        <v>789</v>
      </c>
      <c r="I18" s="1550"/>
      <c r="J18" s="1551"/>
      <c r="N18" s="1129"/>
      <c r="O18" s="1133"/>
      <c r="P18" s="1133"/>
      <c r="Q18" s="1133"/>
      <c r="R18" s="1133"/>
      <c r="S18" s="1129"/>
    </row>
    <row r="19" spans="2:19" ht="9" customHeight="1" thickTop="1">
      <c r="B19" s="1127"/>
      <c r="C19" s="1127"/>
      <c r="D19" s="1127"/>
      <c r="E19" s="1127"/>
      <c r="F19" s="1127"/>
      <c r="G19" s="1127"/>
      <c r="H19" s="1127"/>
      <c r="I19" s="1127"/>
      <c r="J19" s="1127"/>
      <c r="N19" s="1129"/>
      <c r="O19" s="1138"/>
      <c r="P19" s="1133"/>
      <c r="Q19" s="1133"/>
      <c r="R19" s="1133"/>
      <c r="S19" s="1129"/>
    </row>
    <row r="20" spans="2:19" ht="14.4" thickBot="1">
      <c r="B20" s="1126" t="s">
        <v>451</v>
      </c>
      <c r="C20" s="1127"/>
      <c r="D20" s="1127"/>
      <c r="E20" s="1127"/>
      <c r="F20" s="1127"/>
      <c r="G20" s="1127"/>
      <c r="H20" s="1127"/>
      <c r="I20" s="1127"/>
      <c r="J20" s="1127"/>
      <c r="N20" s="1129"/>
      <c r="O20" s="1133"/>
      <c r="P20" s="1133"/>
      <c r="Q20" s="1133"/>
      <c r="R20" s="1133"/>
      <c r="S20" s="1129"/>
    </row>
    <row r="21" spans="2:19" ht="16.5" customHeight="1" thickTop="1" thickBot="1">
      <c r="B21" s="1130" t="s">
        <v>5</v>
      </c>
      <c r="C21" s="1131" t="s">
        <v>462</v>
      </c>
      <c r="D21" s="1131" t="s">
        <v>463</v>
      </c>
      <c r="E21" s="1131" t="s">
        <v>533</v>
      </c>
      <c r="F21" s="1131" t="s">
        <v>534</v>
      </c>
      <c r="G21" s="1132" t="s">
        <v>31</v>
      </c>
      <c r="H21" s="1522" t="s">
        <v>452</v>
      </c>
      <c r="I21" s="1523"/>
      <c r="J21" s="1524"/>
      <c r="N21" s="1129"/>
      <c r="O21" s="1133"/>
      <c r="P21" s="1133"/>
      <c r="Q21" s="1133"/>
      <c r="R21" s="1133"/>
      <c r="S21" s="1129"/>
    </row>
    <row r="22" spans="2:19" ht="15.75" customHeight="1" thickTop="1">
      <c r="B22" s="1136" t="s">
        <v>719</v>
      </c>
      <c r="C22" s="1320">
        <v>6</v>
      </c>
      <c r="D22" s="1320">
        <v>3</v>
      </c>
      <c r="E22" s="1320">
        <v>4</v>
      </c>
      <c r="F22" s="1320">
        <v>4</v>
      </c>
      <c r="G22" s="1137" t="s">
        <v>720</v>
      </c>
      <c r="H22" s="1552" t="s">
        <v>721</v>
      </c>
      <c r="I22" s="1553"/>
      <c r="J22" s="1554"/>
      <c r="N22" s="1129"/>
      <c r="O22" s="1129"/>
      <c r="P22" s="1129"/>
      <c r="Q22" s="1129"/>
      <c r="R22" s="1129"/>
      <c r="S22" s="1129"/>
    </row>
    <row r="23" spans="2:19" ht="15.75" customHeight="1">
      <c r="B23" s="1136" t="s">
        <v>722</v>
      </c>
      <c r="C23" s="1321">
        <v>12</v>
      </c>
      <c r="D23" s="805">
        <v>10</v>
      </c>
      <c r="E23" s="805">
        <v>6.5</v>
      </c>
      <c r="F23" s="805">
        <v>10.5</v>
      </c>
      <c r="G23" s="1137" t="s">
        <v>720</v>
      </c>
      <c r="H23" s="1555" t="s">
        <v>721</v>
      </c>
      <c r="I23" s="1556"/>
      <c r="J23" s="1557"/>
      <c r="N23" s="1133"/>
      <c r="O23" s="1129"/>
      <c r="P23" s="1129"/>
      <c r="Q23" s="1129"/>
      <c r="R23" s="1129"/>
      <c r="S23" s="1133"/>
    </row>
    <row r="24" spans="2:19" ht="15.75" customHeight="1">
      <c r="B24" s="1136" t="s">
        <v>723</v>
      </c>
      <c r="C24" s="1322">
        <v>2500</v>
      </c>
      <c r="D24" s="1322">
        <v>500</v>
      </c>
      <c r="E24" s="1322">
        <v>600</v>
      </c>
      <c r="F24" s="1322">
        <v>1000</v>
      </c>
      <c r="G24" s="1137" t="s">
        <v>724</v>
      </c>
      <c r="H24" s="1149" t="s">
        <v>725</v>
      </c>
      <c r="I24" s="1150"/>
      <c r="J24" s="1151"/>
      <c r="N24" s="1133"/>
      <c r="O24" s="1129"/>
      <c r="P24" s="1129"/>
      <c r="Q24" s="1129"/>
      <c r="R24" s="1129"/>
      <c r="S24" s="1133"/>
    </row>
    <row r="25" spans="2:19" ht="15.6" customHeight="1">
      <c r="B25" s="1136" t="s">
        <v>726</v>
      </c>
      <c r="C25" s="1323">
        <f>C24/2</f>
        <v>1250</v>
      </c>
      <c r="D25" s="1323">
        <f>D24/2</f>
        <v>250</v>
      </c>
      <c r="E25" s="1323">
        <f t="shared" ref="E25:F25" si="0">E24/2</f>
        <v>300</v>
      </c>
      <c r="F25" s="1323">
        <f t="shared" si="0"/>
        <v>500</v>
      </c>
      <c r="G25" s="1137" t="s">
        <v>724</v>
      </c>
      <c r="H25" s="1149" t="s">
        <v>727</v>
      </c>
      <c r="I25" s="1150"/>
      <c r="J25" s="1151"/>
      <c r="N25" s="1133"/>
      <c r="O25" s="1129"/>
      <c r="P25" s="1129"/>
      <c r="Q25" s="1129"/>
      <c r="R25" s="1129"/>
      <c r="S25" s="1133"/>
    </row>
    <row r="26" spans="2:19" ht="15.6" customHeight="1">
      <c r="B26" s="1136" t="s">
        <v>728</v>
      </c>
      <c r="C26" s="1322">
        <v>8813</v>
      </c>
      <c r="D26" s="1322">
        <v>7554</v>
      </c>
      <c r="E26" s="1322">
        <v>100000</v>
      </c>
      <c r="F26" s="1322">
        <v>150000</v>
      </c>
      <c r="G26" s="1137" t="s">
        <v>56</v>
      </c>
      <c r="H26" s="1555" t="s">
        <v>729</v>
      </c>
      <c r="I26" s="1556"/>
      <c r="J26" s="1557"/>
      <c r="N26" s="1133"/>
      <c r="O26" s="1129"/>
      <c r="P26" s="1129"/>
      <c r="Q26" s="1129"/>
      <c r="R26" s="1129"/>
      <c r="S26" s="1133"/>
    </row>
    <row r="27" spans="2:19" ht="15.75" customHeight="1">
      <c r="B27" s="1136" t="s">
        <v>730</v>
      </c>
      <c r="C27" s="1152">
        <f>SQRT(C22*C23/(PI()/4))</f>
        <v>9.5746147296343835</v>
      </c>
      <c r="D27" s="1152">
        <f>SQRT(D22*D23/(PI()/4))</f>
        <v>6.1803872323710332</v>
      </c>
      <c r="E27" s="1152">
        <f t="shared" ref="E27:F27" si="1">SQRT(E22*E23/(PI()/4))</f>
        <v>5.7536273917515919</v>
      </c>
      <c r="F27" s="1152">
        <f t="shared" si="1"/>
        <v>7.3127327914314524</v>
      </c>
      <c r="G27" s="1137" t="s">
        <v>720</v>
      </c>
      <c r="H27" s="1558" t="s">
        <v>731</v>
      </c>
      <c r="I27" s="1559"/>
      <c r="J27" s="1560"/>
    </row>
    <row r="28" spans="2:19" ht="15.75" customHeight="1">
      <c r="B28" s="1136" t="s">
        <v>732</v>
      </c>
      <c r="C28" s="1152">
        <f>PI()/4*C22</f>
        <v>4.7123889803846897</v>
      </c>
      <c r="D28" s="1152">
        <f>PI()/4*D22</f>
        <v>2.3561944901923448</v>
      </c>
      <c r="E28" s="1152">
        <f t="shared" ref="E28:F28" si="2">PI()/4*E22</f>
        <v>3.1415926535897931</v>
      </c>
      <c r="F28" s="1152">
        <f t="shared" si="2"/>
        <v>3.1415926535897931</v>
      </c>
      <c r="G28" s="1137" t="s">
        <v>720</v>
      </c>
      <c r="H28" s="1558" t="s">
        <v>733</v>
      </c>
      <c r="I28" s="1559"/>
      <c r="J28" s="1560"/>
    </row>
    <row r="29" spans="2:19" ht="27.75" customHeight="1">
      <c r="B29" s="1136" t="s">
        <v>734</v>
      </c>
      <c r="C29" s="1152">
        <f>(PI()/4*C27^2)*C30</f>
        <v>169.64600329384879</v>
      </c>
      <c r="D29" s="1152">
        <f>(PI()/4*D27^2)*D30</f>
        <v>35.342917352885166</v>
      </c>
      <c r="E29" s="1152">
        <f t="shared" ref="E29:F29" si="3">(PI()/4*E27^2)*E30</f>
        <v>40.840704496667307</v>
      </c>
      <c r="F29" s="1152">
        <f t="shared" si="3"/>
        <v>65.973445725385673</v>
      </c>
      <c r="G29" s="1137" t="s">
        <v>735</v>
      </c>
      <c r="H29" s="1555" t="s">
        <v>736</v>
      </c>
      <c r="I29" s="1556"/>
      <c r="J29" s="1557"/>
      <c r="K29" s="1153"/>
    </row>
    <row r="30" spans="2:19" ht="15.75" customHeight="1">
      <c r="B30" s="1136" t="s">
        <v>737</v>
      </c>
      <c r="C30" s="1152">
        <f>C28/2</f>
        <v>2.3561944901923448</v>
      </c>
      <c r="D30" s="1152">
        <f>D28/2</f>
        <v>1.1780972450961724</v>
      </c>
      <c r="E30" s="1152">
        <f t="shared" ref="E30:F30" si="4">E28/2</f>
        <v>1.5707963267948966</v>
      </c>
      <c r="F30" s="1152">
        <f t="shared" si="4"/>
        <v>1.5707963267948966</v>
      </c>
      <c r="G30" s="1137" t="s">
        <v>720</v>
      </c>
      <c r="H30" s="1546" t="s">
        <v>738</v>
      </c>
      <c r="I30" s="1547"/>
      <c r="J30" s="1548"/>
    </row>
    <row r="31" spans="2:19" ht="14.25" customHeight="1">
      <c r="B31" s="1136" t="s">
        <v>739</v>
      </c>
      <c r="C31" s="1154">
        <v>8.9999999999999993E-3</v>
      </c>
      <c r="D31" s="1154">
        <v>8.9999999999999993E-3</v>
      </c>
      <c r="E31" s="1154">
        <v>8.9999999999999993E-3</v>
      </c>
      <c r="F31" s="1154">
        <v>8.9999999999999993E-3</v>
      </c>
      <c r="G31" s="1137" t="s">
        <v>711</v>
      </c>
      <c r="H31" s="1555" t="s">
        <v>740</v>
      </c>
      <c r="I31" s="1556"/>
      <c r="J31" s="1557"/>
    </row>
    <row r="32" spans="2:19" ht="15.75" customHeight="1">
      <c r="B32" s="1136" t="s">
        <v>741</v>
      </c>
      <c r="C32" s="1155">
        <v>130</v>
      </c>
      <c r="D32" s="1155">
        <v>130</v>
      </c>
      <c r="E32" s="1155">
        <v>130</v>
      </c>
      <c r="F32" s="1155">
        <v>130</v>
      </c>
      <c r="G32" s="1137" t="s">
        <v>742</v>
      </c>
      <c r="H32" s="1543" t="s">
        <v>743</v>
      </c>
      <c r="I32" s="1544"/>
      <c r="J32" s="1545"/>
    </row>
    <row r="33" spans="2:10" ht="15.75" customHeight="1" thickBot="1">
      <c r="B33" s="1144" t="s">
        <v>744</v>
      </c>
      <c r="C33" s="1156">
        <f>C26/42</f>
        <v>209.83333333333334</v>
      </c>
      <c r="D33" s="1156">
        <f>D26/42</f>
        <v>179.85714285714286</v>
      </c>
      <c r="E33" s="1156">
        <f t="shared" ref="E33" si="5">E26/42</f>
        <v>2380.9523809523807</v>
      </c>
      <c r="F33" s="1156">
        <f>F26/42</f>
        <v>3571.4285714285716</v>
      </c>
      <c r="G33" s="1145" t="s">
        <v>745</v>
      </c>
      <c r="H33" s="1561"/>
      <c r="I33" s="1562"/>
      <c r="J33" s="1563"/>
    </row>
    <row r="34" spans="2:10" ht="9.75" customHeight="1" thickTop="1">
      <c r="B34" s="1127"/>
      <c r="C34" s="1127"/>
      <c r="D34" s="1127"/>
      <c r="E34" s="1127"/>
      <c r="F34" s="1127"/>
      <c r="G34" s="1127"/>
      <c r="H34" s="1127"/>
      <c r="I34" s="1127"/>
      <c r="J34" s="1127"/>
    </row>
    <row r="35" spans="2:10" ht="14.4" thickBot="1">
      <c r="B35" s="1126" t="s">
        <v>746</v>
      </c>
      <c r="C35" s="1127"/>
      <c r="D35" s="1127"/>
      <c r="E35" s="1127"/>
      <c r="F35" s="1127"/>
      <c r="G35" s="1127"/>
      <c r="H35" s="1127"/>
      <c r="I35" s="1127"/>
      <c r="J35" s="1127"/>
    </row>
    <row r="36" spans="2:10" ht="16.5" customHeight="1" thickTop="1" thickBot="1">
      <c r="B36" s="1130" t="s">
        <v>5</v>
      </c>
      <c r="C36" s="1131" t="s">
        <v>462</v>
      </c>
      <c r="D36" s="1131" t="s">
        <v>463</v>
      </c>
      <c r="E36" s="1131" t="s">
        <v>533</v>
      </c>
      <c r="F36" s="1131" t="s">
        <v>534</v>
      </c>
      <c r="G36" s="1132" t="s">
        <v>31</v>
      </c>
      <c r="H36" s="1522" t="s">
        <v>452</v>
      </c>
      <c r="I36" s="1523"/>
      <c r="J36" s="1524"/>
    </row>
    <row r="37" spans="2:10" ht="15.75" customHeight="1" thickTop="1">
      <c r="B37" s="1136" t="s">
        <v>747</v>
      </c>
      <c r="C37" s="1157">
        <f>C38/C45+(($C$16-$C$17)/($C$18-C31))</f>
        <v>2.9536857945747924E-2</v>
      </c>
      <c r="D37" s="1157">
        <f>D38/D45+(($C$16-$C$17)/($C$18-D31))</f>
        <v>2.9536857945747924E-2</v>
      </c>
      <c r="E37" s="1157">
        <f t="shared" ref="E37:F37" si="6">E38/E45+(($C$16-$C$17)/($C$18-E31))</f>
        <v>2.9536857945747924E-2</v>
      </c>
      <c r="F37" s="1157">
        <f t="shared" si="6"/>
        <v>2.9536857945747924E-2</v>
      </c>
      <c r="G37" s="1137" t="s">
        <v>699</v>
      </c>
      <c r="H37" s="1564" t="s">
        <v>748</v>
      </c>
      <c r="I37" s="1565"/>
      <c r="J37" s="1566"/>
    </row>
    <row r="38" spans="2:10" ht="15.75" customHeight="1">
      <c r="B38" s="1136" t="s">
        <v>749</v>
      </c>
      <c r="C38" s="1158">
        <f>0.7*C39+0.02*$C8*$C9</f>
        <v>17.454999999999966</v>
      </c>
      <c r="D38" s="1158">
        <f t="shared" ref="D38:F38" si="7">0.7*D39+0.02*$C8*$C9</f>
        <v>17.454999999999966</v>
      </c>
      <c r="E38" s="1158">
        <f t="shared" si="7"/>
        <v>17.454999999999966</v>
      </c>
      <c r="F38" s="1158">
        <f t="shared" si="7"/>
        <v>17.454999999999966</v>
      </c>
      <c r="G38" s="1137" t="s">
        <v>703</v>
      </c>
      <c r="H38" s="1546" t="s">
        <v>750</v>
      </c>
      <c r="I38" s="1547"/>
      <c r="J38" s="1548"/>
    </row>
    <row r="39" spans="2:10" ht="15.75" customHeight="1">
      <c r="B39" s="1136" t="s">
        <v>751</v>
      </c>
      <c r="C39" s="1155">
        <f>($C$10)-($C$11)</f>
        <v>15.299999999999955</v>
      </c>
      <c r="D39" s="1155">
        <f>($C$10)-($C$11)</f>
        <v>15.299999999999955</v>
      </c>
      <c r="E39" s="1155">
        <f t="shared" ref="E39:F39" si="8">($C$10)-($C$11)</f>
        <v>15.299999999999955</v>
      </c>
      <c r="F39" s="1155">
        <f t="shared" si="8"/>
        <v>15.299999999999955</v>
      </c>
      <c r="G39" s="1137" t="s">
        <v>703</v>
      </c>
      <c r="H39" s="1558" t="s">
        <v>752</v>
      </c>
      <c r="I39" s="1559"/>
      <c r="J39" s="1560"/>
    </row>
    <row r="40" spans="2:10" ht="15.75" customHeight="1">
      <c r="B40" s="1142" t="s">
        <v>753</v>
      </c>
      <c r="C40" s="1159">
        <f>1/(1+0.053*C31*C30)</f>
        <v>0.9988773569720345</v>
      </c>
      <c r="D40" s="1159">
        <f>1/(1+0.053*D31*D30)</f>
        <v>0.99943836322721369</v>
      </c>
      <c r="E40" s="1159">
        <f t="shared" ref="E40:F40" si="9">1/(1+0.053*E31*E30)</f>
        <v>0.99925129113709454</v>
      </c>
      <c r="F40" s="1159">
        <f t="shared" si="9"/>
        <v>0.99925129113709454</v>
      </c>
      <c r="G40" s="1137" t="s">
        <v>699</v>
      </c>
      <c r="H40" s="1546" t="s">
        <v>754</v>
      </c>
      <c r="I40" s="1547"/>
      <c r="J40" s="1548"/>
    </row>
    <row r="41" spans="2:10" ht="15.75" customHeight="1">
      <c r="B41" s="1136" t="s">
        <v>755</v>
      </c>
      <c r="C41" s="1160">
        <f>(C32*C31)/(C42*$C$12)</f>
        <v>2.0819600980600948E-4</v>
      </c>
      <c r="D41" s="1160">
        <f>(D32*D31)/(D42*$C$12)</f>
        <v>2.0819600980600948E-4</v>
      </c>
      <c r="E41" s="1160">
        <f t="shared" ref="E41:F41" si="10">(E32*E31)/(E42*$C$12)</f>
        <v>2.0819600980600948E-4</v>
      </c>
      <c r="F41" s="1160">
        <f t="shared" si="10"/>
        <v>2.0819600980600948E-4</v>
      </c>
      <c r="G41" s="1137" t="s">
        <v>756</v>
      </c>
      <c r="H41" s="1546" t="s">
        <v>757</v>
      </c>
      <c r="I41" s="1547"/>
      <c r="J41" s="1548"/>
    </row>
    <row r="42" spans="2:10" ht="15.75" customHeight="1">
      <c r="B42" s="1142" t="s">
        <v>758</v>
      </c>
      <c r="C42" s="1146">
        <f>0.7*C43+0.3*C44+0.009*$C8*$C9</f>
        <v>523.68877499999996</v>
      </c>
      <c r="D42" s="1146">
        <f t="shared" ref="D42:F42" si="11">0.7*D43+0.3*D44+0.009*$C8*$C9</f>
        <v>523.68877499999996</v>
      </c>
      <c r="E42" s="1146">
        <f t="shared" si="11"/>
        <v>523.68877499999996</v>
      </c>
      <c r="F42" s="1146">
        <f t="shared" si="11"/>
        <v>523.68877499999996</v>
      </c>
      <c r="G42" s="1137" t="s">
        <v>703</v>
      </c>
      <c r="H42" s="1546" t="s">
        <v>759</v>
      </c>
      <c r="I42" s="1547"/>
      <c r="J42" s="1548"/>
    </row>
    <row r="43" spans="2:10" ht="15.75" customHeight="1">
      <c r="B43" s="1136" t="s">
        <v>760</v>
      </c>
      <c r="C43" s="1152">
        <f>(($C$10+$C$11))/2</f>
        <v>520.35</v>
      </c>
      <c r="D43" s="1152">
        <f>(($C$10+$C$11))/2</f>
        <v>520.35</v>
      </c>
      <c r="E43" s="1152">
        <f t="shared" ref="E43:F43" si="12">(($C$10+$C$11))/2</f>
        <v>520.35</v>
      </c>
      <c r="F43" s="1152">
        <f t="shared" si="12"/>
        <v>520.35</v>
      </c>
      <c r="G43" s="1137" t="s">
        <v>703</v>
      </c>
      <c r="H43" s="1558" t="s">
        <v>761</v>
      </c>
      <c r="I43" s="1559"/>
      <c r="J43" s="1560"/>
    </row>
    <row r="44" spans="2:10" ht="15.75" customHeight="1">
      <c r="B44" s="1136" t="s">
        <v>762</v>
      </c>
      <c r="C44" s="1146">
        <f>C$43+0.003*$C$8*$C$9</f>
        <v>521.36175000000003</v>
      </c>
      <c r="D44" s="1146">
        <f>D$43+0.003*$C$8*$C$9</f>
        <v>521.36175000000003</v>
      </c>
      <c r="E44" s="1146">
        <f t="shared" ref="E44:F44" si="13">E$43+0.003*$C$8*$C$9</f>
        <v>521.36175000000003</v>
      </c>
      <c r="F44" s="1146">
        <f t="shared" si="13"/>
        <v>521.36175000000003</v>
      </c>
      <c r="G44" s="1137" t="s">
        <v>703</v>
      </c>
      <c r="H44" s="1546" t="s">
        <v>763</v>
      </c>
      <c r="I44" s="1547"/>
      <c r="J44" s="1548"/>
    </row>
    <row r="45" spans="2:10" ht="15.75" customHeight="1">
      <c r="B45" s="1142" t="s">
        <v>764</v>
      </c>
      <c r="C45" s="1146">
        <f>0.4*C43+0.6*C44+0.005*$C$8*$C$9</f>
        <v>522.64329999999995</v>
      </c>
      <c r="D45" s="1146">
        <f>0.4*D43+0.6*D44+0.005*$C$8*$C$9</f>
        <v>522.64329999999995</v>
      </c>
      <c r="E45" s="1146">
        <f t="shared" ref="E45:F45" si="14">0.4*E43+0.6*E44+0.005*$C$8*$C$9</f>
        <v>522.64329999999995</v>
      </c>
      <c r="F45" s="1146">
        <f t="shared" si="14"/>
        <v>522.64329999999995</v>
      </c>
      <c r="G45" s="1143" t="s">
        <v>703</v>
      </c>
      <c r="H45" s="1546" t="s">
        <v>765</v>
      </c>
      <c r="I45" s="1547"/>
      <c r="J45" s="1548"/>
    </row>
    <row r="46" spans="2:10" ht="15.75" customHeight="1">
      <c r="B46" s="1136" t="s">
        <v>766</v>
      </c>
      <c r="C46" s="1152">
        <f>C26/C25</f>
        <v>7.0503999999999998</v>
      </c>
      <c r="D46" s="1152">
        <f>D26/D25</f>
        <v>30.216000000000001</v>
      </c>
      <c r="E46" s="1152">
        <f t="shared" ref="E46:F46" si="15">E26/E25</f>
        <v>333.33333333333331</v>
      </c>
      <c r="F46" s="1152">
        <f t="shared" si="15"/>
        <v>300</v>
      </c>
      <c r="G46" s="1137" t="s">
        <v>699</v>
      </c>
      <c r="H46" s="1558"/>
      <c r="I46" s="1559"/>
      <c r="J46" s="1560"/>
    </row>
    <row r="47" spans="2:10" ht="24" customHeight="1">
      <c r="B47" s="1161" t="s">
        <v>767</v>
      </c>
      <c r="C47" s="1162">
        <f>IF(C46&gt;36,(180+C46)/(6*C46),1)</f>
        <v>1</v>
      </c>
      <c r="D47" s="1163">
        <f>IF(D46&gt;36,(180+D46)/(6*D46),1)</f>
        <v>1</v>
      </c>
      <c r="E47" s="1163">
        <f t="shared" ref="E47:F47" si="16">IF(E46&gt;36,(180+E46)/(6*E46),1)</f>
        <v>0.25666666666666665</v>
      </c>
      <c r="F47" s="1163">
        <f t="shared" si="16"/>
        <v>0.26666666666666666</v>
      </c>
      <c r="G47" s="1164" t="s">
        <v>699</v>
      </c>
      <c r="H47" s="1555" t="s">
        <v>768</v>
      </c>
      <c r="I47" s="1556"/>
      <c r="J47" s="1557"/>
    </row>
    <row r="48" spans="2:10" ht="24" customHeight="1">
      <c r="B48" s="1142" t="s">
        <v>769</v>
      </c>
      <c r="C48" s="1148">
        <f>5.614*C33</f>
        <v>1178.0043333333333</v>
      </c>
      <c r="D48" s="1148">
        <f>5.614*D33</f>
        <v>1009.718</v>
      </c>
      <c r="E48" s="1148">
        <f t="shared" ref="E48:F48" si="17">5.614*E33</f>
        <v>13366.666666666666</v>
      </c>
      <c r="F48" s="1148">
        <f t="shared" si="17"/>
        <v>20050</v>
      </c>
      <c r="G48" s="1143" t="s">
        <v>770</v>
      </c>
      <c r="H48" s="1555" t="s">
        <v>771</v>
      </c>
      <c r="I48" s="1556"/>
      <c r="J48" s="1557"/>
    </row>
    <row r="49" spans="1:17" ht="14.25" customHeight="1">
      <c r="B49" s="1142" t="s">
        <v>772</v>
      </c>
      <c r="C49" s="1147">
        <v>1</v>
      </c>
      <c r="D49" s="1147">
        <v>1</v>
      </c>
      <c r="E49" s="1147">
        <v>1</v>
      </c>
      <c r="F49" s="1147">
        <v>1</v>
      </c>
      <c r="G49" s="1143" t="s">
        <v>699</v>
      </c>
      <c r="H49" s="1555" t="s">
        <v>773</v>
      </c>
      <c r="I49" s="1556"/>
      <c r="J49" s="1557"/>
    </row>
    <row r="50" spans="1:17" ht="15" customHeight="1" thickBot="1">
      <c r="B50" s="1165" t="s">
        <v>774</v>
      </c>
      <c r="C50" s="1166">
        <v>1</v>
      </c>
      <c r="D50" s="1166">
        <v>1</v>
      </c>
      <c r="E50" s="1166">
        <v>1</v>
      </c>
      <c r="F50" s="1166">
        <v>1</v>
      </c>
      <c r="G50" s="1167" t="s">
        <v>699</v>
      </c>
      <c r="H50" s="1568" t="s">
        <v>773</v>
      </c>
      <c r="I50" s="1569"/>
      <c r="J50" s="1570"/>
    </row>
    <row r="51" spans="1:17" ht="14.4" thickTop="1">
      <c r="B51" s="1168"/>
      <c r="C51" s="1169"/>
      <c r="D51" s="1169"/>
      <c r="E51" s="1169"/>
      <c r="F51" s="1169"/>
      <c r="G51" s="1168"/>
      <c r="H51" s="1170"/>
      <c r="I51" s="1170"/>
      <c r="J51" s="1170"/>
    </row>
    <row r="52" spans="1:17">
      <c r="B52" s="1127"/>
      <c r="C52" s="1127"/>
      <c r="D52" s="1127"/>
      <c r="E52" s="1127"/>
      <c r="F52" s="1127"/>
      <c r="G52" s="1127"/>
      <c r="H52" s="1127"/>
      <c r="I52" s="1127"/>
      <c r="J52" s="1127"/>
    </row>
    <row r="53" spans="1:17" ht="14.4" thickBot="1">
      <c r="B53" s="1126" t="s">
        <v>775</v>
      </c>
      <c r="C53" s="1127"/>
      <c r="D53" s="1127"/>
      <c r="E53" s="1127"/>
      <c r="F53" s="1127"/>
      <c r="G53" s="1127"/>
      <c r="H53" s="1127"/>
      <c r="I53" s="1127"/>
      <c r="J53" s="1127"/>
    </row>
    <row r="54" spans="1:17" ht="21.75" customHeight="1" thickTop="1" thickBot="1">
      <c r="B54" s="1130" t="s">
        <v>5</v>
      </c>
      <c r="C54" s="1131" t="s">
        <v>462</v>
      </c>
      <c r="D54" s="1131" t="s">
        <v>463</v>
      </c>
      <c r="E54" s="1131" t="s">
        <v>533</v>
      </c>
      <c r="F54" s="1131" t="s">
        <v>534</v>
      </c>
      <c r="G54" s="1132" t="s">
        <v>31</v>
      </c>
      <c r="H54" s="1522" t="s">
        <v>452</v>
      </c>
      <c r="I54" s="1523"/>
      <c r="J54" s="1524"/>
    </row>
    <row r="55" spans="1:17" ht="15.75" customHeight="1" thickTop="1">
      <c r="B55" s="1136" t="s">
        <v>776</v>
      </c>
      <c r="C55" s="1171">
        <f>365*C29*C41*C37*C40</f>
        <v>0.38035169981943001</v>
      </c>
      <c r="D55" s="1267">
        <f>365*D29*D41*D37*D40</f>
        <v>7.928444152513342E-2</v>
      </c>
      <c r="E55" s="1267">
        <f t="shared" ref="E55:F55" si="18">365*E29*E41*E37*E40</f>
        <v>9.160042815053672E-2</v>
      </c>
      <c r="F55" s="1171">
        <f t="shared" si="18"/>
        <v>0.14796992239702092</v>
      </c>
      <c r="G55" s="1137" t="s">
        <v>777</v>
      </c>
      <c r="H55" s="1564" t="s">
        <v>778</v>
      </c>
      <c r="I55" s="1565"/>
      <c r="J55" s="1566"/>
      <c r="P55" s="1567"/>
      <c r="Q55" s="1567"/>
    </row>
    <row r="56" spans="1:17" ht="15.75" customHeight="1">
      <c r="B56" s="1136" t="s">
        <v>779</v>
      </c>
      <c r="C56" s="1158">
        <f>C48*C47*C49*C41*C50</f>
        <v>0.24525580173418832</v>
      </c>
      <c r="D56" s="1158">
        <f>D48*D47*D49*D41*D50</f>
        <v>0.21021925862930427</v>
      </c>
      <c r="E56" s="1158">
        <f t="shared" ref="E56:F56" si="19">E48*E47*E49*E41*E50</f>
        <v>0.71427424386446159</v>
      </c>
      <c r="F56" s="1158">
        <f t="shared" si="19"/>
        <v>1.1131546657627973</v>
      </c>
      <c r="G56" s="1137" t="s">
        <v>777</v>
      </c>
      <c r="H56" s="1546" t="s">
        <v>780</v>
      </c>
      <c r="I56" s="1547"/>
      <c r="J56" s="1548"/>
    </row>
    <row r="57" spans="1:17" ht="15.75" customHeight="1">
      <c r="B57" s="1136" t="s">
        <v>781</v>
      </c>
      <c r="C57" s="1159">
        <f>C56+C55</f>
        <v>0.62560750155361833</v>
      </c>
      <c r="D57" s="1159">
        <f>D56+D55</f>
        <v>0.28950370015443772</v>
      </c>
      <c r="E57" s="1159">
        <f t="shared" ref="E57:F57" si="20">E56+E55</f>
        <v>0.80587467201499829</v>
      </c>
      <c r="F57" s="1159">
        <f t="shared" si="20"/>
        <v>1.2611245881598183</v>
      </c>
      <c r="G57" s="1137" t="s">
        <v>777</v>
      </c>
      <c r="H57" s="1558" t="s">
        <v>782</v>
      </c>
      <c r="I57" s="1559"/>
      <c r="J57" s="1560"/>
    </row>
    <row r="58" spans="1:17" ht="15.75" customHeight="1" outlineLevel="1">
      <c r="B58" s="1136" t="s">
        <v>783</v>
      </c>
      <c r="C58" s="1159">
        <v>1</v>
      </c>
      <c r="D58" s="1159">
        <v>1</v>
      </c>
      <c r="E58" s="1159">
        <v>1</v>
      </c>
      <c r="F58" s="1159">
        <v>1</v>
      </c>
      <c r="G58" s="1137" t="s">
        <v>699</v>
      </c>
      <c r="H58" s="1558" t="s">
        <v>784</v>
      </c>
      <c r="I58" s="1559"/>
      <c r="J58" s="1560"/>
    </row>
    <row r="59" spans="1:17" ht="15.75" customHeight="1">
      <c r="B59" s="1136" t="s">
        <v>785</v>
      </c>
      <c r="C59" s="1159">
        <f>C58*C57</f>
        <v>0.62560750155361833</v>
      </c>
      <c r="D59" s="1159">
        <f>D58*D57</f>
        <v>0.28950370015443772</v>
      </c>
      <c r="E59" s="1159">
        <f t="shared" ref="E59:F59" si="21">E58*E57</f>
        <v>0.80587467201499829</v>
      </c>
      <c r="F59" s="1159">
        <f t="shared" si="21"/>
        <v>1.2611245881598183</v>
      </c>
      <c r="G59" s="1137" t="s">
        <v>777</v>
      </c>
      <c r="H59" s="1558"/>
      <c r="I59" s="1559"/>
      <c r="J59" s="1560"/>
    </row>
    <row r="60" spans="1:17" ht="15.75" customHeight="1" thickBot="1">
      <c r="B60" s="1172" t="s">
        <v>786</v>
      </c>
      <c r="C60" s="1173">
        <f>C59/2000</f>
        <v>3.1280375077680916E-4</v>
      </c>
      <c r="D60" s="1173">
        <f>D59/2000</f>
        <v>1.4475185007721886E-4</v>
      </c>
      <c r="E60" s="1173">
        <f t="shared" ref="E60:F60" si="22">E59/2000</f>
        <v>4.0293733600749914E-4</v>
      </c>
      <c r="F60" s="1173">
        <f t="shared" si="22"/>
        <v>6.3056229407990917E-4</v>
      </c>
      <c r="G60" s="1174" t="s">
        <v>421</v>
      </c>
      <c r="H60" s="1571"/>
      <c r="I60" s="1572"/>
      <c r="J60" s="1573"/>
    </row>
    <row r="61" spans="1:17" ht="14.4" thickTop="1">
      <c r="B61" s="1175"/>
      <c r="C61" s="1175"/>
      <c r="D61" s="1175"/>
      <c r="E61" s="1175"/>
      <c r="F61" s="1175"/>
      <c r="G61" s="1175"/>
      <c r="H61" s="1175"/>
      <c r="I61" s="1176"/>
      <c r="J61" s="1176"/>
    </row>
    <row r="62" spans="1:17">
      <c r="A62" s="1177" t="s">
        <v>110</v>
      </c>
      <c r="B62" s="1178"/>
      <c r="C62" s="1179"/>
      <c r="D62" s="1179"/>
      <c r="E62" s="1179"/>
      <c r="F62" s="1179"/>
      <c r="G62" s="1178"/>
      <c r="H62" s="1178"/>
      <c r="I62" s="1178"/>
    </row>
    <row r="63" spans="1:17">
      <c r="B63" s="1180" t="s">
        <v>787</v>
      </c>
      <c r="C63" s="1178"/>
      <c r="D63" s="1178"/>
      <c r="E63" s="1178"/>
      <c r="F63" s="1178"/>
      <c r="G63" s="1178"/>
      <c r="H63" s="1178"/>
      <c r="I63" s="1178"/>
    </row>
    <row r="64" spans="1:17">
      <c r="B64" s="1178"/>
      <c r="C64" s="1178"/>
      <c r="D64" s="1178"/>
      <c r="E64" s="1178"/>
      <c r="F64" s="1178"/>
      <c r="G64" s="1178"/>
      <c r="H64" s="1178"/>
      <c r="I64" s="1178"/>
    </row>
    <row r="65" spans="2:9">
      <c r="B65" s="1178"/>
      <c r="C65" s="1178"/>
      <c r="D65" s="1178"/>
      <c r="E65" s="1178"/>
      <c r="F65" s="1178"/>
      <c r="G65" s="1178"/>
      <c r="H65" s="1178"/>
      <c r="I65" s="1178"/>
    </row>
    <row r="66" spans="2:9">
      <c r="B66" s="1178"/>
      <c r="C66" s="1178"/>
      <c r="D66" s="1178"/>
      <c r="E66" s="1178"/>
      <c r="F66" s="1178"/>
      <c r="G66" s="1178"/>
      <c r="H66" s="1178"/>
      <c r="I66" s="1178"/>
    </row>
    <row r="67" spans="2:9">
      <c r="B67" s="1178"/>
      <c r="C67" s="1178"/>
      <c r="D67" s="1178"/>
      <c r="E67" s="1178"/>
      <c r="F67" s="1178"/>
      <c r="G67" s="1178"/>
      <c r="H67" s="1178"/>
      <c r="I67" s="1178"/>
    </row>
    <row r="68" spans="2:9">
      <c r="B68" s="1178"/>
      <c r="C68" s="1178"/>
      <c r="D68" s="1178"/>
      <c r="E68" s="1178"/>
      <c r="F68" s="1178"/>
      <c r="G68" s="1178"/>
      <c r="H68" s="1178"/>
      <c r="I68" s="1178"/>
    </row>
    <row r="69" spans="2:9">
      <c r="B69" s="1178"/>
      <c r="C69" s="1178"/>
      <c r="D69" s="1178"/>
      <c r="E69" s="1178"/>
      <c r="F69" s="1178"/>
      <c r="G69" s="1178"/>
      <c r="H69" s="1178"/>
      <c r="I69" s="1178"/>
    </row>
    <row r="70" spans="2:9">
      <c r="B70" s="1178"/>
      <c r="C70" s="1178"/>
      <c r="D70" s="1178"/>
      <c r="E70" s="1178"/>
      <c r="F70" s="1178"/>
      <c r="G70" s="1178"/>
      <c r="H70" s="1178"/>
      <c r="I70" s="1178"/>
    </row>
    <row r="71" spans="2:9">
      <c r="B71" s="1178"/>
      <c r="C71" s="1178"/>
      <c r="D71" s="1178"/>
      <c r="E71" s="1178"/>
      <c r="F71" s="1178"/>
      <c r="G71" s="1178"/>
      <c r="H71" s="1178"/>
      <c r="I71" s="1178"/>
    </row>
    <row r="72" spans="2:9">
      <c r="B72" s="1178"/>
      <c r="C72" s="1178"/>
      <c r="D72" s="1178"/>
      <c r="E72" s="1178"/>
      <c r="F72" s="1178"/>
      <c r="G72" s="1178"/>
      <c r="H72" s="1178"/>
      <c r="I72" s="1178"/>
    </row>
    <row r="73" spans="2:9">
      <c r="B73" s="1178"/>
      <c r="C73" s="1178"/>
      <c r="D73" s="1178"/>
      <c r="E73" s="1178"/>
      <c r="F73" s="1178"/>
      <c r="G73" s="1178"/>
      <c r="H73" s="1178"/>
      <c r="I73" s="1178"/>
    </row>
    <row r="74" spans="2:9">
      <c r="B74" s="1178"/>
      <c r="C74" s="1178"/>
      <c r="D74" s="1178"/>
      <c r="E74" s="1178"/>
      <c r="F74" s="1178"/>
      <c r="G74" s="1178"/>
      <c r="H74" s="1178"/>
      <c r="I74" s="1178"/>
    </row>
    <row r="75" spans="2:9">
      <c r="B75" s="1178"/>
      <c r="C75" s="1178"/>
      <c r="D75" s="1178"/>
      <c r="E75" s="1178"/>
      <c r="F75" s="1178"/>
      <c r="G75" s="1178"/>
      <c r="H75" s="1178"/>
      <c r="I75" s="1178"/>
    </row>
    <row r="76" spans="2:9">
      <c r="B76" s="1178"/>
      <c r="C76" s="1178"/>
      <c r="D76" s="1178"/>
      <c r="E76" s="1178"/>
      <c r="F76" s="1178"/>
      <c r="G76" s="1178"/>
      <c r="H76" s="1178"/>
      <c r="I76" s="1178"/>
    </row>
    <row r="77" spans="2:9">
      <c r="B77" s="1178"/>
      <c r="C77" s="1178"/>
      <c r="D77" s="1178"/>
      <c r="E77" s="1178"/>
      <c r="F77" s="1178"/>
      <c r="G77" s="1178"/>
      <c r="H77" s="1178"/>
      <c r="I77" s="1178"/>
    </row>
    <row r="78" spans="2:9">
      <c r="B78" s="1178"/>
      <c r="C78" s="1178"/>
      <c r="D78" s="1178"/>
      <c r="E78" s="1178"/>
      <c r="F78" s="1178"/>
      <c r="G78" s="1178"/>
      <c r="H78" s="1178"/>
      <c r="I78" s="1178"/>
    </row>
    <row r="79" spans="2:9">
      <c r="B79" s="1178"/>
      <c r="C79" s="1178"/>
      <c r="D79" s="1178"/>
      <c r="E79" s="1178"/>
      <c r="F79" s="1178"/>
      <c r="G79" s="1178"/>
      <c r="H79" s="1178"/>
      <c r="I79" s="1178"/>
    </row>
    <row r="80" spans="2:9">
      <c r="B80" s="1178"/>
      <c r="C80" s="1178"/>
      <c r="D80" s="1178"/>
      <c r="E80" s="1178"/>
      <c r="F80" s="1178"/>
      <c r="G80" s="1178"/>
      <c r="H80" s="1178"/>
      <c r="I80" s="1178"/>
    </row>
  </sheetData>
  <mergeCells count="61">
    <mergeCell ref="H59:J59"/>
    <mergeCell ref="H60:J60"/>
    <mergeCell ref="C8:F8"/>
    <mergeCell ref="C18:F18"/>
    <mergeCell ref="C17:F17"/>
    <mergeCell ref="C16:F16"/>
    <mergeCell ref="C15:F15"/>
    <mergeCell ref="C14:F14"/>
    <mergeCell ref="C13:F13"/>
    <mergeCell ref="C12:F12"/>
    <mergeCell ref="H54:J54"/>
    <mergeCell ref="H55:J55"/>
    <mergeCell ref="H39:J39"/>
    <mergeCell ref="H40:J40"/>
    <mergeCell ref="H41:J41"/>
    <mergeCell ref="H42:J42"/>
    <mergeCell ref="P55:Q55"/>
    <mergeCell ref="H56:J56"/>
    <mergeCell ref="H57:J57"/>
    <mergeCell ref="H58:J58"/>
    <mergeCell ref="H45:J45"/>
    <mergeCell ref="H46:J46"/>
    <mergeCell ref="H47:J47"/>
    <mergeCell ref="H48:J48"/>
    <mergeCell ref="H49:J49"/>
    <mergeCell ref="H50:J50"/>
    <mergeCell ref="H43:J43"/>
    <mergeCell ref="H44:J44"/>
    <mergeCell ref="H31:J31"/>
    <mergeCell ref="H32:J32"/>
    <mergeCell ref="H33:J33"/>
    <mergeCell ref="H36:J36"/>
    <mergeCell ref="H37:J37"/>
    <mergeCell ref="H38:J38"/>
    <mergeCell ref="H30:J30"/>
    <mergeCell ref="H17:J17"/>
    <mergeCell ref="H18:J18"/>
    <mergeCell ref="H21:J21"/>
    <mergeCell ref="H22:J22"/>
    <mergeCell ref="H23:J23"/>
    <mergeCell ref="H26:J26"/>
    <mergeCell ref="H27:J27"/>
    <mergeCell ref="H28:J28"/>
    <mergeCell ref="H29:J29"/>
    <mergeCell ref="H14:J14"/>
    <mergeCell ref="H15:J15"/>
    <mergeCell ref="H16:J16"/>
    <mergeCell ref="H11:J11"/>
    <mergeCell ref="H12:J12"/>
    <mergeCell ref="H13:J13"/>
    <mergeCell ref="C11:F11"/>
    <mergeCell ref="H8:J8"/>
    <mergeCell ref="H9:J9"/>
    <mergeCell ref="H10:J10"/>
    <mergeCell ref="C9:F9"/>
    <mergeCell ref="C10:F10"/>
    <mergeCell ref="B1:J1"/>
    <mergeCell ref="B2:J2"/>
    <mergeCell ref="B3:J3"/>
    <mergeCell ref="B4:J4"/>
    <mergeCell ref="H7:J7"/>
  </mergeCells>
  <pageMargins left="0.7" right="0.7" top="0.75" bottom="0.75" header="0.3" footer="0.3"/>
  <pageSetup scale="49" fitToHeight="0" orientation="portrait" horizontalDpi="1200" verticalDpi="1200" r:id="rId1"/>
  <headerFooter>
    <oddFooter>&amp;CPage &amp;P of &amp;N&amp;R&amp;G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52"/>
  <sheetViews>
    <sheetView topLeftCell="A16" workbookViewId="0">
      <selection activeCell="B52" sqref="B52"/>
    </sheetView>
  </sheetViews>
  <sheetFormatPr defaultColWidth="9.109375" defaultRowHeight="11.4"/>
  <cols>
    <col min="1" max="1" width="2.6640625" style="5" customWidth="1"/>
    <col min="2" max="2" width="58.6640625" style="5" customWidth="1"/>
    <col min="3" max="3" width="13.33203125" style="5" customWidth="1"/>
    <col min="4" max="4" width="6" style="5" bestFit="1" customWidth="1"/>
    <col min="5" max="5" width="6.109375" style="5" bestFit="1" customWidth="1"/>
    <col min="6" max="6" width="9" style="5" customWidth="1"/>
    <col min="7" max="8" width="9.109375" style="5" customWidth="1"/>
    <col min="9" max="9" width="9.109375" style="5" bestFit="1" customWidth="1"/>
    <col min="10" max="10" width="7.44140625" style="5" customWidth="1"/>
    <col min="11" max="11" width="10.88671875" style="5" customWidth="1"/>
    <col min="12" max="12" width="11.6640625" style="5" customWidth="1"/>
    <col min="13" max="13" width="10.88671875" style="5" customWidth="1"/>
    <col min="14" max="19" width="10.109375" style="5" customWidth="1"/>
    <col min="20" max="20" width="2" style="5" customWidth="1"/>
    <col min="21" max="16384" width="9.109375" style="5"/>
  </cols>
  <sheetData>
    <row r="1" spans="1:24" ht="15" customHeight="1">
      <c r="B1" s="135" t="s">
        <v>611</v>
      </c>
      <c r="C1" s="6"/>
      <c r="D1" s="6"/>
      <c r="E1" s="6"/>
      <c r="F1" s="6"/>
      <c r="G1" s="6"/>
      <c r="H1" s="6"/>
      <c r="I1" s="6"/>
      <c r="J1" s="6"/>
      <c r="K1" s="6"/>
      <c r="L1" s="6"/>
      <c r="M1" s="6"/>
      <c r="N1" s="6"/>
      <c r="O1" s="6"/>
      <c r="P1" s="6"/>
      <c r="Q1" s="6"/>
      <c r="R1" s="6"/>
      <c r="S1" s="6"/>
    </row>
    <row r="2" spans="1:24" ht="15" customHeight="1">
      <c r="B2" s="135" t="s">
        <v>241</v>
      </c>
      <c r="C2" s="6"/>
      <c r="D2" s="6"/>
      <c r="E2" s="6"/>
      <c r="F2" s="6"/>
      <c r="G2" s="6"/>
      <c r="H2" s="6"/>
      <c r="I2" s="6"/>
      <c r="J2" s="6"/>
      <c r="K2" s="6"/>
      <c r="L2" s="6"/>
      <c r="M2" s="6"/>
      <c r="N2" s="6"/>
      <c r="O2" s="6"/>
      <c r="P2" s="6"/>
      <c r="Q2" s="6"/>
      <c r="R2" s="6"/>
      <c r="S2" s="6"/>
    </row>
    <row r="3" spans="1:24" ht="15" customHeight="1">
      <c r="B3" s="1514" t="str">
        <f>'3a-RTO - Dryer GHM DHM'!B3:J3</f>
        <v>Enviva Pellets Ahoskie, LLC</v>
      </c>
      <c r="C3" s="1514"/>
      <c r="D3" s="1514"/>
      <c r="E3" s="1514"/>
      <c r="F3" s="1514"/>
      <c r="G3" s="1514"/>
      <c r="H3" s="1514"/>
      <c r="I3" s="1514"/>
      <c r="J3" s="1514"/>
      <c r="K3" s="1514"/>
      <c r="L3" s="1514"/>
      <c r="M3" s="1514"/>
      <c r="N3" s="1514"/>
      <c r="O3" s="1514"/>
      <c r="P3" s="1514"/>
      <c r="Q3" s="1514"/>
      <c r="R3" s="1514"/>
      <c r="S3" s="1514"/>
    </row>
    <row r="4" spans="1:24" ht="15" thickBot="1">
      <c r="A4"/>
      <c r="B4"/>
      <c r="C4"/>
      <c r="D4"/>
      <c r="E4"/>
      <c r="F4"/>
      <c r="G4"/>
      <c r="H4"/>
      <c r="I4"/>
      <c r="J4"/>
      <c r="K4"/>
      <c r="L4"/>
      <c r="M4"/>
      <c r="N4"/>
      <c r="O4"/>
      <c r="P4"/>
      <c r="Q4"/>
    </row>
    <row r="5" spans="1:24" ht="40.5" customHeight="1" thickTop="1">
      <c r="A5"/>
      <c r="B5" s="1507" t="s">
        <v>242</v>
      </c>
      <c r="C5" s="1407" t="s">
        <v>243</v>
      </c>
      <c r="D5" s="1407" t="s">
        <v>244</v>
      </c>
      <c r="E5" s="1407" t="s">
        <v>245</v>
      </c>
      <c r="F5" s="136" t="s">
        <v>246</v>
      </c>
      <c r="G5" s="926" t="s">
        <v>247</v>
      </c>
      <c r="H5" s="138" t="s">
        <v>248</v>
      </c>
      <c r="I5" s="136" t="s">
        <v>249</v>
      </c>
      <c r="J5" s="1407" t="s">
        <v>250</v>
      </c>
      <c r="K5" s="41" t="s">
        <v>210</v>
      </c>
      <c r="L5" s="41" t="s">
        <v>211</v>
      </c>
      <c r="M5" s="41" t="s">
        <v>251</v>
      </c>
      <c r="N5" s="1398" t="s">
        <v>223</v>
      </c>
      <c r="O5" s="1511"/>
      <c r="P5" s="1398" t="s">
        <v>224</v>
      </c>
      <c r="Q5" s="1511"/>
      <c r="R5" s="1398" t="s">
        <v>225</v>
      </c>
      <c r="S5" s="1399"/>
    </row>
    <row r="6" spans="1:24" ht="15" thickBot="1">
      <c r="A6"/>
      <c r="B6" s="1508"/>
      <c r="C6" s="1408"/>
      <c r="D6" s="1408"/>
      <c r="E6" s="1408"/>
      <c r="F6" s="42" t="s">
        <v>252</v>
      </c>
      <c r="G6" s="50" t="s">
        <v>253</v>
      </c>
      <c r="H6" s="42" t="s">
        <v>253</v>
      </c>
      <c r="I6" s="42" t="s">
        <v>254</v>
      </c>
      <c r="J6" s="1408"/>
      <c r="K6" s="42" t="s">
        <v>255</v>
      </c>
      <c r="L6" s="42" t="s">
        <v>255</v>
      </c>
      <c r="M6" s="42" t="s">
        <v>255</v>
      </c>
      <c r="N6" s="139" t="s">
        <v>256</v>
      </c>
      <c r="O6" s="101" t="s">
        <v>8</v>
      </c>
      <c r="P6" s="139" t="s">
        <v>256</v>
      </c>
      <c r="Q6" s="101" t="s">
        <v>8</v>
      </c>
      <c r="R6" s="139" t="s">
        <v>256</v>
      </c>
      <c r="S6" s="102" t="s">
        <v>8</v>
      </c>
      <c r="T6" s="19"/>
    </row>
    <row r="7" spans="1:24" ht="15" thickTop="1">
      <c r="A7"/>
      <c r="B7" s="140" t="s">
        <v>564</v>
      </c>
      <c r="C7" s="166">
        <f>1510+750</f>
        <v>2260</v>
      </c>
      <c r="D7" s="872">
        <f>ROUNDUP(550000/(1-0.5)/30/365,0)</f>
        <v>101</v>
      </c>
      <c r="E7" s="903">
        <f>C7*D7/$B$50</f>
        <v>43.231060606060609</v>
      </c>
      <c r="F7" s="118">
        <v>365</v>
      </c>
      <c r="G7" s="141">
        <v>40480</v>
      </c>
      <c r="H7" s="872">
        <f>'13b - Unpaved Roads'!H8</f>
        <v>92480</v>
      </c>
      <c r="I7" s="891">
        <f>AVERAGE(G7:H7)/2000</f>
        <v>33.24</v>
      </c>
      <c r="J7" s="872">
        <f t="shared" ref="J7:J13" si="0">E7*F7</f>
        <v>15779.337121212122</v>
      </c>
      <c r="K7" s="892">
        <f>($G$22*($G$25^0.91)*(I7^1.02))*(1-($G$26/(4*365)))</f>
        <v>1.1634665238144917</v>
      </c>
      <c r="L7" s="142">
        <f t="shared" ref="L7:L13" si="1">($G$23*($G$25^0.91)*(I7^1.02))*(1-($G$26/(4*365)))</f>
        <v>0.23269330476289837</v>
      </c>
      <c r="M7" s="142">
        <f t="shared" ref="M7:M12" si="2">($G$24*($G$25^0.91)*(I7^1.02))*(1-($G$26/(4*365)))</f>
        <v>5.7115629350893225E-2</v>
      </c>
      <c r="N7" s="893">
        <f t="shared" ref="N7:N13" si="3">K7*$E7*(1-$C$52)</f>
        <v>5.0297891804146939</v>
      </c>
      <c r="O7" s="893">
        <f>K7*$J7/2000*(1-$C$52)</f>
        <v>0.91793652542568149</v>
      </c>
      <c r="P7" s="893">
        <f t="shared" ref="P7:P13" si="4">L7*$E7*(1-$C$52)</f>
        <v>1.0059578360829389</v>
      </c>
      <c r="Q7" s="143">
        <f>L7*J7/2000*(1-$C$52)</f>
        <v>0.18358730508513635</v>
      </c>
      <c r="R7" s="143">
        <f t="shared" ref="R7:R13" si="5">M7*$E7*(1-$C$52)</f>
        <v>0.24691692340217586</v>
      </c>
      <c r="S7" s="1265">
        <f>M7*J7/2000*(1-$C$52)</f>
        <v>4.5062338520897097E-2</v>
      </c>
      <c r="V7" s="688"/>
    </row>
    <row r="8" spans="1:24" s="18" customFormat="1" ht="14.4">
      <c r="A8" s="29"/>
      <c r="B8" s="140" t="s">
        <v>565</v>
      </c>
      <c r="C8" s="166">
        <v>1850</v>
      </c>
      <c r="D8" s="165">
        <f>D7</f>
        <v>101</v>
      </c>
      <c r="E8" s="904">
        <f t="shared" ref="E8:E13" si="6">C8*D8/$B$50</f>
        <v>35.388257575757578</v>
      </c>
      <c r="F8" s="146">
        <v>365</v>
      </c>
      <c r="G8" s="712">
        <v>40480</v>
      </c>
      <c r="H8" s="468">
        <f>'13b - Unpaved Roads'!H8</f>
        <v>92480</v>
      </c>
      <c r="I8" s="894">
        <f t="shared" ref="I8:I13" si="7">AVERAGE(G8:H8)/2000</f>
        <v>33.24</v>
      </c>
      <c r="J8" s="165">
        <f t="shared" si="0"/>
        <v>12916.714015151516</v>
      </c>
      <c r="K8" s="895">
        <f t="shared" ref="K8:K13" si="8">($G$22*($G$25^0.91)*(I8^1.02))*(1-($G$26/(4*365)))</f>
        <v>1.1634665238144917</v>
      </c>
      <c r="L8" s="120">
        <f t="shared" si="1"/>
        <v>0.23269330476289837</v>
      </c>
      <c r="M8" s="120">
        <f t="shared" si="2"/>
        <v>5.7115629350893225E-2</v>
      </c>
      <c r="N8" s="120">
        <f t="shared" si="3"/>
        <v>4.1173053025518511</v>
      </c>
      <c r="O8" s="120">
        <f t="shared" ref="O8:O13" si="9">K8*J8/2000*(1-$C$52)</f>
        <v>0.75140821771571287</v>
      </c>
      <c r="P8" s="120">
        <f t="shared" si="4"/>
        <v>0.82346106051037038</v>
      </c>
      <c r="Q8" s="120">
        <f t="shared" ref="Q8:Q13" si="10">L8*J8/2000*(1-$C$52)</f>
        <v>0.15028164354314258</v>
      </c>
      <c r="R8" s="120">
        <f t="shared" si="5"/>
        <v>0.20212226030709085</v>
      </c>
      <c r="S8" s="232">
        <f t="shared" ref="S8:S13" si="11">M8*J8/2000*(1-$C$52)</f>
        <v>3.688731250604408E-2</v>
      </c>
      <c r="U8" s="5"/>
      <c r="V8" s="688"/>
      <c r="W8" s="5"/>
      <c r="X8" s="5"/>
    </row>
    <row r="9" spans="1:24" ht="14.4">
      <c r="A9"/>
      <c r="B9" s="140" t="s">
        <v>529</v>
      </c>
      <c r="C9" s="166">
        <v>2115</v>
      </c>
      <c r="D9" s="165">
        <v>12</v>
      </c>
      <c r="E9" s="904">
        <f t="shared" si="6"/>
        <v>4.8068181818181817</v>
      </c>
      <c r="F9" s="119">
        <v>365</v>
      </c>
      <c r="G9" s="145">
        <v>40480</v>
      </c>
      <c r="H9" s="468">
        <f>'13b - Unpaved Roads'!H9</f>
        <v>65000</v>
      </c>
      <c r="I9" s="894">
        <f t="shared" si="7"/>
        <v>26.37</v>
      </c>
      <c r="J9" s="165">
        <f t="shared" si="0"/>
        <v>1754.4886363636363</v>
      </c>
      <c r="K9" s="895">
        <f t="shared" si="8"/>
        <v>0.91873865425932222</v>
      </c>
      <c r="L9" s="120">
        <f t="shared" si="1"/>
        <v>0.18374773085186444</v>
      </c>
      <c r="M9" s="120">
        <f t="shared" si="2"/>
        <v>4.5101715754548542E-2</v>
      </c>
      <c r="N9" s="120">
        <f t="shared" si="3"/>
        <v>0.44162096676328771</v>
      </c>
      <c r="O9" s="123">
        <f t="shared" si="9"/>
        <v>8.0595826434300008E-2</v>
      </c>
      <c r="P9" s="123">
        <f t="shared" si="4"/>
        <v>8.8324193352657551E-2</v>
      </c>
      <c r="Q9" s="123">
        <f t="shared" si="10"/>
        <v>1.6119165286860002E-2</v>
      </c>
      <c r="R9" s="123">
        <f t="shared" si="5"/>
        <v>2.1679574732015941E-2</v>
      </c>
      <c r="S9" s="555">
        <f t="shared" si="11"/>
        <v>3.9565223885929092E-3</v>
      </c>
      <c r="V9" s="688"/>
    </row>
    <row r="10" spans="1:24" ht="14.4">
      <c r="A10"/>
      <c r="B10" s="709" t="s">
        <v>530</v>
      </c>
      <c r="C10" s="890">
        <v>1740</v>
      </c>
      <c r="D10" s="897">
        <v>26</v>
      </c>
      <c r="E10" s="905">
        <f t="shared" si="6"/>
        <v>8.5681818181818183</v>
      </c>
      <c r="F10" s="710">
        <v>365</v>
      </c>
      <c r="G10" s="711">
        <v>40960</v>
      </c>
      <c r="H10" s="1041">
        <f>'13b - Unpaved Roads'!H10</f>
        <v>92960</v>
      </c>
      <c r="I10" s="896">
        <f t="shared" si="7"/>
        <v>33.479999999999997</v>
      </c>
      <c r="J10" s="897">
        <f t="shared" si="0"/>
        <v>3127.3863636363635</v>
      </c>
      <c r="K10" s="898">
        <f t="shared" si="8"/>
        <v>1.172035630946711</v>
      </c>
      <c r="L10" s="899">
        <f t="shared" si="1"/>
        <v>0.23440712618934226</v>
      </c>
      <c r="M10" s="899">
        <f t="shared" si="2"/>
        <v>5.7536294610111276E-2</v>
      </c>
      <c r="N10" s="899">
        <f t="shared" si="3"/>
        <v>1.0042214383338863</v>
      </c>
      <c r="O10" s="120">
        <f t="shared" si="9"/>
        <v>0.18327041249593423</v>
      </c>
      <c r="P10" s="899">
        <f t="shared" si="4"/>
        <v>0.20084428766677731</v>
      </c>
      <c r="Q10" s="123">
        <f t="shared" si="10"/>
        <v>3.6654082499186856E-2</v>
      </c>
      <c r="R10" s="1266">
        <f t="shared" si="5"/>
        <v>4.9298143336390786E-2</v>
      </c>
      <c r="S10" s="1264">
        <f t="shared" si="11"/>
        <v>8.99691115889132E-3</v>
      </c>
      <c r="V10" s="688"/>
    </row>
    <row r="11" spans="1:24" ht="14.4">
      <c r="A11"/>
      <c r="B11" s="148" t="s">
        <v>414</v>
      </c>
      <c r="C11" s="165">
        <v>2080</v>
      </c>
      <c r="D11" s="165">
        <f>ROUNDUP(630000/(1-0.055)/31/365,0)</f>
        <v>59</v>
      </c>
      <c r="E11" s="904">
        <f t="shared" si="6"/>
        <v>23.242424242424242</v>
      </c>
      <c r="F11" s="146">
        <v>365</v>
      </c>
      <c r="G11" s="145">
        <v>40480</v>
      </c>
      <c r="H11" s="468">
        <f>'13b - Unpaved Roads'!H7</f>
        <v>102480</v>
      </c>
      <c r="I11" s="894">
        <f t="shared" si="7"/>
        <v>35.74</v>
      </c>
      <c r="J11" s="165">
        <f t="shared" si="0"/>
        <v>8483.484848484848</v>
      </c>
      <c r="K11" s="895">
        <f t="shared" si="8"/>
        <v>1.2527871659592993</v>
      </c>
      <c r="L11" s="120">
        <f t="shared" si="1"/>
        <v>0.25055743319185986</v>
      </c>
      <c r="M11" s="120">
        <f t="shared" si="2"/>
        <v>6.1500460874365594E-2</v>
      </c>
      <c r="N11" s="120">
        <f t="shared" si="3"/>
        <v>2.9117810796690375</v>
      </c>
      <c r="O11" s="120">
        <f t="shared" si="9"/>
        <v>0.53140004703959931</v>
      </c>
      <c r="P11" s="120">
        <f t="shared" si="4"/>
        <v>0.58235621593380749</v>
      </c>
      <c r="Q11" s="120">
        <f t="shared" si="10"/>
        <v>0.10628000940791986</v>
      </c>
      <c r="R11" s="120">
        <f t="shared" si="5"/>
        <v>0.14294198027466182</v>
      </c>
      <c r="S11" s="232">
        <f t="shared" si="11"/>
        <v>2.6086911400125777E-2</v>
      </c>
      <c r="V11" s="688"/>
    </row>
    <row r="12" spans="1:24" ht="14.4">
      <c r="A12"/>
      <c r="B12" s="226" t="s">
        <v>520</v>
      </c>
      <c r="C12" s="165">
        <v>1660</v>
      </c>
      <c r="D12" s="165">
        <v>4</v>
      </c>
      <c r="E12" s="904">
        <f t="shared" si="6"/>
        <v>1.2575757575757576</v>
      </c>
      <c r="F12" s="146">
        <v>365</v>
      </c>
      <c r="G12" s="1037">
        <f>G11</f>
        <v>40480</v>
      </c>
      <c r="H12" s="1038">
        <f>G12+(1.8*10000)</f>
        <v>58480</v>
      </c>
      <c r="I12" s="894">
        <f>AVERAGE(G12:H12)/2000</f>
        <v>24.74</v>
      </c>
      <c r="J12" s="165">
        <f t="shared" si="0"/>
        <v>459.0151515151515</v>
      </c>
      <c r="K12" s="895">
        <f t="shared" si="8"/>
        <v>0.86084972629618151</v>
      </c>
      <c r="L12" s="123">
        <f t="shared" si="1"/>
        <v>0.17216994525923632</v>
      </c>
      <c r="M12" s="123">
        <f t="shared" si="2"/>
        <v>4.2259895654539817E-2</v>
      </c>
      <c r="N12" s="120">
        <f t="shared" si="3"/>
        <v>0.10825837467058037</v>
      </c>
      <c r="O12" s="123">
        <f t="shared" si="9"/>
        <v>1.9757153377380918E-2</v>
      </c>
      <c r="P12" s="123">
        <f t="shared" si="4"/>
        <v>2.1651674934116079E-2</v>
      </c>
      <c r="Q12" s="233">
        <f t="shared" si="10"/>
        <v>3.9514306754761842E-3</v>
      </c>
      <c r="R12" s="233">
        <f t="shared" si="5"/>
        <v>5.3145020292830357E-3</v>
      </c>
      <c r="S12" s="555">
        <f t="shared" si="11"/>
        <v>9.6989662034415412E-4</v>
      </c>
      <c r="V12" s="688"/>
    </row>
    <row r="13" spans="1:24" ht="15" thickBot="1">
      <c r="A13"/>
      <c r="B13" s="149" t="s">
        <v>257</v>
      </c>
      <c r="C13" s="461">
        <v>2250</v>
      </c>
      <c r="D13" s="461">
        <v>75</v>
      </c>
      <c r="E13" s="906">
        <f t="shared" si="6"/>
        <v>31.960227272727273</v>
      </c>
      <c r="F13" s="124">
        <v>365</v>
      </c>
      <c r="G13" s="150">
        <v>4000</v>
      </c>
      <c r="H13" s="151">
        <v>4000</v>
      </c>
      <c r="I13" s="900">
        <f t="shared" si="7"/>
        <v>2</v>
      </c>
      <c r="J13" s="461">
        <f t="shared" si="0"/>
        <v>11665.482954545454</v>
      </c>
      <c r="K13" s="152">
        <f t="shared" si="8"/>
        <v>6.617748405963339E-2</v>
      </c>
      <c r="L13" s="808">
        <f t="shared" si="1"/>
        <v>1.323549681192668E-2</v>
      </c>
      <c r="M13" s="874">
        <f>($G$24*($G$25^0.91)*(I13^1.02))*(1-($G$26/(4*365)))</f>
        <v>3.2487128538365487E-3</v>
      </c>
      <c r="N13" s="152">
        <f t="shared" si="3"/>
        <v>0.21150474308831688</v>
      </c>
      <c r="O13" s="808">
        <f t="shared" si="9"/>
        <v>3.8599615613617827E-2</v>
      </c>
      <c r="P13" s="808">
        <f t="shared" si="4"/>
        <v>4.2300948617663391E-2</v>
      </c>
      <c r="Q13" s="808">
        <f t="shared" si="10"/>
        <v>7.7199231227235666E-3</v>
      </c>
      <c r="R13" s="808">
        <f t="shared" si="5"/>
        <v>1.0382960115244649E-2</v>
      </c>
      <c r="S13" s="554">
        <f t="shared" si="11"/>
        <v>1.8948902210321485E-3</v>
      </c>
    </row>
    <row r="14" spans="1:24" ht="15.6" thickTop="1" thickBot="1">
      <c r="A14"/>
      <c r="B14" s="104"/>
      <c r="C14" s="105"/>
      <c r="D14" s="106"/>
      <c r="E14" s="107"/>
      <c r="F14" s="108"/>
      <c r="G14" s="108"/>
      <c r="H14" s="109"/>
      <c r="I14" s="110"/>
      <c r="J14" s="537"/>
      <c r="K14" s="537"/>
      <c r="L14" s="111"/>
      <c r="M14" s="111" t="s">
        <v>215</v>
      </c>
      <c r="N14" s="901">
        <f>SUM(N7:N13)</f>
        <v>13.824481085491653</v>
      </c>
      <c r="O14" s="571">
        <f>SUM(O7:O13)</f>
        <v>2.5229677981022269</v>
      </c>
      <c r="P14" s="571">
        <f>SUM(P7:P13)</f>
        <v>2.7648962170983316</v>
      </c>
      <c r="Q14" s="571">
        <f t="shared" ref="Q14" si="12">SUM(Q7:Q13)</f>
        <v>0.50459355962044539</v>
      </c>
      <c r="R14" s="571">
        <f>SUM(R7:R13)</f>
        <v>0.67865634419686305</v>
      </c>
      <c r="S14" s="902">
        <f>SUM(S7:S13)</f>
        <v>0.1238547828159275</v>
      </c>
    </row>
    <row r="15" spans="1:24" ht="12" thickTop="1">
      <c r="A15" s="1393" t="s">
        <v>196</v>
      </c>
      <c r="B15" s="1393"/>
      <c r="C15" s="262"/>
      <c r="D15" s="262"/>
      <c r="E15" s="262"/>
      <c r="F15" s="262"/>
      <c r="G15" s="262"/>
      <c r="H15" s="262"/>
      <c r="I15" s="262"/>
      <c r="J15" s="262"/>
      <c r="K15" s="262"/>
      <c r="L15" s="262"/>
      <c r="M15" s="262"/>
      <c r="N15" s="262"/>
      <c r="O15" s="262"/>
      <c r="P15" s="262"/>
      <c r="Q15" s="262"/>
      <c r="R15" s="262"/>
      <c r="S15" s="262"/>
    </row>
    <row r="16" spans="1:24" ht="15" customHeight="1">
      <c r="A16" s="264" t="s">
        <v>100</v>
      </c>
      <c r="B16" s="433" t="s">
        <v>397</v>
      </c>
      <c r="C16" s="346"/>
      <c r="D16" s="346"/>
      <c r="E16" s="346"/>
      <c r="F16" s="346"/>
      <c r="G16" s="346"/>
      <c r="H16" s="766"/>
      <c r="I16" s="346"/>
      <c r="J16" s="346"/>
      <c r="K16" s="346"/>
      <c r="L16" s="346"/>
      <c r="M16" s="346"/>
      <c r="N16" s="346"/>
      <c r="O16" s="346"/>
      <c r="P16" s="346"/>
      <c r="Q16" s="346"/>
      <c r="R16" s="346"/>
      <c r="S16" s="346"/>
    </row>
    <row r="17" spans="1:20" ht="15" customHeight="1">
      <c r="A17" s="264" t="s">
        <v>159</v>
      </c>
      <c r="B17" s="491" t="s">
        <v>258</v>
      </c>
      <c r="C17" s="336"/>
      <c r="D17" s="336"/>
      <c r="E17" s="336"/>
      <c r="F17" s="336"/>
      <c r="G17" s="336"/>
      <c r="H17" s="336"/>
      <c r="I17" s="336"/>
      <c r="J17" s="336"/>
      <c r="K17" s="336"/>
      <c r="L17" s="336"/>
      <c r="M17" s="336"/>
      <c r="N17" s="336"/>
      <c r="O17" s="336"/>
      <c r="P17" s="336"/>
      <c r="Q17" s="336"/>
      <c r="R17" s="336"/>
      <c r="S17" s="336"/>
    </row>
    <row r="18" spans="1:20" ht="15" customHeight="1">
      <c r="A18" s="264" t="s">
        <v>160</v>
      </c>
      <c r="B18" s="306" t="s">
        <v>259</v>
      </c>
      <c r="C18" s="336"/>
      <c r="D18" s="336"/>
      <c r="E18" s="336"/>
      <c r="F18" s="336"/>
      <c r="G18" s="336"/>
      <c r="H18" s="336"/>
      <c r="I18" s="336"/>
      <c r="J18" s="336"/>
      <c r="K18" s="336"/>
      <c r="L18" s="336"/>
      <c r="M18" s="336"/>
      <c r="N18" s="336"/>
      <c r="O18" s="336"/>
      <c r="P18" s="336"/>
      <c r="Q18" s="336"/>
      <c r="R18" s="336"/>
      <c r="S18" s="336"/>
    </row>
    <row r="19" spans="1:20" ht="15" customHeight="1">
      <c r="A19" s="264"/>
      <c r="B19" s="492" t="s">
        <v>663</v>
      </c>
      <c r="C19" s="493" t="s">
        <v>664</v>
      </c>
      <c r="D19" s="336"/>
      <c r="E19" s="336"/>
      <c r="F19" s="336"/>
      <c r="G19" s="336"/>
      <c r="H19" s="336"/>
      <c r="I19" s="336"/>
      <c r="J19" s="336"/>
      <c r="K19" s="336"/>
      <c r="L19" s="336"/>
      <c r="M19" s="336"/>
      <c r="N19" s="336"/>
      <c r="O19" s="336"/>
      <c r="P19" s="336"/>
      <c r="Q19" s="336"/>
      <c r="R19" s="336"/>
      <c r="S19" s="336"/>
    </row>
    <row r="20" spans="1:20" ht="15" customHeight="1">
      <c r="A20" s="264"/>
      <c r="B20" s="205" t="s">
        <v>216</v>
      </c>
      <c r="C20" s="262"/>
      <c r="D20" s="336"/>
      <c r="E20" s="336"/>
      <c r="F20" s="336"/>
      <c r="G20" s="336"/>
      <c r="H20" s="336"/>
      <c r="I20" s="336"/>
      <c r="J20" s="336"/>
      <c r="K20" s="336"/>
      <c r="L20" s="336"/>
      <c r="M20" s="336"/>
      <c r="N20" s="336"/>
      <c r="O20" s="336"/>
      <c r="P20" s="336"/>
      <c r="Q20" s="336"/>
      <c r="R20" s="336"/>
      <c r="S20" s="336"/>
    </row>
    <row r="21" spans="1:20" customFormat="1" ht="15" customHeight="1">
      <c r="A21" s="264"/>
      <c r="B21" s="262"/>
      <c r="C21" s="262"/>
      <c r="D21" s="262"/>
      <c r="E21" s="262"/>
      <c r="F21" s="775" t="s">
        <v>217</v>
      </c>
      <c r="G21" s="337"/>
      <c r="H21" s="338"/>
      <c r="I21" s="273"/>
      <c r="J21" s="273"/>
      <c r="K21" s="273"/>
      <c r="L21" s="273"/>
      <c r="M21" s="273"/>
      <c r="N21" s="273"/>
      <c r="O21" s="273"/>
      <c r="P21" s="273"/>
      <c r="Q21" s="273"/>
      <c r="R21" s="273"/>
      <c r="S21" s="262"/>
      <c r="T21" s="5"/>
    </row>
    <row r="22" spans="1:20" customFormat="1" ht="15" customHeight="1">
      <c r="A22" s="264"/>
      <c r="B22" s="262"/>
      <c r="C22" s="262"/>
      <c r="D22" s="262"/>
      <c r="E22" s="262"/>
      <c r="F22" s="775" t="s">
        <v>218</v>
      </c>
      <c r="G22" s="767">
        <v>1.0999999999999999E-2</v>
      </c>
      <c r="H22" s="338"/>
      <c r="I22" s="273"/>
      <c r="J22" s="273"/>
      <c r="K22" s="273"/>
      <c r="L22" s="273"/>
      <c r="M22" s="273"/>
      <c r="N22" s="273"/>
      <c r="O22" s="273"/>
      <c r="P22" s="273"/>
      <c r="Q22" s="273"/>
      <c r="R22" s="273"/>
      <c r="S22" s="262"/>
      <c r="T22" s="5"/>
    </row>
    <row r="23" spans="1:20" customFormat="1" ht="15" customHeight="1">
      <c r="A23" s="264"/>
      <c r="B23" s="262"/>
      <c r="C23" s="262"/>
      <c r="D23" s="262"/>
      <c r="E23" s="262"/>
      <c r="F23" s="775" t="s">
        <v>371</v>
      </c>
      <c r="G23" s="768">
        <v>2.2000000000000001E-3</v>
      </c>
      <c r="H23" s="338"/>
      <c r="I23" s="273"/>
      <c r="J23" s="273"/>
      <c r="K23" s="273"/>
      <c r="L23" s="273"/>
      <c r="M23" s="273"/>
      <c r="N23" s="273"/>
      <c r="O23" s="273"/>
      <c r="P23" s="273"/>
      <c r="Q23" s="273"/>
      <c r="R23" s="273"/>
      <c r="S23" s="262"/>
      <c r="T23" s="5"/>
    </row>
    <row r="24" spans="1:20" customFormat="1" ht="15" customHeight="1">
      <c r="A24" s="264"/>
      <c r="B24" s="262"/>
      <c r="C24" s="262"/>
      <c r="D24" s="262"/>
      <c r="E24" s="262"/>
      <c r="F24" s="775" t="s">
        <v>372</v>
      </c>
      <c r="G24" s="769">
        <v>5.4000000000000001E-4</v>
      </c>
      <c r="H24" s="770"/>
      <c r="I24" s="770"/>
      <c r="J24" s="770"/>
      <c r="K24" s="770"/>
      <c r="L24" s="770"/>
      <c r="M24" s="770"/>
      <c r="N24" s="770"/>
      <c r="O24" s="770"/>
      <c r="P24" s="770"/>
      <c r="Q24" s="770"/>
      <c r="R24" s="770"/>
      <c r="S24" s="770"/>
      <c r="T24" s="133"/>
    </row>
    <row r="25" spans="1:20" customFormat="1" ht="15" customHeight="1">
      <c r="A25" s="264"/>
      <c r="B25" s="771"/>
      <c r="C25" s="771"/>
      <c r="D25" s="771"/>
      <c r="E25" s="771"/>
      <c r="F25" s="1324" t="s">
        <v>824</v>
      </c>
      <c r="G25" s="1325">
        <v>3.63</v>
      </c>
      <c r="H25" s="770"/>
      <c r="I25" s="770"/>
      <c r="J25" s="770"/>
      <c r="K25" s="770"/>
      <c r="L25" s="770"/>
      <c r="M25" s="770"/>
      <c r="N25" s="770"/>
      <c r="O25" s="770"/>
      <c r="P25" s="770"/>
      <c r="Q25" s="770"/>
      <c r="R25" s="770"/>
      <c r="S25" s="770"/>
      <c r="T25" s="133"/>
    </row>
    <row r="26" spans="1:20" customFormat="1" ht="15" customHeight="1">
      <c r="A26" s="264"/>
      <c r="B26" s="205"/>
      <c r="C26" s="262"/>
      <c r="D26" s="262"/>
      <c r="E26" s="262"/>
      <c r="F26" s="772" t="s">
        <v>260</v>
      </c>
      <c r="G26" s="773">
        <v>120</v>
      </c>
      <c r="H26" s="774" t="s">
        <v>449</v>
      </c>
      <c r="I26" s="770"/>
      <c r="J26" s="770"/>
      <c r="K26" s="770"/>
      <c r="L26" s="770"/>
      <c r="M26" s="770"/>
      <c r="N26" s="770"/>
      <c r="O26" s="770"/>
      <c r="P26" s="770"/>
      <c r="Q26" s="770"/>
      <c r="R26" s="770"/>
      <c r="S26" s="770"/>
      <c r="T26" s="133"/>
    </row>
    <row r="27" spans="1:20" customFormat="1" ht="15" customHeight="1">
      <c r="A27" s="264"/>
      <c r="B27" s="205"/>
      <c r="C27" s="262"/>
      <c r="D27" s="262"/>
      <c r="E27" s="262"/>
      <c r="F27" s="772" t="s">
        <v>665</v>
      </c>
      <c r="G27" s="773"/>
      <c r="H27" s="774"/>
      <c r="I27" s="770"/>
      <c r="J27" s="770"/>
      <c r="K27" s="770"/>
      <c r="L27" s="770"/>
      <c r="M27" s="770"/>
      <c r="N27" s="770"/>
      <c r="O27" s="770"/>
      <c r="P27" s="770"/>
      <c r="Q27" s="770"/>
      <c r="R27" s="770"/>
      <c r="S27" s="770"/>
      <c r="T27" s="177"/>
    </row>
    <row r="28" spans="1:20" customFormat="1" ht="25.5" customHeight="1">
      <c r="A28" s="208" t="s">
        <v>161</v>
      </c>
      <c r="B28" s="1589" t="s">
        <v>261</v>
      </c>
      <c r="C28" s="1589"/>
      <c r="D28" s="1589"/>
      <c r="E28" s="1589"/>
      <c r="F28" s="1589"/>
      <c r="G28" s="1589"/>
      <c r="H28" s="1589"/>
      <c r="I28" s="1589"/>
      <c r="J28" s="1589"/>
      <c r="K28" s="1589"/>
      <c r="L28" s="1589"/>
      <c r="M28" s="1589"/>
      <c r="N28" s="1589"/>
      <c r="O28" s="1589"/>
      <c r="P28" s="1589"/>
      <c r="Q28" s="1589"/>
      <c r="R28" s="1589"/>
      <c r="S28" s="1589"/>
      <c r="T28" s="133"/>
    </row>
    <row r="29" spans="1:20" customFormat="1" ht="14.25" customHeight="1">
      <c r="A29" s="208"/>
      <c r="B29" s="967"/>
      <c r="C29" s="967"/>
      <c r="D29" s="967"/>
      <c r="E29" s="967"/>
      <c r="F29" s="967"/>
      <c r="G29" s="967"/>
      <c r="H29" s="967"/>
      <c r="I29" s="967"/>
      <c r="J29" s="967"/>
      <c r="K29" s="967"/>
      <c r="L29" s="967"/>
      <c r="M29" s="967"/>
      <c r="N29" s="967"/>
      <c r="O29" s="967"/>
      <c r="P29" s="967"/>
      <c r="Q29" s="967"/>
      <c r="R29" s="967"/>
      <c r="S29" s="967"/>
      <c r="T29" s="177"/>
    </row>
    <row r="30" spans="1:20" customFormat="1" ht="14.25" customHeight="1">
      <c r="A30" s="274" t="s">
        <v>313</v>
      </c>
      <c r="B30" s="967"/>
      <c r="C30" s="967"/>
      <c r="D30" s="967"/>
      <c r="E30" s="967"/>
      <c r="F30" s="967"/>
      <c r="G30" s="967"/>
      <c r="H30" s="967"/>
      <c r="I30" s="967"/>
      <c r="J30" s="967"/>
      <c r="K30" s="967"/>
      <c r="L30" s="967"/>
      <c r="M30" s="967"/>
      <c r="N30" s="967"/>
      <c r="O30" s="967"/>
      <c r="P30" s="967"/>
      <c r="Q30" s="967"/>
      <c r="R30" s="967"/>
      <c r="S30" s="967"/>
      <c r="T30" s="177"/>
    </row>
    <row r="31" spans="1:20" customFormat="1" ht="14.25" customHeight="1">
      <c r="A31" s="274"/>
      <c r="B31" s="967" t="s">
        <v>647</v>
      </c>
      <c r="C31" s="967"/>
      <c r="D31" s="967"/>
      <c r="E31" s="967"/>
      <c r="F31" s="967"/>
      <c r="G31" s="967"/>
      <c r="H31" s="967"/>
      <c r="I31" s="967"/>
      <c r="J31" s="967"/>
      <c r="K31" s="967"/>
      <c r="L31" s="967"/>
      <c r="M31" s="967"/>
      <c r="N31" s="967"/>
      <c r="O31" s="967"/>
      <c r="P31" s="967"/>
      <c r="Q31" s="967"/>
      <c r="R31" s="967"/>
      <c r="S31" s="967"/>
      <c r="T31" s="177"/>
    </row>
    <row r="32" spans="1:20" ht="14.25" customHeight="1">
      <c r="A32" s="262"/>
      <c r="B32" s="271" t="s">
        <v>648</v>
      </c>
      <c r="C32" s="262"/>
      <c r="D32" s="262"/>
      <c r="E32" s="262"/>
      <c r="F32" s="262"/>
      <c r="G32" s="262"/>
      <c r="H32" s="262"/>
      <c r="I32" s="262"/>
      <c r="J32" s="262"/>
      <c r="K32" s="262"/>
      <c r="L32" s="262"/>
      <c r="M32" s="262"/>
      <c r="N32" s="262"/>
      <c r="O32" s="262"/>
      <c r="P32" s="262"/>
      <c r="Q32" s="262"/>
      <c r="R32" s="262"/>
      <c r="S32" s="262"/>
    </row>
    <row r="33" spans="1:19" ht="14.25" customHeight="1">
      <c r="A33" s="262"/>
      <c r="B33" s="271"/>
      <c r="C33" s="262"/>
      <c r="D33" s="262"/>
      <c r="E33" s="262"/>
      <c r="F33" s="262"/>
      <c r="G33" s="262"/>
      <c r="H33" s="262"/>
      <c r="I33" s="262"/>
      <c r="J33" s="262"/>
      <c r="K33" s="262"/>
      <c r="L33" s="262"/>
      <c r="M33" s="262"/>
      <c r="N33" s="262"/>
      <c r="O33" s="262"/>
      <c r="P33" s="262"/>
      <c r="Q33" s="262"/>
      <c r="R33" s="262"/>
      <c r="S33" s="262"/>
    </row>
    <row r="34" spans="1:19">
      <c r="A34" s="1014" t="s">
        <v>197</v>
      </c>
      <c r="B34" s="1014"/>
      <c r="C34" s="1014"/>
      <c r="D34" s="262"/>
      <c r="E34" s="262"/>
      <c r="F34" s="262"/>
      <c r="G34" s="262"/>
      <c r="H34" s="262"/>
      <c r="I34" s="262"/>
      <c r="J34" s="262"/>
      <c r="K34" s="262"/>
      <c r="L34" s="262"/>
      <c r="M34" s="262"/>
      <c r="N34" s="262"/>
      <c r="O34" s="262"/>
      <c r="P34" s="262"/>
      <c r="Q34" s="262"/>
      <c r="R34" s="262"/>
      <c r="S34" s="262"/>
    </row>
    <row r="35" spans="1:19">
      <c r="A35" s="756"/>
      <c r="B35" s="306" t="s">
        <v>234</v>
      </c>
      <c r="C35" s="756"/>
      <c r="D35" s="262"/>
      <c r="E35" s="262"/>
      <c r="F35" s="262"/>
      <c r="G35" s="271" t="s">
        <v>105</v>
      </c>
      <c r="H35" s="262"/>
      <c r="I35" s="262"/>
      <c r="J35" s="262"/>
      <c r="K35" s="262"/>
      <c r="L35" s="262"/>
      <c r="M35" s="262"/>
      <c r="N35" s="262"/>
      <c r="O35" s="262"/>
      <c r="P35" s="262"/>
      <c r="Q35" s="262"/>
      <c r="R35" s="262"/>
      <c r="S35" s="262"/>
    </row>
    <row r="36" spans="1:19">
      <c r="A36" s="306"/>
      <c r="B36" s="262" t="s">
        <v>104</v>
      </c>
      <c r="C36" s="306"/>
      <c r="D36" s="262"/>
      <c r="E36" s="262"/>
      <c r="F36" s="262"/>
      <c r="G36" s="270" t="s">
        <v>109</v>
      </c>
      <c r="H36" s="262"/>
      <c r="I36" s="262"/>
      <c r="J36" s="262"/>
      <c r="K36" s="262"/>
      <c r="L36" s="262"/>
      <c r="M36" s="262"/>
      <c r="N36" s="262"/>
      <c r="O36" s="262"/>
      <c r="P36" s="262"/>
      <c r="Q36" s="262"/>
      <c r="R36" s="262"/>
      <c r="S36" s="262"/>
    </row>
    <row r="37" spans="1:19">
      <c r="A37" s="756"/>
      <c r="B37" s="271" t="s">
        <v>106</v>
      </c>
      <c r="C37" s="756"/>
      <c r="D37" s="262"/>
      <c r="E37" s="262"/>
      <c r="F37" s="262"/>
      <c r="G37" s="262" t="s">
        <v>262</v>
      </c>
      <c r="H37" s="262"/>
      <c r="I37" s="262"/>
      <c r="J37" s="262"/>
      <c r="K37" s="262"/>
      <c r="L37" s="262"/>
      <c r="M37" s="262"/>
      <c r="N37" s="262"/>
      <c r="O37" s="262"/>
      <c r="P37" s="262"/>
      <c r="Q37" s="262"/>
      <c r="R37" s="262"/>
      <c r="S37" s="262"/>
    </row>
    <row r="38" spans="1:19">
      <c r="A38" s="262"/>
      <c r="B38" s="271" t="s">
        <v>166</v>
      </c>
      <c r="C38" s="262"/>
      <c r="D38" s="262"/>
      <c r="E38" s="262"/>
      <c r="F38" s="262"/>
      <c r="G38" s="270" t="s">
        <v>107</v>
      </c>
      <c r="H38" s="262"/>
      <c r="I38" s="262"/>
      <c r="J38" s="262"/>
      <c r="K38" s="262"/>
      <c r="L38" s="262"/>
      <c r="M38" s="262"/>
      <c r="N38" s="262"/>
      <c r="O38" s="262"/>
      <c r="P38" s="262"/>
      <c r="Q38" s="262"/>
      <c r="R38" s="262"/>
      <c r="S38" s="262"/>
    </row>
    <row r="39" spans="1:19">
      <c r="A39" s="262"/>
      <c r="B39" s="206" t="s">
        <v>309</v>
      </c>
      <c r="C39" s="262"/>
      <c r="D39" s="262"/>
      <c r="E39" s="262"/>
      <c r="F39" s="262"/>
      <c r="G39" s="262"/>
      <c r="H39" s="262"/>
      <c r="I39" s="262"/>
      <c r="J39" s="262"/>
      <c r="K39" s="262"/>
      <c r="L39" s="262"/>
      <c r="M39" s="262"/>
      <c r="N39" s="262"/>
      <c r="O39" s="262"/>
      <c r="P39" s="262"/>
      <c r="Q39" s="262"/>
      <c r="R39" s="262"/>
      <c r="S39" s="262"/>
    </row>
    <row r="40" spans="1:19">
      <c r="A40" s="262"/>
      <c r="B40" s="272" t="s">
        <v>310</v>
      </c>
      <c r="C40" s="262"/>
      <c r="D40" s="262"/>
      <c r="E40" s="262"/>
      <c r="F40" s="262"/>
      <c r="G40" s="262"/>
      <c r="H40" s="262"/>
      <c r="I40" s="262"/>
      <c r="J40" s="262"/>
      <c r="K40" s="262"/>
      <c r="L40" s="262"/>
      <c r="M40" s="262"/>
      <c r="N40" s="262"/>
      <c r="O40" s="262"/>
      <c r="P40" s="262"/>
      <c r="Q40" s="262"/>
      <c r="R40" s="262"/>
      <c r="S40" s="262"/>
    </row>
    <row r="41" spans="1:19">
      <c r="A41" s="262"/>
      <c r="B41" s="262"/>
      <c r="C41" s="262"/>
      <c r="D41" s="262"/>
      <c r="E41" s="262"/>
      <c r="F41" s="262"/>
      <c r="G41" s="262"/>
      <c r="H41" s="262"/>
      <c r="I41" s="262"/>
      <c r="J41" s="262"/>
      <c r="K41" s="262"/>
      <c r="L41" s="262"/>
      <c r="M41" s="262"/>
      <c r="N41" s="262"/>
      <c r="O41" s="262"/>
      <c r="P41" s="262"/>
      <c r="Q41" s="262"/>
      <c r="R41" s="262"/>
      <c r="S41" s="262"/>
    </row>
    <row r="42" spans="1:19">
      <c r="A42" s="262"/>
      <c r="B42" s="262"/>
      <c r="C42" s="262"/>
      <c r="D42" s="262"/>
      <c r="E42" s="262"/>
      <c r="F42" s="262"/>
      <c r="G42" s="262"/>
      <c r="H42" s="262"/>
      <c r="I42" s="262"/>
      <c r="J42" s="262"/>
      <c r="K42" s="262"/>
      <c r="L42" s="262"/>
      <c r="M42" s="262"/>
      <c r="N42" s="262"/>
      <c r="O42" s="262"/>
      <c r="P42" s="262"/>
      <c r="Q42" s="262"/>
      <c r="R42" s="262"/>
      <c r="S42" s="262"/>
    </row>
    <row r="43" spans="1:19">
      <c r="A43" s="349"/>
      <c r="B43" s="270"/>
      <c r="C43" s="349"/>
      <c r="D43" s="349"/>
      <c r="E43" s="349"/>
      <c r="F43" s="349"/>
      <c r="G43" s="262"/>
      <c r="H43" s="262"/>
      <c r="I43" s="262"/>
      <c r="J43" s="349"/>
      <c r="K43" s="349"/>
      <c r="L43" s="349"/>
      <c r="M43" s="349"/>
      <c r="N43" s="262"/>
      <c r="O43" s="262"/>
      <c r="P43" s="262"/>
      <c r="Q43" s="262"/>
      <c r="R43" s="262"/>
      <c r="S43" s="262"/>
    </row>
    <row r="44" spans="1:19" ht="14.4" customHeight="1">
      <c r="A44" s="264"/>
      <c r="B44" s="352"/>
      <c r="C44" s="352"/>
      <c r="D44" s="352"/>
      <c r="E44" s="352"/>
      <c r="F44" s="352"/>
      <c r="G44" s="352"/>
      <c r="H44" s="352"/>
      <c r="I44" s="352"/>
      <c r="J44" s="352"/>
      <c r="K44" s="352"/>
      <c r="L44" s="352"/>
      <c r="M44" s="352"/>
      <c r="N44" s="352"/>
      <c r="O44" s="352"/>
      <c r="P44" s="352"/>
      <c r="Q44" s="352"/>
      <c r="R44" s="352"/>
      <c r="S44" s="352"/>
    </row>
    <row r="45" spans="1:19">
      <c r="A45" s="262"/>
      <c r="B45" s="262"/>
      <c r="C45" s="262"/>
      <c r="D45" s="262" t="s">
        <v>55</v>
      </c>
      <c r="E45" s="262"/>
      <c r="F45" s="262"/>
      <c r="G45" s="262"/>
      <c r="H45" s="262"/>
      <c r="I45" s="262"/>
      <c r="J45" s="262"/>
      <c r="K45" s="262"/>
      <c r="L45" s="262"/>
      <c r="M45" s="262"/>
      <c r="N45" s="262"/>
      <c r="O45" s="262"/>
      <c r="P45" s="262"/>
      <c r="Q45" s="262"/>
      <c r="R45" s="262"/>
      <c r="S45" s="262"/>
    </row>
    <row r="46" spans="1:19">
      <c r="A46" s="5" t="s">
        <v>77</v>
      </c>
      <c r="B46" s="113"/>
      <c r="C46" s="114"/>
    </row>
    <row r="47" spans="1:19" ht="12.6">
      <c r="B47" s="113">
        <v>43560</v>
      </c>
      <c r="C47" s="114" t="s">
        <v>238</v>
      </c>
    </row>
    <row r="48" spans="1:19">
      <c r="B48" s="134">
        <v>24</v>
      </c>
      <c r="C48" s="116" t="s">
        <v>239</v>
      </c>
    </row>
    <row r="49" spans="2:4">
      <c r="B49" s="154">
        <v>1.1399999999999999</v>
      </c>
      <c r="C49" s="5" t="s">
        <v>263</v>
      </c>
    </row>
    <row r="50" spans="2:4">
      <c r="B50" s="5">
        <v>5280</v>
      </c>
      <c r="C50" s="5" t="s">
        <v>264</v>
      </c>
    </row>
    <row r="51" spans="2:4">
      <c r="B51" s="155">
        <f>(96-C52)/0.263</f>
        <v>361.5969581749049</v>
      </c>
      <c r="C51" s="156" t="s">
        <v>265</v>
      </c>
      <c r="D51" s="156"/>
    </row>
    <row r="52" spans="2:4">
      <c r="B52" s="157" t="s">
        <v>825</v>
      </c>
      <c r="C52" s="158">
        <v>0.9</v>
      </c>
      <c r="D52" s="156"/>
    </row>
  </sheetData>
  <mergeCells count="11">
    <mergeCell ref="A15:B15"/>
    <mergeCell ref="B28:S28"/>
    <mergeCell ref="B3:S3"/>
    <mergeCell ref="B5:B6"/>
    <mergeCell ref="C5:C6"/>
    <mergeCell ref="D5:D6"/>
    <mergeCell ref="E5:E6"/>
    <mergeCell ref="J5:J6"/>
    <mergeCell ref="N5:O5"/>
    <mergeCell ref="P5:Q5"/>
    <mergeCell ref="R5:S5"/>
  </mergeCells>
  <pageMargins left="0.25" right="0.25" top="0.75" bottom="0.75" header="0.3" footer="0.3"/>
  <pageSetup scale="59" orientation="landscape" r:id="rId1"/>
  <headerFooter>
    <oddFooter>&amp;CPage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3334-03FB-400F-B3B8-DB108AB1BF3A}">
  <dimension ref="A1:T55"/>
  <sheetViews>
    <sheetView workbookViewId="0">
      <selection activeCell="K24" sqref="K24"/>
    </sheetView>
  </sheetViews>
  <sheetFormatPr defaultColWidth="9.109375" defaultRowHeight="11.4"/>
  <cols>
    <col min="1" max="1" width="2.6640625" style="5" customWidth="1"/>
    <col min="2" max="2" width="44.44140625" style="5" customWidth="1"/>
    <col min="3" max="3" width="15.33203125" style="5" customWidth="1"/>
    <col min="4" max="10" width="11.6640625" style="5" customWidth="1"/>
    <col min="11" max="11" width="10.88671875" style="5" customWidth="1"/>
    <col min="12" max="14" width="11.6640625" style="5" customWidth="1"/>
    <col min="15" max="17" width="13" style="5" customWidth="1"/>
    <col min="18" max="18" width="9.5546875" style="5" bestFit="1" customWidth="1"/>
    <col min="19" max="19" width="8.6640625" style="5" customWidth="1"/>
    <col min="20" max="20" width="2" style="5" customWidth="1"/>
    <col min="21" max="16384" width="9.109375" style="5"/>
  </cols>
  <sheetData>
    <row r="1" spans="1:19" ht="15" customHeight="1">
      <c r="B1" s="1592" t="s">
        <v>610</v>
      </c>
      <c r="C1" s="1592"/>
      <c r="D1" s="1592"/>
      <c r="E1" s="1592"/>
      <c r="F1" s="1592"/>
      <c r="G1" s="1592"/>
      <c r="H1" s="1592"/>
      <c r="I1" s="1592"/>
      <c r="J1" s="1592"/>
      <c r="K1" s="1592"/>
      <c r="L1" s="1592"/>
      <c r="M1" s="1592"/>
      <c r="N1" s="1592"/>
      <c r="O1" s="1592"/>
      <c r="P1" s="1592"/>
      <c r="Q1" s="1592"/>
      <c r="R1" s="6"/>
      <c r="S1" s="6"/>
    </row>
    <row r="2" spans="1:19" ht="15" customHeight="1">
      <c r="B2" s="1592" t="s">
        <v>399</v>
      </c>
      <c r="C2" s="1592"/>
      <c r="D2" s="1592"/>
      <c r="E2" s="1592"/>
      <c r="F2" s="1592"/>
      <c r="G2" s="1592"/>
      <c r="H2" s="1592"/>
      <c r="I2" s="1592"/>
      <c r="J2" s="1592"/>
      <c r="K2" s="1592"/>
      <c r="L2" s="1592"/>
      <c r="M2" s="1592"/>
      <c r="N2" s="1592"/>
      <c r="O2" s="1592"/>
      <c r="P2" s="1592"/>
      <c r="Q2" s="1592"/>
      <c r="R2" s="6"/>
      <c r="S2" s="6"/>
    </row>
    <row r="3" spans="1:19" ht="15" customHeight="1">
      <c r="B3" s="1506" t="str">
        <f>'3a-RTO - Dryer GHM DHM'!B3:J3</f>
        <v>Enviva Pellets Ahoskie, LLC</v>
      </c>
      <c r="C3" s="1506"/>
      <c r="D3" s="1506"/>
      <c r="E3" s="1506"/>
      <c r="F3" s="1506"/>
      <c r="G3" s="1506"/>
      <c r="H3" s="1506"/>
      <c r="I3" s="1506"/>
      <c r="J3" s="1506"/>
      <c r="K3" s="1506"/>
      <c r="L3" s="1506"/>
      <c r="M3" s="1506"/>
      <c r="N3" s="1506"/>
      <c r="O3" s="1506"/>
      <c r="P3" s="1506"/>
      <c r="Q3" s="1506"/>
      <c r="R3" s="6"/>
      <c r="S3" s="6"/>
    </row>
    <row r="4" spans="1:19" ht="15" customHeight="1" thickBot="1">
      <c r="B4" s="482"/>
      <c r="C4" s="6"/>
      <c r="D4" s="6"/>
      <c r="E4" s="6"/>
      <c r="F4" s="6"/>
      <c r="G4" s="6"/>
      <c r="H4" s="6"/>
      <c r="I4" s="6"/>
      <c r="J4" s="6"/>
      <c r="K4" s="6"/>
      <c r="L4" s="6"/>
      <c r="M4" s="6"/>
      <c r="N4" s="6"/>
      <c r="O4" s="6"/>
      <c r="P4" s="6"/>
      <c r="Q4" s="6"/>
      <c r="R4" s="6"/>
      <c r="S4" s="6"/>
    </row>
    <row r="5" spans="1:19" ht="41.4" customHeight="1" thickTop="1">
      <c r="A5" s="357"/>
      <c r="B5" s="1507" t="s">
        <v>242</v>
      </c>
      <c r="C5" s="1590" t="s">
        <v>243</v>
      </c>
      <c r="D5" s="1381" t="s">
        <v>400</v>
      </c>
      <c r="E5" s="1381" t="s">
        <v>245</v>
      </c>
      <c r="F5" s="136" t="s">
        <v>246</v>
      </c>
      <c r="G5" s="137" t="s">
        <v>247</v>
      </c>
      <c r="H5" s="138" t="s">
        <v>248</v>
      </c>
      <c r="I5" s="136" t="s">
        <v>249</v>
      </c>
      <c r="J5" s="1381" t="s">
        <v>250</v>
      </c>
      <c r="K5" s="1080" t="s">
        <v>793</v>
      </c>
      <c r="L5" s="1184" t="s">
        <v>210</v>
      </c>
      <c r="M5" s="1185" t="s">
        <v>211</v>
      </c>
      <c r="N5" s="1186" t="s">
        <v>251</v>
      </c>
      <c r="O5" s="1187" t="s">
        <v>813</v>
      </c>
      <c r="P5" s="1185" t="s">
        <v>811</v>
      </c>
      <c r="Q5" s="1186" t="s">
        <v>812</v>
      </c>
    </row>
    <row r="6" spans="1:19" ht="15.75" customHeight="1" thickBot="1">
      <c r="A6" s="357"/>
      <c r="B6" s="1508"/>
      <c r="C6" s="1591"/>
      <c r="D6" s="1382"/>
      <c r="E6" s="1382"/>
      <c r="F6" s="480" t="s">
        <v>252</v>
      </c>
      <c r="G6" s="483" t="s">
        <v>253</v>
      </c>
      <c r="H6" s="480" t="s">
        <v>253</v>
      </c>
      <c r="I6" s="1035" t="s">
        <v>254</v>
      </c>
      <c r="J6" s="1382"/>
      <c r="K6" s="1081" t="s">
        <v>212</v>
      </c>
      <c r="L6" s="1086" t="s">
        <v>255</v>
      </c>
      <c r="M6" s="1087" t="s">
        <v>255</v>
      </c>
      <c r="N6" s="1188" t="s">
        <v>255</v>
      </c>
      <c r="O6" s="1189" t="s">
        <v>8</v>
      </c>
      <c r="P6" s="1084" t="s">
        <v>8</v>
      </c>
      <c r="Q6" s="1190" t="s">
        <v>8</v>
      </c>
    </row>
    <row r="7" spans="1:19" ht="14.4" thickTop="1">
      <c r="A7" s="357"/>
      <c r="B7" s="148" t="s">
        <v>398</v>
      </c>
      <c r="C7" s="166">
        <v>940</v>
      </c>
      <c r="D7" s="872">
        <f>'13a - Paved Roads'!D11</f>
        <v>59</v>
      </c>
      <c r="E7" s="909">
        <f>C7*D7/5280</f>
        <v>10.503787878787879</v>
      </c>
      <c r="F7" s="1042">
        <v>365</v>
      </c>
      <c r="G7" s="1043">
        <v>40480</v>
      </c>
      <c r="H7" s="872">
        <f>G7+31*2000</f>
        <v>102480</v>
      </c>
      <c r="I7" s="911">
        <f t="shared" ref="I7:I13" si="0">AVERAGE(G7:H7)/2000</f>
        <v>35.74</v>
      </c>
      <c r="J7" s="872">
        <f>E7*F7</f>
        <v>3833.882575757576</v>
      </c>
      <c r="K7" s="1326">
        <v>1.8</v>
      </c>
      <c r="L7" s="1253">
        <f>$C$22*(K7/12)^$D$22*($I7/3)^$E$22*((365-$D$35)/365)</f>
        <v>2.6579583012139532</v>
      </c>
      <c r="M7" s="1255">
        <f t="shared" ref="M7:M16" si="1">$C$23*(K7/12)^$D$23*($I7/3)^$E$23*((365-$D$35)/365)</f>
        <v>0.55675175431989499</v>
      </c>
      <c r="N7" s="1257">
        <f t="shared" ref="N7:N16" si="2">$C$24*(K7/12)^$D$24*($I7/3)^$E$24*((365-$D$35)/365)</f>
        <v>5.5675175431989507E-2</v>
      </c>
      <c r="O7" s="1250">
        <f>L7*$J7/2000</f>
        <v>5.0951500090571908</v>
      </c>
      <c r="P7" s="1255">
        <f>M7*$J7/2000</f>
        <v>1.0672604249547541</v>
      </c>
      <c r="Q7" s="1256">
        <f>N7*$J7/2000</f>
        <v>0.10672604249547543</v>
      </c>
    </row>
    <row r="8" spans="1:19" s="18" customFormat="1" ht="13.8">
      <c r="A8" s="484"/>
      <c r="B8" s="140" t="s">
        <v>565</v>
      </c>
      <c r="C8" s="166">
        <v>1224</v>
      </c>
      <c r="D8" s="165">
        <f>'13a - Paved Roads'!D8</f>
        <v>101</v>
      </c>
      <c r="E8" s="910">
        <f>C8*D8/5280</f>
        <v>23.413636363636364</v>
      </c>
      <c r="F8" s="146">
        <v>365</v>
      </c>
      <c r="G8" s="166">
        <v>40480</v>
      </c>
      <c r="H8" s="166">
        <f>G8+26*2000</f>
        <v>92480</v>
      </c>
      <c r="I8" s="912">
        <f t="shared" si="0"/>
        <v>33.24</v>
      </c>
      <c r="J8" s="165">
        <f>E8*F8</f>
        <v>8545.9772727272721</v>
      </c>
      <c r="K8" s="1327">
        <v>1.8</v>
      </c>
      <c r="L8" s="1253">
        <f t="shared" ref="L8:L16" si="3">$C$22*(K8/12)^$D$22*($I8/3)^$E$22*((365-$D$35)/365)</f>
        <v>2.5726225581731077</v>
      </c>
      <c r="M8" s="1255">
        <f t="shared" si="1"/>
        <v>0.53887682203729181</v>
      </c>
      <c r="N8" s="1257">
        <f t="shared" si="2"/>
        <v>5.3887682203729186E-2</v>
      </c>
      <c r="O8" s="1259">
        <f t="shared" ref="O8:O16" si="4">L8*$J8/2000</f>
        <v>10.992786956726437</v>
      </c>
      <c r="P8" s="1255">
        <f t="shared" ref="P8:P16" si="5">M8*$J8/2000</f>
        <v>2.302614536965097</v>
      </c>
      <c r="Q8" s="1256">
        <f t="shared" ref="Q8:Q16" si="6">N8*$J8/2000</f>
        <v>0.23026145369650977</v>
      </c>
    </row>
    <row r="9" spans="1:19" s="18" customFormat="1" ht="13.8">
      <c r="A9" s="484"/>
      <c r="B9" s="140" t="s">
        <v>529</v>
      </c>
      <c r="C9" s="166">
        <v>940</v>
      </c>
      <c r="D9" s="165">
        <f>'13a - Paved Roads'!D9</f>
        <v>12</v>
      </c>
      <c r="E9" s="910">
        <f>C9*D9/5280</f>
        <v>2.1363636363636362</v>
      </c>
      <c r="F9" s="146">
        <v>365</v>
      </c>
      <c r="G9" s="712">
        <v>40480</v>
      </c>
      <c r="H9" s="468">
        <v>65000</v>
      </c>
      <c r="I9" s="912">
        <f t="shared" si="0"/>
        <v>26.37</v>
      </c>
      <c r="J9" s="165">
        <f>E9*F9</f>
        <v>779.77272727272725</v>
      </c>
      <c r="K9" s="1327">
        <v>1.8</v>
      </c>
      <c r="L9" s="1253">
        <f t="shared" si="3"/>
        <v>2.3180786928109169</v>
      </c>
      <c r="M9" s="1255">
        <f t="shared" si="1"/>
        <v>0.48555855006626769</v>
      </c>
      <c r="N9" s="1257">
        <f t="shared" si="2"/>
        <v>4.8555855006626771E-2</v>
      </c>
      <c r="O9" s="1250">
        <f t="shared" si="4"/>
        <v>0.9037872721629836</v>
      </c>
      <c r="P9" s="1255">
        <f t="shared" si="5"/>
        <v>0.18931265741788231</v>
      </c>
      <c r="Q9" s="1257">
        <f t="shared" si="6"/>
        <v>1.8931265741788234E-2</v>
      </c>
    </row>
    <row r="10" spans="1:19" s="18" customFormat="1" ht="13.8">
      <c r="A10" s="484"/>
      <c r="B10" s="140" t="s">
        <v>530</v>
      </c>
      <c r="C10" s="166">
        <v>320</v>
      </c>
      <c r="D10" s="165">
        <f>'13a - Paved Roads'!D10</f>
        <v>26</v>
      </c>
      <c r="E10" s="910">
        <f>C10*D10/5280</f>
        <v>1.5757575757575757</v>
      </c>
      <c r="F10" s="146">
        <v>365</v>
      </c>
      <c r="G10" s="712">
        <v>40960</v>
      </c>
      <c r="H10" s="468">
        <f>G10+26*2000</f>
        <v>92960</v>
      </c>
      <c r="I10" s="912">
        <f t="shared" si="0"/>
        <v>33.479999999999997</v>
      </c>
      <c r="J10" s="165">
        <f t="shared" ref="J10" si="7">E10*F10</f>
        <v>575.15151515151513</v>
      </c>
      <c r="K10" s="1327">
        <v>1.8</v>
      </c>
      <c r="L10" s="1253">
        <f t="shared" si="3"/>
        <v>2.5809647245555736</v>
      </c>
      <c r="M10" s="1255">
        <f t="shared" si="1"/>
        <v>0.54062422182386682</v>
      </c>
      <c r="N10" s="1257">
        <f t="shared" si="2"/>
        <v>5.4062422182386674E-2</v>
      </c>
      <c r="O10" s="1250">
        <f t="shared" si="4"/>
        <v>0.74222288594037544</v>
      </c>
      <c r="P10" s="1255">
        <f t="shared" si="5"/>
        <v>0.15547042015480289</v>
      </c>
      <c r="Q10" s="1257">
        <f t="shared" si="6"/>
        <v>1.5547042015480288E-2</v>
      </c>
    </row>
    <row r="11" spans="1:19" s="18" customFormat="1" ht="13.8">
      <c r="A11" s="484"/>
      <c r="B11" s="140" t="s">
        <v>520</v>
      </c>
      <c r="C11" s="166">
        <v>490</v>
      </c>
      <c r="D11" s="165">
        <v>4</v>
      </c>
      <c r="E11" s="1036">
        <f>C11*D11/5280</f>
        <v>0.37121212121212122</v>
      </c>
      <c r="F11" s="146">
        <v>365</v>
      </c>
      <c r="G11" s="166">
        <f>'13a - Paved Roads'!G12</f>
        <v>40480</v>
      </c>
      <c r="H11" s="166">
        <f>'13a - Paved Roads'!H12</f>
        <v>58480</v>
      </c>
      <c r="I11" s="913">
        <f t="shared" si="0"/>
        <v>24.74</v>
      </c>
      <c r="J11" s="165">
        <f>E11*F11</f>
        <v>135.49242424242425</v>
      </c>
      <c r="K11" s="1327">
        <v>1.8</v>
      </c>
      <c r="L11" s="1253">
        <f t="shared" si="3"/>
        <v>2.2524672204882021</v>
      </c>
      <c r="M11" s="1255">
        <f t="shared" si="1"/>
        <v>0.47181518084091184</v>
      </c>
      <c r="N11" s="1257">
        <f t="shared" si="2"/>
        <v>4.7181518084091191E-2</v>
      </c>
      <c r="O11" s="1250">
        <f t="shared" si="4"/>
        <v>0.15259612211527082</v>
      </c>
      <c r="P11" s="1254">
        <f t="shared" si="5"/>
        <v>3.1963691323256473E-2</v>
      </c>
      <c r="Q11" s="1262">
        <f t="shared" si="6"/>
        <v>3.1963691323256475E-3</v>
      </c>
    </row>
    <row r="12" spans="1:19" s="18" customFormat="1" ht="13.8">
      <c r="A12" s="484"/>
      <c r="B12" s="148" t="s">
        <v>653</v>
      </c>
      <c r="C12" s="165">
        <v>1034.9000000000001</v>
      </c>
      <c r="D12" s="165">
        <v>915.20413049361878</v>
      </c>
      <c r="E12" s="910">
        <f>C12*D12/5280</f>
        <v>179.38347625906175</v>
      </c>
      <c r="F12" s="1044" t="s">
        <v>98</v>
      </c>
      <c r="G12" s="165">
        <v>56375</v>
      </c>
      <c r="H12" s="165">
        <v>67902.92</v>
      </c>
      <c r="I12" s="912">
        <f t="shared" si="0"/>
        <v>31.069479999999999</v>
      </c>
      <c r="J12" s="165">
        <v>37405.562610890192</v>
      </c>
      <c r="K12" s="1328">
        <f>0.0047*2</f>
        <v>9.4000000000000004E-3</v>
      </c>
      <c r="L12" s="1191">
        <f t="shared" si="3"/>
        <v>6.3048920290094429E-2</v>
      </c>
      <c r="M12" s="1192">
        <f t="shared" si="1"/>
        <v>4.6170242354848538E-3</v>
      </c>
      <c r="N12" s="1193">
        <f t="shared" si="2"/>
        <v>4.6170242354848538E-4</v>
      </c>
      <c r="O12" s="1250">
        <f t="shared" si="4"/>
        <v>1.1791901677300762</v>
      </c>
      <c r="P12" s="1254">
        <f t="shared" si="5"/>
        <v>8.6351194558213065E-2</v>
      </c>
      <c r="Q12" s="1262">
        <f t="shared" si="6"/>
        <v>8.6351194558213062E-3</v>
      </c>
    </row>
    <row r="13" spans="1:19" s="18" customFormat="1" ht="13.8">
      <c r="A13" s="484"/>
      <c r="B13" s="148" t="s">
        <v>654</v>
      </c>
      <c r="C13" s="165">
        <v>632.70000000000005</v>
      </c>
      <c r="D13" s="165">
        <v>915.20413049361878</v>
      </c>
      <c r="E13" s="910">
        <f>C13*D13/5280</f>
        <v>109.66849495517285</v>
      </c>
      <c r="F13" s="1044" t="s">
        <v>98</v>
      </c>
      <c r="G13" s="165">
        <v>56375</v>
      </c>
      <c r="H13" s="165">
        <v>67902.92</v>
      </c>
      <c r="I13" s="912">
        <f t="shared" si="0"/>
        <v>31.069479999999999</v>
      </c>
      <c r="J13" s="165">
        <v>22868.392563445963</v>
      </c>
      <c r="K13" s="1328">
        <f>0.0047*2</f>
        <v>9.4000000000000004E-3</v>
      </c>
      <c r="L13" s="1191">
        <f t="shared" si="3"/>
        <v>6.3048920290094429E-2</v>
      </c>
      <c r="M13" s="1192">
        <f t="shared" si="1"/>
        <v>4.6170242354848538E-3</v>
      </c>
      <c r="N13" s="1193">
        <f t="shared" si="2"/>
        <v>4.6170242354848538E-4</v>
      </c>
      <c r="O13" s="1250">
        <f t="shared" si="4"/>
        <v>0.72091372994764635</v>
      </c>
      <c r="P13" s="1254">
        <f t="shared" si="5"/>
        <v>5.2791961346005806E-2</v>
      </c>
      <c r="Q13" s="1262">
        <f t="shared" si="6"/>
        <v>5.2791961346005806E-3</v>
      </c>
    </row>
    <row r="14" spans="1:19" s="18" customFormat="1" ht="13.8">
      <c r="A14" s="484"/>
      <c r="B14" s="148" t="s">
        <v>655</v>
      </c>
      <c r="C14" s="165">
        <v>380</v>
      </c>
      <c r="D14" s="165">
        <v>915.20413049361878</v>
      </c>
      <c r="E14" s="910">
        <f>C14*D14/5280</f>
        <v>65.866963937040751</v>
      </c>
      <c r="F14" s="1044" t="s">
        <v>98</v>
      </c>
      <c r="G14" s="165">
        <v>56375</v>
      </c>
      <c r="H14" s="165">
        <v>67902.92</v>
      </c>
      <c r="I14" s="912">
        <f t="shared" ref="I14:I16" si="8">AVERAGE(G14:H14)/2000</f>
        <v>31.069479999999999</v>
      </c>
      <c r="J14" s="165">
        <v>13734.770308375953</v>
      </c>
      <c r="K14" s="1328">
        <f t="shared" ref="K14:K15" si="9">0.0047*2</f>
        <v>9.4000000000000004E-3</v>
      </c>
      <c r="L14" s="1191">
        <f t="shared" si="3"/>
        <v>6.3048920290094429E-2</v>
      </c>
      <c r="M14" s="1192">
        <f t="shared" si="1"/>
        <v>4.6170242354848538E-3</v>
      </c>
      <c r="N14" s="1193">
        <f t="shared" si="2"/>
        <v>4.6170242354848538E-4</v>
      </c>
      <c r="O14" s="1250">
        <f t="shared" si="4"/>
        <v>0.4329812191877756</v>
      </c>
      <c r="P14" s="1254">
        <f t="shared" si="5"/>
        <v>3.1706883691294777E-2</v>
      </c>
      <c r="Q14" s="1262">
        <f t="shared" si="6"/>
        <v>3.1706883691294779E-3</v>
      </c>
    </row>
    <row r="15" spans="1:19" s="18" customFormat="1" ht="13.8">
      <c r="A15" s="484"/>
      <c r="B15" s="148" t="s">
        <v>656</v>
      </c>
      <c r="C15" s="165">
        <v>500</v>
      </c>
      <c r="D15" s="165">
        <v>640</v>
      </c>
      <c r="E15" s="910">
        <f>C15*D15/5280</f>
        <v>60.606060606060609</v>
      </c>
      <c r="F15" s="1044" t="s">
        <v>98</v>
      </c>
      <c r="G15" s="165">
        <v>56375</v>
      </c>
      <c r="H15" s="165">
        <v>60125</v>
      </c>
      <c r="I15" s="912">
        <f t="shared" si="8"/>
        <v>29.125</v>
      </c>
      <c r="J15" s="165">
        <v>5872.6802912849425</v>
      </c>
      <c r="K15" s="1328">
        <f t="shared" si="9"/>
        <v>9.4000000000000004E-3</v>
      </c>
      <c r="L15" s="1191">
        <f t="shared" si="3"/>
        <v>6.1241670838216022E-2</v>
      </c>
      <c r="M15" s="1192">
        <f t="shared" si="1"/>
        <v>4.4846807396645098E-3</v>
      </c>
      <c r="N15" s="1193">
        <f t="shared" si="2"/>
        <v>4.484680739664509E-4</v>
      </c>
      <c r="O15" s="1250">
        <f t="shared" si="4"/>
        <v>0.17982637666847551</v>
      </c>
      <c r="P15" s="1254">
        <f t="shared" si="5"/>
        <v>1.3168548096266471E-2</v>
      </c>
      <c r="Q15" s="1262">
        <f t="shared" si="6"/>
        <v>1.3168548096266471E-3</v>
      </c>
    </row>
    <row r="16" spans="1:19" s="18" customFormat="1" ht="14.4" thickBot="1">
      <c r="A16" s="484"/>
      <c r="B16" s="149" t="s">
        <v>657</v>
      </c>
      <c r="C16" s="461">
        <v>2229.12</v>
      </c>
      <c r="D16" s="461">
        <v>500</v>
      </c>
      <c r="E16" s="1045">
        <f>C16*D16/5280</f>
        <v>211.09090909090909</v>
      </c>
      <c r="F16" s="1046" t="s">
        <v>98</v>
      </c>
      <c r="G16" s="461">
        <v>56375</v>
      </c>
      <c r="H16" s="461">
        <v>65975</v>
      </c>
      <c r="I16" s="1047">
        <f t="shared" si="8"/>
        <v>30.587499999999999</v>
      </c>
      <c r="J16" s="461">
        <v>16051.704545454546</v>
      </c>
      <c r="K16" s="1329">
        <f>0.0047*2</f>
        <v>9.4000000000000004E-3</v>
      </c>
      <c r="L16" s="1203">
        <f t="shared" si="3"/>
        <v>6.260689316246848E-2</v>
      </c>
      <c r="M16" s="1204">
        <f t="shared" si="1"/>
        <v>4.5846549268337214E-3</v>
      </c>
      <c r="N16" s="1194">
        <f t="shared" si="2"/>
        <v>4.5846549268337204E-4</v>
      </c>
      <c r="O16" s="1258">
        <f t="shared" si="4"/>
        <v>0.50247367577639124</v>
      </c>
      <c r="P16" s="1260">
        <f t="shared" si="5"/>
        <v>3.6795763164198712E-2</v>
      </c>
      <c r="Q16" s="1261">
        <f t="shared" si="6"/>
        <v>3.6795763164198703E-3</v>
      </c>
    </row>
    <row r="17" spans="1:17" ht="15" thickTop="1" thickBot="1">
      <c r="A17" s="357"/>
      <c r="B17" s="104"/>
      <c r="C17" s="105"/>
      <c r="D17" s="106"/>
      <c r="E17" s="485"/>
      <c r="F17" s="108"/>
      <c r="G17" s="108"/>
      <c r="H17" s="486"/>
      <c r="I17" s="1048">
        <f>SUMPRODUCT(I7:I16,J7:J16)/SUM(J7:J11)</f>
        <v>246.98122987385881</v>
      </c>
      <c r="J17" s="1183">
        <f>SUM(J7:J16)</f>
        <v>109803.38683460311</v>
      </c>
      <c r="K17" s="1205" t="s">
        <v>98</v>
      </c>
      <c r="L17" s="1195" t="s">
        <v>98</v>
      </c>
      <c r="M17" s="1196" t="s">
        <v>98</v>
      </c>
      <c r="N17" s="1197" t="s">
        <v>98</v>
      </c>
      <c r="O17" s="1252">
        <f>SUM(O7:O16)</f>
        <v>20.901928415312621</v>
      </c>
      <c r="P17" s="1198">
        <f>SUM(P7:P16)</f>
        <v>3.9674360816717718</v>
      </c>
      <c r="Q17" s="1263">
        <f>SUM(Q7:Q16)</f>
        <v>0.39674360816717719</v>
      </c>
    </row>
    <row r="18" spans="1:17" ht="14.4" thickTop="1">
      <c r="A18" s="1393"/>
      <c r="B18" s="1393"/>
      <c r="C18" s="357"/>
      <c r="D18" s="357"/>
      <c r="E18" s="357"/>
      <c r="F18" s="357"/>
      <c r="G18" s="357"/>
      <c r="H18" s="357"/>
      <c r="I18" s="357"/>
      <c r="J18" s="357"/>
      <c r="K18" s="357"/>
      <c r="L18" s="357"/>
      <c r="M18" s="357"/>
      <c r="N18" s="357"/>
      <c r="O18" s="357"/>
      <c r="P18" s="357"/>
      <c r="Q18" s="357"/>
    </row>
    <row r="19" spans="1:17" ht="14.4" thickBot="1">
      <c r="A19" s="357"/>
      <c r="B19" s="487" t="s">
        <v>402</v>
      </c>
      <c r="C19" s="357"/>
      <c r="D19" s="357"/>
      <c r="E19" s="357"/>
      <c r="F19" s="357"/>
      <c r="G19" s="357"/>
      <c r="H19" s="357"/>
      <c r="I19" s="357"/>
      <c r="J19" s="357"/>
      <c r="K19" s="357"/>
      <c r="L19" s="357"/>
      <c r="M19" s="357"/>
      <c r="N19" s="357"/>
      <c r="O19" s="357"/>
      <c r="P19" s="357"/>
      <c r="Q19" s="357"/>
    </row>
    <row r="20" spans="1:17" ht="39.75" customHeight="1" thickTop="1">
      <c r="A20" s="357"/>
      <c r="B20" s="1507" t="s">
        <v>22</v>
      </c>
      <c r="C20" s="655" t="s">
        <v>796</v>
      </c>
      <c r="D20" s="655" t="s">
        <v>797</v>
      </c>
      <c r="E20" s="1199" t="s">
        <v>798</v>
      </c>
      <c r="F20" s="357"/>
      <c r="G20" s="357"/>
      <c r="H20" s="357"/>
      <c r="I20" s="357"/>
      <c r="J20" s="357"/>
      <c r="K20" s="357"/>
      <c r="L20" s="357"/>
    </row>
    <row r="21" spans="1:17" ht="15.75" customHeight="1" thickBot="1">
      <c r="A21" s="357"/>
      <c r="B21" s="1508"/>
      <c r="C21" s="1082" t="s">
        <v>255</v>
      </c>
      <c r="D21" s="1082" t="s">
        <v>403</v>
      </c>
      <c r="E21" s="1081" t="s">
        <v>403</v>
      </c>
      <c r="F21" s="357"/>
      <c r="G21" s="357"/>
      <c r="H21" s="357"/>
      <c r="I21" s="357"/>
      <c r="J21" s="357"/>
      <c r="K21" s="357"/>
      <c r="L21" s="357"/>
    </row>
    <row r="22" spans="1:17" ht="14.4" thickTop="1">
      <c r="A22" s="357"/>
      <c r="B22" s="488" t="s">
        <v>89</v>
      </c>
      <c r="C22" s="907">
        <v>4.9000000000000004</v>
      </c>
      <c r="D22" s="907">
        <v>0.7</v>
      </c>
      <c r="E22" s="1200">
        <v>0.45</v>
      </c>
      <c r="F22" s="357"/>
      <c r="G22" s="357"/>
      <c r="H22" s="357"/>
      <c r="I22" s="357"/>
      <c r="J22" s="357"/>
      <c r="K22" s="357"/>
      <c r="L22" s="357"/>
    </row>
    <row r="23" spans="1:17" ht="14.4">
      <c r="A23" s="357"/>
      <c r="B23" s="489" t="s">
        <v>404</v>
      </c>
      <c r="C23" s="448">
        <v>1.5</v>
      </c>
      <c r="D23" s="448">
        <v>0.9</v>
      </c>
      <c r="E23" s="1201">
        <v>0.45</v>
      </c>
      <c r="F23" s="357"/>
      <c r="G23" s="357"/>
      <c r="H23" s="357"/>
      <c r="I23" s="357"/>
      <c r="J23" s="357"/>
      <c r="K23" s="357"/>
      <c r="L23" s="357"/>
    </row>
    <row r="24" spans="1:17" ht="15" thickBot="1">
      <c r="A24" s="357"/>
      <c r="B24" s="490" t="s">
        <v>405</v>
      </c>
      <c r="C24" s="908">
        <v>0.15</v>
      </c>
      <c r="D24" s="908">
        <v>0.9</v>
      </c>
      <c r="E24" s="1202">
        <v>0.45</v>
      </c>
      <c r="F24" s="357"/>
      <c r="G24" s="357"/>
      <c r="H24" s="357"/>
      <c r="I24" s="357"/>
      <c r="J24" s="357"/>
      <c r="K24" s="357"/>
      <c r="L24" s="357"/>
    </row>
    <row r="25" spans="1:17" ht="14.4" thickTop="1">
      <c r="A25" s="1393" t="s">
        <v>196</v>
      </c>
      <c r="B25" s="1393"/>
      <c r="C25" s="262"/>
      <c r="D25" s="262"/>
      <c r="E25" s="262"/>
      <c r="F25" s="262"/>
      <c r="G25" s="262"/>
      <c r="H25" s="262"/>
      <c r="I25" s="262"/>
      <c r="J25" s="262"/>
      <c r="K25" s="357"/>
      <c r="L25" s="357"/>
      <c r="M25" s="357"/>
      <c r="N25" s="357"/>
      <c r="O25" s="357"/>
      <c r="P25" s="357"/>
      <c r="Q25" s="357"/>
    </row>
    <row r="26" spans="1:17" ht="13.8">
      <c r="A26" s="264" t="s">
        <v>100</v>
      </c>
      <c r="B26" s="433" t="s">
        <v>401</v>
      </c>
      <c r="C26" s="87"/>
      <c r="D26" s="87"/>
      <c r="E26" s="87"/>
      <c r="F26" s="87"/>
      <c r="G26" s="87"/>
      <c r="H26" s="87"/>
      <c r="I26" s="262"/>
      <c r="J26" s="262"/>
      <c r="K26" s="357"/>
      <c r="L26" s="357"/>
      <c r="M26" s="357"/>
      <c r="N26" s="357"/>
      <c r="O26" s="357"/>
      <c r="P26" s="357"/>
      <c r="Q26" s="357"/>
    </row>
    <row r="27" spans="1:17" ht="13.8">
      <c r="A27" s="264" t="s">
        <v>159</v>
      </c>
      <c r="B27" s="491" t="s">
        <v>792</v>
      </c>
      <c r="C27" s="87"/>
      <c r="D27" s="87"/>
      <c r="E27" s="87"/>
      <c r="F27" s="87"/>
      <c r="G27" s="87"/>
      <c r="H27" s="87"/>
      <c r="I27" s="262"/>
      <c r="J27" s="262"/>
      <c r="K27" s="357"/>
      <c r="L27" s="357"/>
      <c r="M27" s="357"/>
      <c r="N27" s="357"/>
      <c r="O27" s="357"/>
      <c r="P27" s="357"/>
      <c r="Q27" s="357"/>
    </row>
    <row r="28" spans="1:17" ht="13.8">
      <c r="A28" s="264" t="s">
        <v>160</v>
      </c>
      <c r="B28" s="491" t="s">
        <v>406</v>
      </c>
      <c r="C28" s="262"/>
      <c r="D28" s="262"/>
      <c r="E28" s="262"/>
      <c r="F28" s="262"/>
      <c r="G28" s="262"/>
      <c r="H28" s="87"/>
      <c r="I28" s="262"/>
      <c r="J28" s="262"/>
      <c r="K28" s="357"/>
      <c r="L28" s="357"/>
      <c r="M28" s="357"/>
      <c r="N28" s="357"/>
      <c r="O28" s="357"/>
      <c r="P28" s="357"/>
      <c r="Q28" s="357"/>
    </row>
    <row r="29" spans="1:17" ht="13.8">
      <c r="A29" s="262"/>
      <c r="B29" s="492" t="s">
        <v>407</v>
      </c>
      <c r="C29" s="493" t="s">
        <v>408</v>
      </c>
      <c r="D29" s="494"/>
      <c r="E29" s="262"/>
      <c r="F29" s="262"/>
      <c r="G29" s="262"/>
      <c r="H29" s="87"/>
      <c r="I29" s="262"/>
      <c r="J29" s="262"/>
      <c r="K29" s="357"/>
      <c r="L29" s="357"/>
      <c r="M29" s="357"/>
      <c r="N29" s="357"/>
      <c r="O29" s="357"/>
      <c r="P29" s="357"/>
      <c r="Q29" s="357"/>
    </row>
    <row r="30" spans="1:17" ht="13.8">
      <c r="A30" s="262"/>
      <c r="B30" s="494"/>
      <c r="C30" s="493" t="s">
        <v>409</v>
      </c>
      <c r="D30" s="494"/>
      <c r="E30" s="262"/>
      <c r="F30" s="262"/>
      <c r="G30" s="262"/>
      <c r="H30" s="87"/>
      <c r="I30" s="262"/>
      <c r="J30" s="262"/>
      <c r="K30" s="357"/>
      <c r="L30" s="357"/>
      <c r="M30" s="357"/>
      <c r="N30" s="357"/>
      <c r="O30" s="357"/>
      <c r="P30" s="357"/>
      <c r="Q30" s="357"/>
    </row>
    <row r="31" spans="1:17" ht="13.8">
      <c r="A31" s="262"/>
      <c r="B31" s="494"/>
      <c r="C31" s="493" t="s">
        <v>410</v>
      </c>
      <c r="D31" s="494"/>
      <c r="E31" s="262"/>
      <c r="F31" s="262"/>
      <c r="G31" s="262"/>
      <c r="H31" s="87"/>
      <c r="I31" s="262"/>
      <c r="J31" s="262"/>
      <c r="K31" s="357"/>
      <c r="L31" s="357"/>
      <c r="M31" s="357"/>
      <c r="N31" s="357"/>
      <c r="O31" s="357"/>
      <c r="P31" s="357"/>
      <c r="Q31" s="357"/>
    </row>
    <row r="32" spans="1:17" ht="13.8">
      <c r="A32" s="262"/>
      <c r="B32" s="494"/>
      <c r="C32" s="493" t="s">
        <v>411</v>
      </c>
      <c r="D32" s="494"/>
      <c r="E32" s="262"/>
      <c r="F32" s="262"/>
      <c r="G32" s="262"/>
      <c r="H32" s="87"/>
      <c r="I32" s="262"/>
      <c r="J32" s="262"/>
      <c r="K32" s="357"/>
      <c r="L32" s="357"/>
      <c r="M32" s="357"/>
      <c r="N32" s="357"/>
      <c r="O32" s="357"/>
      <c r="P32" s="357"/>
      <c r="Q32" s="357"/>
    </row>
    <row r="33" spans="1:20" ht="13.8">
      <c r="A33" s="262"/>
      <c r="B33" s="494"/>
      <c r="C33" s="493" t="s">
        <v>412</v>
      </c>
      <c r="D33" s="494"/>
      <c r="E33" s="262"/>
      <c r="F33" s="262"/>
      <c r="G33" s="262"/>
      <c r="H33" s="87"/>
      <c r="I33" s="262"/>
      <c r="J33" s="262"/>
      <c r="K33" s="357"/>
      <c r="L33" s="357"/>
      <c r="M33" s="357"/>
      <c r="N33" s="357"/>
      <c r="O33" s="357"/>
      <c r="P33" s="357"/>
      <c r="Q33" s="357"/>
    </row>
    <row r="34" spans="1:20" ht="13.8">
      <c r="A34" s="262"/>
      <c r="B34" s="262"/>
      <c r="C34" s="494" t="s">
        <v>794</v>
      </c>
      <c r="D34" s="262"/>
      <c r="E34" s="262"/>
      <c r="F34" s="262"/>
      <c r="G34" s="262"/>
      <c r="H34" s="87"/>
      <c r="I34" s="262"/>
      <c r="J34" s="262"/>
      <c r="K34" s="357"/>
      <c r="L34" s="357"/>
      <c r="M34" s="357"/>
      <c r="N34" s="357"/>
      <c r="O34" s="357"/>
      <c r="P34" s="357"/>
      <c r="Q34" s="357"/>
    </row>
    <row r="35" spans="1:20" ht="13.8">
      <c r="A35" s="262"/>
      <c r="B35" s="262"/>
      <c r="C35" s="495" t="s">
        <v>413</v>
      </c>
      <c r="D35" s="496">
        <v>120</v>
      </c>
      <c r="E35" s="494" t="s">
        <v>650</v>
      </c>
      <c r="F35" s="262"/>
      <c r="G35" s="262"/>
      <c r="H35" s="357"/>
      <c r="I35" s="262"/>
      <c r="J35" s="262"/>
      <c r="K35" s="357"/>
      <c r="L35" s="357"/>
      <c r="M35" s="357"/>
      <c r="N35" s="357"/>
      <c r="O35" s="357"/>
      <c r="P35" s="357"/>
      <c r="Q35" s="357"/>
    </row>
    <row r="36" spans="1:20" ht="13.8">
      <c r="A36" s="208" t="s">
        <v>161</v>
      </c>
      <c r="B36" s="491" t="s">
        <v>795</v>
      </c>
      <c r="C36" s="495"/>
      <c r="D36" s="496"/>
      <c r="E36" s="494"/>
      <c r="F36" s="262"/>
      <c r="G36" s="262"/>
      <c r="H36" s="357"/>
      <c r="I36" s="262"/>
      <c r="J36" s="262"/>
      <c r="K36" s="357"/>
      <c r="L36" s="357"/>
      <c r="M36" s="357"/>
      <c r="N36" s="357"/>
      <c r="O36" s="357"/>
      <c r="P36" s="357"/>
      <c r="Q36" s="357"/>
    </row>
    <row r="37" spans="1:20" ht="13.8">
      <c r="A37" s="264" t="s">
        <v>162</v>
      </c>
      <c r="B37" s="433" t="s">
        <v>649</v>
      </c>
      <c r="C37" s="262"/>
      <c r="D37" s="262"/>
      <c r="E37" s="262"/>
      <c r="F37" s="262"/>
      <c r="G37" s="262"/>
      <c r="H37" s="262"/>
      <c r="I37" s="262"/>
      <c r="J37" s="262"/>
      <c r="K37" s="357"/>
      <c r="L37" s="357"/>
      <c r="M37" s="357"/>
      <c r="N37" s="357"/>
      <c r="O37" s="357"/>
      <c r="P37" s="357"/>
      <c r="Q37" s="357"/>
    </row>
    <row r="38" spans="1:20" s="357" customFormat="1" ht="13.8">
      <c r="C38" s="491"/>
      <c r="D38" s="491"/>
      <c r="E38" s="491"/>
      <c r="F38" s="491"/>
      <c r="G38" s="491"/>
      <c r="H38" s="491"/>
      <c r="I38" s="491"/>
      <c r="J38" s="491"/>
      <c r="K38" s="153"/>
      <c r="L38" s="153"/>
      <c r="M38" s="153"/>
      <c r="N38" s="153"/>
      <c r="O38" s="153"/>
      <c r="P38" s="153"/>
      <c r="Q38" s="153"/>
      <c r="R38" s="153"/>
      <c r="S38" s="153"/>
      <c r="T38" s="177"/>
    </row>
    <row r="39" spans="1:20" s="357" customFormat="1" ht="14.25" customHeight="1">
      <c r="A39" s="208"/>
      <c r="B39" s="491"/>
      <c r="C39" s="491"/>
      <c r="D39" s="491"/>
      <c r="E39" s="491"/>
      <c r="F39" s="491"/>
      <c r="G39" s="491"/>
      <c r="H39" s="491"/>
      <c r="I39" s="491"/>
      <c r="J39" s="491"/>
      <c r="K39" s="153"/>
      <c r="L39" s="153"/>
      <c r="M39" s="153"/>
      <c r="N39" s="153"/>
      <c r="O39" s="153"/>
      <c r="P39" s="153"/>
      <c r="Q39" s="153"/>
      <c r="R39" s="153"/>
      <c r="S39" s="153"/>
      <c r="T39" s="177"/>
    </row>
    <row r="40" spans="1:20" s="357" customFormat="1" ht="14.25" customHeight="1">
      <c r="A40" s="274" t="s">
        <v>313</v>
      </c>
      <c r="B40" s="491"/>
      <c r="C40" s="491"/>
      <c r="D40" s="491"/>
      <c r="E40" s="491"/>
      <c r="F40" s="491"/>
      <c r="G40" s="491"/>
      <c r="H40" s="491"/>
      <c r="I40" s="491"/>
      <c r="J40" s="491"/>
      <c r="K40" s="153"/>
      <c r="L40" s="153"/>
      <c r="M40" s="153"/>
      <c r="N40" s="153"/>
      <c r="O40" s="153"/>
      <c r="P40" s="153"/>
      <c r="Q40" s="153"/>
      <c r="R40" s="153"/>
      <c r="S40" s="153"/>
      <c r="T40" s="177"/>
    </row>
    <row r="41" spans="1:20" s="357" customFormat="1" ht="14.25" customHeight="1">
      <c r="A41" s="274"/>
      <c r="B41" s="491" t="s">
        <v>364</v>
      </c>
      <c r="C41" s="491"/>
      <c r="D41" s="491"/>
      <c r="E41" s="491"/>
      <c r="F41" s="491"/>
      <c r="G41" s="491"/>
      <c r="H41" s="491"/>
      <c r="I41" s="491"/>
      <c r="J41" s="491"/>
      <c r="K41" s="153"/>
      <c r="L41" s="153"/>
      <c r="M41" s="153"/>
      <c r="N41" s="153"/>
      <c r="O41" s="153"/>
      <c r="P41" s="153"/>
      <c r="Q41" s="153"/>
      <c r="R41" s="153"/>
      <c r="S41" s="153"/>
      <c r="T41" s="177"/>
    </row>
    <row r="42" spans="1:20" s="357" customFormat="1" ht="14.25" customHeight="1">
      <c r="A42" s="274"/>
      <c r="B42" s="351" t="s">
        <v>818</v>
      </c>
      <c r="C42" s="491"/>
      <c r="D42" s="491"/>
      <c r="E42" s="491"/>
      <c r="F42" s="491"/>
      <c r="G42" s="491"/>
      <c r="H42" s="491"/>
      <c r="I42" s="491"/>
      <c r="J42" s="491"/>
      <c r="K42" s="153"/>
      <c r="L42" s="153"/>
      <c r="M42" s="153"/>
      <c r="N42" s="153"/>
      <c r="O42" s="153"/>
      <c r="P42" s="153"/>
      <c r="Q42" s="153"/>
      <c r="R42" s="153"/>
      <c r="S42" s="153"/>
      <c r="T42" s="177"/>
    </row>
    <row r="43" spans="1:20" ht="14.25" customHeight="1">
      <c r="A43" s="262"/>
      <c r="B43" s="262"/>
      <c r="C43" s="262"/>
      <c r="D43" s="262"/>
      <c r="E43" s="262"/>
      <c r="F43" s="262"/>
      <c r="G43" s="262"/>
      <c r="H43" s="262"/>
      <c r="I43" s="262"/>
      <c r="J43" s="262"/>
    </row>
    <row r="44" spans="1:20">
      <c r="A44" s="1393" t="s">
        <v>197</v>
      </c>
      <c r="B44" s="1393"/>
      <c r="C44" s="1393"/>
      <c r="D44" s="262"/>
      <c r="E44" s="262"/>
      <c r="F44" s="262"/>
      <c r="G44" s="262"/>
      <c r="H44" s="262"/>
      <c r="I44" s="262"/>
      <c r="J44" s="262"/>
    </row>
    <row r="45" spans="1:20">
      <c r="A45" s="479"/>
      <c r="B45" s="306" t="s">
        <v>234</v>
      </c>
      <c r="C45" s="479"/>
      <c r="D45" s="262"/>
      <c r="E45" s="262"/>
      <c r="F45" s="262"/>
      <c r="G45" s="271" t="s">
        <v>105</v>
      </c>
      <c r="H45" s="262"/>
      <c r="I45" s="262"/>
      <c r="J45" s="262"/>
    </row>
    <row r="46" spans="1:20">
      <c r="A46" s="306"/>
      <c r="B46" s="262" t="s">
        <v>104</v>
      </c>
      <c r="C46" s="306"/>
      <c r="D46" s="262"/>
      <c r="E46" s="262"/>
      <c r="F46" s="262"/>
      <c r="G46" s="270" t="s">
        <v>109</v>
      </c>
      <c r="H46" s="262"/>
      <c r="I46" s="262"/>
      <c r="J46" s="262"/>
    </row>
    <row r="47" spans="1:20">
      <c r="A47" s="479"/>
      <c r="B47" s="271" t="s">
        <v>106</v>
      </c>
      <c r="C47" s="479"/>
      <c r="D47" s="262"/>
      <c r="E47" s="262"/>
      <c r="F47" s="262"/>
      <c r="G47" s="262" t="s">
        <v>262</v>
      </c>
      <c r="H47" s="262"/>
      <c r="I47" s="262"/>
      <c r="J47" s="262"/>
    </row>
    <row r="48" spans="1:20">
      <c r="A48" s="262"/>
      <c r="B48" s="271" t="s">
        <v>166</v>
      </c>
      <c r="C48" s="262"/>
      <c r="D48" s="262"/>
      <c r="E48" s="262"/>
      <c r="F48" s="262"/>
      <c r="G48" s="270" t="s">
        <v>107</v>
      </c>
      <c r="H48" s="262"/>
      <c r="I48" s="262"/>
      <c r="J48" s="262"/>
    </row>
    <row r="49" spans="1:19">
      <c r="A49" s="262"/>
      <c r="B49" s="206" t="s">
        <v>309</v>
      </c>
      <c r="C49" s="262"/>
      <c r="D49" s="262"/>
      <c r="E49" s="262"/>
      <c r="F49" s="262"/>
      <c r="G49" s="262"/>
      <c r="H49" s="262"/>
      <c r="I49" s="262"/>
      <c r="J49" s="262"/>
    </row>
    <row r="50" spans="1:19">
      <c r="A50" s="262"/>
      <c r="B50" s="272" t="s">
        <v>310</v>
      </c>
      <c r="C50" s="262"/>
      <c r="D50" s="262"/>
      <c r="E50" s="262"/>
      <c r="F50" s="262"/>
      <c r="G50" s="262"/>
      <c r="H50" s="262"/>
      <c r="I50" s="262"/>
      <c r="J50" s="262"/>
    </row>
    <row r="53" spans="1:19">
      <c r="A53" s="112"/>
      <c r="B53" s="53"/>
      <c r="C53" s="112"/>
      <c r="D53" s="112"/>
      <c r="E53" s="112"/>
      <c r="F53" s="112"/>
      <c r="J53" s="112"/>
      <c r="K53" s="112"/>
      <c r="L53" s="112"/>
      <c r="M53" s="112"/>
    </row>
    <row r="54" spans="1:19" ht="14.4" customHeight="1">
      <c r="A54" s="26"/>
      <c r="B54" s="776"/>
      <c r="C54" s="776"/>
      <c r="D54" s="776"/>
      <c r="E54" s="776"/>
      <c r="F54" s="776"/>
      <c r="G54" s="776"/>
      <c r="H54" s="776"/>
      <c r="I54" s="776"/>
      <c r="J54" s="776"/>
      <c r="K54" s="776"/>
      <c r="L54" s="776"/>
      <c r="M54" s="776"/>
      <c r="N54" s="776"/>
      <c r="O54" s="776"/>
      <c r="P54" s="776"/>
      <c r="Q54" s="776"/>
      <c r="R54" s="776"/>
      <c r="S54" s="776"/>
    </row>
    <row r="55" spans="1:19">
      <c r="D55" s="5" t="s">
        <v>55</v>
      </c>
    </row>
  </sheetData>
  <mergeCells count="12">
    <mergeCell ref="B1:Q1"/>
    <mergeCell ref="B2:Q2"/>
    <mergeCell ref="B3:Q3"/>
    <mergeCell ref="A18:B18"/>
    <mergeCell ref="B20:B21"/>
    <mergeCell ref="E5:E6"/>
    <mergeCell ref="J5:J6"/>
    <mergeCell ref="A25:B25"/>
    <mergeCell ref="A44:C44"/>
    <mergeCell ref="B5:B6"/>
    <mergeCell ref="C5:C6"/>
    <mergeCell ref="D5:D6"/>
  </mergeCells>
  <phoneticPr fontId="72" type="noConversion"/>
  <pageMargins left="0.25" right="0.25" top="0.75" bottom="0.75" header="0.3" footer="0.3"/>
  <pageSetup scale="70" orientation="portrait" r:id="rId1"/>
  <headerFooter>
    <oddFooter>&amp;CPage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B3DC-F58C-4AE1-B47C-927A23DBC2F7}">
  <dimension ref="A1:Q113"/>
  <sheetViews>
    <sheetView topLeftCell="A66" workbookViewId="0">
      <selection activeCell="E104" sqref="E104"/>
    </sheetView>
  </sheetViews>
  <sheetFormatPr defaultColWidth="9.109375" defaultRowHeight="11.4"/>
  <cols>
    <col min="1" max="1" width="2.6640625" style="5" customWidth="1"/>
    <col min="2" max="2" width="31.88671875" style="5" customWidth="1"/>
    <col min="3" max="3" width="15" style="5" customWidth="1"/>
    <col min="4" max="4" width="11.33203125" style="5" customWidth="1"/>
    <col min="5" max="5" width="14" style="5" customWidth="1"/>
    <col min="6" max="7" width="11.88671875" style="5" customWidth="1"/>
    <col min="8" max="8" width="12.88671875" style="5" customWidth="1"/>
    <col min="9" max="9" width="11.5546875" style="5" customWidth="1"/>
    <col min="10" max="10" width="3.6640625" style="5" customWidth="1"/>
    <col min="11" max="11" width="4.6640625" style="5" customWidth="1"/>
    <col min="12" max="13" width="9.109375" style="5"/>
    <col min="14" max="14" width="13.88671875" style="5" bestFit="1" customWidth="1"/>
    <col min="15" max="16384" width="9.109375" style="5"/>
  </cols>
  <sheetData>
    <row r="1" spans="1:9" ht="15" customHeight="1">
      <c r="B1" s="1380" t="s">
        <v>791</v>
      </c>
      <c r="C1" s="1380"/>
      <c r="D1" s="1380"/>
      <c r="E1" s="1380"/>
      <c r="F1" s="1380"/>
      <c r="G1" s="1380"/>
      <c r="H1" s="1380"/>
      <c r="I1" s="6"/>
    </row>
    <row r="2" spans="1:9" ht="15" customHeight="1">
      <c r="B2" s="1380" t="s">
        <v>800</v>
      </c>
      <c r="C2" s="1380"/>
      <c r="D2" s="1380"/>
      <c r="E2" s="1380"/>
      <c r="F2" s="1380"/>
      <c r="G2" s="1380"/>
      <c r="H2" s="1380"/>
      <c r="I2" s="6"/>
    </row>
    <row r="3" spans="1:9" ht="15" customHeight="1">
      <c r="B3" s="1380" t="str">
        <f>'3a-RTO - Dryer GHM DHM'!B3:J3</f>
        <v>Enviva Pellets Ahoskie, LLC</v>
      </c>
      <c r="C3" s="1380"/>
      <c r="D3" s="1380"/>
      <c r="E3" s="1380"/>
      <c r="F3" s="1380"/>
      <c r="G3" s="1380"/>
      <c r="H3" s="1380"/>
      <c r="I3" s="6"/>
    </row>
    <row r="4" spans="1:9" ht="15" customHeight="1"/>
    <row r="5" spans="1:9" ht="15" customHeight="1" thickBot="1">
      <c r="B5" s="1092" t="s">
        <v>90</v>
      </c>
      <c r="C5" s="1093"/>
      <c r="D5" s="1093"/>
      <c r="E5" s="1094"/>
      <c r="F5" s="1094"/>
      <c r="G5" s="1094"/>
      <c r="H5" s="1094"/>
      <c r="I5" s="1094"/>
    </row>
    <row r="6" spans="1:9" ht="15" customHeight="1" thickTop="1">
      <c r="B6" s="1095" t="s">
        <v>674</v>
      </c>
      <c r="C6" s="1251">
        <v>9.9</v>
      </c>
      <c r="D6" s="1096" t="s">
        <v>29</v>
      </c>
      <c r="E6" s="1097"/>
      <c r="F6" s="6"/>
      <c r="G6" s="6"/>
      <c r="H6" s="6"/>
      <c r="I6" s="6"/>
    </row>
    <row r="7" spans="1:9" ht="15" customHeight="1">
      <c r="B7" s="1607" t="s">
        <v>675</v>
      </c>
      <c r="C7" s="1098">
        <f>C6/1020</f>
        <v>9.705882352941177E-3</v>
      </c>
      <c r="D7" s="1099" t="s">
        <v>676</v>
      </c>
      <c r="E7" s="1100"/>
      <c r="F7" s="1100"/>
      <c r="G7" s="1100"/>
      <c r="H7" s="1100"/>
      <c r="I7" s="1100"/>
    </row>
    <row r="8" spans="1:9" ht="15" customHeight="1">
      <c r="B8" s="1608"/>
      <c r="C8" s="1101">
        <f>C7*C9</f>
        <v>85.023529411764713</v>
      </c>
      <c r="D8" s="1099" t="s">
        <v>677</v>
      </c>
      <c r="E8" s="1100"/>
      <c r="F8" s="1100"/>
      <c r="G8" s="1100"/>
      <c r="H8" s="1100"/>
      <c r="I8" s="1100"/>
    </row>
    <row r="9" spans="1:9" ht="15" customHeight="1">
      <c r="B9" s="1102" t="s">
        <v>43</v>
      </c>
      <c r="C9" s="1103">
        <v>8760</v>
      </c>
      <c r="D9" s="1104" t="s">
        <v>30</v>
      </c>
    </row>
    <row r="10" spans="1:9" ht="15" customHeight="1" thickBot="1">
      <c r="B10" s="1105" t="s">
        <v>678</v>
      </c>
      <c r="C10" s="1106">
        <v>2</v>
      </c>
      <c r="D10" s="1107"/>
    </row>
    <row r="11" spans="1:9" ht="15" customHeight="1" thickTop="1">
      <c r="A11" s="1461" t="s">
        <v>99</v>
      </c>
      <c r="B11" s="1461"/>
      <c r="C11" s="688"/>
    </row>
    <row r="12" spans="1:9" ht="24.75" customHeight="1">
      <c r="A12" s="26" t="s">
        <v>100</v>
      </c>
      <c r="B12" s="1600" t="s">
        <v>679</v>
      </c>
      <c r="C12" s="1600"/>
      <c r="D12" s="1600"/>
      <c r="E12" s="1600"/>
      <c r="F12" s="1600"/>
      <c r="G12" s="934"/>
      <c r="H12" s="934"/>
      <c r="I12" s="934"/>
    </row>
    <row r="13" spans="1:9" ht="11.25" customHeight="1"/>
    <row r="14" spans="1:9" ht="11.25" customHeight="1" thickBot="1">
      <c r="B14" s="22" t="s">
        <v>680</v>
      </c>
    </row>
    <row r="15" spans="1:9" ht="27" customHeight="1" thickTop="1">
      <c r="B15" s="1601" t="s">
        <v>22</v>
      </c>
      <c r="C15" s="1603" t="s">
        <v>681</v>
      </c>
      <c r="D15" s="1603" t="s">
        <v>31</v>
      </c>
      <c r="E15" s="1605" t="s">
        <v>682</v>
      </c>
      <c r="F15" s="1606"/>
      <c r="G15" s="1108"/>
      <c r="I15" s="1109"/>
    </row>
    <row r="16" spans="1:9" ht="12" customHeight="1" thickBot="1">
      <c r="B16" s="1602"/>
      <c r="C16" s="1604"/>
      <c r="D16" s="1604"/>
      <c r="E16" s="1110" t="s">
        <v>23</v>
      </c>
      <c r="F16" s="1111" t="s">
        <v>8</v>
      </c>
      <c r="G16" s="1108"/>
      <c r="I16" s="425"/>
    </row>
    <row r="17" spans="1:17" ht="15" customHeight="1" thickTop="1">
      <c r="A17" s="93"/>
      <c r="B17" s="290" t="s">
        <v>2</v>
      </c>
      <c r="C17" s="144">
        <v>84</v>
      </c>
      <c r="D17" s="1206" t="s">
        <v>138</v>
      </c>
      <c r="E17" s="1207">
        <f t="shared" ref="E17:E26" si="0">C17*$C$7</f>
        <v>0.81529411764705884</v>
      </c>
      <c r="F17" s="1208">
        <f t="shared" ref="F17:F26" si="1">C17*$C$8/$B$98</f>
        <v>3.5709882352941182</v>
      </c>
      <c r="G17" s="1209"/>
      <c r="H17" s="93"/>
      <c r="I17" s="1210"/>
      <c r="K17" s="321"/>
      <c r="L17" s="321"/>
      <c r="M17" s="320"/>
      <c r="N17" s="320"/>
      <c r="O17" s="320"/>
      <c r="P17" s="320"/>
      <c r="Q17" s="320"/>
    </row>
    <row r="18" spans="1:17" ht="15" customHeight="1">
      <c r="A18" s="93"/>
      <c r="B18" s="293" t="s">
        <v>282</v>
      </c>
      <c r="C18" s="121">
        <v>50</v>
      </c>
      <c r="D18" s="1211" t="s">
        <v>138</v>
      </c>
      <c r="E18" s="1212">
        <f t="shared" si="0"/>
        <v>0.48529411764705888</v>
      </c>
      <c r="F18" s="1213">
        <f t="shared" si="1"/>
        <v>2.125588235294118</v>
      </c>
      <c r="G18" s="1209"/>
      <c r="H18" s="93"/>
      <c r="I18" s="1210"/>
      <c r="K18" s="321"/>
      <c r="L18" s="321"/>
      <c r="M18" s="1112"/>
      <c r="N18" s="320"/>
      <c r="O18" s="320"/>
      <c r="P18" s="320"/>
      <c r="Q18" s="320"/>
    </row>
    <row r="19" spans="1:17" ht="15" customHeight="1">
      <c r="A19" s="93"/>
      <c r="B19" s="293" t="s">
        <v>324</v>
      </c>
      <c r="C19" s="1214">
        <v>0.6</v>
      </c>
      <c r="D19" s="1211" t="s">
        <v>138</v>
      </c>
      <c r="E19" s="1215">
        <f t="shared" si="0"/>
        <v>5.8235294117647057E-3</v>
      </c>
      <c r="F19" s="1216">
        <f t="shared" si="1"/>
        <v>2.5507058823529414E-2</v>
      </c>
      <c r="G19" s="1209"/>
      <c r="H19" s="93"/>
      <c r="I19" s="1217"/>
      <c r="K19" s="321"/>
      <c r="L19" s="321"/>
      <c r="M19" s="321"/>
      <c r="N19" s="320"/>
      <c r="O19" s="320"/>
      <c r="P19" s="320"/>
      <c r="Q19" s="320"/>
    </row>
    <row r="20" spans="1:17" ht="15" customHeight="1">
      <c r="A20" s="93"/>
      <c r="B20" s="293" t="s">
        <v>3</v>
      </c>
      <c r="C20" s="1214">
        <v>5.5</v>
      </c>
      <c r="D20" s="36" t="s">
        <v>138</v>
      </c>
      <c r="E20" s="1218">
        <f t="shared" si="0"/>
        <v>5.3382352941176471E-2</v>
      </c>
      <c r="F20" s="1213">
        <f t="shared" si="1"/>
        <v>0.23381470588235298</v>
      </c>
      <c r="G20" s="1209"/>
      <c r="H20" s="93"/>
      <c r="I20" s="449"/>
      <c r="K20" s="321"/>
      <c r="L20" s="321"/>
    </row>
    <row r="21" spans="1:17" ht="15" customHeight="1">
      <c r="A21" s="93"/>
      <c r="B21" s="293" t="s">
        <v>89</v>
      </c>
      <c r="C21" s="1214">
        <v>7.6</v>
      </c>
      <c r="D21" s="1211" t="s">
        <v>138</v>
      </c>
      <c r="E21" s="1219">
        <f t="shared" si="0"/>
        <v>7.3764705882352941E-2</v>
      </c>
      <c r="F21" s="1213">
        <f t="shared" si="1"/>
        <v>0.3230894117647059</v>
      </c>
      <c r="G21" s="1209"/>
      <c r="H21" s="93"/>
      <c r="I21" s="449"/>
      <c r="K21" s="321"/>
      <c r="L21" s="321"/>
    </row>
    <row r="22" spans="1:17" ht="15" customHeight="1">
      <c r="A22" s="93"/>
      <c r="B22" s="295" t="s">
        <v>404</v>
      </c>
      <c r="C22" s="1214">
        <v>7.6</v>
      </c>
      <c r="D22" s="1211" t="s">
        <v>138</v>
      </c>
      <c r="E22" s="1219">
        <f t="shared" si="0"/>
        <v>7.3764705882352941E-2</v>
      </c>
      <c r="F22" s="1213">
        <f t="shared" si="1"/>
        <v>0.3230894117647059</v>
      </c>
      <c r="G22" s="1209"/>
      <c r="H22" s="93"/>
      <c r="I22" s="1217"/>
      <c r="K22" s="321"/>
      <c r="L22" s="321"/>
    </row>
    <row r="23" spans="1:17" ht="15" customHeight="1">
      <c r="A23" s="93"/>
      <c r="B23" s="1220" t="s">
        <v>405</v>
      </c>
      <c r="C23" s="1221">
        <f>C22</f>
        <v>7.6</v>
      </c>
      <c r="D23" s="1211" t="s">
        <v>138</v>
      </c>
      <c r="E23" s="1219">
        <f t="shared" si="0"/>
        <v>7.3764705882352941E-2</v>
      </c>
      <c r="F23" s="1222">
        <f t="shared" si="1"/>
        <v>0.3230894117647059</v>
      </c>
      <c r="G23" s="1209"/>
      <c r="H23" s="93"/>
      <c r="I23" s="1210"/>
      <c r="K23" s="321"/>
      <c r="L23" s="321"/>
    </row>
    <row r="24" spans="1:17" ht="15" customHeight="1">
      <c r="A24" s="93"/>
      <c r="B24" s="295" t="s">
        <v>180</v>
      </c>
      <c r="C24" s="862">
        <v>120000</v>
      </c>
      <c r="D24" s="1211" t="s">
        <v>138</v>
      </c>
      <c r="E24" s="1223">
        <f t="shared" si="0"/>
        <v>1164.7058823529412</v>
      </c>
      <c r="F24" s="1224">
        <f t="shared" si="1"/>
        <v>5101.411764705882</v>
      </c>
      <c r="G24" s="93"/>
      <c r="H24" s="93"/>
      <c r="I24" s="1210"/>
    </row>
    <row r="25" spans="1:17" ht="15" customHeight="1">
      <c r="A25" s="93"/>
      <c r="B25" s="295" t="s">
        <v>181</v>
      </c>
      <c r="C25" s="1214">
        <v>2.2999999999999998</v>
      </c>
      <c r="D25" s="1211" t="s">
        <v>138</v>
      </c>
      <c r="E25" s="1218">
        <f t="shared" si="0"/>
        <v>2.2323529411764704E-2</v>
      </c>
      <c r="F25" s="1225">
        <f t="shared" si="1"/>
        <v>9.7777058823529411E-2</v>
      </c>
      <c r="G25" s="93"/>
      <c r="H25" s="93"/>
      <c r="I25" s="1210"/>
    </row>
    <row r="26" spans="1:17" ht="15" customHeight="1">
      <c r="A26" s="93"/>
      <c r="B26" s="295" t="s">
        <v>182</v>
      </c>
      <c r="C26" s="1214">
        <v>0.64</v>
      </c>
      <c r="D26" s="1211" t="s">
        <v>138</v>
      </c>
      <c r="E26" s="1215">
        <f t="shared" si="0"/>
        <v>6.2117647058823533E-3</v>
      </c>
      <c r="F26" s="1225">
        <f t="shared" si="1"/>
        <v>2.720752941176471E-2</v>
      </c>
      <c r="G26" s="93"/>
      <c r="H26" s="93"/>
      <c r="I26" s="1210"/>
    </row>
    <row r="27" spans="1:17" ht="15" customHeight="1" thickBot="1">
      <c r="A27" s="93"/>
      <c r="B27" s="1593" t="s">
        <v>683</v>
      </c>
      <c r="C27" s="1594"/>
      <c r="D27" s="1595"/>
      <c r="E27" s="1226">
        <f>E24+E25*$C$101+E26*$C$102</f>
        <v>1167.1150764705881</v>
      </c>
      <c r="F27" s="514">
        <f>F24+F25*$C$101+F26*$C$102</f>
        <v>5111.9640349411757</v>
      </c>
      <c r="G27" s="93"/>
      <c r="H27" s="93"/>
      <c r="I27" s="1210"/>
    </row>
    <row r="28" spans="1:17" ht="12" thickTop="1">
      <c r="A28" s="1596" t="s">
        <v>99</v>
      </c>
      <c r="B28" s="1596"/>
      <c r="C28" s="59"/>
      <c r="D28" s="59"/>
      <c r="E28" s="59"/>
      <c r="F28" s="93"/>
      <c r="G28" s="93"/>
      <c r="H28" s="93"/>
      <c r="I28" s="93"/>
    </row>
    <row r="29" spans="1:17" ht="11.25" customHeight="1">
      <c r="A29" s="208" t="s">
        <v>100</v>
      </c>
      <c r="B29" s="1597" t="s">
        <v>684</v>
      </c>
      <c r="C29" s="1597"/>
      <c r="D29" s="1597"/>
      <c r="E29" s="1597"/>
      <c r="F29" s="1597"/>
      <c r="G29" s="1597"/>
      <c r="H29" s="1597"/>
      <c r="I29" s="1597"/>
      <c r="J29" s="1078"/>
      <c r="K29" s="1078"/>
    </row>
    <row r="30" spans="1:17" ht="12">
      <c r="A30" s="208" t="s">
        <v>159</v>
      </c>
      <c r="B30" s="1227" t="s">
        <v>685</v>
      </c>
      <c r="C30" s="1228"/>
      <c r="D30" s="1228"/>
      <c r="E30" s="1228"/>
      <c r="F30" s="1228"/>
      <c r="G30" s="1228"/>
      <c r="H30" s="1228"/>
      <c r="I30" s="1228"/>
    </row>
    <row r="31" spans="1:17">
      <c r="A31" s="60"/>
      <c r="B31" s="59"/>
      <c r="C31" s="93"/>
      <c r="D31" s="28"/>
      <c r="E31" s="59"/>
      <c r="F31" s="93"/>
      <c r="G31" s="93"/>
      <c r="H31" s="93"/>
      <c r="I31" s="93"/>
    </row>
    <row r="32" spans="1:17" ht="12" thickBot="1">
      <c r="A32" s="93"/>
      <c r="B32" s="1229" t="s">
        <v>120</v>
      </c>
      <c r="C32" s="93"/>
      <c r="D32" s="93"/>
      <c r="E32" s="93"/>
      <c r="F32" s="93"/>
      <c r="G32" s="93"/>
      <c r="H32" s="93"/>
      <c r="I32" s="93"/>
    </row>
    <row r="33" spans="1:11" ht="27" customHeight="1" thickTop="1">
      <c r="A33" s="93"/>
      <c r="B33" s="1230"/>
      <c r="C33" s="1402" t="s">
        <v>36</v>
      </c>
      <c r="D33" s="1404" t="s">
        <v>390</v>
      </c>
      <c r="E33" s="1231" t="s">
        <v>681</v>
      </c>
      <c r="F33" s="1598" t="s">
        <v>682</v>
      </c>
      <c r="G33" s="1599"/>
      <c r="I33" s="93"/>
    </row>
    <row r="34" spans="1:11" ht="15.75" customHeight="1" thickBot="1">
      <c r="A34" s="93"/>
      <c r="B34" s="1232" t="s">
        <v>22</v>
      </c>
      <c r="C34" s="1403"/>
      <c r="D34" s="1405"/>
      <c r="E34" s="1233" t="s">
        <v>686</v>
      </c>
      <c r="F34" s="1234" t="s">
        <v>23</v>
      </c>
      <c r="G34" s="1235" t="s">
        <v>8</v>
      </c>
      <c r="I34" s="93"/>
      <c r="K34" s="512" t="s">
        <v>175</v>
      </c>
    </row>
    <row r="35" spans="1:11" ht="15" customHeight="1" thickTop="1">
      <c r="A35" s="93"/>
      <c r="B35" s="1236" t="s">
        <v>137</v>
      </c>
      <c r="C35" s="648" t="s">
        <v>95</v>
      </c>
      <c r="D35" s="48" t="s">
        <v>96</v>
      </c>
      <c r="E35" s="222">
        <v>2.4000000000000001E-5</v>
      </c>
      <c r="F35" s="1276">
        <f>E35*$C$7</f>
        <v>2.3294117647058826E-7</v>
      </c>
      <c r="G35" s="1277">
        <f t="shared" ref="G35:G71" si="2">E35*$C$8/$B$98</f>
        <v>1.0202823529411768E-6</v>
      </c>
      <c r="I35" s="93"/>
      <c r="K35" s="512" t="s">
        <v>176</v>
      </c>
    </row>
    <row r="36" spans="1:11" ht="15" customHeight="1">
      <c r="A36" s="93"/>
      <c r="B36" s="1236" t="s">
        <v>139</v>
      </c>
      <c r="C36" s="648" t="s">
        <v>95</v>
      </c>
      <c r="D36" s="48" t="s">
        <v>96</v>
      </c>
      <c r="E36" s="222">
        <v>1.7999999999999999E-6</v>
      </c>
      <c r="F36" s="1278">
        <f t="shared" ref="F36:F71" si="3">E36*$C$7</f>
        <v>1.7470588235294118E-8</v>
      </c>
      <c r="G36" s="1279">
        <f t="shared" si="2"/>
        <v>7.6521176470588229E-8</v>
      </c>
      <c r="I36" s="93"/>
      <c r="K36" s="512" t="s">
        <v>176</v>
      </c>
    </row>
    <row r="37" spans="1:11" ht="15" customHeight="1">
      <c r="A37" s="93"/>
      <c r="B37" s="1236" t="s">
        <v>140</v>
      </c>
      <c r="C37" s="648" t="s">
        <v>95</v>
      </c>
      <c r="D37" s="48" t="s">
        <v>96</v>
      </c>
      <c r="E37" s="222">
        <v>1.5999999999999999E-5</v>
      </c>
      <c r="F37" s="1278">
        <f t="shared" si="3"/>
        <v>1.5529411764705883E-7</v>
      </c>
      <c r="G37" s="1279">
        <f t="shared" si="2"/>
        <v>6.8018823529411775E-7</v>
      </c>
      <c r="I37" s="93"/>
      <c r="K37" s="512" t="s">
        <v>176</v>
      </c>
    </row>
    <row r="38" spans="1:11" ht="15" customHeight="1">
      <c r="A38" s="93"/>
      <c r="B38" s="1236" t="s">
        <v>141</v>
      </c>
      <c r="C38" s="648" t="s">
        <v>95</v>
      </c>
      <c r="D38" s="48" t="s">
        <v>96</v>
      </c>
      <c r="E38" s="222">
        <v>1.7999999999999999E-6</v>
      </c>
      <c r="F38" s="1278">
        <f t="shared" si="3"/>
        <v>1.7470588235294118E-8</v>
      </c>
      <c r="G38" s="1279">
        <f t="shared" si="2"/>
        <v>7.6521176470588229E-8</v>
      </c>
      <c r="I38" s="93"/>
      <c r="K38" s="512" t="s">
        <v>176</v>
      </c>
    </row>
    <row r="39" spans="1:11" ht="15" customHeight="1">
      <c r="A39" s="93"/>
      <c r="B39" s="1236" t="s">
        <v>142</v>
      </c>
      <c r="C39" s="648" t="s">
        <v>95</v>
      </c>
      <c r="D39" s="48" t="s">
        <v>96</v>
      </c>
      <c r="E39" s="222">
        <v>1.7999999999999999E-6</v>
      </c>
      <c r="F39" s="1278">
        <f t="shared" si="3"/>
        <v>1.7470588235294118E-8</v>
      </c>
      <c r="G39" s="1279">
        <f t="shared" si="2"/>
        <v>7.6521176470588229E-8</v>
      </c>
      <c r="I39" s="93"/>
      <c r="K39" s="512" t="s">
        <v>176</v>
      </c>
    </row>
    <row r="40" spans="1:11" ht="15" customHeight="1">
      <c r="A40" s="93"/>
      <c r="B40" s="1236" t="s">
        <v>11</v>
      </c>
      <c r="C40" s="648" t="s">
        <v>95</v>
      </c>
      <c r="D40" s="48" t="s">
        <v>95</v>
      </c>
      <c r="E40" s="230">
        <v>1.52E-5</v>
      </c>
      <c r="F40" s="222">
        <f t="shared" ref="F40" si="4">E40*$C$7</f>
        <v>1.475294117647059E-7</v>
      </c>
      <c r="G40" s="247">
        <f t="shared" si="2"/>
        <v>6.4617882352941179E-7</v>
      </c>
      <c r="I40" s="93"/>
      <c r="K40" s="512"/>
    </row>
    <row r="41" spans="1:11" ht="15" customHeight="1">
      <c r="A41" s="93"/>
      <c r="B41" s="1236" t="s">
        <v>12</v>
      </c>
      <c r="C41" s="648" t="s">
        <v>95</v>
      </c>
      <c r="D41" s="48" t="s">
        <v>95</v>
      </c>
      <c r="E41" s="230">
        <v>1.8E-5</v>
      </c>
      <c r="F41" s="222">
        <f t="shared" ref="F41:F42" si="5">E41*$C$7</f>
        <v>1.7470588235294118E-7</v>
      </c>
      <c r="G41" s="247">
        <f t="shared" si="2"/>
        <v>7.6521176470588242E-7</v>
      </c>
      <c r="I41" s="93"/>
      <c r="K41" s="512"/>
    </row>
    <row r="42" spans="1:11" ht="15" customHeight="1">
      <c r="A42" s="93"/>
      <c r="B42" s="1236" t="s">
        <v>457</v>
      </c>
      <c r="C42" s="648" t="s">
        <v>96</v>
      </c>
      <c r="D42" s="48" t="s">
        <v>95</v>
      </c>
      <c r="E42" s="230">
        <v>3.2</v>
      </c>
      <c r="F42" s="222">
        <f t="shared" si="5"/>
        <v>3.1058823529411767E-2</v>
      </c>
      <c r="G42" s="247">
        <f t="shared" si="2"/>
        <v>0.13603764705882354</v>
      </c>
      <c r="I42" s="93"/>
      <c r="K42" s="512"/>
    </row>
    <row r="43" spans="1:11" ht="15" customHeight="1">
      <c r="A43" s="93"/>
      <c r="B43" s="1236" t="s">
        <v>143</v>
      </c>
      <c r="C43" s="648" t="s">
        <v>95</v>
      </c>
      <c r="D43" s="48" t="s">
        <v>96</v>
      </c>
      <c r="E43" s="222">
        <v>2.3999999999999999E-6</v>
      </c>
      <c r="F43" s="1278">
        <f t="shared" si="3"/>
        <v>2.3294117647058822E-8</v>
      </c>
      <c r="G43" s="1279">
        <f t="shared" si="2"/>
        <v>1.0202823529411766E-7</v>
      </c>
      <c r="I43" s="93"/>
      <c r="K43" s="512" t="s">
        <v>176</v>
      </c>
    </row>
    <row r="44" spans="1:11" ht="15" customHeight="1">
      <c r="A44" s="93"/>
      <c r="B44" s="1236" t="s">
        <v>687</v>
      </c>
      <c r="C44" s="648" t="s">
        <v>95</v>
      </c>
      <c r="D44" s="48" t="s">
        <v>95</v>
      </c>
      <c r="E44" s="523">
        <v>2.0000000000000001E-4</v>
      </c>
      <c r="F44" s="1278">
        <f t="shared" si="3"/>
        <v>1.9411764705882353E-6</v>
      </c>
      <c r="G44" s="1279">
        <f t="shared" si="2"/>
        <v>8.5023529411764721E-6</v>
      </c>
      <c r="I44" s="93"/>
      <c r="K44" s="512"/>
    </row>
    <row r="45" spans="1:11" ht="15" customHeight="1">
      <c r="A45" s="93"/>
      <c r="B45" s="1236" t="s">
        <v>144</v>
      </c>
      <c r="C45" s="648" t="s">
        <v>95</v>
      </c>
      <c r="D45" s="48" t="s">
        <v>96</v>
      </c>
      <c r="E45" s="222">
        <v>1.7999999999999999E-6</v>
      </c>
      <c r="F45" s="1278">
        <f t="shared" si="3"/>
        <v>1.7470588235294118E-8</v>
      </c>
      <c r="G45" s="1279">
        <f t="shared" si="2"/>
        <v>7.6521176470588229E-8</v>
      </c>
      <c r="I45" s="93"/>
      <c r="K45" s="512" t="s">
        <v>176</v>
      </c>
    </row>
    <row r="46" spans="1:11" ht="15" customHeight="1">
      <c r="A46" s="93"/>
      <c r="B46" s="1236" t="s">
        <v>13</v>
      </c>
      <c r="C46" s="648" t="s">
        <v>95</v>
      </c>
      <c r="D46" s="48" t="s">
        <v>95</v>
      </c>
      <c r="E46" s="222">
        <v>2.0999999999999999E-3</v>
      </c>
      <c r="F46" s="1278">
        <f t="shared" si="3"/>
        <v>2.038235294117647E-5</v>
      </c>
      <c r="G46" s="1279">
        <f t="shared" si="2"/>
        <v>8.9274705882352935E-5</v>
      </c>
      <c r="I46" s="93"/>
      <c r="K46" s="512"/>
    </row>
    <row r="47" spans="1:11" ht="15" customHeight="1">
      <c r="A47" s="93"/>
      <c r="B47" s="1236" t="s">
        <v>25</v>
      </c>
      <c r="C47" s="648" t="s">
        <v>95</v>
      </c>
      <c r="D47" s="48" t="s">
        <v>95</v>
      </c>
      <c r="E47" s="222">
        <v>1.1999999999999999E-6</v>
      </c>
      <c r="F47" s="1278">
        <f t="shared" si="3"/>
        <v>1.1647058823529411E-8</v>
      </c>
      <c r="G47" s="1279">
        <f t="shared" si="2"/>
        <v>5.1014117647058828E-8</v>
      </c>
      <c r="I47" s="93"/>
      <c r="K47" s="512" t="s">
        <v>176</v>
      </c>
    </row>
    <row r="48" spans="1:11" ht="15" customHeight="1">
      <c r="A48" s="93"/>
      <c r="B48" s="1236" t="s">
        <v>145</v>
      </c>
      <c r="C48" s="648" t="s">
        <v>95</v>
      </c>
      <c r="D48" s="48" t="s">
        <v>96</v>
      </c>
      <c r="E48" s="222">
        <v>1.7999999999999999E-6</v>
      </c>
      <c r="F48" s="1278">
        <f t="shared" si="3"/>
        <v>1.7470588235294118E-8</v>
      </c>
      <c r="G48" s="1279">
        <f t="shared" si="2"/>
        <v>7.6521176470588229E-8</v>
      </c>
      <c r="I48" s="93"/>
      <c r="K48" s="512" t="s">
        <v>176</v>
      </c>
    </row>
    <row r="49" spans="1:11" ht="15" customHeight="1">
      <c r="A49" s="93"/>
      <c r="B49" s="1236" t="s">
        <v>146</v>
      </c>
      <c r="C49" s="648" t="s">
        <v>95</v>
      </c>
      <c r="D49" s="48" t="s">
        <v>96</v>
      </c>
      <c r="E49" s="222">
        <v>1.1999999999999999E-6</v>
      </c>
      <c r="F49" s="1278">
        <f t="shared" si="3"/>
        <v>1.1647058823529411E-8</v>
      </c>
      <c r="G49" s="1279">
        <f t="shared" si="2"/>
        <v>5.1014117647058828E-8</v>
      </c>
      <c r="I49" s="93"/>
      <c r="K49" s="512" t="s">
        <v>176</v>
      </c>
    </row>
    <row r="50" spans="1:11" ht="15" customHeight="1">
      <c r="A50" s="93"/>
      <c r="B50" s="1236" t="s">
        <v>147</v>
      </c>
      <c r="C50" s="648" t="s">
        <v>95</v>
      </c>
      <c r="D50" s="48" t="s">
        <v>96</v>
      </c>
      <c r="E50" s="222">
        <v>1.7999999999999999E-6</v>
      </c>
      <c r="F50" s="1278">
        <f t="shared" si="3"/>
        <v>1.7470588235294118E-8</v>
      </c>
      <c r="G50" s="1279">
        <f t="shared" si="2"/>
        <v>7.6521176470588229E-8</v>
      </c>
      <c r="I50" s="93"/>
      <c r="K50" s="512" t="s">
        <v>176</v>
      </c>
    </row>
    <row r="51" spans="1:11" ht="15" customHeight="1">
      <c r="A51" s="93"/>
      <c r="B51" s="1236" t="s">
        <v>688</v>
      </c>
      <c r="C51" s="648" t="s">
        <v>95</v>
      </c>
      <c r="D51" s="48" t="s">
        <v>95</v>
      </c>
      <c r="E51" s="523">
        <v>1.2E-5</v>
      </c>
      <c r="F51" s="1278">
        <f t="shared" si="3"/>
        <v>1.1647058823529413E-7</v>
      </c>
      <c r="G51" s="1279">
        <f t="shared" si="2"/>
        <v>5.1014117647058839E-7</v>
      </c>
      <c r="I51" s="93"/>
      <c r="K51" s="512"/>
    </row>
    <row r="52" spans="1:11" ht="15" customHeight="1">
      <c r="A52" s="93"/>
      <c r="B52" s="1236" t="s">
        <v>689</v>
      </c>
      <c r="C52" s="648" t="s">
        <v>95</v>
      </c>
      <c r="D52" s="48" t="s">
        <v>95</v>
      </c>
      <c r="E52" s="523">
        <v>1.1000000000000001E-3</v>
      </c>
      <c r="F52" s="1278">
        <f t="shared" si="3"/>
        <v>1.0676470588235295E-5</v>
      </c>
      <c r="G52" s="1279">
        <f t="shared" si="2"/>
        <v>4.6762941176470598E-5</v>
      </c>
      <c r="I52" s="93"/>
      <c r="K52" s="512"/>
    </row>
    <row r="53" spans="1:11" ht="15" customHeight="1">
      <c r="A53" s="93"/>
      <c r="B53" s="1236" t="s">
        <v>125</v>
      </c>
      <c r="C53" s="648" t="s">
        <v>95</v>
      </c>
      <c r="D53" s="48" t="s">
        <v>96</v>
      </c>
      <c r="E53" s="523">
        <v>1.4E-3</v>
      </c>
      <c r="F53" s="1278">
        <f t="shared" si="3"/>
        <v>1.3588235294117648E-5</v>
      </c>
      <c r="G53" s="1279">
        <f t="shared" si="2"/>
        <v>5.9516470588235294E-5</v>
      </c>
      <c r="I53" s="93"/>
      <c r="K53" s="512"/>
    </row>
    <row r="54" spans="1:11" ht="15" customHeight="1">
      <c r="A54" s="93"/>
      <c r="B54" s="1236" t="s">
        <v>148</v>
      </c>
      <c r="C54" s="648" t="s">
        <v>95</v>
      </c>
      <c r="D54" s="48" t="s">
        <v>96</v>
      </c>
      <c r="E54" s="222">
        <v>1.7999999999999999E-6</v>
      </c>
      <c r="F54" s="1278">
        <f t="shared" si="3"/>
        <v>1.7470588235294118E-8</v>
      </c>
      <c r="G54" s="1279">
        <f t="shared" si="2"/>
        <v>7.6521176470588229E-8</v>
      </c>
      <c r="I54" s="93"/>
      <c r="K54" s="512" t="s">
        <v>176</v>
      </c>
    </row>
    <row r="55" spans="1:11" ht="15" customHeight="1">
      <c r="A55" s="93"/>
      <c r="B55" s="1236" t="s">
        <v>61</v>
      </c>
      <c r="C55" s="648" t="s">
        <v>95</v>
      </c>
      <c r="D55" s="48" t="s">
        <v>96</v>
      </c>
      <c r="E55" s="222">
        <v>8.3999999999999995E-5</v>
      </c>
      <c r="F55" s="1278">
        <f t="shared" si="3"/>
        <v>8.1529411764705884E-7</v>
      </c>
      <c r="G55" s="1279">
        <f t="shared" si="2"/>
        <v>3.5709882352941178E-6</v>
      </c>
      <c r="I55" s="93"/>
      <c r="K55" s="512"/>
    </row>
    <row r="56" spans="1:11" ht="15" customHeight="1">
      <c r="A56" s="93"/>
      <c r="B56" s="1236" t="s">
        <v>149</v>
      </c>
      <c r="C56" s="648" t="s">
        <v>95</v>
      </c>
      <c r="D56" s="48" t="s">
        <v>96</v>
      </c>
      <c r="E56" s="222">
        <v>1.1999999999999999E-6</v>
      </c>
      <c r="F56" s="1278">
        <f t="shared" si="3"/>
        <v>1.1647058823529411E-8</v>
      </c>
      <c r="G56" s="1279">
        <f t="shared" si="2"/>
        <v>5.1014117647058828E-8</v>
      </c>
      <c r="I56" s="93"/>
      <c r="K56" s="512" t="s">
        <v>176</v>
      </c>
    </row>
    <row r="57" spans="1:11" ht="15" customHeight="1">
      <c r="A57" s="93"/>
      <c r="B57" s="1236" t="s">
        <v>150</v>
      </c>
      <c r="C57" s="648" t="s">
        <v>95</v>
      </c>
      <c r="D57" s="48" t="s">
        <v>95</v>
      </c>
      <c r="E57" s="222">
        <v>1.1999999999999999E-3</v>
      </c>
      <c r="F57" s="1278">
        <f t="shared" si="3"/>
        <v>1.1647058823529412E-5</v>
      </c>
      <c r="G57" s="1279">
        <f t="shared" si="2"/>
        <v>5.1014117647058819E-5</v>
      </c>
      <c r="I57" s="93"/>
      <c r="K57" s="512"/>
    </row>
    <row r="58" spans="1:11" ht="15" customHeight="1">
      <c r="A58" s="93"/>
      <c r="B58" s="1236" t="s">
        <v>151</v>
      </c>
      <c r="C58" s="649" t="s">
        <v>95</v>
      </c>
      <c r="D58" s="48" t="s">
        <v>96</v>
      </c>
      <c r="E58" s="222">
        <v>3.0000000000000001E-6</v>
      </c>
      <c r="F58" s="1278">
        <f t="shared" si="3"/>
        <v>2.9117647058823533E-8</v>
      </c>
      <c r="G58" s="1279">
        <f t="shared" si="2"/>
        <v>1.275352941176471E-7</v>
      </c>
      <c r="I58" s="93"/>
      <c r="K58" s="512" t="s">
        <v>176</v>
      </c>
    </row>
    <row r="59" spans="1:11" ht="15" customHeight="1">
      <c r="A59" s="93"/>
      <c r="B59" s="525" t="s">
        <v>152</v>
      </c>
      <c r="C59" s="648" t="s">
        <v>95</v>
      </c>
      <c r="D59" s="48" t="s">
        <v>96</v>
      </c>
      <c r="E59" s="222">
        <v>2.7999999999999999E-6</v>
      </c>
      <c r="F59" s="1278">
        <f t="shared" si="3"/>
        <v>2.7176470588235294E-8</v>
      </c>
      <c r="G59" s="1279">
        <f t="shared" si="2"/>
        <v>1.190329411764706E-7</v>
      </c>
      <c r="I59" s="93"/>
      <c r="K59" s="512" t="s">
        <v>176</v>
      </c>
    </row>
    <row r="60" spans="1:11" ht="15" customHeight="1">
      <c r="A60" s="93"/>
      <c r="B60" s="1236" t="s">
        <v>15</v>
      </c>
      <c r="C60" s="648" t="s">
        <v>95</v>
      </c>
      <c r="D60" s="48" t="s">
        <v>95</v>
      </c>
      <c r="E60" s="123">
        <v>7.4999999999999997E-2</v>
      </c>
      <c r="F60" s="1280">
        <f t="shared" si="3"/>
        <v>7.2794117647058821E-4</v>
      </c>
      <c r="G60" s="1281">
        <f t="shared" si="2"/>
        <v>3.1883823529411767E-3</v>
      </c>
      <c r="I60" s="93"/>
      <c r="K60" s="512"/>
    </row>
    <row r="61" spans="1:11" ht="15" customHeight="1">
      <c r="A61" s="93"/>
      <c r="B61" s="1236" t="s">
        <v>153</v>
      </c>
      <c r="C61" s="648" t="s">
        <v>95</v>
      </c>
      <c r="D61" s="48" t="s">
        <v>95</v>
      </c>
      <c r="E61" s="120">
        <v>1.8</v>
      </c>
      <c r="F61" s="311">
        <f>E61*$C$7</f>
        <v>1.747058823529412E-2</v>
      </c>
      <c r="G61" s="1282">
        <f t="shared" si="2"/>
        <v>7.6521176470588245E-2</v>
      </c>
      <c r="I61" s="93"/>
      <c r="K61" s="512"/>
    </row>
    <row r="62" spans="1:11" ht="15" customHeight="1">
      <c r="A62" s="93"/>
      <c r="B62" s="1236" t="s">
        <v>154</v>
      </c>
      <c r="C62" s="618" t="s">
        <v>95</v>
      </c>
      <c r="D62" s="48" t="s">
        <v>96</v>
      </c>
      <c r="E62" s="227">
        <v>1.7999999999999999E-6</v>
      </c>
      <c r="F62" s="1280">
        <f>E62*$C$7</f>
        <v>1.7470588235294118E-8</v>
      </c>
      <c r="G62" s="1283">
        <f t="shared" si="2"/>
        <v>7.6521176470588229E-8</v>
      </c>
      <c r="I62" s="93"/>
      <c r="K62" s="512" t="s">
        <v>176</v>
      </c>
    </row>
    <row r="63" spans="1:11" ht="15" customHeight="1">
      <c r="A63" s="93"/>
      <c r="B63" s="1236" t="s">
        <v>295</v>
      </c>
      <c r="C63" s="618" t="s">
        <v>95</v>
      </c>
      <c r="D63" s="48" t="s">
        <v>96</v>
      </c>
      <c r="E63" s="523">
        <v>5.0000000000000001E-4</v>
      </c>
      <c r="F63" s="1278">
        <f t="shared" ref="F63:F70" si="6">E63*$C$7</f>
        <v>4.8529411764705887E-6</v>
      </c>
      <c r="G63" s="1279">
        <f t="shared" si="2"/>
        <v>2.1255882352941179E-5</v>
      </c>
      <c r="I63" s="93"/>
      <c r="K63" s="512"/>
    </row>
    <row r="64" spans="1:11" ht="15" customHeight="1">
      <c r="A64" s="93"/>
      <c r="B64" s="1236" t="s">
        <v>690</v>
      </c>
      <c r="C64" s="648" t="s">
        <v>95</v>
      </c>
      <c r="D64" s="48" t="s">
        <v>95</v>
      </c>
      <c r="E64" s="523">
        <v>3.8000000000000002E-4</v>
      </c>
      <c r="F64" s="1278">
        <f t="shared" si="6"/>
        <v>3.6882352941176474E-6</v>
      </c>
      <c r="G64" s="1279">
        <f t="shared" si="2"/>
        <v>1.6154470588235299E-5</v>
      </c>
      <c r="I64" s="93"/>
      <c r="K64" s="512"/>
    </row>
    <row r="65" spans="1:14" ht="15" customHeight="1">
      <c r="A65" s="93"/>
      <c r="B65" s="1236" t="s">
        <v>155</v>
      </c>
      <c r="C65" s="648" t="s">
        <v>95</v>
      </c>
      <c r="D65" s="48" t="s">
        <v>95</v>
      </c>
      <c r="E65" s="523">
        <v>2.5999999999999998E-4</v>
      </c>
      <c r="F65" s="1278">
        <f t="shared" si="6"/>
        <v>2.5235294117647057E-6</v>
      </c>
      <c r="G65" s="1279">
        <f t="shared" si="2"/>
        <v>1.1053058823529412E-5</v>
      </c>
      <c r="I65" s="93"/>
      <c r="K65" s="512"/>
    </row>
    <row r="66" spans="1:14" ht="15" customHeight="1">
      <c r="A66" s="93"/>
      <c r="B66" s="1236" t="s">
        <v>64</v>
      </c>
      <c r="C66" s="648" t="s">
        <v>95</v>
      </c>
      <c r="D66" s="48" t="s">
        <v>96</v>
      </c>
      <c r="E66" s="227">
        <v>6.0999999999999997E-4</v>
      </c>
      <c r="F66" s="1278">
        <f t="shared" si="6"/>
        <v>5.9205882352941181E-6</v>
      </c>
      <c r="G66" s="1279">
        <f t="shared" si="2"/>
        <v>2.5932176470588236E-5</v>
      </c>
      <c r="I66" s="93"/>
      <c r="K66" s="512" t="s">
        <v>176</v>
      </c>
    </row>
    <row r="67" spans="1:14" ht="15" customHeight="1">
      <c r="A67" s="93"/>
      <c r="B67" s="1236" t="s">
        <v>691</v>
      </c>
      <c r="C67" s="618" t="s">
        <v>95</v>
      </c>
      <c r="D67" s="46" t="s">
        <v>95</v>
      </c>
      <c r="E67" s="523">
        <v>2.0999999999999999E-3</v>
      </c>
      <c r="F67" s="1278">
        <f t="shared" si="6"/>
        <v>2.038235294117647E-5</v>
      </c>
      <c r="G67" s="1279">
        <f t="shared" si="2"/>
        <v>8.9274705882352935E-5</v>
      </c>
      <c r="I67" s="93"/>
      <c r="K67" s="512"/>
    </row>
    <row r="68" spans="1:14" ht="15" customHeight="1">
      <c r="A68" s="93"/>
      <c r="B68" s="1236" t="s">
        <v>157</v>
      </c>
      <c r="C68" s="648" t="s">
        <v>95</v>
      </c>
      <c r="D68" s="48" t="s">
        <v>96</v>
      </c>
      <c r="E68" s="227">
        <v>1.7E-5</v>
      </c>
      <c r="F68" s="1278">
        <f t="shared" si="6"/>
        <v>1.6500000000000001E-7</v>
      </c>
      <c r="G68" s="1279">
        <f t="shared" si="2"/>
        <v>7.2270000000000009E-7</v>
      </c>
      <c r="I68" s="93"/>
      <c r="K68" s="512" t="s">
        <v>176</v>
      </c>
    </row>
    <row r="69" spans="1:14" ht="15" customHeight="1">
      <c r="A69" s="93"/>
      <c r="B69" s="1236" t="s">
        <v>158</v>
      </c>
      <c r="C69" s="648" t="s">
        <v>95</v>
      </c>
      <c r="D69" s="48" t="s">
        <v>96</v>
      </c>
      <c r="E69" s="222">
        <v>5.0000000000000004E-6</v>
      </c>
      <c r="F69" s="1278">
        <f t="shared" si="6"/>
        <v>4.852941176470589E-8</v>
      </c>
      <c r="G69" s="1279">
        <f t="shared" si="2"/>
        <v>2.125588235294118E-7</v>
      </c>
      <c r="I69" s="93"/>
      <c r="K69" s="512" t="s">
        <v>176</v>
      </c>
    </row>
    <row r="70" spans="1:14" ht="15" customHeight="1">
      <c r="A70" s="93"/>
      <c r="B70" s="1236" t="s">
        <v>69</v>
      </c>
      <c r="C70" s="618" t="s">
        <v>95</v>
      </c>
      <c r="D70" s="48" t="s">
        <v>96</v>
      </c>
      <c r="E70" s="523">
        <v>2.4000000000000001E-5</v>
      </c>
      <c r="F70" s="1278">
        <f t="shared" si="6"/>
        <v>2.3294117647058826E-7</v>
      </c>
      <c r="G70" s="1279">
        <f t="shared" si="2"/>
        <v>1.0202823529411768E-6</v>
      </c>
      <c r="I70" s="93"/>
      <c r="K70" s="512"/>
    </row>
    <row r="71" spans="1:14" ht="15" customHeight="1" thickBot="1">
      <c r="A71" s="93"/>
      <c r="B71" s="1237" t="s">
        <v>21</v>
      </c>
      <c r="C71" s="1287" t="s">
        <v>95</v>
      </c>
      <c r="D71" s="1288" t="s">
        <v>95</v>
      </c>
      <c r="E71" s="253">
        <v>3.3999999999999998E-3</v>
      </c>
      <c r="F71" s="1284">
        <f t="shared" si="3"/>
        <v>3.3000000000000003E-5</v>
      </c>
      <c r="G71" s="1285">
        <f t="shared" si="2"/>
        <v>1.4454E-4</v>
      </c>
      <c r="I71" s="93"/>
      <c r="K71" s="512"/>
    </row>
    <row r="72" spans="1:14" ht="15" customHeight="1" thickTop="1">
      <c r="A72" s="93"/>
      <c r="B72" s="1290"/>
      <c r="C72" s="1291"/>
      <c r="D72" s="1292"/>
      <c r="E72" s="1293" t="s">
        <v>566</v>
      </c>
      <c r="F72" s="1294">
        <f>SUMIF($C$35:$C$71,"Y",F35:F71)</f>
        <v>1.8329475352941174E-2</v>
      </c>
      <c r="G72" s="1295">
        <f>SUMIF($C$35:$C$71,"Y",G35:G71)</f>
        <v>8.0283102045882349E-2</v>
      </c>
      <c r="I72" s="93"/>
    </row>
    <row r="73" spans="1:14" ht="15" customHeight="1" thickBot="1">
      <c r="A73" s="93"/>
      <c r="B73" s="1289"/>
      <c r="C73" s="1286"/>
      <c r="D73" s="1286"/>
      <c r="E73" s="1238" t="s">
        <v>567</v>
      </c>
      <c r="F73" s="1296">
        <f>SUMIF($D$35:$D$71,"Y",F35:F71)</f>
        <v>4.9362044470588236E-2</v>
      </c>
      <c r="G73" s="1297">
        <f>SUMIF($D$35:$D$71,"Y",G35:G71)</f>
        <v>0.21620575478117648</v>
      </c>
      <c r="I73" s="93"/>
    </row>
    <row r="74" spans="1:14" ht="12" thickTop="1">
      <c r="A74" s="1393" t="s">
        <v>288</v>
      </c>
      <c r="B74" s="1393"/>
      <c r="C74" s="205"/>
      <c r="D74" s="205"/>
      <c r="E74" s="205"/>
      <c r="F74" s="262"/>
      <c r="N74" s="1113"/>
    </row>
    <row r="75" spans="1:14" ht="34.5" customHeight="1">
      <c r="A75" s="264" t="s">
        <v>100</v>
      </c>
      <c r="B75" s="1400" t="s">
        <v>606</v>
      </c>
      <c r="C75" s="1400"/>
      <c r="D75" s="1400"/>
      <c r="E75" s="1400"/>
      <c r="F75" s="1400"/>
      <c r="G75" s="1400"/>
      <c r="H75" s="1119"/>
      <c r="I75" s="1119"/>
      <c r="N75" s="1113"/>
    </row>
    <row r="76" spans="1:14" ht="12">
      <c r="A76" s="264"/>
      <c r="B76" s="1012"/>
      <c r="C76" s="266"/>
      <c r="D76" s="266"/>
      <c r="E76" s="266"/>
      <c r="F76" s="266"/>
      <c r="G76" s="169"/>
      <c r="H76" s="169"/>
      <c r="I76" s="169"/>
    </row>
    <row r="77" spans="1:14" ht="11.25" customHeight="1">
      <c r="A77" s="1393" t="s">
        <v>301</v>
      </c>
      <c r="B77" s="1393"/>
      <c r="C77" s="262"/>
      <c r="D77" s="262"/>
      <c r="E77" s="205"/>
      <c r="F77" s="262"/>
      <c r="G77" s="262"/>
      <c r="H77" s="262"/>
      <c r="I77" s="262"/>
    </row>
    <row r="78" spans="1:14" ht="11.25" customHeight="1">
      <c r="A78" s="1077"/>
      <c r="B78" s="269" t="s">
        <v>303</v>
      </c>
      <c r="C78" s="270"/>
      <c r="D78" s="270" t="s">
        <v>302</v>
      </c>
      <c r="E78" s="205"/>
      <c r="F78" s="262"/>
      <c r="G78" s="262"/>
      <c r="H78" s="262"/>
      <c r="I78" s="262"/>
    </row>
    <row r="79" spans="1:14" ht="11.25" customHeight="1">
      <c r="A79" s="1077"/>
      <c r="B79" s="269" t="s">
        <v>165</v>
      </c>
      <c r="C79" s="270"/>
      <c r="D79" s="271" t="s">
        <v>304</v>
      </c>
      <c r="E79" s="205"/>
      <c r="F79" s="262"/>
      <c r="G79" s="262"/>
      <c r="H79" s="262"/>
      <c r="I79" s="262"/>
    </row>
    <row r="80" spans="1:14" ht="11.25" customHeight="1">
      <c r="A80" s="1077"/>
      <c r="B80" s="269" t="s">
        <v>306</v>
      </c>
      <c r="C80" s="270"/>
      <c r="D80" s="270" t="s">
        <v>305</v>
      </c>
      <c r="E80" s="205"/>
      <c r="F80" s="262"/>
      <c r="G80" s="262"/>
      <c r="H80" s="262"/>
      <c r="I80" s="262"/>
    </row>
    <row r="81" spans="1:9" ht="11.25" customHeight="1">
      <c r="A81" s="1077"/>
      <c r="B81" s="270" t="s">
        <v>307</v>
      </c>
      <c r="C81" s="270"/>
      <c r="D81" s="271" t="s">
        <v>166</v>
      </c>
      <c r="E81" s="205"/>
      <c r="F81" s="262"/>
      <c r="G81" s="262"/>
      <c r="H81" s="262"/>
      <c r="I81" s="262"/>
    </row>
    <row r="82" spans="1:9" ht="11.25" customHeight="1">
      <c r="A82" s="1077"/>
      <c r="B82" s="270" t="s">
        <v>456</v>
      </c>
      <c r="C82" s="270"/>
      <c r="D82" s="271" t="s">
        <v>309</v>
      </c>
      <c r="E82" s="205"/>
      <c r="F82" s="262"/>
      <c r="G82" s="262"/>
      <c r="H82" s="262"/>
      <c r="I82" s="262"/>
    </row>
    <row r="83" spans="1:9" ht="11.25" customHeight="1">
      <c r="A83" s="1077"/>
      <c r="B83" s="262" t="s">
        <v>102</v>
      </c>
      <c r="C83" s="270"/>
      <c r="D83" s="270" t="s">
        <v>310</v>
      </c>
      <c r="E83" s="205"/>
      <c r="F83" s="262"/>
      <c r="G83" s="262"/>
      <c r="H83" s="262"/>
      <c r="I83" s="262"/>
    </row>
    <row r="84" spans="1:9" ht="11.25" customHeight="1">
      <c r="A84" s="1077"/>
      <c r="B84" s="269" t="s">
        <v>692</v>
      </c>
      <c r="C84" s="270"/>
      <c r="D84" s="271" t="s">
        <v>311</v>
      </c>
      <c r="E84" s="205"/>
      <c r="F84" s="262"/>
      <c r="G84" s="262"/>
      <c r="H84" s="262"/>
      <c r="I84" s="262"/>
    </row>
    <row r="85" spans="1:9">
      <c r="A85" s="273"/>
      <c r="B85" s="271" t="s">
        <v>104</v>
      </c>
      <c r="C85" s="270"/>
      <c r="D85" s="271" t="s">
        <v>105</v>
      </c>
      <c r="E85" s="205"/>
      <c r="F85" s="262"/>
      <c r="G85" s="262"/>
      <c r="H85" s="262"/>
      <c r="I85" s="262"/>
    </row>
    <row r="86" spans="1:9">
      <c r="A86" s="273"/>
      <c r="B86" s="271" t="s">
        <v>106</v>
      </c>
      <c r="C86" s="270"/>
      <c r="D86" s="271" t="s">
        <v>107</v>
      </c>
      <c r="E86" s="205"/>
      <c r="F86" s="262"/>
      <c r="G86" s="262"/>
      <c r="H86" s="262"/>
      <c r="I86" s="262"/>
    </row>
    <row r="87" spans="1:9">
      <c r="A87" s="273"/>
      <c r="B87" s="270" t="s">
        <v>170</v>
      </c>
      <c r="C87" s="270"/>
      <c r="D87" s="270" t="s">
        <v>109</v>
      </c>
      <c r="E87" s="205"/>
      <c r="F87" s="262"/>
      <c r="G87" s="262"/>
      <c r="H87" s="262"/>
      <c r="I87" s="262"/>
    </row>
    <row r="88" spans="1:9">
      <c r="A88" s="273"/>
      <c r="C88" s="270"/>
      <c r="E88" s="205"/>
      <c r="F88" s="262"/>
      <c r="G88" s="262"/>
      <c r="H88" s="262"/>
      <c r="I88" s="262"/>
    </row>
    <row r="89" spans="1:9" ht="12.75" customHeight="1">
      <c r="A89" s="1077" t="s">
        <v>110</v>
      </c>
      <c r="B89" s="1077"/>
      <c r="C89" s="262"/>
      <c r="D89" s="262"/>
      <c r="E89" s="271"/>
      <c r="F89" s="262"/>
    </row>
    <row r="90" spans="1:9" ht="12.75" customHeight="1">
      <c r="A90" s="1077"/>
      <c r="B90" s="306" t="s">
        <v>693</v>
      </c>
      <c r="C90" s="262"/>
      <c r="D90" s="262"/>
      <c r="E90" s="271"/>
      <c r="F90" s="262"/>
    </row>
    <row r="91" spans="1:9" ht="12.75" customHeight="1">
      <c r="A91" s="1079"/>
      <c r="B91" s="1079"/>
      <c r="E91" s="20"/>
    </row>
    <row r="92" spans="1:9" ht="12.75" customHeight="1">
      <c r="A92" s="1079"/>
      <c r="B92" s="1079"/>
      <c r="E92" s="20"/>
    </row>
    <row r="93" spans="1:9" ht="12.75" customHeight="1">
      <c r="A93" s="18"/>
      <c r="E93" s="20"/>
    </row>
    <row r="94" spans="1:9" ht="12.75" customHeight="1">
      <c r="A94" s="18"/>
      <c r="B94" s="5" t="s">
        <v>429</v>
      </c>
      <c r="E94" s="20"/>
    </row>
    <row r="95" spans="1:9" ht="12.75" customHeight="1">
      <c r="A95" s="18"/>
      <c r="B95" s="1114" t="s">
        <v>694</v>
      </c>
      <c r="C95" s="1115">
        <v>1.3410219999999999</v>
      </c>
      <c r="D95" s="53" t="s">
        <v>54</v>
      </c>
      <c r="E95" s="20"/>
    </row>
    <row r="96" spans="1:9" ht="12.75" customHeight="1">
      <c r="A96" s="18"/>
      <c r="B96" s="1114" t="s">
        <v>430</v>
      </c>
      <c r="C96" s="1115">
        <v>453.5924</v>
      </c>
      <c r="D96" s="53" t="s">
        <v>431</v>
      </c>
      <c r="E96" s="20"/>
    </row>
    <row r="97" spans="1:7" ht="12.75" customHeight="1">
      <c r="A97" s="18"/>
      <c r="B97" s="5">
        <v>2.2046199999999998</v>
      </c>
      <c r="C97" s="5" t="s">
        <v>178</v>
      </c>
      <c r="E97" s="20"/>
    </row>
    <row r="98" spans="1:7" ht="12.75" customHeight="1">
      <c r="A98" s="18"/>
      <c r="B98" s="5">
        <v>2000</v>
      </c>
      <c r="C98" s="5" t="s">
        <v>695</v>
      </c>
      <c r="E98" s="20"/>
    </row>
    <row r="99" spans="1:7" ht="12.75" customHeight="1">
      <c r="A99" s="18"/>
      <c r="B99" s="5" t="s">
        <v>179</v>
      </c>
      <c r="E99" s="20"/>
    </row>
    <row r="100" spans="1:7" ht="12.75" customHeight="1">
      <c r="A100" s="18"/>
      <c r="B100" s="1116" t="s">
        <v>180</v>
      </c>
      <c r="C100" s="5">
        <v>1</v>
      </c>
      <c r="E100" s="20"/>
    </row>
    <row r="101" spans="1:7" ht="12.75" customHeight="1">
      <c r="A101" s="18"/>
      <c r="B101" s="1116" t="s">
        <v>181</v>
      </c>
      <c r="C101" s="5">
        <v>25</v>
      </c>
      <c r="E101" s="20"/>
    </row>
    <row r="102" spans="1:7" ht="12.75" customHeight="1">
      <c r="A102" s="18"/>
      <c r="B102" s="1116" t="s">
        <v>182</v>
      </c>
      <c r="C102" s="5">
        <v>298</v>
      </c>
      <c r="E102" s="20"/>
    </row>
    <row r="103" spans="1:7" ht="12.75" customHeight="1">
      <c r="A103" s="18"/>
      <c r="E103" s="20"/>
      <c r="G103" s="5" t="s">
        <v>55</v>
      </c>
    </row>
    <row r="104" spans="1:7" ht="12.75" customHeight="1">
      <c r="A104" s="18"/>
      <c r="E104" s="20"/>
    </row>
    <row r="105" spans="1:7">
      <c r="A105" s="18"/>
      <c r="E105" s="20"/>
    </row>
    <row r="106" spans="1:7">
      <c r="A106" s="18"/>
      <c r="E106" s="20"/>
    </row>
    <row r="107" spans="1:7">
      <c r="A107" s="18"/>
      <c r="E107" s="20"/>
    </row>
    <row r="108" spans="1:7">
      <c r="A108" s="18"/>
      <c r="E108" s="20"/>
    </row>
    <row r="109" spans="1:7">
      <c r="A109" s="18"/>
      <c r="E109" s="20"/>
    </row>
    <row r="110" spans="1:7" ht="11.25" customHeight="1">
      <c r="A110" s="18"/>
    </row>
    <row r="111" spans="1:7" ht="11.25" customHeight="1">
      <c r="C111" s="18"/>
      <c r="D111" s="18"/>
      <c r="E111" s="18"/>
    </row>
    <row r="112" spans="1:7" ht="24" customHeight="1">
      <c r="A112" s="18"/>
      <c r="B112" s="1427"/>
      <c r="C112" s="1427"/>
      <c r="D112" s="1427"/>
      <c r="E112" s="1427"/>
    </row>
    <row r="113" ht="28.5" customHeight="1"/>
  </sheetData>
  <mergeCells count="20">
    <mergeCell ref="B7:B8"/>
    <mergeCell ref="B1:H1"/>
    <mergeCell ref="B2:H2"/>
    <mergeCell ref="B3:H3"/>
    <mergeCell ref="A11:B11"/>
    <mergeCell ref="B12:F12"/>
    <mergeCell ref="B15:B16"/>
    <mergeCell ref="C15:C16"/>
    <mergeCell ref="D15:D16"/>
    <mergeCell ref="E15:F15"/>
    <mergeCell ref="B112:E112"/>
    <mergeCell ref="B27:D27"/>
    <mergeCell ref="A28:B28"/>
    <mergeCell ref="B29:I29"/>
    <mergeCell ref="A74:B74"/>
    <mergeCell ref="A77:B77"/>
    <mergeCell ref="C33:C34"/>
    <mergeCell ref="D33:D34"/>
    <mergeCell ref="F33:G33"/>
    <mergeCell ref="B75:G75"/>
  </mergeCells>
  <printOptions horizontalCentered="1"/>
  <pageMargins left="0.7" right="0.7" top="0.75" bottom="0.75" header="0.3" footer="0.3"/>
  <pageSetup scale="77" orientation="portrait" verticalDpi="1200" r:id="rId1"/>
  <headerFooter>
    <oddFooter>&amp;C&amp;"Verdana,Regular"&amp;8Page &amp;P of &amp;N&amp;R&amp;G</oddFooter>
  </headerFooter>
  <rowBreaks count="1" manualBreakCount="1">
    <brk id="31"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1"/>
  <sheetViews>
    <sheetView topLeftCell="A46" workbookViewId="0">
      <selection activeCell="N8" sqref="N8"/>
    </sheetView>
  </sheetViews>
  <sheetFormatPr defaultColWidth="8.88671875" defaultRowHeight="11.4"/>
  <cols>
    <col min="1" max="1" width="2.109375" style="93" customWidth="1"/>
    <col min="2" max="2" width="37.88671875" style="93" customWidth="1"/>
    <col min="3" max="4" width="11.5546875" style="93" customWidth="1"/>
    <col min="5" max="5" width="17" style="449" customWidth="1"/>
    <col min="6" max="6" width="18.109375" style="449" customWidth="1"/>
    <col min="7" max="7" width="13.33203125" style="449" customWidth="1"/>
    <col min="8" max="8" width="14.33203125" style="449" customWidth="1"/>
    <col min="9" max="9" width="13.33203125" style="449" customWidth="1"/>
    <col min="10" max="11" width="14.88671875" style="449" customWidth="1"/>
    <col min="12" max="12" width="13.33203125" style="449" customWidth="1"/>
    <col min="13" max="13" width="14.5546875" style="449" customWidth="1"/>
    <col min="14" max="14" width="17.6640625" style="219" customWidth="1"/>
    <col min="15" max="15" width="10.109375" style="449" customWidth="1"/>
    <col min="16" max="16384" width="8.88671875" style="93"/>
  </cols>
  <sheetData>
    <row r="1" spans="1:19">
      <c r="A1" s="450"/>
      <c r="B1" s="1388" t="s">
        <v>522</v>
      </c>
      <c r="C1" s="1388"/>
      <c r="D1" s="1388"/>
      <c r="E1" s="1388"/>
      <c r="F1" s="1388"/>
      <c r="G1" s="1388"/>
      <c r="H1" s="1388"/>
      <c r="I1" s="1388"/>
      <c r="J1" s="1388"/>
      <c r="K1" s="1388"/>
      <c r="L1" s="1388"/>
      <c r="M1" s="1388"/>
      <c r="N1" s="1388"/>
      <c r="O1" s="731"/>
      <c r="P1" s="193"/>
      <c r="Q1" s="193"/>
      <c r="R1" s="193"/>
      <c r="S1" s="193"/>
    </row>
    <row r="2" spans="1:19">
      <c r="A2" s="450"/>
      <c r="B2" s="1388" t="s">
        <v>466</v>
      </c>
      <c r="C2" s="1388"/>
      <c r="D2" s="1388"/>
      <c r="E2" s="1388"/>
      <c r="F2" s="1388"/>
      <c r="G2" s="1388"/>
      <c r="H2" s="1388"/>
      <c r="I2" s="1388"/>
      <c r="J2" s="1388"/>
      <c r="K2" s="1388"/>
      <c r="L2" s="1388"/>
      <c r="M2" s="1388"/>
      <c r="N2" s="1388"/>
      <c r="O2" s="731"/>
      <c r="P2" s="193"/>
      <c r="Q2" s="193"/>
      <c r="R2" s="193"/>
      <c r="S2" s="193"/>
    </row>
    <row r="3" spans="1:19">
      <c r="A3" s="450"/>
      <c r="B3" s="1388" t="str">
        <f>'1-FW Summary'!B3:M3</f>
        <v>Enviva Pellets Ahoskie, LLC</v>
      </c>
      <c r="C3" s="1388"/>
      <c r="D3" s="1388"/>
      <c r="E3" s="1388"/>
      <c r="F3" s="1388"/>
      <c r="G3" s="1388"/>
      <c r="H3" s="1388"/>
      <c r="I3" s="1388"/>
      <c r="J3" s="1388"/>
      <c r="K3" s="1388"/>
      <c r="L3" s="1388"/>
      <c r="M3" s="1388"/>
      <c r="N3" s="1388"/>
      <c r="O3" s="731"/>
      <c r="P3" s="193"/>
      <c r="Q3" s="193"/>
      <c r="R3" s="193"/>
      <c r="S3" s="193"/>
    </row>
    <row r="4" spans="1:19">
      <c r="A4" s="450"/>
      <c r="B4" s="731"/>
      <c r="C4" s="731"/>
      <c r="D4" s="731"/>
      <c r="E4" s="731"/>
      <c r="F4" s="731"/>
      <c r="G4" s="731"/>
      <c r="H4" s="731"/>
      <c r="I4" s="731"/>
      <c r="J4" s="731"/>
      <c r="K4" s="731"/>
      <c r="L4" s="731"/>
      <c r="M4" s="1083"/>
      <c r="N4" s="732"/>
      <c r="O4" s="731"/>
      <c r="P4" s="193"/>
      <c r="Q4" s="193"/>
      <c r="R4" s="193"/>
      <c r="S4" s="193"/>
    </row>
    <row r="5" spans="1:19" ht="4.95" customHeight="1" thickBot="1">
      <c r="A5" s="450"/>
      <c r="B5" s="450"/>
      <c r="C5" s="450"/>
      <c r="D5" s="450"/>
      <c r="E5" s="733"/>
      <c r="F5" s="733"/>
      <c r="G5" s="733"/>
      <c r="H5" s="733"/>
      <c r="I5" s="733"/>
      <c r="J5" s="733"/>
      <c r="K5" s="733"/>
      <c r="L5" s="733"/>
      <c r="M5" s="733"/>
      <c r="N5" s="734"/>
      <c r="O5" s="733"/>
    </row>
    <row r="6" spans="1:19" ht="33" customHeight="1" thickTop="1">
      <c r="A6" s="450"/>
      <c r="B6" s="735" t="s">
        <v>5</v>
      </c>
      <c r="C6" s="1391" t="s">
        <v>390</v>
      </c>
      <c r="D6" s="1389" t="s">
        <v>36</v>
      </c>
      <c r="E6" s="988" t="s">
        <v>510</v>
      </c>
      <c r="F6" s="791" t="s">
        <v>428</v>
      </c>
      <c r="G6" s="791" t="s">
        <v>467</v>
      </c>
      <c r="H6" s="790" t="s">
        <v>547</v>
      </c>
      <c r="I6" s="790" t="s">
        <v>195</v>
      </c>
      <c r="J6" s="790" t="s">
        <v>464</v>
      </c>
      <c r="K6" s="790" t="s">
        <v>270</v>
      </c>
      <c r="L6" s="790" t="s">
        <v>461</v>
      </c>
      <c r="M6" s="1309" t="s">
        <v>809</v>
      </c>
      <c r="N6" s="792" t="s">
        <v>9</v>
      </c>
      <c r="O6" s="789" t="s">
        <v>81</v>
      </c>
    </row>
    <row r="7" spans="1:19" ht="15.75" customHeight="1" thickBot="1">
      <c r="A7" s="450"/>
      <c r="B7" s="736"/>
      <c r="C7" s="1392"/>
      <c r="D7" s="1390"/>
      <c r="E7" s="989" t="s">
        <v>8</v>
      </c>
      <c r="F7" s="737" t="s">
        <v>8</v>
      </c>
      <c r="G7" s="737" t="s">
        <v>8</v>
      </c>
      <c r="H7" s="737" t="s">
        <v>8</v>
      </c>
      <c r="I7" s="737" t="s">
        <v>8</v>
      </c>
      <c r="J7" s="737" t="s">
        <v>8</v>
      </c>
      <c r="K7" s="737" t="s">
        <v>8</v>
      </c>
      <c r="L7" s="737" t="s">
        <v>8</v>
      </c>
      <c r="M7" s="1310" t="s">
        <v>8</v>
      </c>
      <c r="N7" s="738" t="s">
        <v>8</v>
      </c>
      <c r="O7" s="739" t="s">
        <v>82</v>
      </c>
    </row>
    <row r="8" spans="1:19" ht="12" thickTop="1">
      <c r="A8" s="450"/>
      <c r="B8" s="690" t="s">
        <v>11</v>
      </c>
      <c r="C8" s="697" t="s">
        <v>95</v>
      </c>
      <c r="D8" s="992" t="s">
        <v>95</v>
      </c>
      <c r="E8" s="990">
        <f>IFERROR(VLOOKUP(B8,'3a-RTO - Dryer GHM DHM'!$B$28:$D$82,3,FALSE),"-")</f>
        <v>1.5658500000000002</v>
      </c>
      <c r="F8" s="793">
        <f>IFERROR(SUM(VLOOKUP(B8,'3b-Dryer (Furnace Bypass)'!$B$31:$H$81,7,FALSE),VLOOKUP(B8,'3c-Dryer (Furnace Idle)'!$B$33:$H$83,7,FALSE)),"-")</f>
        <v>3.6581212499999997E-3</v>
      </c>
      <c r="G8" s="793">
        <f>IFERROR(VLOOKUP(B8,'4-Dryer Duct Burners'!$B$33:$H$69,7,FALSE),"-")</f>
        <v>3.2635294117647061E-7</v>
      </c>
      <c r="H8" s="793">
        <f>IFERROR(VLOOKUP(B8,'5-RCO - PC-PM-DSHM'!$B$25:$D$48,3,FALSE),"-")</f>
        <v>0.96623451076191758</v>
      </c>
      <c r="I8" s="960">
        <f>'7-Dried Wood Handling'!E15</f>
        <v>0.11082089552238807</v>
      </c>
      <c r="J8" s="741">
        <f>IF(SUMIF('11 - IES-GN, IES-FWP'!$B$30:$B$38,B8,'11 - IES-GN, IES-FWP'!$F$30:$F$38)&gt;0,SUMIF('11 - IES-GN, IES-FWP'!$B$30:$B$38,B8,'11 - IES-GN, IES-FWP'!$F$30:$F$38),"-")</f>
        <v>4.697875E-4</v>
      </c>
      <c r="K8" s="741">
        <f>IF(SUMIF('11 - IES-GN, IES-FWP'!$B$73:$B$81,B8,'11 - IES-GN, IES-FWP'!$F$73:$F$81)&gt;0,SUMIF('11 - IES-GN, IES-FWP'!$B$73:$B$81,B8,'11 - IES-GN, IES-FWP'!$F$73:$F$81),"-")</f>
        <v>3.140865E-4</v>
      </c>
      <c r="L8" s="1245" t="s">
        <v>38</v>
      </c>
      <c r="M8" s="990">
        <f>'14 - Boilers'!G40*'14 - Boilers'!C10</f>
        <v>1.2923576470588236E-6</v>
      </c>
      <c r="N8" s="1065">
        <f>SUM(E8:M8)</f>
        <v>2.6473490202448944</v>
      </c>
      <c r="O8" s="743" t="str">
        <f>IF(N8&lt;10,"No","Yes")</f>
        <v>No</v>
      </c>
      <c r="P8" s="388"/>
    </row>
    <row r="9" spans="1:19">
      <c r="A9" s="450"/>
      <c r="B9" s="691" t="s">
        <v>12</v>
      </c>
      <c r="C9" s="698" t="s">
        <v>95</v>
      </c>
      <c r="D9" s="616" t="s">
        <v>95</v>
      </c>
      <c r="E9" s="990">
        <f>IFERROR(VLOOKUP(B9,'3a-RTO - Dryer GHM DHM'!$B$28:$D$82,3,FALSE),"-")</f>
        <v>6.7267912772585667</v>
      </c>
      <c r="F9" s="793">
        <f>IFERROR(SUM(VLOOKUP(B9,'3b-Dryer (Furnace Bypass)'!$B$31:$H$81,7,FALSE),VLOOKUP(B9,'3c-Dryer (Furnace Idle)'!$B$33:$H$83,7,FALSE)),"-")</f>
        <v>1.7629499999999999E-2</v>
      </c>
      <c r="G9" s="793">
        <f>IFERROR(VLOOKUP(B9,'4-Dryer Duct Burners'!$B$33:$H$69,7,FALSE),"-")</f>
        <v>3.8647058823529417E-7</v>
      </c>
      <c r="H9" s="793">
        <f>IFERROR(VLOOKUP(B9,'5-RCO - PC-PM-DSHM'!$B$25:$D$48,3,FALSE),"-")</f>
        <v>1.2423951564076692</v>
      </c>
      <c r="I9" s="740" t="s">
        <v>38</v>
      </c>
      <c r="J9" s="741">
        <f>IF(SUMIF('11 - IES-GN, IES-FWP'!$B$30:$B$38,B9,'11 - IES-GN, IES-FWP'!$F$30:$F$38)&gt;0,SUMIF('11 - IES-GN, IES-FWP'!$B$30:$B$38,B9,'11 - IES-GN, IES-FWP'!$F$30:$F$38),"-")</f>
        <v>5.6656249999999998E-5</v>
      </c>
      <c r="K9" s="741">
        <f>IF(SUMIF('11 - IES-GN, IES-FWP'!$B$73:$B$81,B9,'11 - IES-GN, IES-FWP'!$F$73:$F$81)&gt;0,SUMIF('11 - IES-GN, IES-FWP'!$B$73:$B$81,B9,'11 - IES-GN, IES-FWP'!$F$73:$F$81),"-")</f>
        <v>3.7878749999999997E-5</v>
      </c>
      <c r="L9" s="744" t="s">
        <v>38</v>
      </c>
      <c r="M9" s="793">
        <f>'14 - Boilers'!G41*'14 - Boilers'!C10</f>
        <v>1.5304235294117648E-6</v>
      </c>
      <c r="N9" s="1065">
        <f t="shared" ref="N9:N12" si="0">SUM(E9:M9)</f>
        <v>7.9869123855603528</v>
      </c>
      <c r="O9" s="745" t="str">
        <f t="shared" ref="O9:O62" si="1">IF(N9&lt;10,"No","Yes")</f>
        <v>No</v>
      </c>
    </row>
    <row r="10" spans="1:19">
      <c r="A10" s="450"/>
      <c r="B10" s="691" t="s">
        <v>15</v>
      </c>
      <c r="C10" s="698" t="s">
        <v>95</v>
      </c>
      <c r="D10" s="616" t="s">
        <v>95</v>
      </c>
      <c r="E10" s="990">
        <f>IFERROR(VLOOKUP(B10,'3a-RTO - Dryer GHM DHM'!$B$28:$D$82,3,FALSE),"-")</f>
        <v>0.65965732087227424</v>
      </c>
      <c r="F10" s="793">
        <f>IFERROR(SUM(VLOOKUP(B10,'3b-Dryer (Furnace Bypass)'!$B$31:$H$81,7,FALSE),VLOOKUP(B10,'3c-Dryer (Furnace Idle)'!$B$33:$H$83,7,FALSE)),"-")</f>
        <v>1.9392450000000002E-2</v>
      </c>
      <c r="G10" s="793">
        <f>IFERROR(VLOOKUP(B10,'4-Dryer Duct Burners'!$B$33:$H$69,7,FALSE),"-")</f>
        <v>1.6102941176470589E-3</v>
      </c>
      <c r="H10" s="793">
        <f>IFERROR(VLOOKUP(B10,'5-RCO - PC-PM-DSHM'!$B$25:$D$48,3,FALSE),"-")</f>
        <v>0.926137579224935</v>
      </c>
      <c r="I10" s="740">
        <f>'7-Dried Wood Handling'!$E$12</f>
        <v>8.8018376187070951E-2</v>
      </c>
      <c r="J10" s="741">
        <f>IF(SUMIF('11 - IES-GN, IES-FWP'!$B$30:$B$38,B10,'11 - IES-GN, IES-FWP'!$F$30:$F$38)&gt;0,SUMIF('11 - IES-GN, IES-FWP'!$B$30:$B$38,B10,'11 - IES-GN, IES-FWP'!$F$30:$F$38),"-")</f>
        <v>7.2275000000000009E-4</v>
      </c>
      <c r="K10" s="741">
        <f>IF(SUMIF('11 - IES-GN, IES-FWP'!$B$73:$B$81,B10,'11 - IES-GN, IES-FWP'!$F$73:$F$81)&gt;0,SUMIF('11 - IES-GN, IES-FWP'!$B$73:$B$81,B10,'11 - IES-GN, IES-FWP'!$F$73:$F$81),"-")</f>
        <v>4.8321000000000003E-4</v>
      </c>
      <c r="L10" s="744" t="s">
        <v>38</v>
      </c>
      <c r="M10" s="793">
        <f>'14 - Boilers'!G60*'14 - Boilers'!C10</f>
        <v>6.3767647058823535E-3</v>
      </c>
      <c r="N10" s="1065">
        <f t="shared" si="0"/>
        <v>1.7023987451078098</v>
      </c>
      <c r="O10" s="745" t="str">
        <f t="shared" si="1"/>
        <v>No</v>
      </c>
    </row>
    <row r="11" spans="1:19">
      <c r="A11" s="450"/>
      <c r="B11" s="691" t="s">
        <v>16</v>
      </c>
      <c r="C11" s="698" t="s">
        <v>96</v>
      </c>
      <c r="D11" s="616" t="s">
        <v>95</v>
      </c>
      <c r="E11" s="990">
        <f>IFERROR(VLOOKUP(B11,'3a-RTO - Dryer GHM DHM'!$B$28:$D$82,3,FALSE),"-")</f>
        <v>2.4167314743420425</v>
      </c>
      <c r="F11" s="793" t="str">
        <f>IFERROR(SUM(VLOOKUP(B11,'3b-Dryer (Furnace Bypass)'!$B$31:$H$81,7,FALSE),VLOOKUP(B11,'3c-Dryer (Furnace Idle)'!$B$33:$H$83,7,FALSE)),"-")</f>
        <v>-</v>
      </c>
      <c r="G11" s="793" t="str">
        <f>IFERROR(VLOOKUP(B11,'4-Dryer Duct Burners'!$B$33:$H$69,7,FALSE),"-")</f>
        <v>-</v>
      </c>
      <c r="H11" s="793">
        <f>IFERROR(VLOOKUP(B11,'5-RCO - PC-PM-DSHM'!$B$25:$D$48,3,FALSE),"-")</f>
        <v>1.3343</v>
      </c>
      <c r="I11" s="740">
        <f>'7-Dried Wood Handling'!$E$14</f>
        <v>0.18797307434127555</v>
      </c>
      <c r="J11" s="741" t="str">
        <f>IF(SUMIF('11 - IES-GN, IES-FWP'!$B$30:$B$38,B11,'11 - IES-GN, IES-FWP'!$F$30:$F$38)&gt;0,SUMIF('11 - IES-GN, IES-FWP'!$B$30:$B$38,B11,'11 - IES-GN, IES-FWP'!$F$30:$F$38),"-")</f>
        <v>-</v>
      </c>
      <c r="K11" s="741" t="str">
        <f>IF(SUMIF('11 - IES-GN, IES-FWP'!$B$73:$B$81,B11,'11 - IES-GN, IES-FWP'!$F$73:$F$81)&gt;0,SUMIF('11 - IES-GN, IES-FWP'!$B$73:$B$81,B11,'11 - IES-GN, IES-FWP'!$F$73:$F$81),"-")</f>
        <v>-</v>
      </c>
      <c r="L11" s="744">
        <f>'6 - Bark Hog'!F16</f>
        <v>4.5703214285714291E-2</v>
      </c>
      <c r="M11" s="793" t="s">
        <v>38</v>
      </c>
      <c r="N11" s="1065">
        <f t="shared" si="0"/>
        <v>3.9847077629690322</v>
      </c>
      <c r="O11" s="745" t="str">
        <f t="shared" si="1"/>
        <v>No</v>
      </c>
      <c r="P11" s="388"/>
    </row>
    <row r="12" spans="1:19">
      <c r="A12" s="450"/>
      <c r="B12" s="691" t="s">
        <v>18</v>
      </c>
      <c r="C12" s="698" t="s">
        <v>95</v>
      </c>
      <c r="D12" s="616" t="s">
        <v>95</v>
      </c>
      <c r="E12" s="990">
        <f>IFERROR(VLOOKUP(B12,'3a-RTO - Dryer GHM DHM'!$B$28:$D$82,3,FALSE),"-")</f>
        <v>7.2327065763399229E-2</v>
      </c>
      <c r="F12" s="793">
        <f>IFERROR(SUM(VLOOKUP(B12,'3b-Dryer (Furnace Bypass)'!$B$31:$H$81,7,FALSE),VLOOKUP(B12,'3c-Dryer (Furnace Idle)'!$B$33:$H$83,7,FALSE)),"-")</f>
        <v>2.2477612500000001E-4</v>
      </c>
      <c r="G12" s="793" t="str">
        <f>IFERROR(VLOOKUP(B12,'4-Dryer Duct Burners'!$B$33:$H$69,7,FALSE),"-")</f>
        <v>-</v>
      </c>
      <c r="H12" s="793">
        <f>IFERROR(VLOOKUP(B12,'5-RCO - PC-PM-DSHM'!$B$25:$D$48,3,FALSE),"-")</f>
        <v>1.9101055431533132</v>
      </c>
      <c r="I12" s="740" t="s">
        <v>38</v>
      </c>
      <c r="J12" s="741" t="str">
        <f>IF(SUMIF('11 - IES-GN, IES-FWP'!$B$30:$B$38,B12,'11 - IES-GN, IES-FWP'!$F$30:$F$38)&gt;0,SUMIF('11 - IES-GN, IES-FWP'!$B$30:$B$38,B12,'11 - IES-GN, IES-FWP'!$F$30:$F$38),"-")</f>
        <v>-</v>
      </c>
      <c r="K12" s="741" t="str">
        <f>IF(SUMIF('11 - IES-GN, IES-FWP'!$B$73:$B$81,B12,'11 - IES-GN, IES-FWP'!$F$73:$F$81)&gt;0,SUMIF('11 - IES-GN, IES-FWP'!$B$73:$B$81,B12,'11 - IES-GN, IES-FWP'!$F$73:$F$81),"-")</f>
        <v>-</v>
      </c>
      <c r="L12" s="744" t="s">
        <v>38</v>
      </c>
      <c r="M12" s="793" t="s">
        <v>38</v>
      </c>
      <c r="N12" s="1065">
        <f t="shared" si="0"/>
        <v>1.9826573850417124</v>
      </c>
      <c r="O12" s="745" t="str">
        <f t="shared" si="1"/>
        <v>No</v>
      </c>
    </row>
    <row r="13" spans="1:19">
      <c r="A13" s="450"/>
      <c r="B13" s="692" t="s">
        <v>19</v>
      </c>
      <c r="C13" s="699" t="s">
        <v>96</v>
      </c>
      <c r="D13" s="616" t="s">
        <v>95</v>
      </c>
      <c r="E13" s="990">
        <f>IFERROR(VLOOKUP(B13,'3a-RTO - Dryer GHM DHM'!$B$28:$D$82,3,FALSE),"-")</f>
        <v>2.8248000000000002</v>
      </c>
      <c r="F13" s="793">
        <f>IFERROR(SUM(VLOOKUP(B13,'3b-Dryer (Furnace Bypass)'!$B$31:$H$81,7,FALSE),VLOOKUP(B13,'3c-Dryer (Furnace Idle)'!$B$33:$H$83,7,FALSE)),"-")</f>
        <v>2.6884987500000001E-4</v>
      </c>
      <c r="G13" s="793" t="str">
        <f>IFERROR(VLOOKUP(B13,'4-Dryer Duct Burners'!$B$33:$H$69,7,FALSE),"-")</f>
        <v>-</v>
      </c>
      <c r="H13" s="793">
        <f>IFERROR(VLOOKUP(B13,'5-RCO - PC-PM-DSHM'!$B$25:$D$48,3,FALSE),"-")</f>
        <v>0.19527813001557709</v>
      </c>
      <c r="I13" s="914">
        <f>'7-Dried Wood Handling'!E13</f>
        <v>3.2448377581120944E-2</v>
      </c>
      <c r="J13" s="741" t="str">
        <f>IF(SUMIF('11 - IES-GN, IES-FWP'!$B$30:$B$38,B13,'11 - IES-GN, IES-FWP'!$F$30:$F$38)&gt;0,SUMIF('11 - IES-GN, IES-FWP'!$B$30:$B$38,B13,'11 - IES-GN, IES-FWP'!$F$30:$F$38),"-")</f>
        <v>-</v>
      </c>
      <c r="K13" s="741" t="str">
        <f>IF(SUMIF('11 - IES-GN, IES-FWP'!$B$73:$B$81,B13,'11 - IES-GN, IES-FWP'!$F$73:$F$81)&gt;0,SUMIF('11 - IES-GN, IES-FWP'!$B$73:$B$81,B13,'11 - IES-GN, IES-FWP'!$F$73:$F$81),"-")</f>
        <v>-</v>
      </c>
      <c r="L13" s="744" t="s">
        <v>38</v>
      </c>
      <c r="M13" s="793" t="s">
        <v>38</v>
      </c>
      <c r="N13" s="1065">
        <f>SUM(E13:M13)</f>
        <v>3.0527953574716982</v>
      </c>
      <c r="O13" s="745" t="str">
        <f t="shared" si="1"/>
        <v>No</v>
      </c>
    </row>
    <row r="14" spans="1:19">
      <c r="A14" s="450"/>
      <c r="B14" s="691" t="s">
        <v>57</v>
      </c>
      <c r="C14" s="698" t="s">
        <v>96</v>
      </c>
      <c r="D14" s="616" t="s">
        <v>95</v>
      </c>
      <c r="E14" s="990">
        <f>IFERROR(VLOOKUP(B14,'3a-RTO - Dryer GHM DHM'!$B$28:$D$82,3,FALSE),"-")</f>
        <v>1.2285024000000009E-7</v>
      </c>
      <c r="F14" s="793">
        <f>IFERROR(SUM(VLOOKUP(B14,'3b-Dryer (Furnace Bypass)'!$B$31:$H$81,7,FALSE),VLOOKUP(B14,'3c-Dryer (Furnace Idle)'!$B$33:$H$83,7,FALSE)),"-")</f>
        <v>1.41036E-8</v>
      </c>
      <c r="G14" s="793" t="str">
        <f>IFERROR(VLOOKUP(B14,'4-Dryer Duct Burners'!$B$33:$H$69,7,FALSE),"-")</f>
        <v>-</v>
      </c>
      <c r="H14" s="793" t="str">
        <f>IFERROR(VLOOKUP(B14,'5-RCO - PC-PM-DSHM'!$B$25:$D$48,3,FALSE),"-")</f>
        <v>-</v>
      </c>
      <c r="I14" s="740" t="s">
        <v>38</v>
      </c>
      <c r="J14" s="741" t="str">
        <f>IF(SUMIF('11 - IES-GN, IES-FWP'!$B$30:$B$38,B14,'11 - IES-GN, IES-FWP'!$F$30:$F$38)&gt;0,SUMIF('11 - IES-GN, IES-FWP'!$B$30:$B$38,B14,'11 - IES-GN, IES-FWP'!$F$30:$F$38),"-")</f>
        <v>-</v>
      </c>
      <c r="K14" s="741" t="str">
        <f>IF(SUMIF('11 - IES-GN, IES-FWP'!$B$73:$B$81,B14,'11 - IES-GN, IES-FWP'!$F$73:$F$81)&gt;0,SUMIF('11 - IES-GN, IES-FWP'!$B$73:$B$81,B14,'11 - IES-GN, IES-FWP'!$F$73:$F$81),"-")</f>
        <v>-</v>
      </c>
      <c r="L14" s="744" t="s">
        <v>38</v>
      </c>
      <c r="M14" s="793" t="s">
        <v>38</v>
      </c>
      <c r="N14" s="742">
        <f>SUM(E14:M14)</f>
        <v>1.369538400000001E-7</v>
      </c>
      <c r="O14" s="745" t="str">
        <f t="shared" si="1"/>
        <v>No</v>
      </c>
    </row>
    <row r="15" spans="1:19">
      <c r="A15" s="450"/>
      <c r="B15" s="691" t="s">
        <v>457</v>
      </c>
      <c r="C15" s="698" t="s">
        <v>95</v>
      </c>
      <c r="D15" s="616" t="s">
        <v>96</v>
      </c>
      <c r="E15" s="990">
        <f>IFERROR(VLOOKUP(B15,'3a-RTO - Dryer GHM DHM'!$B$28:$D$82,3,FALSE),"-")</f>
        <v>0.54552470588235302</v>
      </c>
      <c r="F15" s="793" t="str">
        <f>IFERROR(SUM(VLOOKUP(B15,'3b-Dryer (Furnace Bypass)'!$B$31:$H$81,7,FALSE),VLOOKUP(B15,'3c-Dryer (Furnace Idle)'!$B$33:$H$83,7,FALSE)),"-")</f>
        <v>-</v>
      </c>
      <c r="G15" s="793">
        <f>IFERROR(VLOOKUP(B15,'4-Dryer Duct Burners'!$B$33:$H$69,7,FALSE),"-")</f>
        <v>6.8705882352941172E-2</v>
      </c>
      <c r="H15" s="793">
        <f>IFERROR(VLOOKUP(B15,'5-RCO - PC-PM-DSHM'!$B$25:$D$48,3,FALSE),"-")</f>
        <v>0.27207529411764703</v>
      </c>
      <c r="I15" s="740" t="s">
        <v>38</v>
      </c>
      <c r="J15" s="741" t="str">
        <f>IF(SUMIF('11 - IES-GN, IES-FWP'!$B$30:$B$38,B15,'11 - IES-GN, IES-FWP'!$F$30:$F$38)&gt;0,SUMIF('11 - IES-GN, IES-FWP'!$B$30:$B$38,B15,'11 - IES-GN, IES-FWP'!$F$30:$F$38),"-")</f>
        <v>-</v>
      </c>
      <c r="K15" s="741" t="str">
        <f>IF(SUMIF('11 - IES-GN, IES-FWP'!$B$73:$B$81,B15,'11 - IES-GN, IES-FWP'!$F$73:$F$81)&gt;0,SUMIF('11 - IES-GN, IES-FWP'!$B$73:$B$81,B15,'11 - IES-GN, IES-FWP'!$F$73:$F$81),"-")</f>
        <v>-</v>
      </c>
      <c r="L15" s="744" t="s">
        <v>38</v>
      </c>
      <c r="M15" s="793">
        <f>'14 - Boilers'!G42*'14 - Boilers'!C10</f>
        <v>0.27207529411764708</v>
      </c>
      <c r="N15" s="742">
        <f t="shared" ref="N15:N63" si="2">SUM(E15:M15)</f>
        <v>1.1583811764705882</v>
      </c>
      <c r="O15" s="745" t="str">
        <f t="shared" si="1"/>
        <v>No</v>
      </c>
    </row>
    <row r="16" spans="1:19">
      <c r="A16" s="450"/>
      <c r="B16" s="691" t="s">
        <v>482</v>
      </c>
      <c r="C16" s="698" t="s">
        <v>96</v>
      </c>
      <c r="D16" s="616" t="s">
        <v>95</v>
      </c>
      <c r="E16" s="990">
        <f>IFERROR(VLOOKUP(B16,'3a-RTO - Dryer GHM DHM'!$B$28:$D$82,3,FALSE),"-")</f>
        <v>3.0328653000000026E-4</v>
      </c>
      <c r="F16" s="793">
        <f>IFERROR(SUM(VLOOKUP(B16,'3b-Dryer (Furnace Bypass)'!$B$31:$H$81,7,FALSE),VLOOKUP(B16,'3c-Dryer (Furnace Idle)'!$B$33:$H$83,7,FALSE)),"-")</f>
        <v>3.4818262499999999E-5</v>
      </c>
      <c r="G16" s="793" t="str">
        <f>IFERROR(VLOOKUP(B16,'4-Dryer Duct Burners'!$B$33:$H$69,7,FALSE),"-")</f>
        <v>-</v>
      </c>
      <c r="H16" s="793" t="str">
        <f>IFERROR(VLOOKUP(B16,'5-RCO - PC-PM-DSHM'!$B$25:$D$48,3,FALSE),"-")</f>
        <v>-</v>
      </c>
      <c r="I16" s="740" t="s">
        <v>38</v>
      </c>
      <c r="J16" s="741" t="str">
        <f>IF(SUMIF('11 - IES-GN, IES-FWP'!$B$30:$B$38,B16,'11 - IES-GN, IES-FWP'!$F$30:$F$38)&gt;0,SUMIF('11 - IES-GN, IES-FWP'!$B$30:$B$38,B16,'11 - IES-GN, IES-FWP'!$F$30:$F$38),"-")</f>
        <v>-</v>
      </c>
      <c r="K16" s="741" t="str">
        <f>IF(SUMIF('11 - IES-GN, IES-FWP'!$B$73:$B$81,B16,'11 - IES-GN, IES-FWP'!$F$73:$F$81)&gt;0,SUMIF('11 - IES-GN, IES-FWP'!$B$73:$B$81,B16,'11 - IES-GN, IES-FWP'!$F$73:$F$81),"-")</f>
        <v>-</v>
      </c>
      <c r="L16" s="744" t="s">
        <v>38</v>
      </c>
      <c r="M16" s="793" t="s">
        <v>38</v>
      </c>
      <c r="N16" s="742">
        <f t="shared" si="2"/>
        <v>3.3810479250000029E-4</v>
      </c>
      <c r="O16" s="745" t="str">
        <f t="shared" si="1"/>
        <v>No</v>
      </c>
    </row>
    <row r="17" spans="1:26">
      <c r="A17" s="450"/>
      <c r="B17" s="691" t="s">
        <v>483</v>
      </c>
      <c r="C17" s="698" t="s">
        <v>95</v>
      </c>
      <c r="D17" s="616" t="s">
        <v>95</v>
      </c>
      <c r="E17" s="990">
        <f>IFERROR(VLOOKUP(B17,'3a-RTO - Dryer GHM DHM'!$B$28:$D$82,3,FALSE),"-")</f>
        <v>8.786906941176478E-4</v>
      </c>
      <c r="F17" s="793">
        <f>IFERROR(SUM(VLOOKUP(B17,'3b-Dryer (Furnace Bypass)'!$B$31:$H$81,7,FALSE),VLOOKUP(B17,'3c-Dryer (Furnace Idle)'!$B$33:$H$83,7,FALSE)),"-")</f>
        <v>9.6962250000000002E-5</v>
      </c>
      <c r="G17" s="793">
        <f>IFERROR(VLOOKUP(B17,'4-Dryer Duct Burners'!$B$33:$H$69,7,FALSE),"-")</f>
        <v>4.2941176470588233E-6</v>
      </c>
      <c r="H17" s="793">
        <f>IFERROR(VLOOKUP(B17,'5-RCO - PC-PM-DSHM'!$B$25:$D$48,3,FALSE),"-")</f>
        <v>1.7004705882352941E-5</v>
      </c>
      <c r="I17" s="740" t="s">
        <v>38</v>
      </c>
      <c r="J17" s="741" t="str">
        <f>IF(SUMIF('11 - IES-GN, IES-FWP'!$B$30:$B$38,B17,'11 - IES-GN, IES-FWP'!$F$30:$F$38)&gt;0,SUMIF('11 - IES-GN, IES-FWP'!$B$30:$B$38,B17,'11 - IES-GN, IES-FWP'!$F$30:$F$38),"-")</f>
        <v>-</v>
      </c>
      <c r="K17" s="741" t="str">
        <f>IF(SUMIF('11 - IES-GN, IES-FWP'!$B$73:$B$81,B17,'11 - IES-GN, IES-FWP'!$F$73:$F$81)&gt;0,SUMIF('11 - IES-GN, IES-FWP'!$B$73:$B$81,B17,'11 - IES-GN, IES-FWP'!$F$73:$F$81),"-")</f>
        <v>-</v>
      </c>
      <c r="L17" s="744" t="s">
        <v>38</v>
      </c>
      <c r="M17" s="793">
        <f>'14 - Boilers'!G44*'14 - Boilers'!C10</f>
        <v>1.7004705882352944E-5</v>
      </c>
      <c r="N17" s="742">
        <f t="shared" si="2"/>
        <v>1.0139564735294124E-3</v>
      </c>
      <c r="O17" s="745" t="str">
        <f t="shared" si="1"/>
        <v>No</v>
      </c>
    </row>
    <row r="18" spans="1:26">
      <c r="A18" s="450"/>
      <c r="B18" s="693" t="s">
        <v>13</v>
      </c>
      <c r="C18" s="700" t="s">
        <v>95</v>
      </c>
      <c r="D18" s="617" t="s">
        <v>95</v>
      </c>
      <c r="E18" s="990">
        <f>IFERROR(VLOOKUP(B18,'3a-RTO - Dryer GHM DHM'!$B$28:$D$82,3,FALSE),"-")</f>
        <v>0.16159894058823543</v>
      </c>
      <c r="F18" s="793">
        <f>IFERROR(SUM(VLOOKUP(B18,'3b-Dryer (Furnace Bypass)'!$B$31:$H$81,7,FALSE),VLOOKUP(B18,'3c-Dryer (Furnace Idle)'!$B$33:$H$83,7,FALSE)),"-")</f>
        <v>1.8510974999999995E-2</v>
      </c>
      <c r="G18" s="793">
        <f>IFERROR(VLOOKUP(B18,'4-Dryer Duct Burners'!$B$33:$H$69,7,FALSE),"-")</f>
        <v>4.5088235294117644E-5</v>
      </c>
      <c r="H18" s="793">
        <f>IFERROR(VLOOKUP(B18,'5-RCO - PC-PM-DSHM'!$B$25:$D$48,3,FALSE),"-")</f>
        <v>1.7854941176470587E-4</v>
      </c>
      <c r="I18" s="740" t="s">
        <v>38</v>
      </c>
      <c r="J18" s="741">
        <f>IF(SUMIF('11 - IES-GN, IES-FWP'!$B$30:$B$38,B18,'11 - IES-GN, IES-FWP'!$F$30:$F$38)&gt;0,SUMIF('11 - IES-GN, IES-FWP'!$B$30:$B$38,B18,'11 - IES-GN, IES-FWP'!$F$30:$F$38),"-")</f>
        <v>5.7146249999999997E-4</v>
      </c>
      <c r="K18" s="741">
        <f>IF(SUMIF('11 - IES-GN, IES-FWP'!$B$73:$B$81,B18,'11 - IES-GN, IES-FWP'!$F$73:$F$81)&gt;0,SUMIF('11 - IES-GN, IES-FWP'!$B$73:$B$81,B18,'11 - IES-GN, IES-FWP'!$F$73:$F$81),"-")</f>
        <v>3.8206349999999999E-4</v>
      </c>
      <c r="L18" s="744" t="s">
        <v>38</v>
      </c>
      <c r="M18" s="793">
        <f>'14 - Boilers'!G46*'14 - Boilers'!C10</f>
        <v>1.7854941176470587E-4</v>
      </c>
      <c r="N18" s="742">
        <f t="shared" si="2"/>
        <v>0.18146562864705895</v>
      </c>
      <c r="O18" s="745" t="str">
        <f t="shared" si="1"/>
        <v>No</v>
      </c>
    </row>
    <row r="19" spans="1:26">
      <c r="A19" s="450"/>
      <c r="B19" s="691" t="s">
        <v>25</v>
      </c>
      <c r="C19" s="698" t="s">
        <v>95</v>
      </c>
      <c r="D19" s="616" t="s">
        <v>95</v>
      </c>
      <c r="E19" s="990">
        <f>IFERROR(VLOOKUP(B19,'3a-RTO - Dryer GHM DHM'!$B$28:$D$82,3,FALSE),"-")</f>
        <v>1.0002039176470596E-4</v>
      </c>
      <c r="F19" s="793">
        <f>IFERROR(SUM(VLOOKUP(B19,'3b-Dryer (Furnace Bypass)'!$B$31:$H$81,7,FALSE),VLOOKUP(B19,'3c-Dryer (Furnace Idle)'!$B$33:$H$83,7,FALSE)),"-")</f>
        <v>1.1459175E-5</v>
      </c>
      <c r="G19" s="793">
        <f>IFERROR(VLOOKUP(B19,'4-Dryer Duct Burners'!$B$33:$H$69,7,FALSE),"-")</f>
        <v>2.5764705882352942E-8</v>
      </c>
      <c r="H19" s="793">
        <f>IFERROR(VLOOKUP(B19,'5-RCO - PC-PM-DSHM'!$B$25:$D$48,3,FALSE),"-")</f>
        <v>1.0202823529411764E-7</v>
      </c>
      <c r="I19" s="740" t="s">
        <v>38</v>
      </c>
      <c r="J19" s="914">
        <f>IF(SUMIF('11 - IES-GN, IES-FWP'!$B$30:$B$38,B19,'11 - IES-GN, IES-FWP'!$F$30:$F$38)&gt;0,SUMIF('11 - IES-GN, IES-FWP'!$B$30:$B$38,B19,'11 - IES-GN, IES-FWP'!$F$30:$F$38),"-")</f>
        <v>1.1514999999999998E-7</v>
      </c>
      <c r="K19" s="914">
        <f>IF(SUMIF('11 - IES-GN, IES-FWP'!$B$73:$B$81,B19,'11 - IES-GN, IES-FWP'!$F$73:$F$81)&gt;0,SUMIF('11 - IES-GN, IES-FWP'!$B$73:$B$81,B19,'11 - IES-GN, IES-FWP'!$F$73:$F$81),"-")</f>
        <v>7.6985999999999985E-8</v>
      </c>
      <c r="L19" s="744" t="s">
        <v>38</v>
      </c>
      <c r="M19" s="793">
        <f>'14 - Boilers'!G47*'14 - Boilers'!C10</f>
        <v>1.0202823529411766E-7</v>
      </c>
      <c r="N19" s="742">
        <f t="shared" si="2"/>
        <v>1.1190152394117655E-4</v>
      </c>
      <c r="O19" s="745" t="str">
        <f t="shared" si="1"/>
        <v>No</v>
      </c>
    </row>
    <row r="20" spans="1:26">
      <c r="A20" s="450"/>
      <c r="B20" s="691" t="s">
        <v>122</v>
      </c>
      <c r="C20" s="698" t="s">
        <v>95</v>
      </c>
      <c r="D20" s="616" t="s">
        <v>95</v>
      </c>
      <c r="E20" s="990">
        <f>IFERROR(VLOOKUP(B20,'3a-RTO - Dryer GHM DHM'!$B$28:$D$82,3,FALSE),"-")</f>
        <v>4.4275487647058854E-5</v>
      </c>
      <c r="F20" s="793">
        <f>IFERROR(SUM(VLOOKUP(B20,'3b-Dryer (Furnace Bypass)'!$B$31:$H$81,7,FALSE),VLOOKUP(B20,'3c-Dryer (Furnace Idle)'!$B$33:$H$83,7,FALSE)),"-")</f>
        <v>4.8481125000000002E-6</v>
      </c>
      <c r="G20" s="793">
        <f>IFERROR(VLOOKUP(B20,'4-Dryer Duct Burners'!$B$33:$H$69,7,FALSE),"-")</f>
        <v>2.5764705882352943E-7</v>
      </c>
      <c r="H20" s="793">
        <f>IFERROR(VLOOKUP(B20,'5-RCO - PC-PM-DSHM'!$B$25:$D$48,3,FALSE),"-")</f>
        <v>1.0202823529411766E-6</v>
      </c>
      <c r="I20" s="740" t="s">
        <v>38</v>
      </c>
      <c r="J20" s="741" t="str">
        <f>IF(SUMIF('11 - IES-GN, IES-FWP'!$B$30:$B$38,B20,'11 - IES-GN, IES-FWP'!$F$30:$F$38)&gt;0,SUMIF('11 - IES-GN, IES-FWP'!$B$30:$B$38,B20,'11 - IES-GN, IES-FWP'!$F$30:$F$38),"-")</f>
        <v>-</v>
      </c>
      <c r="K20" s="741" t="str">
        <f>IF(SUMIF('11 - IES-GN, IES-FWP'!$B$73:$B$81,B20,'11 - IES-GN, IES-FWP'!$F$73:$F$81)&gt;0,SUMIF('11 - IES-GN, IES-FWP'!$B$73:$B$81,B20,'11 - IES-GN, IES-FWP'!$F$73:$F$81),"-")</f>
        <v>-</v>
      </c>
      <c r="L20" s="744" t="s">
        <v>38</v>
      </c>
      <c r="M20" s="793">
        <f>'14 - Boilers'!G51*'14 - Boilers'!C10</f>
        <v>1.0202823529411768E-6</v>
      </c>
      <c r="N20" s="742">
        <f t="shared" si="2"/>
        <v>5.1421811911764743E-5</v>
      </c>
      <c r="O20" s="745" t="str">
        <f t="shared" si="1"/>
        <v>No</v>
      </c>
    </row>
    <row r="21" spans="1:26">
      <c r="A21" s="450"/>
      <c r="B21" s="691" t="s">
        <v>10</v>
      </c>
      <c r="C21" s="698" t="s">
        <v>95</v>
      </c>
      <c r="D21" s="616" t="s">
        <v>95</v>
      </c>
      <c r="E21" s="990" t="str">
        <f>IFERROR(VLOOKUP(B21,'3a-RTO - Dryer GHM DHM'!$B$28:$D$82,3,FALSE),"-")</f>
        <v>-</v>
      </c>
      <c r="F21" s="793" t="str">
        <f>IFERROR(SUM(VLOOKUP(B21,'3b-Dryer (Furnace Bypass)'!$B$31:$H$81,7,FALSE),VLOOKUP(B21,'3c-Dryer (Furnace Idle)'!$B$33:$H$83,7,FALSE)),"-")</f>
        <v>-</v>
      </c>
      <c r="G21" s="793" t="str">
        <f>IFERROR(VLOOKUP(B21,'4-Dryer Duct Burners'!$B$33:$H$69,7,FALSE),"-")</f>
        <v>-</v>
      </c>
      <c r="H21" s="793" t="str">
        <f>IFERROR(VLOOKUP(B21,'5-RCO - PC-PM-DSHM'!$B$25:$D$48,3,FALSE),"-")</f>
        <v>-</v>
      </c>
      <c r="I21" s="740" t="s">
        <v>38</v>
      </c>
      <c r="J21" s="741">
        <f>IF(SUMIF('11 - IES-GN, IES-FWP'!$B$30:$B$38,B21,'11 - IES-GN, IES-FWP'!$F$30:$F$38)&gt;0,SUMIF('11 - IES-GN, IES-FWP'!$B$30:$B$38,B21,'11 - IES-GN, IES-FWP'!$F$30:$F$38),"-")</f>
        <v>2.3948750000000003E-5</v>
      </c>
      <c r="K21" s="741">
        <f>IF(SUMIF('11 - IES-GN, IES-FWP'!$B$73:$B$81,B21,'11 - IES-GN, IES-FWP'!$F$73:$F$81)&gt;0,SUMIF('11 - IES-GN, IES-FWP'!$B$73:$B$81,B21,'11 - IES-GN, IES-FWP'!$F$73:$F$81),"-")</f>
        <v>1.6011450000000001E-5</v>
      </c>
      <c r="L21" s="740" t="s">
        <v>38</v>
      </c>
      <c r="M21" s="793" t="s">
        <v>38</v>
      </c>
      <c r="N21" s="742">
        <f t="shared" si="2"/>
        <v>3.9960200000000004E-5</v>
      </c>
      <c r="O21" s="745" t="str">
        <f t="shared" ref="O21" si="3">IF(N21&lt;10,"No","Yes")</f>
        <v>No</v>
      </c>
    </row>
    <row r="22" spans="1:26">
      <c r="A22" s="450"/>
      <c r="B22" s="691" t="s">
        <v>123</v>
      </c>
      <c r="C22" s="698" t="s">
        <v>95</v>
      </c>
      <c r="D22" s="616" t="s">
        <v>95</v>
      </c>
      <c r="E22" s="990">
        <f>IFERROR(VLOOKUP(B22,'3a-RTO - Dryer GHM DHM'!$B$28:$D$82,3,FALSE),"-")</f>
        <v>3.4492598764705902E-4</v>
      </c>
      <c r="F22" s="793">
        <f>IFERROR(SUM(VLOOKUP(B22,'3b-Dryer (Furnace Bypass)'!$B$31:$H$81,7,FALSE),VLOOKUP(B22,'3c-Dryer (Furnace Idle)'!$B$33:$H$83,7,FALSE)),"-")</f>
        <v>1.8070237499999998E-5</v>
      </c>
      <c r="G22" s="793">
        <f>IFERROR(VLOOKUP(B22,'4-Dryer Duct Burners'!$B$33:$H$69,7,FALSE),"-")</f>
        <v>2.3617647058823532E-5</v>
      </c>
      <c r="H22" s="793">
        <f>IFERROR(VLOOKUP(B22,'5-RCO - PC-PM-DSHM'!$B$25:$D$48,3,FALSE),"-")</f>
        <v>9.3525882352941196E-5</v>
      </c>
      <c r="I22" s="740" t="s">
        <v>38</v>
      </c>
      <c r="J22" s="741" t="str">
        <f>IF(SUMIF('11 - IES-GN, IES-FWP'!$B$30:$B$38,B22,'11 - IES-GN, IES-FWP'!$F$30:$F$38)&gt;0,SUMIF('11 - IES-GN, IES-FWP'!$B$30:$B$38,B22,'11 - IES-GN, IES-FWP'!$F$30:$F$38),"-")</f>
        <v>-</v>
      </c>
      <c r="K22" s="741" t="str">
        <f>IF(SUMIF('11 - IES-GN, IES-FWP'!$B$73:$B$81,B22,'11 - IES-GN, IES-FWP'!$F$73:$F$81)&gt;0,SUMIF('11 - IES-GN, IES-FWP'!$B$73:$B$81,B22,'11 - IES-GN, IES-FWP'!$F$73:$F$81),"-")</f>
        <v>-</v>
      </c>
      <c r="L22" s="744" t="s">
        <v>38</v>
      </c>
      <c r="M22" s="793">
        <f>'14 - Boilers'!G52*'14 - Boilers'!C10</f>
        <v>9.3525882352941196E-5</v>
      </c>
      <c r="N22" s="742">
        <f t="shared" si="2"/>
        <v>5.7366563691176498E-4</v>
      </c>
      <c r="O22" s="745" t="str">
        <f t="shared" si="1"/>
        <v>No</v>
      </c>
    </row>
    <row r="23" spans="1:26">
      <c r="A23" s="450"/>
      <c r="B23" s="691" t="s">
        <v>58</v>
      </c>
      <c r="C23" s="698" t="s">
        <v>95</v>
      </c>
      <c r="D23" s="616" t="s">
        <v>95</v>
      </c>
      <c r="E23" s="990">
        <f>IFERROR(VLOOKUP(B23,'3a-RTO - Dryer GHM DHM'!$B$28:$D$82,3,FALSE),"-")</f>
        <v>1.7275815000000016E-3</v>
      </c>
      <c r="F23" s="793">
        <f>IFERROR(SUM(VLOOKUP(B23,'3b-Dryer (Furnace Bypass)'!$B$31:$H$81,7,FALSE),VLOOKUP(B23,'3c-Dryer (Furnace Idle)'!$B$33:$H$83,7,FALSE)),"-")</f>
        <v>1.9833187500000002E-4</v>
      </c>
      <c r="G23" s="793" t="str">
        <f>IFERROR(VLOOKUP(B23,'4-Dryer Duct Burners'!$B$33:$H$69,7,FALSE),"-")</f>
        <v>-</v>
      </c>
      <c r="H23" s="793" t="str">
        <f>IFERROR(VLOOKUP(B23,'5-RCO - PC-PM-DSHM'!$B$25:$D$48,3,FALSE),"-")</f>
        <v>-</v>
      </c>
      <c r="I23" s="740" t="s">
        <v>38</v>
      </c>
      <c r="J23" s="741" t="str">
        <f>IF(SUMIF('11 - IES-GN, IES-FWP'!$B$30:$B$38,B23,'11 - IES-GN, IES-FWP'!$F$30:$F$38)&gt;0,SUMIF('11 - IES-GN, IES-FWP'!$B$30:$B$38,B23,'11 - IES-GN, IES-FWP'!$F$30:$F$38),"-")</f>
        <v>-</v>
      </c>
      <c r="K23" s="741" t="str">
        <f>IF(SUMIF('11 - IES-GN, IES-FWP'!$B$73:$B$81,B23,'11 - IES-GN, IES-FWP'!$F$73:$F$81)&gt;0,SUMIF('11 - IES-GN, IES-FWP'!$B$73:$B$81,B23,'11 - IES-GN, IES-FWP'!$F$73:$F$81),"-")</f>
        <v>-</v>
      </c>
      <c r="L23" s="744" t="s">
        <v>38</v>
      </c>
      <c r="M23" s="793" t="s">
        <v>38</v>
      </c>
      <c r="N23" s="742">
        <f t="shared" si="2"/>
        <v>1.9259133750000016E-3</v>
      </c>
      <c r="O23" s="745" t="str">
        <f t="shared" si="1"/>
        <v>No</v>
      </c>
    </row>
    <row r="24" spans="1:26">
      <c r="A24" s="450"/>
      <c r="B24" s="691" t="s">
        <v>59</v>
      </c>
      <c r="C24" s="698" t="s">
        <v>95</v>
      </c>
      <c r="D24" s="616" t="s">
        <v>95</v>
      </c>
      <c r="E24" s="990">
        <f>IFERROR(VLOOKUP(B24,'3a-RTO - Dryer GHM DHM'!$B$28:$D$82,3,FALSE),"-")</f>
        <v>0.60657306000000011</v>
      </c>
      <c r="F24" s="793">
        <f>IFERROR(SUM(VLOOKUP(B24,'3b-Dryer (Furnace Bypass)'!$B$31:$H$81,7,FALSE),VLOOKUP(B24,'3c-Dryer (Furnace Idle)'!$B$33:$H$83,7,FALSE)),"-")</f>
        <v>3.4818262499999998E-3</v>
      </c>
      <c r="G24" s="793" t="str">
        <f>IFERROR(VLOOKUP(B24,'4-Dryer Duct Burners'!$B$33:$H$69,7,FALSE),"-")</f>
        <v>-</v>
      </c>
      <c r="H24" s="793" t="str">
        <f>IFERROR(VLOOKUP(B24,'5-RCO - PC-PM-DSHM'!$B$25:$D$48,3,FALSE),"-")</f>
        <v>-</v>
      </c>
      <c r="I24" s="740" t="s">
        <v>38</v>
      </c>
      <c r="J24" s="741" t="str">
        <f>IF(SUMIF('11 - IES-GN, IES-FWP'!$B$30:$B$38,B24,'11 - IES-GN, IES-FWP'!$F$30:$F$38)&gt;0,SUMIF('11 - IES-GN, IES-FWP'!$B$30:$B$38,B24,'11 - IES-GN, IES-FWP'!$F$30:$F$38),"-")</f>
        <v>-</v>
      </c>
      <c r="K24" s="741" t="str">
        <f>IF(SUMIF('11 - IES-GN, IES-FWP'!$B$73:$B$81,B24,'11 - IES-GN, IES-FWP'!$F$73:$F$81)&gt;0,SUMIF('11 - IES-GN, IES-FWP'!$B$73:$B$81,B24,'11 - IES-GN, IES-FWP'!$F$73:$F$81),"-")</f>
        <v>-</v>
      </c>
      <c r="L24" s="744" t="s">
        <v>38</v>
      </c>
      <c r="M24" s="793" t="s">
        <v>38</v>
      </c>
      <c r="N24" s="742">
        <f t="shared" si="2"/>
        <v>0.61005488625000015</v>
      </c>
      <c r="O24" s="745" t="str">
        <f t="shared" si="1"/>
        <v>No</v>
      </c>
    </row>
    <row r="25" spans="1:26">
      <c r="A25" s="450"/>
      <c r="B25" s="691" t="s">
        <v>60</v>
      </c>
      <c r="C25" s="698" t="s">
        <v>95</v>
      </c>
      <c r="D25" s="616" t="s">
        <v>95</v>
      </c>
      <c r="E25" s="990">
        <f>IFERROR(VLOOKUP(B25,'3a-RTO - Dryer GHM DHM'!$B$28:$D$82,3,FALSE),"-")</f>
        <v>1.2668931000000012E-3</v>
      </c>
      <c r="F25" s="793">
        <f>IFERROR(SUM(VLOOKUP(B25,'3b-Dryer (Furnace Bypass)'!$B$31:$H$81,7,FALSE),VLOOKUP(B25,'3c-Dryer (Furnace Idle)'!$B$33:$H$83,7,FALSE)),"-")</f>
        <v>1.45443375E-4</v>
      </c>
      <c r="G25" s="793" t="str">
        <f>IFERROR(VLOOKUP(B25,'4-Dryer Duct Burners'!$B$33:$H$69,7,FALSE),"-")</f>
        <v>-</v>
      </c>
      <c r="H25" s="793" t="str">
        <f>IFERROR(VLOOKUP(B25,'5-RCO - PC-PM-DSHM'!$B$25:$D$48,3,FALSE),"-")</f>
        <v>-</v>
      </c>
      <c r="I25" s="740" t="s">
        <v>38</v>
      </c>
      <c r="J25" s="741" t="str">
        <f>IF(SUMIF('11 - IES-GN, IES-FWP'!$B$30:$B$38,B25,'11 - IES-GN, IES-FWP'!$F$30:$F$38)&gt;0,SUMIF('11 - IES-GN, IES-FWP'!$B$30:$B$38,B25,'11 - IES-GN, IES-FWP'!$F$30:$F$38),"-")</f>
        <v>-</v>
      </c>
      <c r="K25" s="741" t="str">
        <f>IF(SUMIF('11 - IES-GN, IES-FWP'!$B$73:$B$81,B25,'11 - IES-GN, IES-FWP'!$F$73:$F$81)&gt;0,SUMIF('11 - IES-GN, IES-FWP'!$B$73:$B$81,B25,'11 - IES-GN, IES-FWP'!$F$73:$F$81),"-")</f>
        <v>-</v>
      </c>
      <c r="L25" s="744" t="s">
        <v>38</v>
      </c>
      <c r="M25" s="793" t="s">
        <v>38</v>
      </c>
      <c r="N25" s="742">
        <f t="shared" si="2"/>
        <v>1.4123364750000013E-3</v>
      </c>
      <c r="O25" s="745" t="str">
        <f t="shared" si="1"/>
        <v>No</v>
      </c>
    </row>
    <row r="26" spans="1:26">
      <c r="A26" s="450"/>
      <c r="B26" s="693" t="s">
        <v>14</v>
      </c>
      <c r="C26" s="700" t="s">
        <v>95</v>
      </c>
      <c r="D26" s="616" t="s">
        <v>95</v>
      </c>
      <c r="E26" s="990">
        <f>IFERROR(VLOOKUP(B26,'3a-RTO - Dryer GHM DHM'!$B$28:$D$82,3,FALSE),"-")</f>
        <v>1.0749396000000009E-3</v>
      </c>
      <c r="F26" s="793">
        <f>IFERROR(SUM(VLOOKUP(B26,'3b-Dryer (Furnace Bypass)'!$B$31:$H$81,7,FALSE),VLOOKUP(B26,'3c-Dryer (Furnace Idle)'!$B$33:$H$83,7,FALSE)),"-")</f>
        <v>1.2340649999999998E-4</v>
      </c>
      <c r="G26" s="793" t="str">
        <f>IFERROR(VLOOKUP(B26,'4-Dryer Duct Burners'!$B$33:$H$69,7,FALSE),"-")</f>
        <v>-</v>
      </c>
      <c r="H26" s="793" t="str">
        <f>IFERROR(VLOOKUP(B26,'5-RCO - PC-PM-DSHM'!$B$25:$D$48,3,FALSE),"-")</f>
        <v>-</v>
      </c>
      <c r="I26" s="740" t="s">
        <v>38</v>
      </c>
      <c r="J26" s="741" t="str">
        <f>IF(SUMIF('11 - IES-GN, IES-FWP'!$B$30:$B$38,B26,'11 - IES-GN, IES-FWP'!$F$30:$F$38)&gt;0,SUMIF('11 - IES-GN, IES-FWP'!$B$30:$B$38,B26,'11 - IES-GN, IES-FWP'!$F$30:$F$38),"-")</f>
        <v>-</v>
      </c>
      <c r="K26" s="741" t="str">
        <f>IF(SUMIF('11 - IES-GN, IES-FWP'!$B$73:$B$81,B26,'11 - IES-GN, IES-FWP'!$F$73:$F$81)&gt;0,SUMIF('11 - IES-GN, IES-FWP'!$B$73:$B$81,B26,'11 - IES-GN, IES-FWP'!$F$73:$F$81),"-")</f>
        <v>-</v>
      </c>
      <c r="L26" s="744" t="s">
        <v>38</v>
      </c>
      <c r="M26" s="793" t="s">
        <v>38</v>
      </c>
      <c r="N26" s="742">
        <f t="shared" si="2"/>
        <v>1.1983461000000008E-3</v>
      </c>
      <c r="O26" s="745" t="str">
        <f t="shared" si="1"/>
        <v>No</v>
      </c>
    </row>
    <row r="27" spans="1:26">
      <c r="A27" s="450"/>
      <c r="B27" s="691" t="s">
        <v>124</v>
      </c>
      <c r="C27" s="698" t="s">
        <v>95</v>
      </c>
      <c r="D27" s="616" t="s">
        <v>95</v>
      </c>
      <c r="E27" s="990">
        <f>IFERROR(VLOOKUP(B27,'3a-RTO - Dryer GHM DHM'!$B$28:$D$82,3,FALSE),"-")</f>
        <v>3.7303450882352954E-4</v>
      </c>
      <c r="F27" s="793">
        <f>IFERROR(SUM(VLOOKUP(B27,'3b-Dryer (Furnace Bypass)'!$B$31:$H$81,7,FALSE),VLOOKUP(B27,'3c-Dryer (Furnace Idle)'!$B$33:$H$83,7,FALSE)),"-")</f>
        <v>1.5425812499999998E-5</v>
      </c>
      <c r="G27" s="793">
        <f>IFERROR(VLOOKUP(B27,'4-Dryer Duct Burners'!$B$33:$H$69,7,FALSE),"-")</f>
        <v>3.0058823529411767E-5</v>
      </c>
      <c r="H27" s="793">
        <f>IFERROR(VLOOKUP(B27,'5-RCO - PC-PM-DSHM'!$B$25:$D$48,3,FALSE),"-")</f>
        <v>1.1903294117647059E-4</v>
      </c>
      <c r="I27" s="740" t="s">
        <v>38</v>
      </c>
      <c r="J27" s="741" t="str">
        <f>IF(SUMIF('11 - IES-GN, IES-FWP'!$B$30:$B$38,B27,'11 - IES-GN, IES-FWP'!$F$30:$F$38)&gt;0,SUMIF('11 - IES-GN, IES-FWP'!$B$30:$B$38,B27,'11 - IES-GN, IES-FWP'!$F$30:$F$38),"-")</f>
        <v>-</v>
      </c>
      <c r="K27" s="741" t="str">
        <f>IF(SUMIF('11 - IES-GN, IES-FWP'!$B$73:$B$81,B27,'11 - IES-GN, IES-FWP'!$F$73:$F$81)&gt;0,SUMIF('11 - IES-GN, IES-FWP'!$B$73:$B$81,B27,'11 - IES-GN, IES-FWP'!$F$73:$F$81),"-")</f>
        <v>-</v>
      </c>
      <c r="L27" s="744" t="s">
        <v>38</v>
      </c>
      <c r="M27" s="793" t="s">
        <v>38</v>
      </c>
      <c r="N27" s="742">
        <f t="shared" si="2"/>
        <v>5.3755208602941195E-4</v>
      </c>
      <c r="O27" s="745" t="str">
        <f t="shared" si="1"/>
        <v>No</v>
      </c>
    </row>
    <row r="28" spans="1:26">
      <c r="A28" s="450"/>
      <c r="B28" s="691" t="s">
        <v>125</v>
      </c>
      <c r="C28" s="698" t="s">
        <v>96</v>
      </c>
      <c r="D28" s="616" t="s">
        <v>95</v>
      </c>
      <c r="E28" s="990">
        <f>IFERROR(VLOOKUP(B28,'3a-RTO - Dryer GHM DHM'!$B$28:$D$82,3,FALSE),"-")</f>
        <v>6.7183725000000052E-4</v>
      </c>
      <c r="F28" s="793">
        <f>IFERROR(SUM(VLOOKUP(B28,'3b-Dryer (Furnace Bypass)'!$B$31:$H$81,7,FALSE),VLOOKUP(B28,'3c-Dryer (Furnace Idle)'!$B$33:$H$83,7,FALSE)),"-")</f>
        <v>7.712906249999998E-5</v>
      </c>
      <c r="G28" s="793" t="str">
        <f>IFERROR(VLOOKUP(B28,'4-Dryer Duct Burners'!$B$33:$H$69,7,FALSE),"-")</f>
        <v>-</v>
      </c>
      <c r="H28" s="793" t="str">
        <f>IFERROR(VLOOKUP(B28,'5-RCO - PC-PM-DSHM'!$B$25:$D$48,3,FALSE),"-")</f>
        <v>-</v>
      </c>
      <c r="I28" s="740" t="s">
        <v>38</v>
      </c>
      <c r="J28" s="741" t="str">
        <f>IF(SUMIF('11 - IES-GN, IES-FWP'!$B$30:$B$38,B28,'11 - IES-GN, IES-FWP'!$F$30:$F$38)&gt;0,SUMIF('11 - IES-GN, IES-FWP'!$B$30:$B$38,B28,'11 - IES-GN, IES-FWP'!$F$30:$F$38),"-")</f>
        <v>-</v>
      </c>
      <c r="K28" s="741" t="str">
        <f>IF(SUMIF('11 - IES-GN, IES-FWP'!$B$73:$B$81,B28,'11 - IES-GN, IES-FWP'!$F$73:$F$81)&gt;0,SUMIF('11 - IES-GN, IES-FWP'!$B$73:$B$81,B28,'11 - IES-GN, IES-FWP'!$F$73:$F$81),"-")</f>
        <v>-</v>
      </c>
      <c r="L28" s="744" t="s">
        <v>38</v>
      </c>
      <c r="M28" s="793">
        <f>'14 - Boilers'!G53*'14 - Boilers'!C10</f>
        <v>1.1903294117647059E-4</v>
      </c>
      <c r="N28" s="742">
        <f t="shared" si="2"/>
        <v>8.6799925367647105E-4</v>
      </c>
      <c r="O28" s="745" t="str">
        <f t="shared" si="1"/>
        <v>No</v>
      </c>
    </row>
    <row r="29" spans="1:26">
      <c r="A29" s="450"/>
      <c r="B29" s="691" t="s">
        <v>61</v>
      </c>
      <c r="C29" s="698" t="s">
        <v>96</v>
      </c>
      <c r="D29" s="616" t="s">
        <v>95</v>
      </c>
      <c r="E29" s="990">
        <f>IFERROR(VLOOKUP(B29,'3a-RTO - Dryer GHM DHM'!$B$28:$D$82,3,FALSE),"-")</f>
        <v>2.6385957352941197E-4</v>
      </c>
      <c r="F29" s="793">
        <f>IFERROR(SUM(VLOOKUP(B29,'3b-Dryer (Furnace Bypass)'!$B$31:$H$81,7,FALSE),VLOOKUP(B29,'3c-Dryer (Furnace Idle)'!$B$33:$H$83,7,FALSE)),"-")</f>
        <v>2.8647937499999996E-5</v>
      </c>
      <c r="G29" s="793">
        <f>IFERROR(VLOOKUP(B29,'4-Dryer Duct Burners'!$B$33:$H$69,7,FALSE),"-")</f>
        <v>1.8035294117647058E-6</v>
      </c>
      <c r="H29" s="793">
        <f>IFERROR(VLOOKUP(B29,'5-RCO - PC-PM-DSHM'!$B$25:$D$48,3,FALSE),"-")</f>
        <v>7.1419764705882347E-6</v>
      </c>
      <c r="I29" s="740" t="s">
        <v>38</v>
      </c>
      <c r="J29" s="741" t="str">
        <f>IF(SUMIF('11 - IES-GN, IES-FWP'!$B$30:$B$38,B29,'11 - IES-GN, IES-FWP'!$F$30:$F$38)&gt;0,SUMIF('11 - IES-GN, IES-FWP'!$B$30:$B$38,B29,'11 - IES-GN, IES-FWP'!$F$30:$F$38),"-")</f>
        <v>-</v>
      </c>
      <c r="K29" s="741" t="str">
        <f>IF(SUMIF('11 - IES-GN, IES-FWP'!$B$73:$B$81,B29,'11 - IES-GN, IES-FWP'!$F$73:$F$81)&gt;0,SUMIF('11 - IES-GN, IES-FWP'!$B$73:$B$81,B29,'11 - IES-GN, IES-FWP'!$F$73:$F$81),"-")</f>
        <v>-</v>
      </c>
      <c r="L29" s="744" t="s">
        <v>38</v>
      </c>
      <c r="M29" s="793">
        <f>'14 - Boilers'!G55*'14 - Boilers'!C10</f>
        <v>7.1419764705882355E-6</v>
      </c>
      <c r="N29" s="742">
        <f t="shared" si="2"/>
        <v>3.0859499338235319E-4</v>
      </c>
      <c r="O29" s="745" t="str">
        <f t="shared" si="1"/>
        <v>No</v>
      </c>
    </row>
    <row r="30" spans="1:26">
      <c r="A30" s="450"/>
      <c r="B30" s="693" t="s">
        <v>150</v>
      </c>
      <c r="C30" s="700" t="s">
        <v>95</v>
      </c>
      <c r="D30" s="616" t="s">
        <v>95</v>
      </c>
      <c r="E30" s="990">
        <f>IFERROR(VLOOKUP(B30,'3a-RTO - Dryer GHM DHM'!$B$28:$D$82,3,FALSE),"-")</f>
        <v>2.0457176470588235E-4</v>
      </c>
      <c r="F30" s="793" t="str">
        <f>IFERROR(SUM(VLOOKUP(B30,'3b-Dryer (Furnace Bypass)'!$B$31:$H$81,7,FALSE),VLOOKUP(B30,'3c-Dryer (Furnace Idle)'!$B$33:$H$83,7,FALSE)),"-")</f>
        <v>-</v>
      </c>
      <c r="G30" s="793">
        <f>IFERROR(VLOOKUP(B30,'4-Dryer Duct Burners'!$B$33:$H$69,7,FALSE),"-")</f>
        <v>2.5764705882352938E-5</v>
      </c>
      <c r="H30" s="793">
        <f>IFERROR(VLOOKUP(B30,'5-RCO - PC-PM-DSHM'!$B$25:$D$48,3,FALSE),"-")</f>
        <v>1.0202823529411764E-4</v>
      </c>
      <c r="I30" s="740" t="s">
        <v>38</v>
      </c>
      <c r="J30" s="741" t="str">
        <f>IF(SUMIF('11 - IES-GN, IES-FWP'!$B$30:$B$38,B30,'11 - IES-GN, IES-FWP'!$F$30:$F$38)&gt;0,SUMIF('11 - IES-GN, IES-FWP'!$B$30:$B$38,B30,'11 - IES-GN, IES-FWP'!$F$30:$F$38),"-")</f>
        <v>-</v>
      </c>
      <c r="K30" s="741" t="str">
        <f>IF(SUMIF('11 - IES-GN, IES-FWP'!$B$73:$B$81,B30,'11 - IES-GN, IES-FWP'!$F$73:$F$81)&gt;0,SUMIF('11 - IES-GN, IES-FWP'!$B$73:$B$81,B30,'11 - IES-GN, IES-FWP'!$F$73:$F$81),"-")</f>
        <v>-</v>
      </c>
      <c r="L30" s="744" t="s">
        <v>38</v>
      </c>
      <c r="M30" s="793">
        <f>'14 - Boilers'!G57*'14 - Boilers'!C10</f>
        <v>1.0202823529411764E-4</v>
      </c>
      <c r="N30" s="742">
        <f t="shared" si="2"/>
        <v>4.3439294117647055E-4</v>
      </c>
      <c r="O30" s="745" t="str">
        <f t="shared" ref="O30" si="4">IF(N30&lt;10,"No","Yes")</f>
        <v>No</v>
      </c>
    </row>
    <row r="31" spans="1:26" s="59" customFormat="1">
      <c r="A31" s="746"/>
      <c r="B31" s="693" t="s">
        <v>126</v>
      </c>
      <c r="C31" s="700" t="s">
        <v>95</v>
      </c>
      <c r="D31" s="616" t="s">
        <v>95</v>
      </c>
      <c r="E31" s="990">
        <f>IFERROR(VLOOKUP(B31,'3a-RTO - Dryer GHM DHM'!$B$28:$D$82,3,FALSE),"-")</f>
        <v>1.113330300000001E-3</v>
      </c>
      <c r="F31" s="793">
        <f>IFERROR(SUM(VLOOKUP(B31,'3b-Dryer (Furnace Bypass)'!$B$31:$H$81,7,FALSE),VLOOKUP(B31,'3c-Dryer (Furnace Idle)'!$B$33:$H$83,7,FALSE)),"-")</f>
        <v>1.27813875E-4</v>
      </c>
      <c r="G31" s="793" t="str">
        <f>IFERROR(VLOOKUP(B31,'4-Dryer Duct Burners'!$B$33:$H$69,7,FALSE),"-")</f>
        <v>-</v>
      </c>
      <c r="H31" s="793" t="str">
        <f>IFERROR(VLOOKUP(B31,'5-RCO - PC-PM-DSHM'!$B$25:$D$48,3,FALSE),"-")</f>
        <v>-</v>
      </c>
      <c r="I31" s="740" t="s">
        <v>38</v>
      </c>
      <c r="J31" s="741" t="str">
        <f>IF(SUMIF('11 - IES-GN, IES-FWP'!$B$30:$B$38,B31,'11 - IES-GN, IES-FWP'!$F$30:$F$38)&gt;0,SUMIF('11 - IES-GN, IES-FWP'!$B$30:$B$38,B31,'11 - IES-GN, IES-FWP'!$F$30:$F$38),"-")</f>
        <v>-</v>
      </c>
      <c r="K31" s="741" t="str">
        <f>IF(SUMIF('11 - IES-GN, IES-FWP'!$B$73:$B$81,B31,'11 - IES-GN, IES-FWP'!$F$73:$F$81)&gt;0,SUMIF('11 - IES-GN, IES-FWP'!$B$73:$B$81,B31,'11 - IES-GN, IES-FWP'!$F$73:$F$81),"-")</f>
        <v>-</v>
      </c>
      <c r="L31" s="747" t="s">
        <v>38</v>
      </c>
      <c r="M31" s="960" t="s">
        <v>38</v>
      </c>
      <c r="N31" s="742">
        <f t="shared" si="2"/>
        <v>1.2411441750000011E-3</v>
      </c>
      <c r="O31" s="745" t="str">
        <f t="shared" si="1"/>
        <v>No</v>
      </c>
      <c r="Q31" s="93"/>
      <c r="R31" s="93"/>
      <c r="S31" s="93"/>
      <c r="T31" s="93"/>
      <c r="U31" s="93"/>
      <c r="V31" s="93"/>
      <c r="W31" s="93"/>
      <c r="X31" s="93"/>
      <c r="Y31" s="93"/>
      <c r="Z31" s="93"/>
    </row>
    <row r="32" spans="1:26">
      <c r="A32" s="450"/>
      <c r="B32" s="693" t="s">
        <v>127</v>
      </c>
      <c r="C32" s="700" t="s">
        <v>96</v>
      </c>
      <c r="D32" s="616" t="s">
        <v>95</v>
      </c>
      <c r="E32" s="990">
        <f>IFERROR(VLOOKUP(B32,'3a-RTO - Dryer GHM DHM'!$B$28:$D$82,3,FALSE),"-")</f>
        <v>1.2668931000000012E-3</v>
      </c>
      <c r="F32" s="793">
        <f>IFERROR(SUM(VLOOKUP(B32,'3b-Dryer (Furnace Bypass)'!$B$31:$H$81,7,FALSE),VLOOKUP(B32,'3c-Dryer (Furnace Idle)'!$B$33:$H$83,7,FALSE)),"-")</f>
        <v>1.45443375E-4</v>
      </c>
      <c r="G32" s="793" t="str">
        <f>IFERROR(VLOOKUP(B32,'4-Dryer Duct Burners'!$B$33:$H$69,7,FALSE),"-")</f>
        <v>-</v>
      </c>
      <c r="H32" s="793" t="str">
        <f>IFERROR(VLOOKUP(B32,'5-RCO - PC-PM-DSHM'!$B$25:$D$48,3,FALSE),"-")</f>
        <v>-</v>
      </c>
      <c r="I32" s="740" t="s">
        <v>38</v>
      </c>
      <c r="J32" s="741" t="str">
        <f>IF(SUMIF('11 - IES-GN, IES-FWP'!$B$30:$B$38,B32,'11 - IES-GN, IES-FWP'!$F$30:$F$38)&gt;0,SUMIF('11 - IES-GN, IES-FWP'!$B$30:$B$38,B32,'11 - IES-GN, IES-FWP'!$F$30:$F$38),"-")</f>
        <v>-</v>
      </c>
      <c r="K32" s="741" t="str">
        <f>IF(SUMIF('11 - IES-GN, IES-FWP'!$B$73:$B$81,B32,'11 - IES-GN, IES-FWP'!$F$73:$F$81)&gt;0,SUMIF('11 - IES-GN, IES-FWP'!$B$73:$B$81,B32,'11 - IES-GN, IES-FWP'!$F$73:$F$81),"-")</f>
        <v>-</v>
      </c>
      <c r="L32" s="744" t="s">
        <v>38</v>
      </c>
      <c r="M32" s="793" t="s">
        <v>38</v>
      </c>
      <c r="N32" s="742">
        <f t="shared" si="2"/>
        <v>1.4123364750000013E-3</v>
      </c>
      <c r="O32" s="745" t="str">
        <f t="shared" si="1"/>
        <v>No</v>
      </c>
    </row>
    <row r="33" spans="1:15">
      <c r="A33" s="450"/>
      <c r="B33" s="691" t="s">
        <v>62</v>
      </c>
      <c r="C33" s="698" t="s">
        <v>96</v>
      </c>
      <c r="D33" s="616" t="s">
        <v>95</v>
      </c>
      <c r="E33" s="990">
        <f>IFERROR(VLOOKUP(B33,'3a-RTO - Dryer GHM DHM'!$B$28:$D$82,3,FALSE),"-")</f>
        <v>6.9103260000000059E-6</v>
      </c>
      <c r="F33" s="793">
        <f>IFERROR(SUM(VLOOKUP(B33,'3b-Dryer (Furnace Bypass)'!$B$31:$H$81,7,FALSE),VLOOKUP(B33,'3c-Dryer (Furnace Idle)'!$B$33:$H$83,7,FALSE)),"-")</f>
        <v>7.9332750000000001E-7</v>
      </c>
      <c r="G33" s="793" t="str">
        <f>IFERROR(VLOOKUP(B33,'4-Dryer Duct Burners'!$B$33:$H$69,7,FALSE),"-")</f>
        <v>-</v>
      </c>
      <c r="H33" s="793" t="str">
        <f>IFERROR(VLOOKUP(B33,'5-RCO - PC-PM-DSHM'!$B$25:$D$48,3,FALSE),"-")</f>
        <v>-</v>
      </c>
      <c r="I33" s="740" t="s">
        <v>38</v>
      </c>
      <c r="J33" s="741" t="str">
        <f>IF(SUMIF('11 - IES-GN, IES-FWP'!$B$30:$B$38,B33,'11 - IES-GN, IES-FWP'!$F$30:$F$38)&gt;0,SUMIF('11 - IES-GN, IES-FWP'!$B$30:$B$38,B33,'11 - IES-GN, IES-FWP'!$F$30:$F$38),"-")</f>
        <v>-</v>
      </c>
      <c r="K33" s="741" t="str">
        <f>IF(SUMIF('11 - IES-GN, IES-FWP'!$B$73:$B$81,B33,'11 - IES-GN, IES-FWP'!$F$73:$F$81)&gt;0,SUMIF('11 - IES-GN, IES-FWP'!$B$73:$B$81,B33,'11 - IES-GN, IES-FWP'!$F$73:$F$81),"-")</f>
        <v>-</v>
      </c>
      <c r="L33" s="744" t="s">
        <v>38</v>
      </c>
      <c r="M33" s="793" t="s">
        <v>38</v>
      </c>
      <c r="N33" s="742">
        <f t="shared" si="2"/>
        <v>7.7036535000000067E-6</v>
      </c>
      <c r="O33" s="745" t="str">
        <f t="shared" si="1"/>
        <v>No</v>
      </c>
    </row>
    <row r="34" spans="1:15">
      <c r="A34" s="450"/>
      <c r="B34" s="691" t="s">
        <v>128</v>
      </c>
      <c r="C34" s="698" t="s">
        <v>95</v>
      </c>
      <c r="D34" s="616" t="s">
        <v>95</v>
      </c>
      <c r="E34" s="990">
        <f>IFERROR(VLOOKUP(B34,'3a-RTO - Dryer GHM DHM'!$B$28:$D$82,3,FALSE),"-")</f>
        <v>1.8043629000000014E-6</v>
      </c>
      <c r="F34" s="793">
        <f>IFERROR(SUM(VLOOKUP(B34,'3b-Dryer (Furnace Bypass)'!$B$31:$H$81,7,FALSE),VLOOKUP(B34,'3c-Dryer (Furnace Idle)'!$B$33:$H$83,7,FALSE)),"-")</f>
        <v>2.0714662500000001E-7</v>
      </c>
      <c r="G34" s="793" t="str">
        <f>IFERROR(VLOOKUP(B34,'4-Dryer Duct Burners'!$B$33:$H$69,7,FALSE),"-")</f>
        <v>-</v>
      </c>
      <c r="H34" s="793" t="str">
        <f>IFERROR(VLOOKUP(B34,'5-RCO - PC-PM-DSHM'!$B$25:$D$48,3,FALSE),"-")</f>
        <v>-</v>
      </c>
      <c r="I34" s="740" t="s">
        <v>38</v>
      </c>
      <c r="J34" s="741" t="str">
        <f>IF(SUMIF('11 - IES-GN, IES-FWP'!$B$30:$B$38,B34,'11 - IES-GN, IES-FWP'!$F$30:$F$38)&gt;0,SUMIF('11 - IES-GN, IES-FWP'!$B$30:$B$38,B34,'11 - IES-GN, IES-FWP'!$F$30:$F$38),"-")</f>
        <v>-</v>
      </c>
      <c r="K34" s="741" t="str">
        <f>IF(SUMIF('11 - IES-GN, IES-FWP'!$B$73:$B$81,B34,'11 - IES-GN, IES-FWP'!$F$73:$F$81)&gt;0,SUMIF('11 - IES-GN, IES-FWP'!$B$73:$B$81,B34,'11 - IES-GN, IES-FWP'!$F$73:$F$81),"-")</f>
        <v>-</v>
      </c>
      <c r="L34" s="744" t="s">
        <v>38</v>
      </c>
      <c r="M34" s="793" t="s">
        <v>38</v>
      </c>
      <c r="N34" s="742">
        <f t="shared" si="2"/>
        <v>2.0115095250000015E-6</v>
      </c>
      <c r="O34" s="745" t="str">
        <f t="shared" si="1"/>
        <v>No</v>
      </c>
    </row>
    <row r="35" spans="1:15">
      <c r="A35" s="450"/>
      <c r="B35" s="691" t="s">
        <v>63</v>
      </c>
      <c r="C35" s="698" t="s">
        <v>96</v>
      </c>
      <c r="D35" s="616" t="s">
        <v>95</v>
      </c>
      <c r="E35" s="990">
        <f>IFERROR(VLOOKUP(B35,'3a-RTO - Dryer GHM DHM'!$B$28:$D$82,3,FALSE),"-")</f>
        <v>1.1901117000000013E-3</v>
      </c>
      <c r="F35" s="793">
        <f>IFERROR(SUM(VLOOKUP(B35,'3b-Dryer (Furnace Bypass)'!$B$31:$H$81,7,FALSE),VLOOKUP(B35,'3c-Dryer (Furnace Idle)'!$B$33:$H$83,7,FALSE)),"-")</f>
        <v>1.3662862500000002E-4</v>
      </c>
      <c r="G35" s="793" t="str">
        <f>IFERROR(VLOOKUP(B35,'4-Dryer Duct Burners'!$B$33:$H$69,7,FALSE),"-")</f>
        <v>-</v>
      </c>
      <c r="H35" s="793" t="str">
        <f>IFERROR(VLOOKUP(B35,'5-RCO - PC-PM-DSHM'!$B$25:$D$48,3,FALSE),"-")</f>
        <v>-</v>
      </c>
      <c r="I35" s="740" t="s">
        <v>38</v>
      </c>
      <c r="J35" s="741" t="str">
        <f>IF(SUMIF('11 - IES-GN, IES-FWP'!$B$30:$B$38,B35,'11 - IES-GN, IES-FWP'!$F$30:$F$38)&gt;0,SUMIF('11 - IES-GN, IES-FWP'!$B$30:$B$38,B35,'11 - IES-GN, IES-FWP'!$F$30:$F$38),"-")</f>
        <v>-</v>
      </c>
      <c r="K35" s="741" t="str">
        <f>IF(SUMIF('11 - IES-GN, IES-FWP'!$B$73:$B$81,B35,'11 - IES-GN, IES-FWP'!$F$73:$F$81)&gt;0,SUMIF('11 - IES-GN, IES-FWP'!$B$73:$B$81,B35,'11 - IES-GN, IES-FWP'!$F$73:$F$81),"-")</f>
        <v>-</v>
      </c>
      <c r="L35" s="744" t="s">
        <v>38</v>
      </c>
      <c r="M35" s="793" t="s">
        <v>38</v>
      </c>
      <c r="N35" s="742">
        <f t="shared" si="2"/>
        <v>1.3267403250000014E-3</v>
      </c>
      <c r="O35" s="745" t="str">
        <f t="shared" si="1"/>
        <v>No</v>
      </c>
    </row>
    <row r="36" spans="1:15">
      <c r="A36" s="450"/>
      <c r="B36" s="694" t="s">
        <v>474</v>
      </c>
      <c r="C36" s="701" t="s">
        <v>95</v>
      </c>
      <c r="D36" s="625" t="s">
        <v>96</v>
      </c>
      <c r="E36" s="990">
        <f>IFERROR(VLOOKUP(B36,'3a-RTO - Dryer GHM DHM'!$B$28:$D$82,3,FALSE),"-")</f>
        <v>6.1425120000000051E-4</v>
      </c>
      <c r="F36" s="793">
        <f>IFERROR(SUM(VLOOKUP(B36,'3b-Dryer (Furnace Bypass)'!$B$31:$H$81,7,FALSE),VLOOKUP(B36,'3c-Dryer (Furnace Idle)'!$B$33:$H$83,7,FALSE)),"-")</f>
        <v>7.0518E-6</v>
      </c>
      <c r="G36" s="793" t="str">
        <f>IFERROR(VLOOKUP(B36,'4-Dryer Duct Burners'!$B$33:$H$69,7,FALSE),"-")</f>
        <v>-</v>
      </c>
      <c r="H36" s="793" t="str">
        <f>IFERROR(VLOOKUP(B36,'5-RCO - PC-PM-DSHM'!$B$25:$D$48,3,FALSE),"-")</f>
        <v>-</v>
      </c>
      <c r="I36" s="740" t="s">
        <v>38</v>
      </c>
      <c r="J36" s="741" t="str">
        <f>IF(SUMIF('11 - IES-GN, IES-FWP'!$B$30:$B$38,B36,'11 - IES-GN, IES-FWP'!$F$30:$F$38)&gt;0,SUMIF('11 - IES-GN, IES-FWP'!$B$30:$B$38,B36,'11 - IES-GN, IES-FWP'!$F$30:$F$38),"-")</f>
        <v>-</v>
      </c>
      <c r="K36" s="741" t="str">
        <f>IF(SUMIF('11 - IES-GN, IES-FWP'!$B$73:$B$81,B36,'11 - IES-GN, IES-FWP'!$F$73:$F$81)&gt;0,SUMIF('11 - IES-GN, IES-FWP'!$B$73:$B$81,B36,'11 - IES-GN, IES-FWP'!$F$73:$F$81),"-")</f>
        <v>-</v>
      </c>
      <c r="L36" s="744" t="s">
        <v>38</v>
      </c>
      <c r="M36" s="793" t="s">
        <v>38</v>
      </c>
      <c r="N36" s="742">
        <f t="shared" si="2"/>
        <v>6.2130300000000057E-4</v>
      </c>
      <c r="O36" s="745" t="str">
        <f t="shared" si="1"/>
        <v>No</v>
      </c>
    </row>
    <row r="37" spans="1:15">
      <c r="A37" s="450"/>
      <c r="B37" s="694" t="s">
        <v>153</v>
      </c>
      <c r="C37" s="701" t="s">
        <v>95</v>
      </c>
      <c r="D37" s="625" t="s">
        <v>95</v>
      </c>
      <c r="E37" s="990">
        <f>IFERROR(VLOOKUP(B37,'3a-RTO - Dryer GHM DHM'!$B$28:$D$82,3,FALSE),"-")</f>
        <v>0.30685764705882362</v>
      </c>
      <c r="F37" s="793" t="str">
        <f>IFERROR(SUM(VLOOKUP(B37,'3b-Dryer (Furnace Bypass)'!$B$31:$H$81,7,FALSE),VLOOKUP(B37,'3c-Dryer (Furnace Idle)'!$B$33:$H$83,7,FALSE)),"-")</f>
        <v>-</v>
      </c>
      <c r="G37" s="793">
        <f>IFERROR(VLOOKUP(B37,'4-Dryer Duct Burners'!$B$33:$H$69,7,FALSE),"-")</f>
        <v>3.8647058823529416E-2</v>
      </c>
      <c r="H37" s="793">
        <f>IFERROR(VLOOKUP(B37,'5-RCO - PC-PM-DSHM'!$B$25:$D$48,3,FALSE),"-")</f>
        <v>0.15304235294117649</v>
      </c>
      <c r="I37" s="740" t="s">
        <v>38</v>
      </c>
      <c r="J37" s="741" t="str">
        <f>IF(SUMIF('11 - IES-GN, IES-FWP'!$B$30:$B$38,B37,'11 - IES-GN, IES-FWP'!$F$30:$F$38)&gt;0,SUMIF('11 - IES-GN, IES-FWP'!$B$30:$B$38,B37,'11 - IES-GN, IES-FWP'!$F$30:$F$38),"-")</f>
        <v>-</v>
      </c>
      <c r="K37" s="741" t="str">
        <f>IF(SUMIF('11 - IES-GN, IES-FWP'!$B$73:$B$81,B37,'11 - IES-GN, IES-FWP'!$F$73:$F$81)&gt;0,SUMIF('11 - IES-GN, IES-FWP'!$B$73:$B$81,B37,'11 - IES-GN, IES-FWP'!$F$73:$F$81),"-")</f>
        <v>-</v>
      </c>
      <c r="L37" s="744" t="s">
        <v>38</v>
      </c>
      <c r="M37" s="793">
        <f>'14 - Boilers'!G61*'14 - Boilers'!C10</f>
        <v>0.15304235294117649</v>
      </c>
      <c r="N37" s="742">
        <f t="shared" si="2"/>
        <v>0.65158941176470608</v>
      </c>
      <c r="O37" s="745" t="str">
        <f t="shared" ref="O37:O38" si="5">IF(N37&lt;10,"No","Yes")</f>
        <v>No</v>
      </c>
    </row>
    <row r="38" spans="1:15">
      <c r="A38" s="450"/>
      <c r="B38" s="691" t="s">
        <v>129</v>
      </c>
      <c r="C38" s="698" t="s">
        <v>95</v>
      </c>
      <c r="D38" s="625" t="s">
        <v>95</v>
      </c>
      <c r="E38" s="990">
        <f>IFERROR(VLOOKUP(B38,'3a-RTO - Dryer GHM DHM'!$B$28:$D$82,3,FALSE),"-")</f>
        <v>0.36613327028160264</v>
      </c>
      <c r="F38" s="793">
        <f>IFERROR(SUM(VLOOKUP(B38,'3b-Dryer (Furnace Bypass)'!$B$31:$H$81,7,FALSE),VLOOKUP(B38,'3c-Dryer (Furnace Idle)'!$B$33:$H$83,7,FALSE)),"-")</f>
        <v>8.3740124999999999E-2</v>
      </c>
      <c r="G38" s="793" t="str">
        <f>IFERROR(VLOOKUP(B38,'4-Dryer Duct Burners'!$B$33:$H$69,7,FALSE),"-")</f>
        <v>-</v>
      </c>
      <c r="H38" s="793" t="str">
        <f>IFERROR(VLOOKUP(B38,'5-RCO - PC-PM-DSHM'!$B$25:$D$48,3,FALSE),"-")</f>
        <v>-</v>
      </c>
      <c r="I38" s="740" t="s">
        <v>38</v>
      </c>
      <c r="J38" s="741" t="str">
        <f>IF(SUMIF('11 - IES-GN, IES-FWP'!$B$30:$B$38,B38,'11 - IES-GN, IES-FWP'!$F$30:$F$38)&gt;0,SUMIF('11 - IES-GN, IES-FWP'!$B$30:$B$38,B38,'11 - IES-GN, IES-FWP'!$F$30:$F$38),"-")</f>
        <v>-</v>
      </c>
      <c r="K38" s="741" t="str">
        <f>IF(SUMIF('11 - IES-GN, IES-FWP'!$B$73:$B$81,B38,'11 - IES-GN, IES-FWP'!$F$73:$F$81)&gt;0,SUMIF('11 - IES-GN, IES-FWP'!$B$73:$B$81,B38,'11 - IES-GN, IES-FWP'!$F$73:$F$81),"-")</f>
        <v>-</v>
      </c>
      <c r="L38" s="744" t="s">
        <v>38</v>
      </c>
      <c r="M38" s="793" t="s">
        <v>38</v>
      </c>
      <c r="N38" s="742">
        <f t="shared" si="2"/>
        <v>0.44987339528160264</v>
      </c>
      <c r="O38" s="745" t="str">
        <f t="shared" si="5"/>
        <v>No</v>
      </c>
    </row>
    <row r="39" spans="1:15">
      <c r="A39" s="450"/>
      <c r="B39" s="691" t="s">
        <v>295</v>
      </c>
      <c r="C39" s="698" t="s">
        <v>95</v>
      </c>
      <c r="D39" s="625" t="s">
        <v>95</v>
      </c>
      <c r="E39" s="990">
        <f>IFERROR(VLOOKUP(B39,'3a-RTO - Dryer GHM DHM'!$B$28:$D$82,3,FALSE),"-")</f>
        <v>1.9279918352941192E-3</v>
      </c>
      <c r="F39" s="793">
        <f>IFERROR(SUM(VLOOKUP(B39,'3b-Dryer (Furnace Bypass)'!$B$31:$H$81,7,FALSE),VLOOKUP(B39,'3c-Dryer (Furnace Idle)'!$B$33:$H$83,7,FALSE)),"-")</f>
        <v>2.1155399999999997E-4</v>
      </c>
      <c r="G39" s="793">
        <f>IFERROR(VLOOKUP(B39,'4-Dryer Duct Burners'!$B$33:$H$69,7,FALSE),"-")</f>
        <v>1.073529411764706E-5</v>
      </c>
      <c r="H39" s="793">
        <f>IFERROR(VLOOKUP(B39,'5-RCO - PC-PM-DSHM'!$B$25:$D$48,3,FALSE),"-")</f>
        <v>4.251176470588235E-5</v>
      </c>
      <c r="I39" s="740" t="s">
        <v>38</v>
      </c>
      <c r="J39" s="741" t="str">
        <f>IF(SUMIF('11 - IES-GN, IES-FWP'!$B$30:$B$38,B39,'11 - IES-GN, IES-FWP'!$F$30:$F$38)&gt;0,SUMIF('11 - IES-GN, IES-FWP'!$B$30:$B$38,B39,'11 - IES-GN, IES-FWP'!$F$30:$F$38),"-")</f>
        <v>-</v>
      </c>
      <c r="K39" s="741" t="str">
        <f>IF(SUMIF('11 - IES-GN, IES-FWP'!$B$73:$B$81,B39,'11 - IES-GN, IES-FWP'!$F$73:$F$81)&gt;0,SUMIF('11 - IES-GN, IES-FWP'!$B$73:$B$81,B39,'11 - IES-GN, IES-FWP'!$F$73:$F$81),"-")</f>
        <v>-</v>
      </c>
      <c r="L39" s="744" t="s">
        <v>38</v>
      </c>
      <c r="M39" s="793">
        <f>'14 - Boilers'!G63*'14 - Boilers'!C10</f>
        <v>4.2511764705882357E-5</v>
      </c>
      <c r="N39" s="742">
        <f t="shared" si="2"/>
        <v>2.2353046588235305E-3</v>
      </c>
      <c r="O39" s="745" t="str">
        <f t="shared" si="1"/>
        <v>No</v>
      </c>
    </row>
    <row r="40" spans="1:15">
      <c r="A40" s="450"/>
      <c r="B40" s="691" t="s">
        <v>485</v>
      </c>
      <c r="C40" s="698" t="s">
        <v>95</v>
      </c>
      <c r="D40" s="625" t="s">
        <v>95</v>
      </c>
      <c r="E40" s="990">
        <f>IFERROR(VLOOKUP(B40,'3a-RTO - Dryer GHM DHM'!$B$28:$D$82,3,FALSE),"-")</f>
        <v>6.1489901058823584E-2</v>
      </c>
      <c r="F40" s="793">
        <f>IFERROR(SUM(VLOOKUP(B40,'3b-Dryer (Furnace Bypass)'!$B$31:$H$81,7,FALSE),VLOOKUP(B40,'3c-Dryer (Furnace Idle)'!$B$33:$H$83,7,FALSE)),"-")</f>
        <v>7.0518000000000004E-3</v>
      </c>
      <c r="G40" s="793">
        <f>IFERROR(VLOOKUP(B40,'4-Dryer Duct Burners'!$B$33:$H$69,7,FALSE),"-")</f>
        <v>8.1588235294117654E-6</v>
      </c>
      <c r="H40" s="793">
        <f>IFERROR(VLOOKUP(B40,'5-RCO - PC-PM-DSHM'!$B$25:$D$48,3,FALSE),"-")</f>
        <v>3.2308941176470591E-5</v>
      </c>
      <c r="I40" s="740" t="s">
        <v>38</v>
      </c>
      <c r="J40" s="741" t="str">
        <f>IF(SUMIF('11 - IES-GN, IES-FWP'!$B$30:$B$38,B40,'11 - IES-GN, IES-FWP'!$F$30:$F$38)&gt;0,SUMIF('11 - IES-GN, IES-FWP'!$B$30:$B$38,B40,'11 - IES-GN, IES-FWP'!$F$30:$F$38),"-")</f>
        <v>-</v>
      </c>
      <c r="K40" s="741" t="str">
        <f>IF(SUMIF('11 - IES-GN, IES-FWP'!$B$73:$B$81,B40,'11 - IES-GN, IES-FWP'!$F$73:$F$81)&gt;0,SUMIF('11 - IES-GN, IES-FWP'!$B$73:$B$81,B40,'11 - IES-GN, IES-FWP'!$F$73:$F$81),"-")</f>
        <v>-</v>
      </c>
      <c r="L40" s="744" t="s">
        <v>38</v>
      </c>
      <c r="M40" s="793">
        <f>'14 - Boilers'!G64*'14 - Boilers'!C10</f>
        <v>3.2308941176470597E-5</v>
      </c>
      <c r="N40" s="742">
        <f t="shared" si="2"/>
        <v>6.8614477764705917E-2</v>
      </c>
      <c r="O40" s="745" t="str">
        <f t="shared" si="1"/>
        <v>No</v>
      </c>
    </row>
    <row r="41" spans="1:15">
      <c r="A41" s="450"/>
      <c r="B41" s="691" t="s">
        <v>155</v>
      </c>
      <c r="C41" s="698" t="s">
        <v>95</v>
      </c>
      <c r="D41" s="625" t="s">
        <v>95</v>
      </c>
      <c r="E41" s="990">
        <f>IFERROR(VLOOKUP(B41,'3a-RTO - Dryer GHM DHM'!$B$28:$D$82,3,FALSE),"-")</f>
        <v>1.7869133235294128E-4</v>
      </c>
      <c r="F41" s="793">
        <f>IFERROR(SUM(VLOOKUP(B41,'3b-Dryer (Furnace Bypass)'!$B$31:$H$81,7,FALSE),VLOOKUP(B41,'3c-Dryer (Furnace Idle)'!$B$33:$H$83,7,FALSE)),"-")</f>
        <v>1.5425812499999998E-5</v>
      </c>
      <c r="G41" s="793">
        <f>IFERROR(VLOOKUP(B41,'4-Dryer Duct Burners'!$B$33:$H$69,7,FALSE),"-")</f>
        <v>5.5823529411764704E-6</v>
      </c>
      <c r="H41" s="793">
        <f>IFERROR(VLOOKUP(B41,'5-RCO - PC-PM-DSHM'!$B$25:$D$48,3,FALSE),"-")</f>
        <v>2.2106117647058821E-5</v>
      </c>
      <c r="I41" s="740" t="s">
        <v>38</v>
      </c>
      <c r="J41" s="741" t="str">
        <f>IF(SUMIF('11 - IES-GN, IES-FWP'!$B$30:$B$38,B41,'11 - IES-GN, IES-FWP'!$F$30:$F$38)&gt;0,SUMIF('11 - IES-GN, IES-FWP'!$B$30:$B$38,B41,'11 - IES-GN, IES-FWP'!$F$30:$F$38),"-")</f>
        <v>-</v>
      </c>
      <c r="K41" s="741" t="str">
        <f>IF(SUMIF('11 - IES-GN, IES-FWP'!$B$73:$B$81,B41,'11 - IES-GN, IES-FWP'!$F$73:$F$81)&gt;0,SUMIF('11 - IES-GN, IES-FWP'!$B$73:$B$81,B41,'11 - IES-GN, IES-FWP'!$F$73:$F$81),"-")</f>
        <v>-</v>
      </c>
      <c r="L41" s="744" t="s">
        <v>38</v>
      </c>
      <c r="M41" s="793">
        <f>'14 - Boilers'!G65*'14 - Boilers'!C10</f>
        <v>2.2106117647058824E-5</v>
      </c>
      <c r="N41" s="742">
        <f t="shared" si="2"/>
        <v>2.4391173308823538E-4</v>
      </c>
      <c r="O41" s="745" t="str">
        <f t="shared" si="1"/>
        <v>No</v>
      </c>
    </row>
    <row r="42" spans="1:15">
      <c r="A42" s="450"/>
      <c r="B42" s="691" t="s">
        <v>130</v>
      </c>
      <c r="C42" s="698" t="s">
        <v>96</v>
      </c>
      <c r="D42" s="625" t="s">
        <v>95</v>
      </c>
      <c r="E42" s="990">
        <f>IFERROR(VLOOKUP(B42,'3a-RTO - Dryer GHM DHM'!$B$28:$D$82,3,FALSE),"-")</f>
        <v>5.7586050000000058E-4</v>
      </c>
      <c r="F42" s="793">
        <f>IFERROR(SUM(VLOOKUP(B42,'3b-Dryer (Furnace Bypass)'!$B$31:$H$81,7,FALSE),VLOOKUP(B42,'3c-Dryer (Furnace Idle)'!$B$33:$H$83,7,FALSE)),"-")</f>
        <v>6.6110624999999999E-5</v>
      </c>
      <c r="G42" s="793" t="str">
        <f>IFERROR(VLOOKUP(B42,'4-Dryer Duct Burners'!$B$33:$H$69,7,FALSE),"-")</f>
        <v>-</v>
      </c>
      <c r="H42" s="793" t="str">
        <f>IFERROR(VLOOKUP(B42,'5-RCO - PC-PM-DSHM'!$B$25:$D$48,3,FALSE),"-")</f>
        <v>-</v>
      </c>
      <c r="I42" s="740" t="s">
        <v>38</v>
      </c>
      <c r="J42" s="741" t="str">
        <f>IF(SUMIF('11 - IES-GN, IES-FWP'!$B$30:$B$38,B42,'11 - IES-GN, IES-FWP'!$F$30:$F$38)&gt;0,SUMIF('11 - IES-GN, IES-FWP'!$B$30:$B$38,B42,'11 - IES-GN, IES-FWP'!$F$30:$F$38),"-")</f>
        <v>-</v>
      </c>
      <c r="K42" s="741" t="str">
        <f>IF(SUMIF('11 - IES-GN, IES-FWP'!$B$73:$B$81,B42,'11 - IES-GN, IES-FWP'!$F$73:$F$81)&gt;0,SUMIF('11 - IES-GN, IES-FWP'!$B$73:$B$81,B42,'11 - IES-GN, IES-FWP'!$F$73:$F$81),"-")</f>
        <v>-</v>
      </c>
      <c r="L42" s="744" t="s">
        <v>38</v>
      </c>
      <c r="M42" s="793" t="s">
        <v>38</v>
      </c>
      <c r="N42" s="742">
        <f t="shared" si="2"/>
        <v>6.4197112500000055E-4</v>
      </c>
      <c r="O42" s="745" t="str">
        <f t="shared" si="1"/>
        <v>No</v>
      </c>
    </row>
    <row r="43" spans="1:15">
      <c r="A43" s="450"/>
      <c r="B43" s="691" t="s">
        <v>131</v>
      </c>
      <c r="C43" s="698" t="s">
        <v>96</v>
      </c>
      <c r="D43" s="625" t="s">
        <v>95</v>
      </c>
      <c r="E43" s="990">
        <f>IFERROR(VLOOKUP(B43,'3a-RTO - Dryer GHM DHM'!$B$28:$D$82,3,FALSE),"-")</f>
        <v>8.8298610000000068E-4</v>
      </c>
      <c r="F43" s="793">
        <f>IFERROR(SUM(VLOOKUP(B43,'3b-Dryer (Furnace Bypass)'!$B$31:$H$81,7,FALSE),VLOOKUP(B43,'3c-Dryer (Furnace Idle)'!$B$33:$H$83,7,FALSE)),"-")</f>
        <v>1.0136962499999999E-4</v>
      </c>
      <c r="G43" s="793" t="str">
        <f>IFERROR(VLOOKUP(B43,'4-Dryer Duct Burners'!$B$33:$H$69,7,FALSE),"-")</f>
        <v>-</v>
      </c>
      <c r="H43" s="793" t="str">
        <f>IFERROR(VLOOKUP(B43,'5-RCO - PC-PM-DSHM'!$B$25:$D$48,3,FALSE),"-")</f>
        <v>-</v>
      </c>
      <c r="I43" s="740" t="s">
        <v>38</v>
      </c>
      <c r="J43" s="741" t="str">
        <f>IF(SUMIF('11 - IES-GN, IES-FWP'!$B$30:$B$38,B43,'11 - IES-GN, IES-FWP'!$F$30:$F$38)&gt;0,SUMIF('11 - IES-GN, IES-FWP'!$B$30:$B$38,B43,'11 - IES-GN, IES-FWP'!$F$30:$F$38),"-")</f>
        <v>-</v>
      </c>
      <c r="K43" s="741" t="str">
        <f>IF(SUMIF('11 - IES-GN, IES-FWP'!$B$73:$B$81,B43,'11 - IES-GN, IES-FWP'!$F$73:$F$81)&gt;0,SUMIF('11 - IES-GN, IES-FWP'!$B$73:$B$81,B43,'11 - IES-GN, IES-FWP'!$F$73:$F$81),"-")</f>
        <v>-</v>
      </c>
      <c r="L43" s="744" t="s">
        <v>38</v>
      </c>
      <c r="M43" s="793" t="s">
        <v>38</v>
      </c>
      <c r="N43" s="742">
        <f t="shared" si="2"/>
        <v>9.843557250000007E-4</v>
      </c>
      <c r="O43" s="745" t="str">
        <f t="shared" si="1"/>
        <v>No</v>
      </c>
    </row>
    <row r="44" spans="1:15">
      <c r="A44" s="450"/>
      <c r="B44" s="691" t="s">
        <v>459</v>
      </c>
      <c r="C44" s="698" t="s">
        <v>95</v>
      </c>
      <c r="D44" s="625" t="s">
        <v>96</v>
      </c>
      <c r="E44" s="990">
        <f>IFERROR(VLOOKUP(B44,'3a-RTO - Dryer GHM DHM'!$B$28:$D$82,3,FALSE),"-")</f>
        <v>2.0730978000000017E-4</v>
      </c>
      <c r="F44" s="793">
        <f>IFERROR(SUM(VLOOKUP(B44,'3b-Dryer (Furnace Bypass)'!$B$31:$H$81,7,FALSE),VLOOKUP(B44,'3c-Dryer (Furnace Idle)'!$B$33:$H$83,7,FALSE)),"-")</f>
        <v>2.3799825E-5</v>
      </c>
      <c r="G44" s="793" t="str">
        <f>IFERROR(VLOOKUP(B44,'4-Dryer Duct Burners'!$B$33:$H$69,7,FALSE),"-")</f>
        <v>-</v>
      </c>
      <c r="H44" s="793" t="str">
        <f>IFERROR(VLOOKUP(B44,'5-RCO - PC-PM-DSHM'!$B$25:$D$48,3,FALSE),"-")</f>
        <v>-</v>
      </c>
      <c r="I44" s="740" t="s">
        <v>38</v>
      </c>
      <c r="J44" s="741" t="str">
        <f>IF(SUMIF('11 - IES-GN, IES-FWP'!$B$30:$B$38,B44,'11 - IES-GN, IES-FWP'!$F$30:$F$38)&gt;0,SUMIF('11 - IES-GN, IES-FWP'!$B$30:$B$38,B44,'11 - IES-GN, IES-FWP'!$F$30:$F$38),"-")</f>
        <v>-</v>
      </c>
      <c r="K44" s="741" t="str">
        <f>IF(SUMIF('11 - IES-GN, IES-FWP'!$B$73:$B$81,B44,'11 - IES-GN, IES-FWP'!$F$73:$F$81)&gt;0,SUMIF('11 - IES-GN, IES-FWP'!$B$73:$B$81,B44,'11 - IES-GN, IES-FWP'!$F$73:$F$81),"-")</f>
        <v>-</v>
      </c>
      <c r="L44" s="744" t="s">
        <v>38</v>
      </c>
      <c r="M44" s="793" t="s">
        <v>38</v>
      </c>
      <c r="N44" s="742">
        <f t="shared" si="2"/>
        <v>2.3110960500000017E-4</v>
      </c>
      <c r="O44" s="745" t="str">
        <f t="shared" si="1"/>
        <v>No</v>
      </c>
    </row>
    <row r="45" spans="1:15">
      <c r="A45" s="450"/>
      <c r="B45" s="693" t="s">
        <v>17</v>
      </c>
      <c r="C45" s="700" t="s">
        <v>96</v>
      </c>
      <c r="D45" s="617" t="s">
        <v>95</v>
      </c>
      <c r="E45" s="990">
        <f>IFERROR(VLOOKUP(B45,'3a-RTO - Dryer GHM DHM'!$B$28:$D$82,3,FALSE),"-")</f>
        <v>1.1133303000000009E-2</v>
      </c>
      <c r="F45" s="793">
        <f>IFERROR(SUM(VLOOKUP(B45,'3b-Dryer (Furnace Bypass)'!$B$31:$H$81,7,FALSE),VLOOKUP(B45,'3c-Dryer (Furnace Idle)'!$B$33:$H$83,7,FALSE)),"-")</f>
        <v>1.2781387499999999E-3</v>
      </c>
      <c r="G45" s="793" t="str">
        <f>IFERROR(VLOOKUP(B45,'4-Dryer Duct Burners'!$B$33:$H$69,7,FALSE),"-")</f>
        <v>-</v>
      </c>
      <c r="H45" s="793" t="str">
        <f>IFERROR(VLOOKUP(B45,'5-RCO - PC-PM-DSHM'!$B$25:$D$48,3,FALSE),"-")</f>
        <v>-</v>
      </c>
      <c r="I45" s="740" t="s">
        <v>38</v>
      </c>
      <c r="J45" s="741" t="str">
        <f>IF(SUMIF('11 - IES-GN, IES-FWP'!$B$30:$B$38,B45,'11 - IES-GN, IES-FWP'!$F$30:$F$38)&gt;0,SUMIF('11 - IES-GN, IES-FWP'!$B$30:$B$38,B45,'11 - IES-GN, IES-FWP'!$F$30:$F$38),"-")</f>
        <v>-</v>
      </c>
      <c r="K45" s="741" t="str">
        <f>IF(SUMIF('11 - IES-GN, IES-FWP'!$B$73:$B$81,B45,'11 - IES-GN, IES-FWP'!$F$73:$F$81)&gt;0,SUMIF('11 - IES-GN, IES-FWP'!$B$73:$B$81,B45,'11 - IES-GN, IES-FWP'!$F$73:$F$81),"-")</f>
        <v>-</v>
      </c>
      <c r="L45" s="744" t="s">
        <v>38</v>
      </c>
      <c r="M45" s="793" t="s">
        <v>38</v>
      </c>
      <c r="N45" s="742">
        <f t="shared" si="2"/>
        <v>1.2411441750000009E-2</v>
      </c>
      <c r="O45" s="745" t="str">
        <f t="shared" si="1"/>
        <v>No</v>
      </c>
    </row>
    <row r="46" spans="1:15">
      <c r="A46" s="450"/>
      <c r="B46" s="691" t="s">
        <v>64</v>
      </c>
      <c r="C46" s="698" t="s">
        <v>96</v>
      </c>
      <c r="D46" s="617" t="s">
        <v>95</v>
      </c>
      <c r="E46" s="990">
        <f>IFERROR(VLOOKUP(B46,'3a-RTO - Dryer GHM DHM'!$B$28:$D$82,3,FALSE),"-")</f>
        <v>3.8278885470588268E-3</v>
      </c>
      <c r="F46" s="793">
        <f>IFERROR(SUM(VLOOKUP(B46,'3b-Dryer (Furnace Bypass)'!$B$31:$H$81,7,FALSE),VLOOKUP(B46,'3c-Dryer (Furnace Idle)'!$B$33:$H$83,7,FALSE)),"-")</f>
        <v>4.2751537500000002E-4</v>
      </c>
      <c r="G46" s="793">
        <f>IFERROR(VLOOKUP(B46,'4-Dryer Duct Burners'!$B$33:$H$69,7,FALSE),"-")</f>
        <v>1.3097058823529411E-5</v>
      </c>
      <c r="H46" s="793">
        <f>IFERROR(VLOOKUP(B46,'5-RCO - PC-PM-DSHM'!$B$25:$D$48,3,FALSE),"-")</f>
        <v>5.1864352941176465E-5</v>
      </c>
      <c r="I46" s="740" t="s">
        <v>38</v>
      </c>
      <c r="J46" s="741" t="str">
        <f>IF(SUMIF('11 - IES-GN, IES-FWP'!$B$30:$B$38,B46,'11 - IES-GN, IES-FWP'!$F$30:$F$38)&gt;0,SUMIF('11 - IES-GN, IES-FWP'!$B$30:$B$38,B46,'11 - IES-GN, IES-FWP'!$F$30:$F$38),"-")</f>
        <v>-</v>
      </c>
      <c r="K46" s="741" t="str">
        <f>IF(SUMIF('11 - IES-GN, IES-FWP'!$B$73:$B$81,B46,'11 - IES-GN, IES-FWP'!$F$73:$F$81)&gt;0,SUMIF('11 - IES-GN, IES-FWP'!$B$73:$B$81,B46,'11 - IES-GN, IES-FWP'!$F$73:$F$81),"-")</f>
        <v>-</v>
      </c>
      <c r="L46" s="744" t="s">
        <v>38</v>
      </c>
      <c r="M46" s="793">
        <f>'14 - Boilers'!G66*'14 - Boilers'!C10</f>
        <v>5.1864352941176471E-5</v>
      </c>
      <c r="N46" s="742">
        <f t="shared" si="2"/>
        <v>4.3722296867647094E-3</v>
      </c>
      <c r="O46" s="745" t="str">
        <f t="shared" si="1"/>
        <v>No</v>
      </c>
    </row>
    <row r="47" spans="1:15">
      <c r="A47" s="450"/>
      <c r="B47" s="691" t="s">
        <v>156</v>
      </c>
      <c r="C47" s="698" t="s">
        <v>95</v>
      </c>
      <c r="D47" s="617" t="s">
        <v>95</v>
      </c>
      <c r="E47" s="990">
        <f>IFERROR(VLOOKUP(B47,'3a-RTO - Dryer GHM DHM'!$B$28:$D$82,3,FALSE),"-")</f>
        <v>1.6248936882352952E-3</v>
      </c>
      <c r="F47" s="793">
        <f>IFERROR(SUM(VLOOKUP(B47,'3b-Dryer (Furnace Bypass)'!$B$31:$H$81,7,FALSE),VLOOKUP(B47,'3c-Dryer (Furnace Idle)'!$B$33:$H$83,7,FALSE)),"-")</f>
        <v>1.45443375E-4</v>
      </c>
      <c r="G47" s="793">
        <f>IFERROR(VLOOKUP(B47,'4-Dryer Duct Burners'!$B$33:$H$69,7,FALSE),"-")</f>
        <v>4.5088235294117644E-5</v>
      </c>
      <c r="H47" s="793">
        <f>IFERROR(VLOOKUP(B47,'5-RCO - PC-PM-DSHM'!$B$25:$D$48,3,FALSE),"-")</f>
        <v>1.7854941176470587E-4</v>
      </c>
      <c r="I47" s="740" t="s">
        <v>38</v>
      </c>
      <c r="J47" s="741" t="str">
        <f>IF(SUMIF('11 - IES-GN, IES-FWP'!$B$30:$B$38,B47,'11 - IES-GN, IES-FWP'!$F$30:$F$38)&gt;0,SUMIF('11 - IES-GN, IES-FWP'!$B$30:$B$38,B47,'11 - IES-GN, IES-FWP'!$F$30:$F$38),"-")</f>
        <v>-</v>
      </c>
      <c r="K47" s="741" t="str">
        <f>IF(SUMIF('11 - IES-GN, IES-FWP'!$B$73:$B$81,B47,'11 - IES-GN, IES-FWP'!$F$73:$F$81)&gt;0,SUMIF('11 - IES-GN, IES-FWP'!$B$73:$B$81,B47,'11 - IES-GN, IES-FWP'!$F$73:$F$81),"-")</f>
        <v>-</v>
      </c>
      <c r="L47" s="744" t="s">
        <v>38</v>
      </c>
      <c r="M47" s="793">
        <f>'14 - Boilers'!G67*'14 - Boilers'!C10</f>
        <v>1.7854941176470587E-4</v>
      </c>
      <c r="N47" s="742">
        <f t="shared" si="2"/>
        <v>2.1725241220588247E-3</v>
      </c>
      <c r="O47" s="745" t="str">
        <f t="shared" si="1"/>
        <v>No</v>
      </c>
    </row>
    <row r="48" spans="1:15">
      <c r="A48" s="450"/>
      <c r="B48" s="691" t="s">
        <v>65</v>
      </c>
      <c r="C48" s="698" t="s">
        <v>96</v>
      </c>
      <c r="D48" s="617" t="s">
        <v>95</v>
      </c>
      <c r="E48" s="990">
        <f>IFERROR(VLOOKUP(B48,'3a-RTO - Dryer GHM DHM'!$B$28:$D$82,3,FALSE),"-")</f>
        <v>4.2229770000000039E-6</v>
      </c>
      <c r="F48" s="793">
        <f>IFERROR(SUM(VLOOKUP(B48,'3b-Dryer (Furnace Bypass)'!$B$31:$H$81,7,FALSE),VLOOKUP(B48,'3c-Dryer (Furnace Idle)'!$B$33:$H$83,7,FALSE)),"-")</f>
        <v>4.8481125000000005E-7</v>
      </c>
      <c r="G48" s="793" t="str">
        <f>IFERROR(VLOOKUP(B48,'4-Dryer Duct Burners'!$B$33:$H$69,7,FALSE),"-")</f>
        <v>-</v>
      </c>
      <c r="H48" s="793" t="str">
        <f>IFERROR(VLOOKUP(B48,'5-RCO - PC-PM-DSHM'!$B$25:$D$48,3,FALSE),"-")</f>
        <v>-</v>
      </c>
      <c r="I48" s="740" t="s">
        <v>38</v>
      </c>
      <c r="J48" s="741" t="str">
        <f>IF(SUMIF('11 - IES-GN, IES-FWP'!$B$30:$B$38,B48,'11 - IES-GN, IES-FWP'!$F$30:$F$38)&gt;0,SUMIF('11 - IES-GN, IES-FWP'!$B$30:$B$38,B48,'11 - IES-GN, IES-FWP'!$F$30:$F$38),"-")</f>
        <v>-</v>
      </c>
      <c r="K48" s="741" t="str">
        <f>IF(SUMIF('11 - IES-GN, IES-FWP'!$B$73:$B$81,B48,'11 - IES-GN, IES-FWP'!$F$73:$F$81)&gt;0,SUMIF('11 - IES-GN, IES-FWP'!$B$73:$B$81,B48,'11 - IES-GN, IES-FWP'!$F$73:$F$81),"-")</f>
        <v>-</v>
      </c>
      <c r="L48" s="744" t="s">
        <v>38</v>
      </c>
      <c r="M48" s="793" t="s">
        <v>38</v>
      </c>
      <c r="N48" s="742">
        <f t="shared" si="2"/>
        <v>4.7077882500000038E-6</v>
      </c>
      <c r="O48" s="745" t="str">
        <f t="shared" si="1"/>
        <v>No</v>
      </c>
    </row>
    <row r="49" spans="1:15">
      <c r="A49" s="450"/>
      <c r="B49" s="691" t="s">
        <v>66</v>
      </c>
      <c r="C49" s="698" t="s">
        <v>95</v>
      </c>
      <c r="D49" s="617" t="s">
        <v>95</v>
      </c>
      <c r="E49" s="990">
        <f>IFERROR(VLOOKUP(B49,'3a-RTO - Dryer GHM DHM'!$B$28:$D$82,3,FALSE),"-")</f>
        <v>1.9579257000000017E-6</v>
      </c>
      <c r="F49" s="793">
        <f>IFERROR(SUM(VLOOKUP(B49,'3b-Dryer (Furnace Bypass)'!$B$31:$H$81,7,FALSE),VLOOKUP(B49,'3c-Dryer (Furnace Idle)'!$B$33:$H$83,7,FALSE)),"-")</f>
        <v>2.2477612500000003E-7</v>
      </c>
      <c r="G49" s="793" t="str">
        <f>IFERROR(VLOOKUP(B49,'4-Dryer Duct Burners'!$B$33:$H$69,7,FALSE),"-")</f>
        <v>-</v>
      </c>
      <c r="H49" s="793" t="str">
        <f>IFERROR(VLOOKUP(B49,'5-RCO - PC-PM-DSHM'!$B$25:$D$48,3,FALSE),"-")</f>
        <v>-</v>
      </c>
      <c r="I49" s="740" t="s">
        <v>38</v>
      </c>
      <c r="J49" s="741" t="str">
        <f>IF(SUMIF('11 - IES-GN, IES-FWP'!$B$30:$B$38,B49,'11 - IES-GN, IES-FWP'!$F$30:$F$38)&gt;0,SUMIF('11 - IES-GN, IES-FWP'!$B$30:$B$38,B49,'11 - IES-GN, IES-FWP'!$F$30:$F$38),"-")</f>
        <v>-</v>
      </c>
      <c r="K49" s="741" t="str">
        <f>IF(SUMIF('11 - IES-GN, IES-FWP'!$B$73:$B$81,B49,'11 - IES-GN, IES-FWP'!$F$73:$F$81)&gt;0,SUMIF('11 - IES-GN, IES-FWP'!$B$73:$B$81,B49,'11 - IES-GN, IES-FWP'!$F$73:$F$81),"-")</f>
        <v>-</v>
      </c>
      <c r="L49" s="744" t="s">
        <v>38</v>
      </c>
      <c r="M49" s="793" t="s">
        <v>38</v>
      </c>
      <c r="N49" s="742">
        <f t="shared" si="2"/>
        <v>2.1827018250000017E-6</v>
      </c>
      <c r="O49" s="745" t="str">
        <f t="shared" si="1"/>
        <v>No</v>
      </c>
    </row>
    <row r="50" spans="1:15">
      <c r="A50" s="450"/>
      <c r="B50" s="691" t="s">
        <v>132</v>
      </c>
      <c r="C50" s="698" t="s">
        <v>95</v>
      </c>
      <c r="D50" s="617" t="s">
        <v>95</v>
      </c>
      <c r="E50" s="990">
        <f>IFERROR(VLOOKUP(B50,'3a-RTO - Dryer GHM DHM'!$B$28:$D$82,3,FALSE),"-")</f>
        <v>1.4588466000000013E-3</v>
      </c>
      <c r="F50" s="793">
        <f>IFERROR(SUM(VLOOKUP(B50,'3b-Dryer (Furnace Bypass)'!$B$31:$H$81,7,FALSE),VLOOKUP(B50,'3c-Dryer (Furnace Idle)'!$B$33:$H$83,7,FALSE)),"-")</f>
        <v>1.6748025000000002E-4</v>
      </c>
      <c r="G50" s="793" t="str">
        <f>IFERROR(VLOOKUP(B50,'4-Dryer Duct Burners'!$B$33:$H$69,7,FALSE),"-")</f>
        <v>-</v>
      </c>
      <c r="H50" s="793" t="str">
        <f>IFERROR(VLOOKUP(B50,'5-RCO - PC-PM-DSHM'!$B$25:$D$48,3,FALSE),"-")</f>
        <v>-</v>
      </c>
      <c r="I50" s="740" t="s">
        <v>38</v>
      </c>
      <c r="J50" s="741" t="str">
        <f>IF(SUMIF('11 - IES-GN, IES-FWP'!$B$30:$B$38,B50,'11 - IES-GN, IES-FWP'!$F$30:$F$38)&gt;0,SUMIF('11 - IES-GN, IES-FWP'!$B$30:$B$38,B50,'11 - IES-GN, IES-FWP'!$F$30:$F$38),"-")</f>
        <v>-</v>
      </c>
      <c r="K50" s="741" t="str">
        <f>IF(SUMIF('11 - IES-GN, IES-FWP'!$B$73:$B$81,B50,'11 - IES-GN, IES-FWP'!$F$73:$F$81)&gt;0,SUMIF('11 - IES-GN, IES-FWP'!$B$73:$B$81,B50,'11 - IES-GN, IES-FWP'!$F$73:$F$81),"-")</f>
        <v>-</v>
      </c>
      <c r="L50" s="744" t="s">
        <v>38</v>
      </c>
      <c r="M50" s="793" t="s">
        <v>38</v>
      </c>
      <c r="N50" s="742">
        <f t="shared" si="2"/>
        <v>1.6263268500000014E-3</v>
      </c>
      <c r="O50" s="745" t="str">
        <f t="shared" si="1"/>
        <v>No</v>
      </c>
    </row>
    <row r="51" spans="1:15">
      <c r="A51" s="450"/>
      <c r="B51" s="695" t="s">
        <v>133</v>
      </c>
      <c r="C51" s="702" t="s">
        <v>96</v>
      </c>
      <c r="D51" s="617" t="s">
        <v>95</v>
      </c>
      <c r="E51" s="990">
        <f>IFERROR(VLOOKUP(B51,'3a-RTO - Dryer GHM DHM'!$B$28:$D$82,3,FALSE),"-")</f>
        <v>1.0365489000000009E-3</v>
      </c>
      <c r="F51" s="793">
        <f>IFERROR(SUM(VLOOKUP(B51,'3b-Dryer (Furnace Bypass)'!$B$31:$H$81,7,FALSE),VLOOKUP(B51,'3c-Dryer (Furnace Idle)'!$B$33:$H$83,7,FALSE)),"-")</f>
        <v>1.1899912499999999E-4</v>
      </c>
      <c r="G51" s="793" t="str">
        <f>IFERROR(VLOOKUP(B51,'4-Dryer Duct Burners'!$B$33:$H$69,7,FALSE),"-")</f>
        <v>-</v>
      </c>
      <c r="H51" s="793" t="str">
        <f>IFERROR(VLOOKUP(B51,'5-RCO - PC-PM-DSHM'!$B$25:$D$48,3,FALSE),"-")</f>
        <v>-</v>
      </c>
      <c r="I51" s="740" t="s">
        <v>38</v>
      </c>
      <c r="J51" s="741" t="str">
        <f>IF(SUMIF('11 - IES-GN, IES-FWP'!$B$30:$B$38,B51,'11 - IES-GN, IES-FWP'!$F$30:$F$38)&gt;0,SUMIF('11 - IES-GN, IES-FWP'!$B$30:$B$38,B51,'11 - IES-GN, IES-FWP'!$F$30:$F$38),"-")</f>
        <v>-</v>
      </c>
      <c r="K51" s="741" t="str">
        <f>IF(SUMIF('11 - IES-GN, IES-FWP'!$B$73:$B$81,B51,'11 - IES-GN, IES-FWP'!$F$73:$F$81)&gt;0,SUMIF('11 - IES-GN, IES-FWP'!$B$73:$B$81,B51,'11 - IES-GN, IES-FWP'!$F$73:$F$81),"-")</f>
        <v>-</v>
      </c>
      <c r="L51" s="744" t="s">
        <v>38</v>
      </c>
      <c r="M51" s="793" t="s">
        <v>38</v>
      </c>
      <c r="N51" s="742">
        <f t="shared" si="2"/>
        <v>1.1555480250000009E-3</v>
      </c>
      <c r="O51" s="745" t="str">
        <f t="shared" si="1"/>
        <v>No</v>
      </c>
    </row>
    <row r="52" spans="1:15">
      <c r="A52" s="450"/>
      <c r="B52" s="691" t="s">
        <v>67</v>
      </c>
      <c r="C52" s="698" t="s">
        <v>95</v>
      </c>
      <c r="D52" s="617" t="s">
        <v>95</v>
      </c>
      <c r="E52" s="990">
        <f>IFERROR(VLOOKUP(B52,'3a-RTO - Dryer GHM DHM'!$B$28:$D$82,3,FALSE),"-")</f>
        <v>3.1273064220000033E-7</v>
      </c>
      <c r="F52" s="793">
        <f>IFERROR(SUM(VLOOKUP(B52,'3b-Dryer (Furnace Bypass)'!$B$31:$H$81,7,FALSE),VLOOKUP(B52,'3c-Dryer (Furnace Idle)'!$B$33:$H$83,7,FALSE)),"-")</f>
        <v>3.5902476750000002E-8</v>
      </c>
      <c r="G52" s="793" t="str">
        <f>IFERROR(VLOOKUP(B52,'4-Dryer Duct Burners'!$B$33:$H$69,7,FALSE),"-")</f>
        <v>-</v>
      </c>
      <c r="H52" s="793" t="str">
        <f>IFERROR(VLOOKUP(B52,'5-RCO - PC-PM-DSHM'!$B$25:$D$48,3,FALSE),"-")</f>
        <v>-</v>
      </c>
      <c r="I52" s="740" t="s">
        <v>38</v>
      </c>
      <c r="J52" s="741" t="str">
        <f>IF(SUMIF('11 - IES-GN, IES-FWP'!$B$30:$B$38,B52,'11 - IES-GN, IES-FWP'!$F$30:$F$38)&gt;0,SUMIF('11 - IES-GN, IES-FWP'!$B$30:$B$38,B52,'11 - IES-GN, IES-FWP'!$F$30:$F$38),"-")</f>
        <v>-</v>
      </c>
      <c r="K52" s="741" t="str">
        <f>IF(SUMIF('11 - IES-GN, IES-FWP'!$B$73:$B$81,B52,'11 - IES-GN, IES-FWP'!$F$73:$F$81)&gt;0,SUMIF('11 - IES-GN, IES-FWP'!$B$73:$B$81,B52,'11 - IES-GN, IES-FWP'!$F$73:$F$81),"-")</f>
        <v>-</v>
      </c>
      <c r="L52" s="744" t="s">
        <v>38</v>
      </c>
      <c r="M52" s="793" t="s">
        <v>38</v>
      </c>
      <c r="N52" s="742">
        <f t="shared" si="2"/>
        <v>3.4863311895000034E-7</v>
      </c>
      <c r="O52" s="745" t="str">
        <f t="shared" si="1"/>
        <v>No</v>
      </c>
    </row>
    <row r="53" spans="1:15">
      <c r="A53" s="450"/>
      <c r="B53" s="691" t="s">
        <v>68</v>
      </c>
      <c r="C53" s="698" t="s">
        <v>96</v>
      </c>
      <c r="D53" s="617" t="s">
        <v>95</v>
      </c>
      <c r="E53" s="990">
        <f ca="1">IFERROR(VLOOKUP(B53,'3a-RTO - Dryer GHM DHM'!$B$28:$D$82,3,FALSE),"-")</f>
        <v>5.8573460805488274E-3</v>
      </c>
      <c r="F53" s="793">
        <f>IFERROR(SUM(VLOOKUP(B53,'3b-Dryer (Furnace Bypass)'!$B$31:$H$81,7,FALSE),VLOOKUP(B53,'3c-Dryer (Furnace Idle)'!$B$33:$H$83,7,FALSE)),"-")</f>
        <v>5.5004348516249997E-4</v>
      </c>
      <c r="G53" s="793">
        <f>SUMIF('4-Dryer Duct Burners'!$M$33:$M$69,"x",'4-Dryer Duct Burners'!H33:H69)</f>
        <v>1.4990764705882352E-5</v>
      </c>
      <c r="H53" s="793">
        <f>IFERROR(VLOOKUP(B53,'5-RCO - PC-PM-DSHM'!$B$25:$D$48,3,FALSE),"-")</f>
        <v>5.9363428235294116E-5</v>
      </c>
      <c r="I53" s="740" t="s">
        <v>38</v>
      </c>
      <c r="J53" s="741">
        <f>IF(SUMIF('11 - IES-GN, IES-FWP'!$B$30:$B$38,B53,'11 - IES-GN, IES-FWP'!$F$30:$F$38)&gt;0,SUMIF('11 - IES-GN, IES-FWP'!$B$30:$B$38,B53,'11 - IES-GN, IES-FWP'!$F$30:$F$38),"-")</f>
        <v>1.0289999999999998E-4</v>
      </c>
      <c r="K53" s="741">
        <f>IF(SUMIF('11 - IES-GN, IES-FWP'!$B$73:$B$81,B53,'11 - IES-GN, IES-FWP'!$F$73:$F$81)&gt;0,SUMIF('11 - IES-GN, IES-FWP'!$B$73:$B$81,B53,'11 - IES-GN, IES-FWP'!$F$73:$F$81),"-")</f>
        <v>6.8795999999999997E-5</v>
      </c>
      <c r="L53" s="744" t="s">
        <v>38</v>
      </c>
      <c r="M53" s="793">
        <f>SUMIF('14 - Boilers'!K35:K71,"x",'14 - Boilers'!G35:G71)*'14 - Boilers'!C10</f>
        <v>5.9363428235294123E-5</v>
      </c>
      <c r="N53" s="742">
        <f t="shared" ca="1" si="2"/>
        <v>6.7128031868877985E-3</v>
      </c>
      <c r="O53" s="745" t="str">
        <f t="shared" ca="1" si="1"/>
        <v>No</v>
      </c>
    </row>
    <row r="54" spans="1:15">
      <c r="A54" s="450"/>
      <c r="B54" s="691" t="s">
        <v>69</v>
      </c>
      <c r="C54" s="698" t="s">
        <v>96</v>
      </c>
      <c r="D54" s="617" t="s">
        <v>95</v>
      </c>
      <c r="E54" s="990">
        <f>IFERROR(VLOOKUP(B54,'3a-RTO - Dryer GHM DHM'!$B$28:$D$82,3,FALSE),"-")</f>
        <v>1.1158539529411775E-4</v>
      </c>
      <c r="F54" s="793">
        <f>IFERROR(SUM(VLOOKUP(B54,'3b-Dryer (Furnace Bypass)'!$B$31:$H$81,7,FALSE),VLOOKUP(B54,'3c-Dryer (Furnace Idle)'!$B$33:$H$83,7,FALSE)),"-")</f>
        <v>1.2340649999999998E-5</v>
      </c>
      <c r="G54" s="793">
        <f>IFERROR(VLOOKUP(B54,'4-Dryer Duct Burners'!$B$33:$H$69,7,FALSE),"-")</f>
        <v>5.1529411764705885E-7</v>
      </c>
      <c r="H54" s="793">
        <f>IFERROR(VLOOKUP(B54,'5-RCO - PC-PM-DSHM'!$B$25:$D$48,3,FALSE),"-")</f>
        <v>2.0405647058823531E-6</v>
      </c>
      <c r="I54" s="740" t="s">
        <v>38</v>
      </c>
      <c r="J54" s="741" t="str">
        <f>IF(SUMIF('11 - IES-GN, IES-FWP'!$B$30:$B$38,B54,'11 - IES-GN, IES-FWP'!$F$30:$F$38)&gt;0,SUMIF('11 - IES-GN, IES-FWP'!$B$30:$B$38,B54,'11 - IES-GN, IES-FWP'!$F$30:$F$38),"-")</f>
        <v>-</v>
      </c>
      <c r="K54" s="741" t="str">
        <f>IF(SUMIF('11 - IES-GN, IES-FWP'!$B$73:$B$81,B54,'11 - IES-GN, IES-FWP'!$F$73:$F$81)&gt;0,SUMIF('11 - IES-GN, IES-FWP'!$B$73:$B$81,B54,'11 - IES-GN, IES-FWP'!$F$73:$F$81),"-")</f>
        <v>-</v>
      </c>
      <c r="L54" s="744" t="s">
        <v>38</v>
      </c>
      <c r="M54" s="793">
        <f>'14 - Boilers'!G70*'14 - Boilers'!C10</f>
        <v>2.0405647058823536E-6</v>
      </c>
      <c r="N54" s="742">
        <f t="shared" si="2"/>
        <v>1.285224688235295E-4</v>
      </c>
      <c r="O54" s="745" t="str">
        <f t="shared" si="1"/>
        <v>No</v>
      </c>
    </row>
    <row r="55" spans="1:15">
      <c r="A55" s="450"/>
      <c r="B55" s="693" t="s">
        <v>20</v>
      </c>
      <c r="C55" s="700" t="s">
        <v>95</v>
      </c>
      <c r="D55" s="617" t="s">
        <v>95</v>
      </c>
      <c r="E55" s="990">
        <f>IFERROR(VLOOKUP(B55,'3a-RTO - Dryer GHM DHM'!$B$28:$D$82,3,FALSE),"-")</f>
        <v>7.2942330000000069E-2</v>
      </c>
      <c r="F55" s="793">
        <f>IFERROR(SUM(VLOOKUP(B55,'3b-Dryer (Furnace Bypass)'!$B$31:$H$81,7,FALSE),VLOOKUP(B55,'3c-Dryer (Furnace Idle)'!$B$33:$H$83,7,FALSE)),"-")</f>
        <v>8.3740124999999999E-3</v>
      </c>
      <c r="G55" s="793" t="str">
        <f>IFERROR(VLOOKUP(B55,'4-Dryer Duct Burners'!$B$33:$H$69,7,FALSE),"-")</f>
        <v>-</v>
      </c>
      <c r="H55" s="793" t="str">
        <f>IFERROR(VLOOKUP(B55,'5-RCO - PC-PM-DSHM'!$B$25:$D$48,3,FALSE),"-")</f>
        <v>-</v>
      </c>
      <c r="I55" s="740" t="s">
        <v>38</v>
      </c>
      <c r="J55" s="741" t="str">
        <f>IF(SUMIF('11 - IES-GN, IES-FWP'!$B$30:$B$38,B55,'11 - IES-GN, IES-FWP'!$F$30:$F$38)&gt;0,SUMIF('11 - IES-GN, IES-FWP'!$B$30:$B$38,B55,'11 - IES-GN, IES-FWP'!$F$30:$F$38),"-")</f>
        <v>-</v>
      </c>
      <c r="K55" s="741" t="str">
        <f>IF(SUMIF('11 - IES-GN, IES-FWP'!$B$73:$B$81,B55,'11 - IES-GN, IES-FWP'!$F$73:$F$81)&gt;0,SUMIF('11 - IES-GN, IES-FWP'!$B$73:$B$81,B55,'11 - IES-GN, IES-FWP'!$F$73:$F$81),"-")</f>
        <v>-</v>
      </c>
      <c r="L55" s="744" t="s">
        <v>38</v>
      </c>
      <c r="M55" s="793" t="s">
        <v>38</v>
      </c>
      <c r="N55" s="742">
        <f t="shared" si="2"/>
        <v>8.1316342500000069E-2</v>
      </c>
      <c r="O55" s="745" t="str">
        <f t="shared" si="1"/>
        <v>No</v>
      </c>
    </row>
    <row r="56" spans="1:15">
      <c r="A56" s="450"/>
      <c r="B56" s="695" t="s">
        <v>70</v>
      </c>
      <c r="C56" s="702" t="s">
        <v>95</v>
      </c>
      <c r="D56" s="617" t="s">
        <v>95</v>
      </c>
      <c r="E56" s="990">
        <f>IFERROR(VLOOKUP(B56,'3a-RTO - Dryer GHM DHM'!$B$28:$D$82,3,FALSE),"-")</f>
        <v>3.3016002000000027E-10</v>
      </c>
      <c r="F56" s="793">
        <f>IFERROR(SUM(VLOOKUP(B56,'3b-Dryer (Furnace Bypass)'!$B$31:$H$81,7,FALSE),VLOOKUP(B56,'3c-Dryer (Furnace Idle)'!$B$33:$H$83,7,FALSE)),"-")</f>
        <v>3.7903424999999999E-11</v>
      </c>
      <c r="G56" s="793" t="str">
        <f>IFERROR(VLOOKUP(B56,'4-Dryer Duct Burners'!$B$33:$H$69,7,FALSE),"-")</f>
        <v>-</v>
      </c>
      <c r="H56" s="793" t="str">
        <f>IFERROR(VLOOKUP(B56,'5-RCO - PC-PM-DSHM'!$B$25:$D$48,3,FALSE),"-")</f>
        <v>-</v>
      </c>
      <c r="I56" s="740" t="s">
        <v>38</v>
      </c>
      <c r="J56" s="741" t="str">
        <f>IF(SUMIF('11 - IES-GN, IES-FWP'!$B$30:$B$38,B56,'11 - IES-GN, IES-FWP'!$F$30:$F$38)&gt;0,SUMIF('11 - IES-GN, IES-FWP'!$B$30:$B$38,B56,'11 - IES-GN, IES-FWP'!$F$30:$F$38),"-")</f>
        <v>-</v>
      </c>
      <c r="K56" s="741" t="str">
        <f>IF(SUMIF('11 - IES-GN, IES-FWP'!$B$73:$B$81,B56,'11 - IES-GN, IES-FWP'!$F$73:$F$81)&gt;0,SUMIF('11 - IES-GN, IES-FWP'!$B$73:$B$81,B56,'11 - IES-GN, IES-FWP'!$F$73:$F$81),"-")</f>
        <v>-</v>
      </c>
      <c r="L56" s="744" t="s">
        <v>38</v>
      </c>
      <c r="M56" s="793" t="s">
        <v>38</v>
      </c>
      <c r="N56" s="742">
        <f t="shared" si="2"/>
        <v>3.6806344500000027E-10</v>
      </c>
      <c r="O56" s="745" t="str">
        <f t="shared" si="1"/>
        <v>No</v>
      </c>
    </row>
    <row r="57" spans="1:15">
      <c r="A57" s="450"/>
      <c r="B57" s="693" t="s">
        <v>21</v>
      </c>
      <c r="C57" s="700" t="s">
        <v>95</v>
      </c>
      <c r="D57" s="617" t="s">
        <v>95</v>
      </c>
      <c r="E57" s="990">
        <f>IFERROR(VLOOKUP(B57,'3a-RTO - Dryer GHM DHM'!$B$28:$D$82,3,FALSE),"-")</f>
        <v>3.5899064000000036E-2</v>
      </c>
      <c r="F57" s="793">
        <f>IFERROR(SUM(VLOOKUP(B57,'3b-Dryer (Furnace Bypass)'!$B$31:$H$81,7,FALSE),VLOOKUP(B57,'3c-Dryer (Furnace Idle)'!$B$33:$H$83,7,FALSE)),"-")</f>
        <v>4.054785E-3</v>
      </c>
      <c r="G57" s="793">
        <f>IFERROR(VLOOKUP(B57,'4-Dryer Duct Burners'!$B$33:$H$69,7,FALSE),"-")</f>
        <v>7.2999999999999999E-5</v>
      </c>
      <c r="H57" s="793">
        <f>IFERROR(VLOOKUP(B57,'5-RCO - PC-PM-DSHM'!$B$25:$D$48,3,FALSE),"-")</f>
        <v>2.8907999999999999E-4</v>
      </c>
      <c r="I57" s="740" t="s">
        <v>38</v>
      </c>
      <c r="J57" s="741">
        <f>IF(SUMIF('11 - IES-GN, IES-FWP'!$B$30:$B$38,B57,'11 - IES-GN, IES-FWP'!$F$30:$F$38)&gt;0,SUMIF('11 - IES-GN, IES-FWP'!$B$30:$B$38,B57,'11 - IES-GN, IES-FWP'!$F$30:$F$38),"-")</f>
        <v>2.505125E-4</v>
      </c>
      <c r="K57" s="741">
        <f>IF(SUMIF('11 - IES-GN, IES-FWP'!$B$73:$B$81,B57,'11 - IES-GN, IES-FWP'!$F$73:$F$81)&gt;0,SUMIF('11 - IES-GN, IES-FWP'!$B$73:$B$81,B57,'11 - IES-GN, IES-FWP'!$F$73:$F$81),"-")</f>
        <v>1.6748549999999999E-4</v>
      </c>
      <c r="L57" s="744" t="s">
        <v>38</v>
      </c>
      <c r="M57" s="793">
        <f>'14 - Boilers'!G71*'14 - Boilers'!C10</f>
        <v>2.8907999999999999E-4</v>
      </c>
      <c r="N57" s="742">
        <f t="shared" si="2"/>
        <v>4.1023007000000028E-2</v>
      </c>
      <c r="O57" s="745" t="str">
        <f t="shared" si="1"/>
        <v>No</v>
      </c>
    </row>
    <row r="58" spans="1:15">
      <c r="A58" s="450"/>
      <c r="B58" s="693" t="s">
        <v>134</v>
      </c>
      <c r="C58" s="700" t="s">
        <v>95</v>
      </c>
      <c r="D58" s="617" t="s">
        <v>95</v>
      </c>
      <c r="E58" s="990">
        <f>IFERROR(VLOOKUP(B58,'3a-RTO - Dryer GHM DHM'!$B$28:$D$82,3,FALSE),"-")</f>
        <v>1.1901117000000013E-3</v>
      </c>
      <c r="F58" s="793">
        <f>IFERROR(SUM(VLOOKUP(B58,'3b-Dryer (Furnace Bypass)'!$B$31:$H$81,7,FALSE),VLOOKUP(B58,'3c-Dryer (Furnace Idle)'!$B$33:$H$83,7,FALSE)),"-")</f>
        <v>1.3662862500000002E-4</v>
      </c>
      <c r="G58" s="793" t="str">
        <f>IFERROR(VLOOKUP(B58,'4-Dryer Duct Burners'!$B$33:$H$69,7,FALSE),"-")</f>
        <v>-</v>
      </c>
      <c r="H58" s="793" t="str">
        <f>IFERROR(VLOOKUP(B58,'5-RCO - PC-PM-DSHM'!$B$25:$D$48,3,FALSE),"-")</f>
        <v>-</v>
      </c>
      <c r="I58" s="740" t="s">
        <v>38</v>
      </c>
      <c r="J58" s="741" t="str">
        <f>IF(SUMIF('11 - IES-GN, IES-FWP'!$B$30:$B$38,B58,'11 - IES-GN, IES-FWP'!$F$30:$F$38)&gt;0,SUMIF('11 - IES-GN, IES-FWP'!$B$30:$B$38,B58,'11 - IES-GN, IES-FWP'!$F$30:$F$38),"-")</f>
        <v>-</v>
      </c>
      <c r="K58" s="741" t="str">
        <f>IF(SUMIF('11 - IES-GN, IES-FWP'!$B$73:$B$81,B58,'11 - IES-GN, IES-FWP'!$F$73:$F$81)&gt;0,SUMIF('11 - IES-GN, IES-FWP'!$B$73:$B$81,B58,'11 - IES-GN, IES-FWP'!$F$73:$F$81),"-")</f>
        <v>-</v>
      </c>
      <c r="L58" s="744" t="s">
        <v>38</v>
      </c>
      <c r="M58" s="793" t="s">
        <v>38</v>
      </c>
      <c r="N58" s="742">
        <f t="shared" si="2"/>
        <v>1.3267403250000014E-3</v>
      </c>
      <c r="O58" s="745" t="str">
        <f t="shared" si="1"/>
        <v>No</v>
      </c>
    </row>
    <row r="59" spans="1:15">
      <c r="A59" s="450"/>
      <c r="B59" s="691" t="s">
        <v>71</v>
      </c>
      <c r="C59" s="698" t="s">
        <v>95</v>
      </c>
      <c r="D59" s="617" t="s">
        <v>95</v>
      </c>
      <c r="E59" s="990">
        <f>IFERROR(VLOOKUP(B59,'3a-RTO - Dryer GHM DHM'!$B$28:$D$82,3,FALSE),"-")</f>
        <v>1.1517210000000012E-3</v>
      </c>
      <c r="F59" s="793">
        <f>IFERROR(SUM(VLOOKUP(B59,'3b-Dryer (Furnace Bypass)'!$B$31:$H$81,7,FALSE),VLOOKUP(B59,'3c-Dryer (Furnace Idle)'!$B$33:$H$83,7,FALSE)),"-")</f>
        <v>1.3222125E-4</v>
      </c>
      <c r="G59" s="793" t="str">
        <f>IFERROR(VLOOKUP(B59,'4-Dryer Duct Burners'!$B$33:$H$69,7,FALSE),"-")</f>
        <v>-</v>
      </c>
      <c r="H59" s="793" t="str">
        <f>IFERROR(VLOOKUP(B59,'5-RCO - PC-PM-DSHM'!$B$25:$D$48,3,FALSE),"-")</f>
        <v>-</v>
      </c>
      <c r="I59" s="740" t="s">
        <v>38</v>
      </c>
      <c r="J59" s="741" t="str">
        <f>IF(SUMIF('11 - IES-GN, IES-FWP'!$B$30:$B$38,B59,'11 - IES-GN, IES-FWP'!$F$30:$F$38)&gt;0,SUMIF('11 - IES-GN, IES-FWP'!$B$30:$B$38,B59,'11 - IES-GN, IES-FWP'!$F$30:$F$38),"-")</f>
        <v>-</v>
      </c>
      <c r="K59" s="741" t="str">
        <f>IF(SUMIF('11 - IES-GN, IES-FWP'!$B$73:$B$81,B59,'11 - IES-GN, IES-FWP'!$F$73:$F$81)&gt;0,SUMIF('11 - IES-GN, IES-FWP'!$B$73:$B$81,B59,'11 - IES-GN, IES-FWP'!$F$73:$F$81),"-")</f>
        <v>-</v>
      </c>
      <c r="L59" s="744" t="s">
        <v>38</v>
      </c>
      <c r="M59" s="793" t="s">
        <v>38</v>
      </c>
      <c r="N59" s="742">
        <f t="shared" si="2"/>
        <v>1.2839422500000011E-3</v>
      </c>
      <c r="O59" s="745" t="str">
        <f t="shared" si="1"/>
        <v>No</v>
      </c>
    </row>
    <row r="60" spans="1:15">
      <c r="A60" s="450"/>
      <c r="B60" s="691" t="s">
        <v>135</v>
      </c>
      <c r="C60" s="698" t="s">
        <v>95</v>
      </c>
      <c r="D60" s="616" t="s">
        <v>96</v>
      </c>
      <c r="E60" s="990">
        <f>IFERROR(VLOOKUP(B60,'3a-RTO - Dryer GHM DHM'!$B$28:$D$82,3,FALSE),"-")</f>
        <v>1.5740187000000015E-3</v>
      </c>
      <c r="F60" s="793">
        <f>IFERROR(SUM(VLOOKUP(B60,'3b-Dryer (Furnace Bypass)'!$B$31:$H$81,7,FALSE),VLOOKUP(B60,'3c-Dryer (Furnace Idle)'!$B$33:$H$83,7,FALSE)),"-")</f>
        <v>1.80702375E-4</v>
      </c>
      <c r="G60" s="793" t="str">
        <f>IFERROR(VLOOKUP(B60,'4-Dryer Duct Burners'!$B$33:$H$69,7,FALSE),"-")</f>
        <v>-</v>
      </c>
      <c r="H60" s="793" t="str">
        <f>IFERROR(VLOOKUP(B60,'5-RCO - PC-PM-DSHM'!$B$25:$D$48,3,FALSE),"-")</f>
        <v>-</v>
      </c>
      <c r="I60" s="740" t="s">
        <v>38</v>
      </c>
      <c r="J60" s="741" t="str">
        <f>IF(SUMIF('11 - IES-GN, IES-FWP'!$B$30:$B$38,B60,'11 - IES-GN, IES-FWP'!$F$30:$F$38)&gt;0,SUMIF('11 - IES-GN, IES-FWP'!$B$30:$B$38,B60,'11 - IES-GN, IES-FWP'!$F$30:$F$38),"-")</f>
        <v>-</v>
      </c>
      <c r="K60" s="741" t="str">
        <f>IF(SUMIF('11 - IES-GN, IES-FWP'!$B$73:$B$81,B60,'11 - IES-GN, IES-FWP'!$F$73:$F$81)&gt;0,SUMIF('11 - IES-GN, IES-FWP'!$B$73:$B$81,B60,'11 - IES-GN, IES-FWP'!$F$73:$F$81),"-")</f>
        <v>-</v>
      </c>
      <c r="L60" s="744" t="s">
        <v>38</v>
      </c>
      <c r="M60" s="793" t="s">
        <v>38</v>
      </c>
      <c r="N60" s="742">
        <f t="shared" si="2"/>
        <v>1.7547210750000015E-3</v>
      </c>
      <c r="O60" s="745" t="str">
        <f t="shared" si="1"/>
        <v>No</v>
      </c>
    </row>
    <row r="61" spans="1:15">
      <c r="A61" s="450"/>
      <c r="B61" s="691" t="s">
        <v>72</v>
      </c>
      <c r="C61" s="698" t="s">
        <v>96</v>
      </c>
      <c r="D61" s="616" t="s">
        <v>95</v>
      </c>
      <c r="E61" s="990">
        <f>IFERROR(VLOOKUP(B61,'3a-RTO - Dryer GHM DHM'!$B$28:$D$82,3,FALSE),"-")</f>
        <v>8.445954000000006E-7</v>
      </c>
      <c r="F61" s="793">
        <f>IFERROR(SUM(VLOOKUP(B61,'3b-Dryer (Furnace Bypass)'!$B$31:$H$81,7,FALSE),VLOOKUP(B61,'3c-Dryer (Furnace Idle)'!$B$33:$H$83,7,FALSE)),"-")</f>
        <v>9.6962249999999999E-8</v>
      </c>
      <c r="G61" s="793" t="str">
        <f>IFERROR(VLOOKUP(B61,'4-Dryer Duct Burners'!$B$33:$H$69,7,FALSE),"-")</f>
        <v>-</v>
      </c>
      <c r="H61" s="793" t="str">
        <f>IFERROR(VLOOKUP(B61,'5-RCO - PC-PM-DSHM'!$B$25:$D$48,3,FALSE),"-")</f>
        <v>-</v>
      </c>
      <c r="I61" s="740" t="s">
        <v>38</v>
      </c>
      <c r="J61" s="741" t="str">
        <f>IF(SUMIF('11 - IES-GN, IES-FWP'!$B$30:$B$38,B61,'11 - IES-GN, IES-FWP'!$F$30:$F$38)&gt;0,SUMIF('11 - IES-GN, IES-FWP'!$B$30:$B$38,B61,'11 - IES-GN, IES-FWP'!$F$30:$F$38),"-")</f>
        <v>-</v>
      </c>
      <c r="K61" s="741" t="str">
        <f>IF(SUMIF('11 - IES-GN, IES-FWP'!$B$73:$B$81,B61,'11 - IES-GN, IES-FWP'!$F$73:$F$81)&gt;0,SUMIF('11 - IES-GN, IES-FWP'!$B$73:$B$81,B61,'11 - IES-GN, IES-FWP'!$F$73:$F$81),"-")</f>
        <v>-</v>
      </c>
      <c r="L61" s="744" t="s">
        <v>38</v>
      </c>
      <c r="M61" s="793" t="s">
        <v>38</v>
      </c>
      <c r="N61" s="742">
        <f t="shared" si="2"/>
        <v>9.4155765000000055E-7</v>
      </c>
      <c r="O61" s="745" t="str">
        <f t="shared" si="1"/>
        <v>No</v>
      </c>
    </row>
    <row r="62" spans="1:15">
      <c r="A62" s="450"/>
      <c r="B62" s="691" t="s">
        <v>73</v>
      </c>
      <c r="C62" s="698" t="s">
        <v>95</v>
      </c>
      <c r="D62" s="616" t="s">
        <v>95</v>
      </c>
      <c r="E62" s="990">
        <f>IFERROR(VLOOKUP(B62,'3a-RTO - Dryer GHM DHM'!$B$28:$D$82,3,FALSE),"-")</f>
        <v>6.910326000000007E-4</v>
      </c>
      <c r="F62" s="793">
        <f>IFERROR(SUM(VLOOKUP(B62,'3b-Dryer (Furnace Bypass)'!$B$31:$H$81,7,FALSE),VLOOKUP(B62,'3c-Dryer (Furnace Idle)'!$B$33:$H$83,7,FALSE)),"-")</f>
        <v>7.9332750000000004E-5</v>
      </c>
      <c r="G62" s="793" t="str">
        <f>IFERROR(VLOOKUP(B62,'4-Dryer Duct Burners'!$B$33:$H$69,7,FALSE),"-")</f>
        <v>-</v>
      </c>
      <c r="H62" s="793" t="str">
        <f>IFERROR(VLOOKUP(B62,'5-RCO - PC-PM-DSHM'!$B$25:$D$48,3,FALSE),"-")</f>
        <v>-</v>
      </c>
      <c r="I62" s="740" t="s">
        <v>38</v>
      </c>
      <c r="J62" s="741" t="str">
        <f>IF(SUMIF('11 - IES-GN, IES-FWP'!$B$30:$B$38,B62,'11 - IES-GN, IES-FWP'!$F$30:$F$38)&gt;0,SUMIF('11 - IES-GN, IES-FWP'!$B$30:$B$38,B62,'11 - IES-GN, IES-FWP'!$F$30:$F$38),"-")</f>
        <v>-</v>
      </c>
      <c r="K62" s="741" t="str">
        <f>IF(SUMIF('11 - IES-GN, IES-FWP'!$B$73:$B$81,B62,'11 - IES-GN, IES-FWP'!$F$73:$F$81)&gt;0,SUMIF('11 - IES-GN, IES-FWP'!$B$73:$B$81,B62,'11 - IES-GN, IES-FWP'!$F$73:$F$81),"-")</f>
        <v>-</v>
      </c>
      <c r="L62" s="1246" t="s">
        <v>38</v>
      </c>
      <c r="M62" s="1311" t="s">
        <v>38</v>
      </c>
      <c r="N62" s="742">
        <f t="shared" si="2"/>
        <v>7.7036535000000073E-4</v>
      </c>
      <c r="O62" s="748" t="str">
        <f t="shared" si="1"/>
        <v>No</v>
      </c>
    </row>
    <row r="63" spans="1:15" ht="12" thickBot="1">
      <c r="A63" s="450"/>
      <c r="B63" s="696" t="s">
        <v>136</v>
      </c>
      <c r="C63" s="703" t="s">
        <v>95</v>
      </c>
      <c r="D63" s="260" t="s">
        <v>95</v>
      </c>
      <c r="E63" s="990">
        <f>IFERROR(VLOOKUP(B63,'3a-RTO - Dryer GHM DHM'!$B$28:$D$82,3,FALSE),"-")</f>
        <v>9.5976750000000086E-4</v>
      </c>
      <c r="F63" s="793">
        <f>IFERROR(SUM(VLOOKUP(B63,'3b-Dryer (Furnace Bypass)'!$B$31:$H$81,7,FALSE),VLOOKUP(B63,'3c-Dryer (Furnace Idle)'!$B$33:$H$83,7,FALSE)),"-")</f>
        <v>1.1018437500000001E-4</v>
      </c>
      <c r="G63" s="793" t="str">
        <f>IFERROR(VLOOKUP(B63,'4-Dryer Duct Burners'!$B$33:$H$69,7,FALSE),"-")</f>
        <v>-</v>
      </c>
      <c r="H63" s="793" t="str">
        <f>IFERROR(VLOOKUP(B63,'5-RCO - PC-PM-DSHM'!$B$25:$D$48,3,FALSE),"-")</f>
        <v>-</v>
      </c>
      <c r="I63" s="740" t="s">
        <v>38</v>
      </c>
      <c r="J63" s="741">
        <f>IF(SUMIF('11 - IES-GN, IES-FWP'!$B$30:$B$38,B63,'11 - IES-GN, IES-FWP'!$F$30:$F$38)&gt;0,SUMIF('11 - IES-GN, IES-FWP'!$B$30:$B$38,B63,'11 - IES-GN, IES-FWP'!$F$30:$F$38),"-")</f>
        <v>1.7456249999999999E-4</v>
      </c>
      <c r="K63" s="741">
        <f>IF(SUMIF('11 - IES-GN, IES-FWP'!$B$73:$B$81,B63,'11 - IES-GN, IES-FWP'!$F$73:$F$81)&gt;0,SUMIF('11 - IES-GN, IES-FWP'!$B$73:$B$81,B63,'11 - IES-GN, IES-FWP'!$F$73:$F$81),"-")</f>
        <v>1.167075E-4</v>
      </c>
      <c r="L63" s="1247" t="s">
        <v>38</v>
      </c>
      <c r="M63" s="1312" t="s">
        <v>38</v>
      </c>
      <c r="N63" s="742">
        <f t="shared" si="2"/>
        <v>1.3612218750000008E-3</v>
      </c>
      <c r="O63" s="749" t="str">
        <f t="shared" ref="O63" si="6">IF(N63&lt;10,"No","Yes")</f>
        <v>No</v>
      </c>
    </row>
    <row r="64" spans="1:15" ht="12" thickTop="1">
      <c r="A64" s="450"/>
      <c r="B64" s="972"/>
      <c r="C64" s="973"/>
      <c r="D64" s="993" t="s">
        <v>814</v>
      </c>
      <c r="E64" s="991">
        <f ca="1">SUMIF($D$8:$D$63,"Y",E8:E63)-E46-E19</f>
        <v>15.917172444650012</v>
      </c>
      <c r="F64" s="975">
        <f>SUMIF($D$8:$D$63,"Y",F8:F63)-F46-F19</f>
        <v>0.17066732006539259</v>
      </c>
      <c r="G64" s="976">
        <f>SUMIF($D$8:$D$63,"Y",G8:G63)-G46-G19</f>
        <v>4.0547021235294113E-2</v>
      </c>
      <c r="H64" s="975">
        <f>SUMIF($D$8:$D$63,"Y",H8:H63)-H46-H19</f>
        <v>6.7286375361681188</v>
      </c>
      <c r="I64" s="975">
        <f t="shared" ref="I64:L64" si="7">SUMIF($D$8:$D$63,"Y",I8:I63)</f>
        <v>0.41926072363185551</v>
      </c>
      <c r="J64" s="977">
        <f t="shared" si="7"/>
        <v>2.37269515E-3</v>
      </c>
      <c r="K64" s="977">
        <f t="shared" si="7"/>
        <v>1.5863161860000001E-3</v>
      </c>
      <c r="L64" s="976">
        <f t="shared" si="7"/>
        <v>4.5703214285714291E-2</v>
      </c>
      <c r="M64" s="1313">
        <f>SUMIF($D$8:$D$63,"Y",M8:M63)-M46-M19</f>
        <v>0.1605662040917647</v>
      </c>
      <c r="N64" s="974">
        <f ca="1">SUMIF($D$8:$D$63,"Y",N8:N63)-N46-N19</f>
        <v>23.48651328332814</v>
      </c>
      <c r="O64" s="978" t="str">
        <f ca="1">IF(N64&lt;25,"No","Yes")</f>
        <v>No</v>
      </c>
    </row>
    <row r="65" spans="1:15">
      <c r="A65" s="450"/>
      <c r="B65" s="996"/>
      <c r="C65" s="1002"/>
      <c r="D65" s="1003" t="s">
        <v>815</v>
      </c>
      <c r="E65" s="997" t="str">
        <f ca="1">INDEX($B$8:$B$63,MATCH(E$66,E$8:E$63,0))</f>
        <v>Acrolein</v>
      </c>
      <c r="F65" s="998" t="str">
        <f t="shared" ref="F65:M65" si="8">INDEX($B$8:$B$63,MATCH(F$66,F$8:F$63,0))</f>
        <v>Hydrochloric acid</v>
      </c>
      <c r="G65" s="999" t="str">
        <f t="shared" si="8"/>
        <v>Hexane</v>
      </c>
      <c r="H65" s="998" t="str">
        <f t="shared" si="8"/>
        <v>Phenol</v>
      </c>
      <c r="I65" s="998" t="str">
        <f t="shared" si="8"/>
        <v>Methanol</v>
      </c>
      <c r="J65" s="1000" t="str">
        <f t="shared" si="8"/>
        <v>Formaldehyde</v>
      </c>
      <c r="K65" s="1000" t="str">
        <f t="shared" si="8"/>
        <v>Formaldehyde</v>
      </c>
      <c r="L65" s="999" t="str">
        <f t="shared" si="8"/>
        <v>Methanol</v>
      </c>
      <c r="M65" s="999" t="str">
        <f t="shared" si="8"/>
        <v>Hexane</v>
      </c>
      <c r="N65" s="1001" t="str">
        <f ca="1">INDEX($B$8:$B$63,MATCH(N$66,N$8:N$63,0))</f>
        <v>Acrolein</v>
      </c>
      <c r="O65" s="1006" t="s">
        <v>98</v>
      </c>
    </row>
    <row r="66" spans="1:15">
      <c r="A66" s="450"/>
      <c r="B66" s="979"/>
      <c r="C66" s="980"/>
      <c r="D66" s="994" t="s">
        <v>816</v>
      </c>
      <c r="E66" s="1005">
        <f ca="1">_xlfn.MAXIFS(E$8:E$63,$D$8:$D$63,"Y")</f>
        <v>6.7267912772585667</v>
      </c>
      <c r="F66" s="982">
        <f t="shared" ref="F66:M66" si="9">_xlfn.MAXIFS(F$8:F$63,$D$8:$D$63,"Y")</f>
        <v>8.3740124999999999E-2</v>
      </c>
      <c r="G66" s="982">
        <f t="shared" si="9"/>
        <v>3.8647058823529416E-2</v>
      </c>
      <c r="H66" s="981">
        <f t="shared" si="9"/>
        <v>1.9101055431533132</v>
      </c>
      <c r="I66" s="981">
        <f t="shared" si="9"/>
        <v>0.18797307434127555</v>
      </c>
      <c r="J66" s="1004">
        <f t="shared" si="9"/>
        <v>7.2275000000000009E-4</v>
      </c>
      <c r="K66" s="1004">
        <f t="shared" si="9"/>
        <v>4.8321000000000003E-4</v>
      </c>
      <c r="L66" s="982">
        <f t="shared" si="9"/>
        <v>4.5703214285714291E-2</v>
      </c>
      <c r="M66" s="981">
        <f t="shared" si="9"/>
        <v>0.15304235294117649</v>
      </c>
      <c r="N66" s="981">
        <f ca="1">_xlfn.MAXIFS(N$8:N$63,$D$8:$D$63,"Y")</f>
        <v>7.9869123855603528</v>
      </c>
      <c r="O66" s="745" t="str">
        <f ca="1">IF(N66&lt;10,"No","Yes")</f>
        <v>No</v>
      </c>
    </row>
    <row r="67" spans="1:15" ht="12" thickBot="1">
      <c r="A67" s="450"/>
      <c r="B67" s="983"/>
      <c r="C67" s="984"/>
      <c r="D67" s="995" t="s">
        <v>817</v>
      </c>
      <c r="E67" s="1275">
        <f>SUMIF($C$8:$C$63,"Y",E8:E63)-E19</f>
        <v>11.200255536992312</v>
      </c>
      <c r="F67" s="986">
        <f t="shared" ref="F67:G67" si="10">SUMIF($C$8:$C$63,"Y",F8:F63)-F19</f>
        <v>0.16805896546313015</v>
      </c>
      <c r="G67" s="986">
        <f t="shared" si="10"/>
        <v>0.10923559399999999</v>
      </c>
      <c r="H67" s="986">
        <f>SUMIF($C$8:$C$63,"Y",H8:H63)-H19</f>
        <v>5.471066154300777</v>
      </c>
      <c r="I67" s="986">
        <f t="shared" ref="I67:K67" si="11">SUMIF($C$8:$C$63,"Y",I8:I63)</f>
        <v>0.19883927170945903</v>
      </c>
      <c r="J67" s="987">
        <f t="shared" si="11"/>
        <v>2.2697951499999996E-3</v>
      </c>
      <c r="K67" s="987">
        <f t="shared" si="11"/>
        <v>1.517520186E-3</v>
      </c>
      <c r="L67" s="1274">
        <f>SUMIF($C$8:$C$63,"Y",L8:L63)</f>
        <v>0</v>
      </c>
      <c r="M67" s="986">
        <f>SUMIF($C$8:$C$63,"Y",M8:M63)</f>
        <v>0.43245402132705885</v>
      </c>
      <c r="N67" s="985">
        <f>SUMIF($C$8:$C$63,"Y",N8:N63)-N46-N19</f>
        <v>17.579324335277732</v>
      </c>
      <c r="O67" s="749" t="str">
        <f>IF(N67&lt;25,"No","Yes")</f>
        <v>No</v>
      </c>
    </row>
    <row r="68" spans="1:15" ht="12" thickTop="1">
      <c r="N68" s="750"/>
    </row>
    <row r="69" spans="1:15">
      <c r="D69" s="951"/>
    </row>
    <row r="70" spans="1:15">
      <c r="D70" s="951"/>
      <c r="E70" s="953"/>
      <c r="F70" s="952"/>
      <c r="G70" s="954"/>
      <c r="H70" s="952"/>
      <c r="I70" s="952"/>
      <c r="J70" s="955"/>
      <c r="K70" s="955"/>
      <c r="L70" s="954"/>
      <c r="M70" s="954"/>
      <c r="N70" s="953"/>
    </row>
    <row r="71" spans="1:15">
      <c r="D71" s="951"/>
      <c r="E71" s="954"/>
      <c r="F71" s="954"/>
      <c r="G71" s="954"/>
      <c r="H71" s="954"/>
      <c r="I71" s="954"/>
      <c r="J71" s="954"/>
      <c r="K71" s="954"/>
      <c r="L71" s="954"/>
      <c r="M71" s="954"/>
      <c r="N71" s="954"/>
    </row>
  </sheetData>
  <mergeCells count="5">
    <mergeCell ref="B1:N1"/>
    <mergeCell ref="B2:N2"/>
    <mergeCell ref="B3:N3"/>
    <mergeCell ref="D6:D7"/>
    <mergeCell ref="C6:C7"/>
  </mergeCells>
  <conditionalFormatting sqref="N8:N63">
    <cfRule type="cellIs" dxfId="0" priority="3" operator="greaterThanOrEqual">
      <formula>10</formula>
    </cfRule>
  </conditionalFormatting>
  <printOptions horizontalCentered="1"/>
  <pageMargins left="0.7" right="0.7" top="0.75" bottom="0.75" header="0.3" footer="0.3"/>
  <pageSetup scale="55" orientation="landscape"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4"/>
  <sheetViews>
    <sheetView workbookViewId="0">
      <selection activeCell="H16" sqref="H16"/>
    </sheetView>
  </sheetViews>
  <sheetFormatPr defaultColWidth="8.88671875" defaultRowHeight="13.8" outlineLevelRow="1"/>
  <cols>
    <col min="1" max="1" width="3.44140625" style="188" customWidth="1"/>
    <col min="2" max="2" width="40.44140625" style="188" customWidth="1"/>
    <col min="3" max="4" width="13.109375" style="188" customWidth="1"/>
    <col min="5" max="5" width="12.33203125" style="188" customWidth="1"/>
    <col min="6" max="6" width="13.33203125" style="188" customWidth="1"/>
    <col min="7" max="7" width="14" style="188" customWidth="1"/>
    <col min="8" max="8" width="13.88671875" style="188" customWidth="1"/>
    <col min="9" max="9" width="12.44140625" style="188" customWidth="1"/>
    <col min="10" max="10" width="11.44140625" style="188" customWidth="1"/>
    <col min="11" max="11" width="26.5546875" style="188" customWidth="1"/>
    <col min="12" max="12" width="20.6640625" style="188" customWidth="1"/>
    <col min="13" max="13" width="2.88671875" style="188" customWidth="1"/>
    <col min="14" max="14" width="20" style="188" customWidth="1"/>
    <col min="15" max="15" width="22.5546875" style="188" customWidth="1"/>
    <col min="16" max="16" width="21" style="188" bestFit="1" customWidth="1"/>
    <col min="17" max="16384" width="8.88671875" style="188"/>
  </cols>
  <sheetData>
    <row r="1" spans="1:14" s="93" customFormat="1" ht="11.4">
      <c r="A1" s="32"/>
      <c r="B1" s="1406" t="s">
        <v>469</v>
      </c>
      <c r="C1" s="1406"/>
      <c r="D1" s="1406"/>
      <c r="E1" s="1406"/>
      <c r="F1" s="1406"/>
      <c r="G1" s="1406"/>
      <c r="H1" s="1406"/>
      <c r="I1" s="1406"/>
      <c r="J1" s="1406"/>
      <c r="K1" s="193"/>
      <c r="L1" s="193"/>
      <c r="M1" s="193"/>
      <c r="N1" s="193"/>
    </row>
    <row r="2" spans="1:14" s="93" customFormat="1" ht="11.4">
      <c r="A2" s="32"/>
      <c r="B2" s="1406" t="s">
        <v>544</v>
      </c>
      <c r="C2" s="1406"/>
      <c r="D2" s="1406"/>
      <c r="E2" s="1406"/>
      <c r="F2" s="1406"/>
      <c r="G2" s="1406"/>
      <c r="H2" s="1406"/>
      <c r="I2" s="1406"/>
      <c r="J2" s="1406"/>
      <c r="K2" s="193"/>
      <c r="L2" s="193"/>
      <c r="M2" s="193"/>
      <c r="N2" s="193"/>
    </row>
    <row r="3" spans="1:14" s="93" customFormat="1" ht="11.4">
      <c r="A3" s="32"/>
      <c r="B3" s="1406" t="s">
        <v>286</v>
      </c>
      <c r="C3" s="1406"/>
      <c r="D3" s="1406"/>
      <c r="E3" s="1406"/>
      <c r="F3" s="1406"/>
      <c r="G3" s="1406"/>
      <c r="H3" s="1406"/>
      <c r="I3" s="1406"/>
      <c r="J3" s="1406"/>
      <c r="K3" s="193"/>
      <c r="L3" s="193"/>
      <c r="M3" s="193"/>
      <c r="N3" s="193"/>
    </row>
    <row r="4" spans="1:14" s="93" customFormat="1" ht="11.4"/>
    <row r="5" spans="1:14" s="93" customFormat="1" ht="15" customHeight="1" thickBot="1">
      <c r="B5" s="194" t="s">
        <v>287</v>
      </c>
    </row>
    <row r="6" spans="1:14" s="93" customFormat="1" ht="15" customHeight="1" thickTop="1">
      <c r="B6" s="182" t="s">
        <v>284</v>
      </c>
      <c r="C6" s="827">
        <v>550000</v>
      </c>
      <c r="D6" s="78" t="s">
        <v>26</v>
      </c>
      <c r="E6" s="679"/>
      <c r="F6" s="680"/>
      <c r="G6" s="680"/>
      <c r="H6" s="680"/>
      <c r="I6" s="680"/>
    </row>
    <row r="7" spans="1:14" s="60" customFormat="1" ht="15" customHeight="1">
      <c r="B7" s="183" t="s">
        <v>283</v>
      </c>
      <c r="C7" s="76">
        <v>62.785388127853878</v>
      </c>
      <c r="D7" s="79" t="s">
        <v>27</v>
      </c>
      <c r="E7" s="551"/>
      <c r="F7" s="59"/>
      <c r="G7" s="59"/>
      <c r="H7" s="59"/>
      <c r="I7" s="59"/>
    </row>
    <row r="8" spans="1:14" s="93" customFormat="1" ht="15" customHeight="1">
      <c r="B8" s="183" t="s">
        <v>28</v>
      </c>
      <c r="C8" s="76">
        <v>175.3</v>
      </c>
      <c r="D8" s="79" t="s">
        <v>29</v>
      </c>
      <c r="E8" s="59"/>
      <c r="F8" s="195"/>
      <c r="G8" s="195"/>
      <c r="H8" s="195"/>
      <c r="I8" s="59"/>
    </row>
    <row r="9" spans="1:14" s="93" customFormat="1" ht="15" customHeight="1">
      <c r="B9" s="184" t="s">
        <v>80</v>
      </c>
      <c r="C9" s="828">
        <f>C8*C12</f>
        <v>1535628</v>
      </c>
      <c r="D9" s="284" t="s">
        <v>79</v>
      </c>
      <c r="E9" s="196"/>
      <c r="F9" s="197"/>
      <c r="G9" s="197"/>
      <c r="H9" s="197"/>
      <c r="I9" s="59"/>
    </row>
    <row r="10" spans="1:14" s="93" customFormat="1" ht="15" customHeight="1">
      <c r="B10" s="183" t="s">
        <v>488</v>
      </c>
      <c r="C10" s="829">
        <v>550000</v>
      </c>
      <c r="D10" s="79" t="s">
        <v>87</v>
      </c>
      <c r="E10" s="59"/>
      <c r="F10" s="195"/>
      <c r="G10" s="195"/>
      <c r="H10" s="195"/>
      <c r="I10" s="59"/>
    </row>
    <row r="11" spans="1:14" s="93" customFormat="1" ht="15" customHeight="1">
      <c r="B11" s="183" t="s">
        <v>489</v>
      </c>
      <c r="C11" s="1027">
        <v>62.785388127853878</v>
      </c>
      <c r="D11" s="79" t="s">
        <v>27</v>
      </c>
      <c r="E11" s="59"/>
      <c r="F11" s="195"/>
      <c r="G11" s="195"/>
      <c r="H11" s="195"/>
      <c r="I11" s="59"/>
    </row>
    <row r="12" spans="1:14" s="93" customFormat="1" ht="15" customHeight="1">
      <c r="B12" s="183" t="s">
        <v>78</v>
      </c>
      <c r="C12" s="77">
        <v>8760</v>
      </c>
      <c r="D12" s="79" t="s">
        <v>30</v>
      </c>
      <c r="E12" s="59"/>
      <c r="F12" s="59"/>
      <c r="G12" s="59"/>
      <c r="H12" s="59"/>
      <c r="I12" s="59"/>
    </row>
    <row r="13" spans="1:14" s="93" customFormat="1" ht="15" customHeight="1">
      <c r="B13" s="4" t="s">
        <v>523</v>
      </c>
      <c r="C13" s="828">
        <v>39.700000000000003</v>
      </c>
      <c r="D13" s="785" t="s">
        <v>29</v>
      </c>
      <c r="E13" s="59"/>
      <c r="F13" s="196"/>
      <c r="G13" s="196"/>
      <c r="H13" s="196"/>
      <c r="I13" s="59"/>
    </row>
    <row r="14" spans="1:14" s="93" customFormat="1" ht="15" customHeight="1">
      <c r="B14" s="1028" t="s">
        <v>490</v>
      </c>
      <c r="C14" s="283">
        <v>95</v>
      </c>
      <c r="D14" s="284" t="s">
        <v>88</v>
      </c>
      <c r="E14" s="59"/>
      <c r="F14" s="196"/>
      <c r="G14" s="196"/>
      <c r="H14" s="196"/>
      <c r="I14" s="59"/>
    </row>
    <row r="15" spans="1:14" s="93" customFormat="1" ht="15" customHeight="1" thickBot="1">
      <c r="B15" s="185" t="s">
        <v>651</v>
      </c>
      <c r="C15" s="1029">
        <v>95</v>
      </c>
      <c r="D15" s="1030" t="s">
        <v>88</v>
      </c>
      <c r="E15" s="59"/>
      <c r="F15" s="196"/>
      <c r="G15" s="196"/>
      <c r="H15" s="196"/>
      <c r="I15" s="59"/>
    </row>
    <row r="16" spans="1:14" s="93" customFormat="1" ht="12" thickTop="1">
      <c r="B16" s="198"/>
      <c r="C16" s="199"/>
      <c r="D16" s="199"/>
      <c r="E16" s="199"/>
      <c r="F16" s="59"/>
      <c r="G16" s="196"/>
      <c r="H16" s="196"/>
      <c r="I16" s="196"/>
      <c r="J16" s="59"/>
    </row>
    <row r="17" spans="1:14" s="93" customFormat="1" ht="12" thickBot="1">
      <c r="B17" s="586" t="s">
        <v>470</v>
      </c>
      <c r="C17" s="604"/>
      <c r="D17" s="604"/>
      <c r="E17" s="199"/>
      <c r="F17" s="59"/>
      <c r="G17" s="196"/>
      <c r="H17" s="196"/>
      <c r="I17" s="196"/>
      <c r="J17" s="59"/>
    </row>
    <row r="18" spans="1:14" s="93" customFormat="1" ht="15.75" customHeight="1" thickTop="1">
      <c r="A18" s="529"/>
      <c r="B18" s="1411" t="s">
        <v>22</v>
      </c>
      <c r="C18" s="1413" t="s">
        <v>471</v>
      </c>
      <c r="D18" s="1414"/>
      <c r="E18" s="587"/>
      <c r="F18" s="587"/>
      <c r="G18" s="587"/>
      <c r="H18" s="956"/>
      <c r="I18" s="587"/>
      <c r="J18" s="587"/>
      <c r="K18" s="529"/>
      <c r="L18" s="529"/>
      <c r="M18" s="529"/>
      <c r="N18" s="529"/>
    </row>
    <row r="19" spans="1:14" s="93" customFormat="1" ht="15.75" customHeight="1" thickBot="1">
      <c r="A19" s="529"/>
      <c r="B19" s="1412"/>
      <c r="C19" s="605" t="s">
        <v>23</v>
      </c>
      <c r="D19" s="606" t="s">
        <v>8</v>
      </c>
      <c r="E19" s="587"/>
      <c r="F19" s="587"/>
      <c r="G19" s="587"/>
      <c r="H19" s="587"/>
      <c r="I19" s="587"/>
      <c r="J19" s="587"/>
      <c r="K19" s="529"/>
      <c r="L19" s="529"/>
      <c r="M19" s="529"/>
      <c r="N19" s="529"/>
    </row>
    <row r="20" spans="1:14" s="93" customFormat="1" ht="15" customHeight="1" thickTop="1">
      <c r="A20" s="529"/>
      <c r="B20" s="607" t="s">
        <v>2</v>
      </c>
      <c r="C20" s="816">
        <f>E91+E112</f>
        <v>31.697082714998594</v>
      </c>
      <c r="D20" s="1269">
        <f>F91+F112</f>
        <v>138.83322229169383</v>
      </c>
      <c r="E20" s="587"/>
      <c r="F20" s="587"/>
      <c r="G20" s="587"/>
      <c r="H20" s="587"/>
      <c r="I20" s="587"/>
      <c r="J20" s="587"/>
      <c r="K20" s="529"/>
      <c r="L20" s="529"/>
      <c r="M20" s="529"/>
      <c r="N20" s="529"/>
    </row>
    <row r="21" spans="1:14" s="93" customFormat="1" ht="15" customHeight="1">
      <c r="A21" s="529"/>
      <c r="B21" s="35" t="s">
        <v>114</v>
      </c>
      <c r="C21" s="817">
        <f>E92+E113</f>
        <v>30.18765798187588</v>
      </c>
      <c r="D21" s="1270">
        <f>F92+F113</f>
        <v>132.22194196061636</v>
      </c>
      <c r="E21" s="587"/>
      <c r="F21" s="587"/>
      <c r="G21" s="587"/>
      <c r="H21" s="587"/>
      <c r="I21" s="587"/>
      <c r="J21" s="587"/>
      <c r="K21" s="529"/>
      <c r="L21" s="529"/>
      <c r="M21" s="529"/>
      <c r="N21" s="529"/>
    </row>
    <row r="22" spans="1:14" s="93" customFormat="1" ht="15" customHeight="1">
      <c r="A22" s="529"/>
      <c r="B22" s="35" t="s">
        <v>115</v>
      </c>
      <c r="C22" s="819">
        <f t="shared" ref="C22:D24" si="0">E93</f>
        <v>4.3825000000000003</v>
      </c>
      <c r="D22" s="818">
        <f t="shared" si="0"/>
        <v>19.195350000000001</v>
      </c>
      <c r="E22" s="587"/>
      <c r="F22" s="587"/>
      <c r="G22" s="587"/>
      <c r="H22" s="587"/>
      <c r="I22" s="587"/>
      <c r="J22" s="587"/>
      <c r="K22" s="529"/>
      <c r="L22" s="529"/>
      <c r="M22" s="529"/>
      <c r="N22" s="529"/>
    </row>
    <row r="23" spans="1:14" s="93" customFormat="1" ht="15" customHeight="1">
      <c r="A23" s="529"/>
      <c r="B23" s="35" t="s">
        <v>3</v>
      </c>
      <c r="C23" s="817">
        <f t="shared" si="0"/>
        <v>16.513295160283608</v>
      </c>
      <c r="D23" s="818">
        <f t="shared" si="0"/>
        <v>72.328232802042209</v>
      </c>
      <c r="E23" s="587"/>
      <c r="F23" s="587"/>
      <c r="G23" s="587"/>
      <c r="H23" s="587"/>
      <c r="I23" s="587"/>
      <c r="J23" s="587"/>
      <c r="K23" s="529"/>
      <c r="L23" s="529"/>
      <c r="M23" s="529"/>
      <c r="N23" s="529"/>
    </row>
    <row r="24" spans="1:14" s="93" customFormat="1" ht="15" customHeight="1">
      <c r="A24" s="529"/>
      <c r="B24" s="37" t="s">
        <v>76</v>
      </c>
      <c r="C24" s="819">
        <f t="shared" si="0"/>
        <v>6.8888958655117456</v>
      </c>
      <c r="D24" s="818">
        <f t="shared" si="0"/>
        <v>30.173363890941445</v>
      </c>
      <c r="E24" s="587"/>
      <c r="F24" s="587"/>
      <c r="G24" s="587"/>
      <c r="H24" s="587"/>
      <c r="I24" s="587"/>
      <c r="J24" s="587"/>
      <c r="K24" s="529"/>
      <c r="L24" s="529"/>
      <c r="M24" s="529"/>
      <c r="N24" s="529"/>
    </row>
    <row r="25" spans="1:14" s="93" customFormat="1" ht="15" customHeight="1">
      <c r="A25" s="529"/>
      <c r="B25" s="37" t="s">
        <v>331</v>
      </c>
      <c r="C25" s="819">
        <f>E95</f>
        <v>6.8888958655117456</v>
      </c>
      <c r="D25" s="818">
        <f>F95</f>
        <v>30.173363890941445</v>
      </c>
      <c r="E25" s="587"/>
      <c r="F25" s="587"/>
      <c r="G25" s="587"/>
      <c r="H25" s="587"/>
      <c r="I25" s="587"/>
      <c r="J25" s="587"/>
      <c r="K25" s="529"/>
      <c r="L25" s="529"/>
      <c r="M25" s="529"/>
      <c r="N25" s="529"/>
    </row>
    <row r="26" spans="1:14" s="93" customFormat="1" ht="15" customHeight="1">
      <c r="A26" s="529"/>
      <c r="B26" s="37" t="s">
        <v>332</v>
      </c>
      <c r="C26" s="819">
        <f>E95</f>
        <v>6.8888958655117456</v>
      </c>
      <c r="D26" s="818">
        <f>F95</f>
        <v>30.173363890941445</v>
      </c>
      <c r="E26" s="587"/>
      <c r="F26" s="587"/>
      <c r="G26" s="587"/>
      <c r="H26" s="587"/>
      <c r="I26" s="587"/>
      <c r="J26" s="587"/>
      <c r="K26" s="529"/>
      <c r="L26" s="529"/>
      <c r="M26" s="529"/>
      <c r="N26" s="529"/>
    </row>
    <row r="27" spans="1:14" s="93" customFormat="1" ht="15" customHeight="1">
      <c r="A27" s="529"/>
      <c r="B27" s="37" t="s">
        <v>424</v>
      </c>
      <c r="C27" s="820">
        <f>E96</f>
        <v>48972.602739726026</v>
      </c>
      <c r="D27" s="821">
        <f>F96</f>
        <v>214500</v>
      </c>
      <c r="E27" s="587"/>
      <c r="F27" s="587"/>
      <c r="G27" s="587"/>
      <c r="H27" s="587"/>
      <c r="I27" s="587"/>
      <c r="J27" s="587"/>
      <c r="K27" s="529"/>
      <c r="L27" s="529"/>
      <c r="M27" s="529"/>
      <c r="N27" s="529"/>
    </row>
    <row r="28" spans="1:14" s="93" customFormat="1" ht="15" hidden="1" customHeight="1" outlineLevel="1">
      <c r="A28" s="529"/>
      <c r="B28" s="608" t="s">
        <v>11</v>
      </c>
      <c r="C28" s="819">
        <f>SUMIF($B$121:$B$172,B28,H$121:H$172)+SUMIF($B$183:$B$224,$B28,G$183:G$224)</f>
        <v>0.35749999999999998</v>
      </c>
      <c r="D28" s="822">
        <f>SUMIF($B$121:$B$172,$B28,I$121:I$172)+SUMIF($B$183:$B$224,$B28,H$183:H$224)</f>
        <v>1.5658500000000002</v>
      </c>
      <c r="E28" s="587"/>
      <c r="F28" s="587"/>
      <c r="G28" s="587"/>
      <c r="H28" s="587"/>
      <c r="I28" s="587"/>
      <c r="J28" s="587"/>
      <c r="K28" s="529"/>
      <c r="L28" s="529"/>
      <c r="M28" s="529"/>
      <c r="N28" s="529"/>
    </row>
    <row r="29" spans="1:14" s="93" customFormat="1" ht="15" hidden="1" customHeight="1" outlineLevel="1">
      <c r="A29" s="529"/>
      <c r="B29" s="608" t="s">
        <v>12</v>
      </c>
      <c r="C29" s="819">
        <f t="shared" ref="C29:C71" si="1">SUMIF($B$121:$B$174,$B29,H$121:H$174)+SUMIF($B$183:$B$224,$B29,G$183:G$224)</f>
        <v>1.5357970952645128</v>
      </c>
      <c r="D29" s="822">
        <f t="shared" ref="D29:D71" si="2">SUMIF($B$121:$B$174,$B29,I$121:I$174)+SUMIF($B$183:$B$224,$B29,H$183:H$224)</f>
        <v>6.7267912772585667</v>
      </c>
      <c r="E29" s="587"/>
      <c r="F29" s="587"/>
      <c r="G29" s="587"/>
      <c r="H29" s="587"/>
      <c r="I29" s="587"/>
      <c r="J29" s="587"/>
      <c r="K29" s="529"/>
      <c r="L29" s="529"/>
      <c r="M29" s="529"/>
      <c r="N29" s="529"/>
    </row>
    <row r="30" spans="1:14" s="93" customFormat="1" ht="15" hidden="1" customHeight="1" outlineLevel="1">
      <c r="A30" s="529"/>
      <c r="B30" s="608" t="s">
        <v>15</v>
      </c>
      <c r="C30" s="819">
        <f t="shared" si="1"/>
        <v>0.1506066942630763</v>
      </c>
      <c r="D30" s="822">
        <f t="shared" si="2"/>
        <v>0.65965732087227424</v>
      </c>
      <c r="E30" s="587"/>
      <c r="F30" s="587"/>
      <c r="G30" s="587"/>
      <c r="H30" s="587"/>
      <c r="I30" s="587"/>
      <c r="J30" s="587"/>
      <c r="K30" s="529"/>
      <c r="L30" s="529"/>
      <c r="M30" s="529"/>
      <c r="N30" s="529"/>
    </row>
    <row r="31" spans="1:14" s="93" customFormat="1" ht="15" hidden="1" customHeight="1" outlineLevel="1">
      <c r="A31" s="529"/>
      <c r="B31" s="608" t="s">
        <v>16</v>
      </c>
      <c r="C31" s="819">
        <f t="shared" si="1"/>
        <v>0.5517651767904207</v>
      </c>
      <c r="D31" s="822">
        <f t="shared" si="2"/>
        <v>2.4167314743420425</v>
      </c>
      <c r="E31" s="587"/>
      <c r="F31" s="587"/>
      <c r="G31" s="587"/>
      <c r="H31" s="587"/>
      <c r="I31" s="587"/>
      <c r="J31" s="587"/>
      <c r="K31" s="529"/>
      <c r="L31" s="529"/>
      <c r="M31" s="529"/>
      <c r="N31" s="529"/>
    </row>
    <row r="32" spans="1:14" s="93" customFormat="1" ht="15" hidden="1" customHeight="1" outlineLevel="1">
      <c r="A32" s="529"/>
      <c r="B32" s="608" t="s">
        <v>18</v>
      </c>
      <c r="C32" s="819">
        <f t="shared" si="1"/>
        <v>1.6513028713104845E-2</v>
      </c>
      <c r="D32" s="822">
        <f t="shared" si="2"/>
        <v>7.2327065763399229E-2</v>
      </c>
      <c r="E32" s="587"/>
      <c r="F32" s="587"/>
      <c r="G32" s="587"/>
      <c r="H32" s="587"/>
      <c r="I32" s="587"/>
      <c r="J32" s="587"/>
      <c r="K32" s="529"/>
      <c r="L32" s="529"/>
      <c r="M32" s="529"/>
      <c r="N32" s="529"/>
    </row>
    <row r="33" spans="1:14" s="93" customFormat="1" ht="15" hidden="1" customHeight="1" outlineLevel="1">
      <c r="A33" s="529"/>
      <c r="B33" s="608" t="s">
        <v>19</v>
      </c>
      <c r="C33" s="819">
        <f t="shared" si="1"/>
        <v>0.64493150684931499</v>
      </c>
      <c r="D33" s="822">
        <f t="shared" si="2"/>
        <v>2.8248000000000002</v>
      </c>
      <c r="E33" s="587"/>
      <c r="F33" s="587"/>
      <c r="G33" s="587"/>
      <c r="H33" s="587"/>
      <c r="I33" s="587"/>
      <c r="J33" s="587"/>
      <c r="K33" s="529"/>
      <c r="L33" s="529"/>
      <c r="M33" s="529"/>
      <c r="N33" s="529"/>
    </row>
    <row r="34" spans="1:14" s="93" customFormat="1" ht="15" hidden="1" customHeight="1" outlineLevel="1">
      <c r="A34" s="529"/>
      <c r="B34" s="608" t="s">
        <v>57</v>
      </c>
      <c r="C34" s="823">
        <f t="shared" si="1"/>
        <v>2.8048000000000027E-8</v>
      </c>
      <c r="D34" s="824">
        <f t="shared" si="2"/>
        <v>1.2285024000000009E-7</v>
      </c>
      <c r="E34" s="587"/>
      <c r="F34" s="587"/>
      <c r="G34" s="587"/>
      <c r="H34" s="587"/>
      <c r="I34" s="587"/>
      <c r="J34" s="587"/>
      <c r="K34" s="529"/>
      <c r="L34" s="529"/>
      <c r="M34" s="529"/>
      <c r="N34" s="529"/>
    </row>
    <row r="35" spans="1:14" s="93" customFormat="1" ht="15" hidden="1" customHeight="1" outlineLevel="1">
      <c r="A35" s="529"/>
      <c r="B35" s="608" t="s">
        <v>457</v>
      </c>
      <c r="C35" s="823">
        <f t="shared" si="1"/>
        <v>0.12454901960784316</v>
      </c>
      <c r="D35" s="824">
        <f t="shared" si="2"/>
        <v>0.54552470588235302</v>
      </c>
      <c r="E35" s="587"/>
      <c r="F35" s="587"/>
      <c r="G35" s="587"/>
      <c r="H35" s="587"/>
      <c r="I35" s="587"/>
      <c r="J35" s="587"/>
      <c r="K35" s="529"/>
      <c r="L35" s="529"/>
      <c r="M35" s="529"/>
      <c r="N35" s="529"/>
    </row>
    <row r="36" spans="1:14" s="93" customFormat="1" ht="15" hidden="1" customHeight="1" outlineLevel="1">
      <c r="A36" s="529"/>
      <c r="B36" s="608" t="s">
        <v>472</v>
      </c>
      <c r="C36" s="823">
        <f t="shared" si="1"/>
        <v>6.9243500000000077E-5</v>
      </c>
      <c r="D36" s="824">
        <f t="shared" si="2"/>
        <v>3.0328653000000026E-4</v>
      </c>
      <c r="E36" s="587"/>
      <c r="F36" s="587"/>
      <c r="G36" s="587"/>
      <c r="H36" s="587"/>
      <c r="I36" s="587"/>
      <c r="J36" s="587"/>
      <c r="K36" s="529"/>
      <c r="L36" s="529"/>
      <c r="M36" s="529"/>
      <c r="N36" s="529"/>
    </row>
    <row r="37" spans="1:14" s="93" customFormat="1" ht="15" hidden="1" customHeight="1" outlineLevel="1">
      <c r="A37" s="529"/>
      <c r="B37" s="608" t="s">
        <v>473</v>
      </c>
      <c r="C37" s="823">
        <f t="shared" si="1"/>
        <v>2.0061431372549036E-4</v>
      </c>
      <c r="D37" s="824">
        <f t="shared" si="2"/>
        <v>8.786906941176478E-4</v>
      </c>
      <c r="E37" s="587"/>
      <c r="F37" s="587"/>
      <c r="G37" s="587"/>
      <c r="H37" s="587"/>
      <c r="I37" s="587"/>
      <c r="J37" s="587"/>
      <c r="K37" s="529"/>
      <c r="L37" s="529"/>
      <c r="M37" s="529"/>
      <c r="N37" s="529"/>
    </row>
    <row r="38" spans="1:14" s="93" customFormat="1" ht="15" hidden="1" customHeight="1" outlineLevel="1">
      <c r="A38" s="529"/>
      <c r="B38" s="608" t="s">
        <v>25</v>
      </c>
      <c r="C38" s="823">
        <f t="shared" si="1"/>
        <v>2.2835705882352963E-5</v>
      </c>
      <c r="D38" s="824">
        <f t="shared" si="2"/>
        <v>1.0002039176470596E-4</v>
      </c>
      <c r="E38" s="587"/>
      <c r="F38" s="587"/>
      <c r="G38" s="587"/>
      <c r="H38" s="587"/>
      <c r="I38" s="587"/>
      <c r="J38" s="587"/>
      <c r="K38" s="529"/>
      <c r="L38" s="529"/>
      <c r="M38" s="529"/>
      <c r="N38" s="529"/>
    </row>
    <row r="39" spans="1:14" s="93" customFormat="1" ht="15" hidden="1" customHeight="1" outlineLevel="1">
      <c r="A39" s="529"/>
      <c r="B39" s="608" t="s">
        <v>13</v>
      </c>
      <c r="C39" s="819">
        <f t="shared" si="1"/>
        <v>3.689473529411768E-2</v>
      </c>
      <c r="D39" s="822">
        <f t="shared" si="2"/>
        <v>0.16159894058823543</v>
      </c>
      <c r="E39" s="587"/>
      <c r="F39" s="587"/>
      <c r="G39" s="587"/>
      <c r="H39" s="587"/>
      <c r="I39" s="587"/>
      <c r="J39" s="587"/>
      <c r="K39" s="529"/>
      <c r="L39" s="529"/>
      <c r="M39" s="529"/>
      <c r="N39" s="529"/>
    </row>
    <row r="40" spans="1:14" s="93" customFormat="1" ht="15" hidden="1" customHeight="1" outlineLevel="1">
      <c r="A40" s="529"/>
      <c r="B40" s="608" t="s">
        <v>122</v>
      </c>
      <c r="C40" s="823">
        <f t="shared" si="1"/>
        <v>1.0108558823529423E-5</v>
      </c>
      <c r="D40" s="824">
        <f t="shared" si="2"/>
        <v>4.4275487647058854E-5</v>
      </c>
      <c r="E40" s="587"/>
      <c r="F40" s="587"/>
      <c r="G40" s="587"/>
      <c r="H40" s="587"/>
      <c r="I40" s="587"/>
      <c r="J40" s="587"/>
      <c r="K40" s="529"/>
      <c r="L40" s="529"/>
      <c r="M40" s="529"/>
      <c r="N40" s="529"/>
    </row>
    <row r="41" spans="1:14" s="93" customFormat="1" ht="15" hidden="1" customHeight="1" outlineLevel="1">
      <c r="A41" s="529"/>
      <c r="B41" s="608" t="s">
        <v>123</v>
      </c>
      <c r="C41" s="823">
        <f t="shared" si="1"/>
        <v>7.8750225490196112E-5</v>
      </c>
      <c r="D41" s="824">
        <f t="shared" si="2"/>
        <v>3.4492598764705902E-4</v>
      </c>
      <c r="E41" s="587"/>
      <c r="F41" s="587"/>
      <c r="G41" s="587"/>
      <c r="H41" s="587"/>
      <c r="I41" s="587"/>
      <c r="J41" s="587"/>
      <c r="K41" s="529"/>
      <c r="L41" s="529"/>
      <c r="M41" s="529"/>
      <c r="N41" s="529"/>
    </row>
    <row r="42" spans="1:14" s="93" customFormat="1" ht="15" hidden="1" customHeight="1" outlineLevel="1">
      <c r="A42" s="529"/>
      <c r="B42" s="608" t="s">
        <v>58</v>
      </c>
      <c r="C42" s="823">
        <f t="shared" si="1"/>
        <v>3.9442500000000044E-4</v>
      </c>
      <c r="D42" s="824">
        <f t="shared" si="2"/>
        <v>1.7275815000000016E-3</v>
      </c>
      <c r="E42" s="587"/>
      <c r="F42" s="587"/>
      <c r="G42" s="587"/>
      <c r="H42" s="587"/>
      <c r="I42" s="587"/>
      <c r="J42" s="587"/>
      <c r="K42" s="529"/>
      <c r="L42" s="529"/>
      <c r="M42" s="529"/>
      <c r="N42" s="529"/>
    </row>
    <row r="43" spans="1:14" s="93" customFormat="1" ht="15" hidden="1" customHeight="1" outlineLevel="1">
      <c r="A43" s="529"/>
      <c r="B43" s="608" t="s">
        <v>59</v>
      </c>
      <c r="C43" s="819">
        <f t="shared" si="1"/>
        <v>0.138487</v>
      </c>
      <c r="D43" s="822">
        <f t="shared" si="2"/>
        <v>0.60657306000000011</v>
      </c>
      <c r="E43" s="587"/>
      <c r="F43" s="587"/>
      <c r="G43" s="587"/>
      <c r="H43" s="587"/>
      <c r="I43" s="587"/>
      <c r="J43" s="587"/>
      <c r="K43" s="529"/>
      <c r="L43" s="529"/>
      <c r="M43" s="529"/>
      <c r="N43" s="529"/>
    </row>
    <row r="44" spans="1:14" s="93" customFormat="1" ht="15" hidden="1" customHeight="1" outlineLevel="1">
      <c r="A44" s="529"/>
      <c r="B44" s="608" t="s">
        <v>60</v>
      </c>
      <c r="C44" s="823">
        <f t="shared" si="1"/>
        <v>2.8924500000000031E-4</v>
      </c>
      <c r="D44" s="824">
        <f t="shared" si="2"/>
        <v>1.2668931000000012E-3</v>
      </c>
      <c r="E44" s="587"/>
      <c r="F44" s="587"/>
      <c r="G44" s="587"/>
      <c r="H44" s="587"/>
      <c r="I44" s="587"/>
      <c r="J44" s="587"/>
      <c r="K44" s="529"/>
      <c r="L44" s="529"/>
      <c r="M44" s="529"/>
      <c r="N44" s="529"/>
    </row>
    <row r="45" spans="1:14" s="93" customFormat="1" ht="15" hidden="1" customHeight="1" outlineLevel="1">
      <c r="A45" s="529"/>
      <c r="B45" s="608" t="s">
        <v>14</v>
      </c>
      <c r="C45" s="823">
        <f t="shared" si="1"/>
        <v>2.4542000000000021E-4</v>
      </c>
      <c r="D45" s="824">
        <f t="shared" si="2"/>
        <v>1.0749396000000009E-3</v>
      </c>
      <c r="E45" s="587"/>
      <c r="F45" s="587"/>
      <c r="G45" s="587"/>
      <c r="H45" s="587"/>
      <c r="I45" s="587"/>
      <c r="J45" s="587"/>
      <c r="K45" s="529"/>
      <c r="L45" s="529"/>
      <c r="M45" s="529"/>
      <c r="N45" s="529"/>
    </row>
    <row r="46" spans="1:14" s="93" customFormat="1" ht="15" hidden="1" customHeight="1" outlineLevel="1">
      <c r="A46" s="529"/>
      <c r="B46" s="608" t="s">
        <v>124</v>
      </c>
      <c r="C46" s="823">
        <f t="shared" si="1"/>
        <v>8.5167696078431406E-5</v>
      </c>
      <c r="D46" s="824">
        <f t="shared" si="2"/>
        <v>3.7303450882352954E-4</v>
      </c>
      <c r="E46" s="587"/>
      <c r="F46" s="587"/>
      <c r="G46" s="587"/>
      <c r="H46" s="587"/>
      <c r="I46" s="587"/>
      <c r="J46" s="587"/>
      <c r="K46" s="529"/>
      <c r="L46" s="529"/>
      <c r="M46" s="529"/>
      <c r="N46" s="529"/>
    </row>
    <row r="47" spans="1:14" s="93" customFormat="1" ht="15" hidden="1" customHeight="1" outlineLevel="1">
      <c r="A47" s="529"/>
      <c r="B47" s="608" t="s">
        <v>125</v>
      </c>
      <c r="C47" s="823">
        <f t="shared" si="1"/>
        <v>1.5338750000000012E-4</v>
      </c>
      <c r="D47" s="824">
        <f t="shared" si="2"/>
        <v>6.7183725000000052E-4</v>
      </c>
      <c r="E47" s="587"/>
      <c r="F47" s="587"/>
      <c r="G47" s="587"/>
      <c r="H47" s="587"/>
      <c r="I47" s="587"/>
      <c r="J47" s="587"/>
      <c r="K47" s="529"/>
      <c r="L47" s="529"/>
      <c r="M47" s="529"/>
      <c r="N47" s="529"/>
    </row>
    <row r="48" spans="1:14" s="93" customFormat="1" ht="15" hidden="1" customHeight="1" outlineLevel="1">
      <c r="A48" s="529"/>
      <c r="B48" s="608" t="s">
        <v>61</v>
      </c>
      <c r="C48" s="823">
        <f t="shared" si="1"/>
        <v>6.0241911764705932E-5</v>
      </c>
      <c r="D48" s="824">
        <f t="shared" si="2"/>
        <v>2.6385957352941197E-4</v>
      </c>
      <c r="E48" s="587"/>
      <c r="F48" s="587"/>
      <c r="G48" s="587"/>
      <c r="H48" s="587"/>
      <c r="I48" s="587"/>
      <c r="J48" s="587"/>
      <c r="K48" s="529"/>
      <c r="L48" s="529"/>
      <c r="M48" s="529"/>
      <c r="N48" s="529"/>
    </row>
    <row r="49" spans="1:14" s="93" customFormat="1" ht="15" hidden="1" customHeight="1" outlineLevel="1">
      <c r="A49" s="529"/>
      <c r="B49" s="608" t="s">
        <v>150</v>
      </c>
      <c r="C49" s="823">
        <f t="shared" si="1"/>
        <v>4.6705882352941181E-5</v>
      </c>
      <c r="D49" s="824">
        <f t="shared" si="2"/>
        <v>2.0457176470588235E-4</v>
      </c>
      <c r="E49" s="587"/>
      <c r="F49" s="587"/>
      <c r="G49" s="587"/>
      <c r="H49" s="587"/>
      <c r="I49" s="587"/>
      <c r="J49" s="587"/>
      <c r="K49" s="529"/>
      <c r="L49" s="529"/>
      <c r="M49" s="529"/>
      <c r="N49" s="529"/>
    </row>
    <row r="50" spans="1:14" s="93" customFormat="1" ht="15" hidden="1" customHeight="1" outlineLevel="1">
      <c r="A50" s="529"/>
      <c r="B50" s="608" t="s">
        <v>126</v>
      </c>
      <c r="C50" s="823">
        <f t="shared" si="1"/>
        <v>2.5418500000000025E-4</v>
      </c>
      <c r="D50" s="824">
        <f t="shared" si="2"/>
        <v>1.113330300000001E-3</v>
      </c>
      <c r="E50" s="587"/>
      <c r="F50" s="587"/>
      <c r="G50" s="587"/>
      <c r="H50" s="587"/>
      <c r="I50" s="587"/>
      <c r="J50" s="587"/>
      <c r="K50" s="529"/>
      <c r="L50" s="529"/>
      <c r="M50" s="529"/>
      <c r="N50" s="529"/>
    </row>
    <row r="51" spans="1:14" s="93" customFormat="1" ht="15" hidden="1" customHeight="1" outlineLevel="1">
      <c r="A51" s="529"/>
      <c r="B51" s="608" t="s">
        <v>127</v>
      </c>
      <c r="C51" s="823">
        <f t="shared" si="1"/>
        <v>2.8924500000000031E-4</v>
      </c>
      <c r="D51" s="824">
        <f t="shared" si="2"/>
        <v>1.2668931000000012E-3</v>
      </c>
      <c r="E51" s="587"/>
      <c r="F51" s="587"/>
      <c r="G51" s="587"/>
      <c r="H51" s="587"/>
      <c r="I51" s="587"/>
      <c r="J51" s="587"/>
      <c r="K51" s="529"/>
      <c r="L51" s="529"/>
      <c r="M51" s="529"/>
      <c r="N51" s="529"/>
    </row>
    <row r="52" spans="1:14" s="93" customFormat="1" ht="15" hidden="1" customHeight="1" outlineLevel="1">
      <c r="A52" s="529"/>
      <c r="B52" s="608" t="s">
        <v>62</v>
      </c>
      <c r="C52" s="823">
        <f t="shared" si="1"/>
        <v>1.5777000000000016E-6</v>
      </c>
      <c r="D52" s="824">
        <f t="shared" si="2"/>
        <v>6.9103260000000059E-6</v>
      </c>
      <c r="E52" s="587"/>
      <c r="F52" s="587"/>
      <c r="G52" s="587"/>
      <c r="H52" s="587"/>
      <c r="I52" s="587"/>
      <c r="J52" s="587"/>
      <c r="K52" s="529"/>
      <c r="L52" s="529"/>
      <c r="M52" s="529"/>
      <c r="N52" s="529"/>
    </row>
    <row r="53" spans="1:14" s="93" customFormat="1" ht="15" hidden="1" customHeight="1" outlineLevel="1">
      <c r="A53" s="529"/>
      <c r="B53" s="608" t="s">
        <v>128</v>
      </c>
      <c r="C53" s="823">
        <f t="shared" si="1"/>
        <v>4.1195500000000038E-7</v>
      </c>
      <c r="D53" s="824">
        <f t="shared" si="2"/>
        <v>1.8043629000000014E-6</v>
      </c>
      <c r="E53" s="587"/>
      <c r="F53" s="587"/>
      <c r="G53" s="587"/>
      <c r="H53" s="587"/>
      <c r="I53" s="587"/>
      <c r="J53" s="587"/>
      <c r="K53" s="529"/>
      <c r="L53" s="529"/>
      <c r="M53" s="529"/>
      <c r="N53" s="529"/>
    </row>
    <row r="54" spans="1:14" s="93" customFormat="1" ht="15" hidden="1" customHeight="1" outlineLevel="1">
      <c r="A54" s="529"/>
      <c r="B54" s="608" t="s">
        <v>63</v>
      </c>
      <c r="C54" s="823">
        <f t="shared" si="1"/>
        <v>2.7171500000000028E-4</v>
      </c>
      <c r="D54" s="824">
        <f t="shared" si="2"/>
        <v>1.1901117000000013E-3</v>
      </c>
      <c r="E54" s="587"/>
      <c r="F54" s="587"/>
      <c r="G54" s="587"/>
      <c r="H54" s="587"/>
      <c r="I54" s="587"/>
      <c r="J54" s="587"/>
      <c r="K54" s="529"/>
      <c r="L54" s="529"/>
      <c r="M54" s="529"/>
      <c r="N54" s="529"/>
    </row>
    <row r="55" spans="1:14" s="93" customFormat="1" ht="15" hidden="1" customHeight="1" outlineLevel="1">
      <c r="A55" s="529"/>
      <c r="B55" s="608" t="s">
        <v>474</v>
      </c>
      <c r="C55" s="823">
        <f t="shared" si="1"/>
        <v>1.4024000000000013E-4</v>
      </c>
      <c r="D55" s="824">
        <f t="shared" si="2"/>
        <v>6.1425120000000051E-4</v>
      </c>
      <c r="E55" s="587"/>
      <c r="F55" s="587"/>
      <c r="G55" s="587"/>
      <c r="H55" s="587"/>
      <c r="I55" s="587"/>
      <c r="J55" s="587"/>
      <c r="K55" s="529"/>
      <c r="L55" s="529"/>
      <c r="M55" s="529"/>
      <c r="N55" s="529"/>
    </row>
    <row r="56" spans="1:14" s="93" customFormat="1" ht="15" hidden="1" customHeight="1" outlineLevel="1">
      <c r="A56" s="529"/>
      <c r="B56" s="608" t="s">
        <v>153</v>
      </c>
      <c r="C56" s="819">
        <f t="shared" si="1"/>
        <v>7.0058823529411771E-2</v>
      </c>
      <c r="D56" s="822">
        <f t="shared" si="2"/>
        <v>0.30685764705882362</v>
      </c>
      <c r="E56" s="587"/>
      <c r="F56" s="587"/>
      <c r="G56" s="587"/>
      <c r="H56" s="587"/>
      <c r="I56" s="587"/>
      <c r="J56" s="587"/>
      <c r="K56" s="529"/>
      <c r="L56" s="529"/>
      <c r="M56" s="529"/>
      <c r="N56" s="529"/>
    </row>
    <row r="57" spans="1:14" s="93" customFormat="1" ht="15" hidden="1" customHeight="1" outlineLevel="1">
      <c r="A57" s="529"/>
      <c r="B57" s="608" t="s">
        <v>129</v>
      </c>
      <c r="C57" s="819">
        <f t="shared" si="1"/>
        <v>8.3592070840548538E-2</v>
      </c>
      <c r="D57" s="822">
        <f t="shared" si="2"/>
        <v>0.36613327028160264</v>
      </c>
      <c r="E57" s="587"/>
      <c r="F57" s="587"/>
      <c r="G57" s="587"/>
      <c r="H57" s="587"/>
      <c r="I57" s="587"/>
      <c r="J57" s="587"/>
      <c r="K57" s="529"/>
      <c r="L57" s="529"/>
      <c r="M57" s="529"/>
      <c r="N57" s="529"/>
    </row>
    <row r="58" spans="1:14" s="93" customFormat="1" ht="15" hidden="1" customHeight="1" outlineLevel="1">
      <c r="A58" s="529"/>
      <c r="B58" s="608" t="s">
        <v>475</v>
      </c>
      <c r="C58" s="823">
        <f t="shared" si="1"/>
        <v>4.4018078431372592E-4</v>
      </c>
      <c r="D58" s="824">
        <f t="shared" si="2"/>
        <v>1.9279918352941192E-3</v>
      </c>
      <c r="E58" s="587"/>
      <c r="F58" s="587"/>
      <c r="G58" s="587"/>
      <c r="H58" s="587"/>
      <c r="I58" s="587"/>
      <c r="J58" s="587"/>
      <c r="K58" s="529"/>
      <c r="L58" s="529"/>
      <c r="M58" s="529"/>
      <c r="N58" s="529"/>
    </row>
    <row r="59" spans="1:14" s="93" customFormat="1" ht="15" hidden="1" customHeight="1" outlineLevel="1">
      <c r="A59" s="529"/>
      <c r="B59" s="608" t="s">
        <v>458</v>
      </c>
      <c r="C59" s="823">
        <f t="shared" si="1"/>
        <v>1.4038790196078444E-2</v>
      </c>
      <c r="D59" s="824">
        <f t="shared" si="2"/>
        <v>6.1489901058823584E-2</v>
      </c>
      <c r="E59" s="727"/>
      <c r="F59" s="587"/>
      <c r="G59" s="587"/>
      <c r="H59" s="587"/>
      <c r="I59" s="587"/>
      <c r="J59" s="587"/>
      <c r="K59" s="529"/>
      <c r="L59" s="529"/>
      <c r="M59" s="529"/>
      <c r="N59" s="529"/>
    </row>
    <row r="60" spans="1:14" s="93" customFormat="1" ht="15" hidden="1" customHeight="1" outlineLevel="1">
      <c r="A60" s="529"/>
      <c r="B60" s="608" t="s">
        <v>155</v>
      </c>
      <c r="C60" s="823">
        <f t="shared" si="1"/>
        <v>4.0797107843137282E-5</v>
      </c>
      <c r="D60" s="824">
        <f t="shared" si="2"/>
        <v>1.7869133235294128E-4</v>
      </c>
      <c r="E60" s="587"/>
      <c r="F60" s="587"/>
      <c r="G60" s="587"/>
      <c r="H60" s="587"/>
      <c r="I60" s="587"/>
      <c r="J60" s="587"/>
      <c r="K60" s="529"/>
      <c r="L60" s="529"/>
      <c r="M60" s="529"/>
      <c r="N60" s="529"/>
    </row>
    <row r="61" spans="1:14" s="93" customFormat="1" ht="15" hidden="1" customHeight="1" outlineLevel="1">
      <c r="A61" s="529"/>
      <c r="B61" s="608" t="s">
        <v>130</v>
      </c>
      <c r="C61" s="823">
        <f t="shared" si="1"/>
        <v>1.3147500000000015E-4</v>
      </c>
      <c r="D61" s="824">
        <f t="shared" si="2"/>
        <v>5.7586050000000058E-4</v>
      </c>
      <c r="E61" s="587"/>
      <c r="F61" s="587"/>
      <c r="G61" s="587"/>
      <c r="H61" s="587"/>
      <c r="I61" s="587"/>
      <c r="J61" s="587"/>
      <c r="K61" s="529"/>
      <c r="L61" s="529"/>
      <c r="M61" s="529"/>
      <c r="N61" s="529"/>
    </row>
    <row r="62" spans="1:14" s="93" customFormat="1" ht="15" hidden="1" customHeight="1" outlineLevel="1">
      <c r="A62" s="529"/>
      <c r="B62" s="608" t="s">
        <v>131</v>
      </c>
      <c r="C62" s="823">
        <f t="shared" si="1"/>
        <v>2.0159500000000021E-4</v>
      </c>
      <c r="D62" s="824">
        <f t="shared" si="2"/>
        <v>8.8298610000000068E-4</v>
      </c>
      <c r="E62" s="587"/>
      <c r="F62" s="587"/>
      <c r="G62" s="587"/>
      <c r="H62" s="587"/>
      <c r="I62" s="587"/>
      <c r="J62" s="587"/>
      <c r="K62" s="529"/>
      <c r="L62" s="529"/>
      <c r="M62" s="529"/>
      <c r="N62" s="529"/>
    </row>
    <row r="63" spans="1:14" s="93" customFormat="1" ht="15" hidden="1" customHeight="1" outlineLevel="1">
      <c r="A63" s="529"/>
      <c r="B63" s="608" t="s">
        <v>459</v>
      </c>
      <c r="C63" s="823">
        <f t="shared" si="1"/>
        <v>4.7331000000000045E-5</v>
      </c>
      <c r="D63" s="824">
        <f t="shared" si="2"/>
        <v>2.0730978000000017E-4</v>
      </c>
      <c r="E63" s="587"/>
      <c r="F63" s="587"/>
      <c r="G63" s="587"/>
      <c r="H63" s="587"/>
      <c r="I63" s="587"/>
      <c r="J63" s="587"/>
      <c r="K63" s="529"/>
      <c r="L63" s="529"/>
      <c r="M63" s="529"/>
      <c r="N63" s="529"/>
    </row>
    <row r="64" spans="1:14" s="93" customFormat="1" ht="15" hidden="1" customHeight="1" outlineLevel="1">
      <c r="A64" s="529"/>
      <c r="B64" s="608" t="s">
        <v>17</v>
      </c>
      <c r="C64" s="823">
        <f t="shared" si="1"/>
        <v>2.5418500000000022E-3</v>
      </c>
      <c r="D64" s="824">
        <f t="shared" si="2"/>
        <v>1.1133303000000009E-2</v>
      </c>
      <c r="E64" s="587"/>
      <c r="F64" s="587"/>
      <c r="G64" s="587"/>
      <c r="H64" s="587"/>
      <c r="I64" s="587"/>
      <c r="J64" s="587"/>
      <c r="K64" s="529"/>
      <c r="L64" s="529"/>
      <c r="M64" s="529"/>
      <c r="N64" s="529"/>
    </row>
    <row r="65" spans="1:14" s="93" customFormat="1" ht="15" hidden="1" customHeight="1" outlineLevel="1">
      <c r="A65" s="529"/>
      <c r="B65" s="608" t="s">
        <v>64</v>
      </c>
      <c r="C65" s="823">
        <f t="shared" si="1"/>
        <v>8.7394715686274591E-4</v>
      </c>
      <c r="D65" s="824">
        <f t="shared" si="2"/>
        <v>3.8278885470588268E-3</v>
      </c>
      <c r="E65" s="587"/>
      <c r="F65" s="587"/>
      <c r="G65" s="587"/>
      <c r="H65" s="587"/>
      <c r="I65" s="587"/>
      <c r="J65" s="587"/>
      <c r="K65" s="529"/>
      <c r="L65" s="529"/>
      <c r="M65" s="529"/>
      <c r="N65" s="529"/>
    </row>
    <row r="66" spans="1:14" s="93" customFormat="1" ht="15" hidden="1" customHeight="1" outlineLevel="1">
      <c r="A66" s="529"/>
      <c r="B66" s="608" t="s">
        <v>156</v>
      </c>
      <c r="C66" s="823">
        <f t="shared" si="1"/>
        <v>3.7098029411764737E-4</v>
      </c>
      <c r="D66" s="824">
        <f t="shared" si="2"/>
        <v>1.6248936882352952E-3</v>
      </c>
      <c r="E66" s="587"/>
      <c r="F66" s="587"/>
      <c r="G66" s="587"/>
      <c r="H66" s="587"/>
      <c r="I66" s="587"/>
      <c r="J66" s="587"/>
      <c r="K66" s="529"/>
      <c r="L66" s="529"/>
      <c r="M66" s="529"/>
      <c r="N66" s="529"/>
    </row>
    <row r="67" spans="1:14" s="93" customFormat="1" ht="15" hidden="1" customHeight="1" outlineLevel="1">
      <c r="A67" s="529"/>
      <c r="B67" s="608" t="s">
        <v>65</v>
      </c>
      <c r="C67" s="823">
        <f t="shared" si="1"/>
        <v>9.6415000000000097E-7</v>
      </c>
      <c r="D67" s="824">
        <f t="shared" si="2"/>
        <v>4.2229770000000039E-6</v>
      </c>
      <c r="E67" s="587"/>
      <c r="F67" s="587"/>
      <c r="G67" s="587"/>
      <c r="H67" s="587"/>
      <c r="I67" s="587"/>
      <c r="J67" s="587"/>
      <c r="K67" s="529"/>
      <c r="L67" s="529"/>
      <c r="M67" s="529"/>
      <c r="N67" s="529"/>
    </row>
    <row r="68" spans="1:14" s="93" customFormat="1" ht="15" hidden="1" customHeight="1" outlineLevel="1">
      <c r="A68" s="529"/>
      <c r="B68" s="608" t="s">
        <v>66</v>
      </c>
      <c r="C68" s="823">
        <f t="shared" si="1"/>
        <v>4.4701500000000038E-7</v>
      </c>
      <c r="D68" s="824">
        <f t="shared" si="2"/>
        <v>1.9579257000000017E-6</v>
      </c>
      <c r="E68" s="587"/>
      <c r="F68" s="587"/>
      <c r="G68" s="587"/>
      <c r="H68" s="587"/>
      <c r="I68" s="587"/>
      <c r="J68" s="587"/>
      <c r="K68" s="529"/>
      <c r="L68" s="529"/>
      <c r="M68" s="529"/>
      <c r="N68" s="529"/>
    </row>
    <row r="69" spans="1:14" s="93" customFormat="1" ht="15" hidden="1" customHeight="1" outlineLevel="1">
      <c r="A69" s="529"/>
      <c r="B69" s="608" t="s">
        <v>132</v>
      </c>
      <c r="C69" s="823">
        <f t="shared" si="1"/>
        <v>3.3307000000000031E-4</v>
      </c>
      <c r="D69" s="824">
        <f t="shared" si="2"/>
        <v>1.4588466000000013E-3</v>
      </c>
      <c r="E69" s="587"/>
      <c r="F69" s="587"/>
      <c r="G69" s="587"/>
      <c r="H69" s="587"/>
      <c r="I69" s="587"/>
      <c r="J69" s="587"/>
      <c r="K69" s="529"/>
      <c r="L69" s="529"/>
      <c r="M69" s="529"/>
      <c r="N69" s="529"/>
    </row>
    <row r="70" spans="1:14" s="93" customFormat="1" ht="15" hidden="1" customHeight="1" outlineLevel="1">
      <c r="A70" s="529"/>
      <c r="B70" s="608" t="s">
        <v>476</v>
      </c>
      <c r="C70" s="823">
        <f t="shared" si="1"/>
        <v>2.3665500000000025E-4</v>
      </c>
      <c r="D70" s="824">
        <f t="shared" si="2"/>
        <v>1.0365489000000009E-3</v>
      </c>
      <c r="E70" s="587"/>
      <c r="F70" s="587"/>
      <c r="G70" s="587"/>
      <c r="H70" s="587"/>
      <c r="I70" s="587"/>
      <c r="J70" s="587"/>
      <c r="K70" s="529"/>
      <c r="L70" s="529"/>
      <c r="M70" s="529"/>
      <c r="N70" s="529"/>
    </row>
    <row r="71" spans="1:14" s="93" customFormat="1" ht="15" hidden="1" customHeight="1" outlineLevel="1">
      <c r="A71" s="529"/>
      <c r="B71" s="608" t="s">
        <v>477</v>
      </c>
      <c r="C71" s="823">
        <f t="shared" si="1"/>
        <v>7.1399690000000084E-8</v>
      </c>
      <c r="D71" s="824">
        <f t="shared" si="2"/>
        <v>3.1273064220000033E-7</v>
      </c>
      <c r="E71" s="587"/>
      <c r="F71" s="587"/>
      <c r="G71" s="587"/>
      <c r="H71" s="587"/>
      <c r="I71" s="587"/>
      <c r="J71" s="587"/>
      <c r="K71" s="529"/>
      <c r="L71" s="529"/>
      <c r="M71" s="529"/>
      <c r="N71" s="529"/>
    </row>
    <row r="72" spans="1:14" s="93" customFormat="1" ht="15" hidden="1" customHeight="1" outlineLevel="1">
      <c r="A72" s="529"/>
      <c r="B72" s="608" t="s">
        <v>68</v>
      </c>
      <c r="C72" s="823">
        <f ca="1">SUMIF($M$187:$M$224,"X",G188:G224)+H162</f>
        <v>1.3372936256960794E-3</v>
      </c>
      <c r="D72" s="824">
        <f ca="1">SUMIF($M$187:$M$224,"X",H188:H224)+I162</f>
        <v>5.8573460805488274E-3</v>
      </c>
      <c r="E72" s="587"/>
      <c r="F72" s="587"/>
      <c r="G72" s="587"/>
      <c r="H72" s="587"/>
      <c r="I72" s="587"/>
      <c r="J72" s="587"/>
      <c r="K72" s="529"/>
      <c r="L72" s="529"/>
      <c r="M72" s="529"/>
      <c r="N72" s="529"/>
    </row>
    <row r="73" spans="1:14" s="93" customFormat="1" ht="15" hidden="1" customHeight="1" outlineLevel="1">
      <c r="A73" s="529"/>
      <c r="B73" s="608" t="s">
        <v>478</v>
      </c>
      <c r="C73" s="823">
        <f t="shared" ref="C73:C82" si="3">SUMIF($B$121:$B$174,$B73,H$121:H$174)+SUMIF($B$183:$B$224,$B73,G$183:G$224)</f>
        <v>2.5476117647058844E-5</v>
      </c>
      <c r="D73" s="824">
        <f t="shared" ref="D73:D82" si="4">SUMIF($B$121:$B$174,$B73,I$121:I$174)+SUMIF($B$183:$B$224,$B73,H$183:H$224)</f>
        <v>1.1158539529411775E-4</v>
      </c>
      <c r="E73" s="587"/>
      <c r="F73" s="587"/>
      <c r="G73" s="587"/>
      <c r="H73" s="587"/>
      <c r="I73" s="587"/>
      <c r="J73" s="587"/>
      <c r="K73" s="529"/>
      <c r="L73" s="529"/>
      <c r="M73" s="529"/>
      <c r="N73" s="529"/>
    </row>
    <row r="74" spans="1:14" s="93" customFormat="1" ht="15" hidden="1" customHeight="1" outlineLevel="1">
      <c r="A74" s="529"/>
      <c r="B74" s="608" t="s">
        <v>20</v>
      </c>
      <c r="C74" s="823">
        <f t="shared" si="3"/>
        <v>1.6653500000000016E-2</v>
      </c>
      <c r="D74" s="824">
        <f t="shared" si="4"/>
        <v>7.2942330000000069E-2</v>
      </c>
      <c r="E74" s="587"/>
      <c r="F74" s="587"/>
      <c r="G74" s="587"/>
      <c r="H74" s="587"/>
      <c r="I74" s="587"/>
      <c r="J74" s="587"/>
      <c r="K74" s="529"/>
      <c r="L74" s="529"/>
      <c r="M74" s="529"/>
      <c r="N74" s="529"/>
    </row>
    <row r="75" spans="1:14" s="93" customFormat="1" ht="15" hidden="1" customHeight="1" outlineLevel="1">
      <c r="A75" s="529"/>
      <c r="B75" s="608" t="s">
        <v>70</v>
      </c>
      <c r="C75" s="823">
        <f t="shared" si="3"/>
        <v>7.5379000000000071E-11</v>
      </c>
      <c r="D75" s="824">
        <f t="shared" si="4"/>
        <v>3.3016002000000027E-10</v>
      </c>
      <c r="E75" s="587"/>
      <c r="F75" s="587"/>
      <c r="G75" s="587"/>
      <c r="H75" s="587"/>
      <c r="I75" s="587"/>
      <c r="J75" s="587"/>
      <c r="K75" s="529"/>
      <c r="L75" s="529"/>
      <c r="M75" s="529"/>
      <c r="N75" s="529"/>
    </row>
    <row r="76" spans="1:14" s="93" customFormat="1" ht="15" hidden="1" customHeight="1" outlineLevel="1">
      <c r="A76" s="529"/>
      <c r="B76" s="608" t="s">
        <v>21</v>
      </c>
      <c r="C76" s="823">
        <f t="shared" si="3"/>
        <v>8.1961333333333414E-3</v>
      </c>
      <c r="D76" s="824">
        <f t="shared" si="4"/>
        <v>3.5899064000000036E-2</v>
      </c>
      <c r="E76" s="587"/>
      <c r="F76" s="587"/>
      <c r="G76" s="587"/>
      <c r="H76" s="587"/>
      <c r="I76" s="587"/>
      <c r="J76" s="587"/>
      <c r="K76" s="529"/>
      <c r="L76" s="529"/>
      <c r="M76" s="529"/>
      <c r="N76" s="529"/>
    </row>
    <row r="77" spans="1:14" s="93" customFormat="1" ht="15" hidden="1" customHeight="1" outlineLevel="1">
      <c r="A77" s="529"/>
      <c r="B77" s="608" t="s">
        <v>134</v>
      </c>
      <c r="C77" s="823">
        <f t="shared" si="3"/>
        <v>2.7171500000000028E-4</v>
      </c>
      <c r="D77" s="824">
        <f t="shared" si="4"/>
        <v>1.1901117000000013E-3</v>
      </c>
      <c r="E77" s="587"/>
      <c r="F77" s="587"/>
      <c r="G77" s="587"/>
      <c r="H77" s="587"/>
      <c r="I77" s="587"/>
      <c r="J77" s="587"/>
      <c r="K77" s="529"/>
      <c r="L77" s="529"/>
      <c r="M77" s="529"/>
      <c r="N77" s="529"/>
    </row>
    <row r="78" spans="1:14" s="93" customFormat="1" ht="15" hidden="1" customHeight="1" outlineLevel="1">
      <c r="A78" s="529"/>
      <c r="B78" s="608" t="s">
        <v>71</v>
      </c>
      <c r="C78" s="823">
        <f t="shared" si="3"/>
        <v>2.6295000000000029E-4</v>
      </c>
      <c r="D78" s="824">
        <f t="shared" si="4"/>
        <v>1.1517210000000012E-3</v>
      </c>
      <c r="E78" s="587"/>
      <c r="F78" s="587"/>
      <c r="G78" s="587"/>
      <c r="H78" s="587"/>
      <c r="I78" s="587"/>
      <c r="J78" s="587"/>
      <c r="K78" s="529"/>
      <c r="L78" s="529"/>
      <c r="M78" s="529"/>
      <c r="N78" s="529"/>
    </row>
    <row r="79" spans="1:14" s="93" customFormat="1" ht="15" hidden="1" customHeight="1" outlineLevel="1">
      <c r="A79" s="529"/>
      <c r="B79" s="608" t="s">
        <v>135</v>
      </c>
      <c r="C79" s="823">
        <f t="shared" si="3"/>
        <v>3.5936500000000032E-4</v>
      </c>
      <c r="D79" s="824">
        <f t="shared" si="4"/>
        <v>1.5740187000000015E-3</v>
      </c>
      <c r="E79" s="587"/>
      <c r="F79" s="587"/>
      <c r="G79" s="587"/>
      <c r="H79" s="587"/>
      <c r="I79" s="587"/>
      <c r="J79" s="587"/>
      <c r="K79" s="529"/>
      <c r="L79" s="529"/>
      <c r="M79" s="529"/>
      <c r="N79" s="529"/>
    </row>
    <row r="80" spans="1:14" s="93" customFormat="1" ht="15" hidden="1" customHeight="1" outlineLevel="1">
      <c r="A80" s="529"/>
      <c r="B80" s="608" t="s">
        <v>72</v>
      </c>
      <c r="C80" s="823">
        <f t="shared" si="3"/>
        <v>1.9283000000000015E-7</v>
      </c>
      <c r="D80" s="824">
        <f t="shared" si="4"/>
        <v>8.445954000000006E-7</v>
      </c>
      <c r="E80" s="587"/>
      <c r="F80" s="587"/>
      <c r="G80" s="587"/>
      <c r="H80" s="587"/>
      <c r="I80" s="587"/>
      <c r="J80" s="587"/>
      <c r="K80" s="529"/>
      <c r="L80" s="529"/>
      <c r="M80" s="529"/>
      <c r="N80" s="529"/>
    </row>
    <row r="81" spans="1:15" s="93" customFormat="1" ht="15" hidden="1" customHeight="1" outlineLevel="1">
      <c r="A81" s="529"/>
      <c r="B81" s="608" t="s">
        <v>479</v>
      </c>
      <c r="C81" s="823">
        <f t="shared" si="3"/>
        <v>1.5777000000000016E-4</v>
      </c>
      <c r="D81" s="824">
        <f t="shared" si="4"/>
        <v>6.910326000000007E-4</v>
      </c>
      <c r="E81" s="587"/>
      <c r="F81" s="587"/>
      <c r="G81" s="587"/>
      <c r="H81" s="587"/>
      <c r="I81" s="587"/>
      <c r="J81" s="587"/>
      <c r="K81" s="529"/>
      <c r="L81" s="529"/>
      <c r="M81" s="529"/>
      <c r="N81" s="529"/>
    </row>
    <row r="82" spans="1:15" s="93" customFormat="1" ht="15" hidden="1" customHeight="1" outlineLevel="1">
      <c r="A82" s="529"/>
      <c r="B82" s="608" t="s">
        <v>136</v>
      </c>
      <c r="C82" s="823">
        <f t="shared" si="3"/>
        <v>2.1912500000000019E-4</v>
      </c>
      <c r="D82" s="824">
        <f t="shared" si="4"/>
        <v>9.5976750000000086E-4</v>
      </c>
      <c r="E82" s="587"/>
      <c r="F82" s="587"/>
      <c r="G82" s="587"/>
      <c r="H82" s="587"/>
      <c r="I82" s="587"/>
      <c r="J82" s="587"/>
      <c r="K82" s="529"/>
      <c r="L82" s="529"/>
      <c r="M82" s="529"/>
      <c r="N82" s="529"/>
    </row>
    <row r="83" spans="1:15" s="93" customFormat="1" ht="15" customHeight="1" collapsed="1">
      <c r="A83" s="529"/>
      <c r="B83" s="45" t="s">
        <v>480</v>
      </c>
      <c r="C83" s="819">
        <f>H173++G225</f>
        <v>3.6338107178138603</v>
      </c>
      <c r="D83" s="818">
        <f>I173+H225</f>
        <v>15.91609094402472</v>
      </c>
      <c r="E83" s="587"/>
      <c r="F83" s="587"/>
      <c r="G83" s="587"/>
      <c r="H83" s="587"/>
      <c r="I83" s="587"/>
      <c r="J83" s="587"/>
      <c r="K83" s="529"/>
      <c r="L83" s="529"/>
      <c r="M83" s="529"/>
      <c r="N83" s="529"/>
    </row>
    <row r="84" spans="1:15" s="93" customFormat="1" ht="15" customHeight="1" thickBot="1">
      <c r="A84" s="529"/>
      <c r="B84" s="609" t="s">
        <v>481</v>
      </c>
      <c r="C84" s="825">
        <f>H174+G226</f>
        <v>2.5591831930753308</v>
      </c>
      <c r="D84" s="1352">
        <f>I174+H226</f>
        <v>11.209222385669959</v>
      </c>
      <c r="E84" s="587"/>
      <c r="F84" s="587"/>
      <c r="G84" s="587"/>
      <c r="H84" s="587"/>
      <c r="I84" s="587"/>
      <c r="J84" s="587"/>
      <c r="K84" s="529"/>
      <c r="L84" s="529"/>
      <c r="M84" s="529"/>
      <c r="N84" s="529"/>
    </row>
    <row r="85" spans="1:15" s="93" customFormat="1" ht="12" thickTop="1">
      <c r="A85" s="432" t="s">
        <v>288</v>
      </c>
      <c r="B85" s="610"/>
      <c r="C85" s="603"/>
      <c r="D85" s="603"/>
      <c r="E85" s="603"/>
      <c r="F85" s="603"/>
      <c r="G85" s="603"/>
      <c r="H85" s="603"/>
      <c r="I85" s="603"/>
      <c r="J85" s="603"/>
      <c r="K85" s="603"/>
      <c r="L85" s="603"/>
      <c r="M85" s="603"/>
      <c r="N85" s="603"/>
    </row>
    <row r="86" spans="1:15" s="93" customFormat="1" ht="24" customHeight="1">
      <c r="A86" s="588" t="s">
        <v>100</v>
      </c>
      <c r="B86" s="1415" t="s">
        <v>540</v>
      </c>
      <c r="C86" s="1415"/>
      <c r="D86" s="1415"/>
      <c r="E86" s="1415"/>
      <c r="F86" s="1415"/>
      <c r="G86" s="1415"/>
      <c r="H86" s="1415"/>
      <c r="I86" s="611"/>
      <c r="J86" s="611"/>
      <c r="K86" s="611"/>
      <c r="L86" s="611"/>
      <c r="M86" s="611"/>
      <c r="N86" s="611"/>
    </row>
    <row r="87" spans="1:15" s="93" customFormat="1" ht="11.4">
      <c r="B87" s="198"/>
      <c r="C87" s="199"/>
      <c r="D87" s="199"/>
      <c r="E87" s="199"/>
      <c r="F87" s="59"/>
      <c r="G87" s="196"/>
      <c r="H87" s="196"/>
      <c r="I87" s="196"/>
      <c r="J87" s="59"/>
    </row>
    <row r="88" spans="1:15" s="93" customFormat="1" ht="12" thickBot="1">
      <c r="B88" s="31" t="s">
        <v>440</v>
      </c>
      <c r="C88" s="201"/>
      <c r="D88" s="201"/>
      <c r="E88" s="202"/>
      <c r="F88" s="202"/>
      <c r="G88" s="201"/>
      <c r="H88" s="201"/>
      <c r="I88" s="201"/>
      <c r="J88" s="59"/>
    </row>
    <row r="89" spans="1:15" s="93" customFormat="1" ht="39" customHeight="1" thickTop="1">
      <c r="B89" s="1420" t="s">
        <v>22</v>
      </c>
      <c r="C89" s="1407" t="s">
        <v>285</v>
      </c>
      <c r="D89" s="1407" t="s">
        <v>31</v>
      </c>
      <c r="E89" s="1409" t="s">
        <v>491</v>
      </c>
      <c r="F89" s="1410"/>
      <c r="G89" s="59"/>
    </row>
    <row r="90" spans="1:15" s="93" customFormat="1" ht="25.5" customHeight="1" thickBot="1">
      <c r="B90" s="1421"/>
      <c r="C90" s="1408"/>
      <c r="D90" s="1408"/>
      <c r="E90" s="171" t="s">
        <v>23</v>
      </c>
      <c r="F90" s="181" t="s">
        <v>8</v>
      </c>
      <c r="G90" s="59"/>
      <c r="L90" s="365"/>
      <c r="M90" s="59"/>
      <c r="N90" s="59"/>
    </row>
    <row r="91" spans="1:15" s="60" customFormat="1" ht="15" customHeight="1" thickTop="1">
      <c r="B91" s="179" t="s">
        <v>2</v>
      </c>
      <c r="C91" s="1068">
        <v>0.49683582089552236</v>
      </c>
      <c r="D91" s="557" t="s">
        <v>492</v>
      </c>
      <c r="E91" s="558">
        <f>C91*$C$7</f>
        <v>31.194029850746265</v>
      </c>
      <c r="F91" s="1088">
        <f>C91*$C$6/2000</f>
        <v>136.62985074626863</v>
      </c>
      <c r="G91" s="59"/>
      <c r="L91" s="1009"/>
      <c r="M91" s="1008"/>
      <c r="N91" s="59"/>
    </row>
    <row r="92" spans="1:15" s="60" customFormat="1" ht="15" customHeight="1">
      <c r="B92" s="180" t="s">
        <v>114</v>
      </c>
      <c r="C92" s="1069">
        <v>0.47126865671641793</v>
      </c>
      <c r="D92" s="559" t="s">
        <v>492</v>
      </c>
      <c r="E92" s="560">
        <f>C92*$C$7</f>
        <v>29.58878552443263</v>
      </c>
      <c r="F92" s="1089">
        <f>C92*$C$6/2000</f>
        <v>129.59888059701493</v>
      </c>
      <c r="G92" s="59"/>
      <c r="L92" s="59"/>
      <c r="M92" s="1007"/>
      <c r="N92" s="59"/>
    </row>
    <row r="93" spans="1:15" s="93" customFormat="1" ht="15" customHeight="1">
      <c r="B93" s="180" t="s">
        <v>115</v>
      </c>
      <c r="C93" s="562">
        <v>2.5000000000000001E-2</v>
      </c>
      <c r="D93" s="36" t="s">
        <v>493</v>
      </c>
      <c r="E93" s="563">
        <f>$C$8*C93</f>
        <v>4.3825000000000003</v>
      </c>
      <c r="F93" s="564">
        <f>C93*$C$9/2000</f>
        <v>19.195350000000001</v>
      </c>
      <c r="G93" s="153"/>
      <c r="L93" s="59"/>
      <c r="M93" s="1355"/>
      <c r="N93" s="965"/>
    </row>
    <row r="94" spans="1:15" s="60" customFormat="1" ht="15" customHeight="1">
      <c r="B94" s="180" t="s">
        <v>631</v>
      </c>
      <c r="C94" s="1069">
        <v>0.26301175564378987</v>
      </c>
      <c r="D94" s="574" t="s">
        <v>492</v>
      </c>
      <c r="E94" s="560">
        <f>C94*$C$11</f>
        <v>16.513295160283608</v>
      </c>
      <c r="F94" s="561">
        <f>C94*$C$10/2000</f>
        <v>72.328232802042209</v>
      </c>
      <c r="G94" s="59"/>
      <c r="L94" s="1026"/>
      <c r="M94" s="1074"/>
      <c r="N94" s="1010"/>
      <c r="O94" s="1010"/>
    </row>
    <row r="95" spans="1:15" s="60" customFormat="1" ht="15" customHeight="1">
      <c r="B95" s="180" t="s">
        <v>419</v>
      </c>
      <c r="C95" s="1069">
        <v>0.10972132323978707</v>
      </c>
      <c r="D95" s="559" t="s">
        <v>492</v>
      </c>
      <c r="E95" s="565">
        <f>C95*$C$7</f>
        <v>6.8888958655117456</v>
      </c>
      <c r="F95" s="564">
        <f>C95*$C$6/2000</f>
        <v>30.173363890941445</v>
      </c>
      <c r="G95" s="59"/>
      <c r="M95" s="1007"/>
      <c r="N95" s="59"/>
    </row>
    <row r="96" spans="1:15" s="60" customFormat="1" ht="15" customHeight="1" thickBot="1">
      <c r="B96" s="149" t="s">
        <v>117</v>
      </c>
      <c r="C96" s="566">
        <v>780</v>
      </c>
      <c r="D96" s="34" t="s">
        <v>291</v>
      </c>
      <c r="E96" s="461">
        <f>C96*$C$7</f>
        <v>48972.602739726026</v>
      </c>
      <c r="F96" s="462">
        <f>C96*C6/2000</f>
        <v>214500</v>
      </c>
      <c r="G96" s="59"/>
      <c r="L96" s="365"/>
      <c r="M96" s="596"/>
      <c r="N96" s="1062"/>
      <c r="O96" s="1061"/>
    </row>
    <row r="97" spans="1:15" s="93" customFormat="1" ht="12" thickTop="1">
      <c r="A97" s="1393" t="s">
        <v>288</v>
      </c>
      <c r="B97" s="1393"/>
      <c r="C97" s="205"/>
      <c r="D97" s="205"/>
      <c r="E97" s="205"/>
      <c r="F97" s="205"/>
      <c r="G97" s="205"/>
      <c r="L97" s="59"/>
      <c r="M97" s="1075"/>
      <c r="N97" s="1075"/>
      <c r="O97" s="1075"/>
    </row>
    <row r="98" spans="1:15" ht="14.25" customHeight="1">
      <c r="A98" s="208" t="s">
        <v>100</v>
      </c>
      <c r="B98" s="1417" t="s">
        <v>290</v>
      </c>
      <c r="C98" s="1417"/>
      <c r="D98" s="1417"/>
      <c r="E98" s="1417"/>
      <c r="F98" s="1417"/>
      <c r="G98" s="1417"/>
      <c r="H98" s="1417"/>
      <c r="I98" s="1417"/>
      <c r="J98" s="189"/>
      <c r="L98" s="59"/>
      <c r="M98" s="1076"/>
      <c r="N98" s="1075"/>
      <c r="O98" s="1075"/>
    </row>
    <row r="99" spans="1:15">
      <c r="A99" s="208" t="s">
        <v>159</v>
      </c>
      <c r="B99" s="778" t="s">
        <v>608</v>
      </c>
      <c r="C99" s="778"/>
      <c r="D99" s="778"/>
      <c r="E99" s="778"/>
      <c r="F99" s="778"/>
      <c r="G99" s="778"/>
      <c r="H99" s="778"/>
      <c r="I99" s="778"/>
      <c r="M99" s="1354"/>
    </row>
    <row r="100" spans="1:15" ht="24" customHeight="1">
      <c r="A100" s="208" t="s">
        <v>160</v>
      </c>
      <c r="B100" s="1400" t="s">
        <v>289</v>
      </c>
      <c r="C100" s="1400"/>
      <c r="D100" s="1400"/>
      <c r="E100" s="1400"/>
      <c r="F100" s="1400"/>
      <c r="G100" s="1400"/>
      <c r="H100" s="1400"/>
      <c r="I100" s="1400"/>
    </row>
    <row r="101" spans="1:15" ht="36" customHeight="1">
      <c r="A101" s="208" t="s">
        <v>161</v>
      </c>
      <c r="B101" s="1416" t="s">
        <v>612</v>
      </c>
      <c r="C101" s="1416"/>
      <c r="D101" s="1416"/>
      <c r="E101" s="1416"/>
      <c r="F101" s="1416"/>
      <c r="G101" s="1416"/>
      <c r="H101" s="1416"/>
      <c r="I101" s="1416"/>
    </row>
    <row r="102" spans="1:15" ht="11.25" customHeight="1"/>
    <row r="103" spans="1:15">
      <c r="B103" s="30" t="s">
        <v>627</v>
      </c>
      <c r="C103" s="210"/>
      <c r="D103" s="210"/>
      <c r="E103" s="210"/>
      <c r="F103" s="210"/>
      <c r="G103" s="210"/>
      <c r="H103" s="210"/>
      <c r="O103" s="1063"/>
    </row>
    <row r="104" spans="1:15" ht="15" customHeight="1">
      <c r="A104" s="208"/>
      <c r="B104" s="59" t="s">
        <v>111</v>
      </c>
      <c r="C104" s="779"/>
      <c r="D104" s="39">
        <f>MAX(N105:N111)*10^-6</f>
        <v>1.84957E-2</v>
      </c>
      <c r="E104" s="59" t="s">
        <v>112</v>
      </c>
      <c r="F104" s="779"/>
      <c r="G104" s="779"/>
      <c r="H104" s="779"/>
      <c r="I104" s="779"/>
      <c r="L104" s="31" t="s">
        <v>22</v>
      </c>
      <c r="M104" s="19"/>
      <c r="N104" s="218" t="s">
        <v>172</v>
      </c>
    </row>
    <row r="105" spans="1:15">
      <c r="A105" s="208"/>
      <c r="B105" s="59" t="s">
        <v>632</v>
      </c>
      <c r="C105" s="779"/>
      <c r="D105" s="813">
        <f>(0.26301175564379*C7)/(1-$C$14/100)</f>
        <v>330.26590320567203</v>
      </c>
      <c r="E105" s="59" t="s">
        <v>35</v>
      </c>
      <c r="F105" s="779"/>
      <c r="G105" s="779"/>
      <c r="H105" s="779"/>
      <c r="I105" s="779"/>
      <c r="L105" s="19" t="s">
        <v>11</v>
      </c>
      <c r="M105" s="19"/>
      <c r="N105" s="219">
        <v>11836.21</v>
      </c>
    </row>
    <row r="106" spans="1:15">
      <c r="A106" s="208"/>
      <c r="B106" s="59" t="s">
        <v>293</v>
      </c>
      <c r="C106" s="779"/>
      <c r="D106" s="814">
        <f>D104*D105</f>
        <v>6.1084990659211487</v>
      </c>
      <c r="E106" s="59" t="s">
        <v>29</v>
      </c>
      <c r="F106" s="779"/>
      <c r="G106" s="779"/>
      <c r="H106" s="779"/>
      <c r="I106" s="779"/>
      <c r="L106" s="19" t="s">
        <v>12</v>
      </c>
      <c r="M106" s="63"/>
      <c r="N106" s="219">
        <v>12919.68</v>
      </c>
    </row>
    <row r="107" spans="1:15">
      <c r="A107" s="208"/>
      <c r="B107" s="59" t="s">
        <v>632</v>
      </c>
      <c r="C107" s="779"/>
      <c r="D107" s="815">
        <f>(0.26301175564379*C6)/2000/(1-$C$14/100)</f>
        <v>1446.5646560408434</v>
      </c>
      <c r="E107" s="59" t="s">
        <v>48</v>
      </c>
      <c r="F107" s="39"/>
      <c r="G107" s="779"/>
      <c r="H107" s="779"/>
      <c r="I107" s="779"/>
      <c r="L107" s="19" t="s">
        <v>173</v>
      </c>
      <c r="M107" s="63"/>
      <c r="N107" s="219">
        <v>18464.099999999999</v>
      </c>
    </row>
    <row r="108" spans="1:15">
      <c r="A108" s="208"/>
      <c r="B108" s="59" t="s">
        <v>292</v>
      </c>
      <c r="C108" s="779"/>
      <c r="D108" s="211">
        <f>D107*2000*$D$104</f>
        <v>53510.451817469257</v>
      </c>
      <c r="E108" s="59" t="s">
        <v>79</v>
      </c>
      <c r="F108" s="39"/>
      <c r="G108" s="779"/>
      <c r="H108" s="779"/>
      <c r="I108" s="779"/>
      <c r="L108" s="19" t="s">
        <v>174</v>
      </c>
      <c r="M108" s="63"/>
      <c r="N108" s="219">
        <v>18495.7</v>
      </c>
    </row>
    <row r="109" spans="1:15" ht="14.4" thickBot="1">
      <c r="A109" s="208"/>
      <c r="B109" s="779"/>
      <c r="C109" s="779"/>
      <c r="D109" s="39"/>
      <c r="E109" s="59"/>
      <c r="F109" s="39"/>
      <c r="G109" s="779"/>
      <c r="H109" s="779"/>
      <c r="I109" s="779"/>
      <c r="L109" s="19" t="s">
        <v>15</v>
      </c>
      <c r="M109" s="63"/>
      <c r="N109" s="219">
        <v>8597.9599999999991</v>
      </c>
    </row>
    <row r="110" spans="1:15" ht="15" customHeight="1" thickTop="1">
      <c r="A110" s="59"/>
      <c r="B110" s="1383" t="s">
        <v>22</v>
      </c>
      <c r="C110" s="1381" t="s">
        <v>37</v>
      </c>
      <c r="D110" s="1381" t="s">
        <v>31</v>
      </c>
      <c r="E110" s="1422" t="s">
        <v>94</v>
      </c>
      <c r="F110" s="1423"/>
      <c r="G110" s="93"/>
      <c r="H110" s="779"/>
      <c r="I110" s="779"/>
      <c r="L110" s="19" t="s">
        <v>18</v>
      </c>
      <c r="M110" s="19"/>
      <c r="N110" s="219">
        <v>14402.51</v>
      </c>
    </row>
    <row r="111" spans="1:15" ht="15.75" customHeight="1" thickBot="1">
      <c r="A111" s="59"/>
      <c r="B111" s="1384"/>
      <c r="C111" s="1382"/>
      <c r="D111" s="1382"/>
      <c r="E111" s="777" t="s">
        <v>23</v>
      </c>
      <c r="F111" s="212" t="s">
        <v>8</v>
      </c>
      <c r="G111" s="93"/>
      <c r="H111" s="779"/>
      <c r="I111" s="779"/>
      <c r="L111" s="19" t="s">
        <v>19</v>
      </c>
      <c r="M111" s="19"/>
      <c r="N111" s="219">
        <v>13536.33</v>
      </c>
    </row>
    <row r="112" spans="1:15" ht="14.4" thickTop="1">
      <c r="A112" s="59"/>
      <c r="B112" s="179" t="s">
        <v>2</v>
      </c>
      <c r="C112" s="567">
        <f>84/1020</f>
        <v>8.2352941176470587E-2</v>
      </c>
      <c r="D112" s="213" t="s">
        <v>113</v>
      </c>
      <c r="E112" s="143">
        <f>C112*D106</f>
        <v>0.50305286425232987</v>
      </c>
      <c r="F112" s="568">
        <f>C112*D108/2000</f>
        <v>2.2033715454252047</v>
      </c>
      <c r="G112" s="93"/>
      <c r="H112" s="779"/>
      <c r="I112" s="779"/>
    </row>
    <row r="113" spans="1:16" ht="15" customHeight="1" thickBot="1">
      <c r="A113" s="59"/>
      <c r="B113" s="214" t="s">
        <v>114</v>
      </c>
      <c r="C113" s="152">
        <f>100/1020</f>
        <v>9.8039215686274508E-2</v>
      </c>
      <c r="D113" s="215" t="s">
        <v>113</v>
      </c>
      <c r="E113" s="152">
        <f>C113*D106</f>
        <v>0.59887245744324991</v>
      </c>
      <c r="F113" s="569">
        <f>C113*D108/2000</f>
        <v>2.6230613636014342</v>
      </c>
      <c r="G113" s="93"/>
      <c r="H113" s="779"/>
      <c r="I113" s="779"/>
    </row>
    <row r="114" spans="1:16" ht="14.4" thickTop="1">
      <c r="A114" s="1424" t="s">
        <v>288</v>
      </c>
      <c r="B114" s="1424"/>
      <c r="C114" s="216"/>
      <c r="D114" s="217"/>
      <c r="E114" s="216"/>
      <c r="F114" s="93"/>
      <c r="G114" s="93"/>
      <c r="H114" s="779"/>
      <c r="I114" s="779"/>
    </row>
    <row r="115" spans="1:16" ht="23.25" customHeight="1">
      <c r="A115" s="208" t="s">
        <v>100</v>
      </c>
      <c r="B115" s="1400" t="s">
        <v>177</v>
      </c>
      <c r="C115" s="1400"/>
      <c r="D115" s="1400"/>
      <c r="E115" s="1400"/>
      <c r="F115" s="1400"/>
      <c r="G115" s="1400"/>
      <c r="H115" s="1400"/>
      <c r="I115" s="1400"/>
      <c r="N115" s="1064"/>
    </row>
    <row r="117" spans="1:16" ht="14.4" thickBot="1">
      <c r="A117" s="19"/>
      <c r="B117" s="199" t="s">
        <v>294</v>
      </c>
      <c r="C117" s="19"/>
      <c r="D117" s="43"/>
      <c r="E117" s="19"/>
      <c r="F117" s="19"/>
      <c r="G117" s="19"/>
      <c r="H117" s="19"/>
      <c r="I117" s="19"/>
    </row>
    <row r="118" spans="1:16" ht="19.5" customHeight="1" thickTop="1">
      <c r="A118" s="19"/>
      <c r="B118" s="1425" t="s">
        <v>22</v>
      </c>
      <c r="C118" s="1402" t="s">
        <v>36</v>
      </c>
      <c r="D118" s="1404" t="s">
        <v>390</v>
      </c>
      <c r="E118" s="1381" t="s">
        <v>37</v>
      </c>
      <c r="F118" s="1418" t="s">
        <v>31</v>
      </c>
      <c r="G118" s="1418" t="s">
        <v>121</v>
      </c>
      <c r="H118" s="1398" t="s">
        <v>94</v>
      </c>
      <c r="I118" s="1399"/>
      <c r="J118" s="5"/>
    </row>
    <row r="119" spans="1:16" ht="15.75" customHeight="1" thickBot="1">
      <c r="A119" s="19"/>
      <c r="B119" s="1426"/>
      <c r="C119" s="1403"/>
      <c r="D119" s="1405"/>
      <c r="E119" s="1382"/>
      <c r="F119" s="1419"/>
      <c r="G119" s="1419"/>
      <c r="H119" s="44" t="s">
        <v>23</v>
      </c>
      <c r="I119" s="38" t="s">
        <v>8</v>
      </c>
      <c r="J119" s="5"/>
      <c r="K119" s="945"/>
      <c r="N119" s="193"/>
      <c r="O119" s="193"/>
      <c r="P119" s="193"/>
    </row>
    <row r="120" spans="1:16" ht="15" thickTop="1" thickBot="1">
      <c r="A120" s="58"/>
      <c r="B120" s="593" t="s">
        <v>630</v>
      </c>
      <c r="C120" s="594"/>
      <c r="D120" s="594"/>
      <c r="E120" s="594"/>
      <c r="F120" s="594"/>
      <c r="G120" s="594"/>
      <c r="H120" s="594"/>
      <c r="I120" s="595"/>
      <c r="J120" s="220"/>
      <c r="K120" s="945"/>
      <c r="N120" s="1062"/>
      <c r="O120" s="1061"/>
      <c r="P120" s="1061"/>
    </row>
    <row r="121" spans="1:16">
      <c r="A121" s="19"/>
      <c r="B121" s="140" t="s">
        <v>11</v>
      </c>
      <c r="C121" s="578" t="s">
        <v>95</v>
      </c>
      <c r="D121" s="578" t="s">
        <v>95</v>
      </c>
      <c r="E121" s="222">
        <v>5.6940000000000003E-3</v>
      </c>
      <c r="F121" s="223" t="s">
        <v>33</v>
      </c>
      <c r="G121" s="223">
        <v>1</v>
      </c>
      <c r="H121" s="142">
        <f>E121*$C$7</f>
        <v>0.35749999999999998</v>
      </c>
      <c r="I121" s="224">
        <f>E121*$C$6/2000</f>
        <v>1.5658500000000002</v>
      </c>
      <c r="J121" s="225"/>
      <c r="M121" s="1011"/>
      <c r="N121" s="1072"/>
      <c r="O121" s="1070"/>
      <c r="P121" s="1070"/>
    </row>
    <row r="122" spans="1:16">
      <c r="A122" s="19"/>
      <c r="B122" s="148" t="s">
        <v>12</v>
      </c>
      <c r="C122" s="616" t="s">
        <v>95</v>
      </c>
      <c r="D122" s="616" t="s">
        <v>95</v>
      </c>
      <c r="E122" s="222">
        <v>2.4461059190031151E-2</v>
      </c>
      <c r="F122" s="65" t="s">
        <v>33</v>
      </c>
      <c r="G122" s="65">
        <v>1</v>
      </c>
      <c r="H122" s="142">
        <f t="shared" ref="H122:H126" si="5">E122*$C$7</f>
        <v>1.5357970952645128</v>
      </c>
      <c r="I122" s="224">
        <f t="shared" ref="I122:I124" si="6">E122*$C$6/2000</f>
        <v>6.7267912772585667</v>
      </c>
      <c r="J122" s="93"/>
      <c r="K122" s="949"/>
      <c r="M122" s="1011"/>
      <c r="N122" s="1072"/>
      <c r="O122" s="1070"/>
      <c r="P122" s="1070"/>
    </row>
    <row r="123" spans="1:16">
      <c r="A123" s="19"/>
      <c r="B123" s="148" t="s">
        <v>15</v>
      </c>
      <c r="C123" s="616" t="s">
        <v>95</v>
      </c>
      <c r="D123" s="616" t="s">
        <v>95</v>
      </c>
      <c r="E123" s="222">
        <v>2.3987538940809972E-3</v>
      </c>
      <c r="F123" s="65" t="s">
        <v>33</v>
      </c>
      <c r="G123" s="65">
        <v>1</v>
      </c>
      <c r="H123" s="142">
        <f t="shared" si="5"/>
        <v>0.1506066942630763</v>
      </c>
      <c r="I123" s="224">
        <f t="shared" si="6"/>
        <v>0.65965732087227424</v>
      </c>
      <c r="J123" s="93"/>
      <c r="K123" s="949"/>
      <c r="M123" s="1011"/>
      <c r="N123" s="1073"/>
      <c r="O123" s="1071"/>
      <c r="P123" s="1071"/>
    </row>
    <row r="124" spans="1:16">
      <c r="A124" s="19"/>
      <c r="B124" s="148" t="s">
        <v>16</v>
      </c>
      <c r="C124" s="616" t="s">
        <v>95</v>
      </c>
      <c r="D124" s="616" t="s">
        <v>96</v>
      </c>
      <c r="E124" s="222">
        <v>8.7881144521528825E-3</v>
      </c>
      <c r="F124" s="65" t="s">
        <v>33</v>
      </c>
      <c r="G124" s="65">
        <v>1</v>
      </c>
      <c r="H124" s="142">
        <f t="shared" si="5"/>
        <v>0.5517651767904207</v>
      </c>
      <c r="I124" s="224">
        <f t="shared" si="6"/>
        <v>2.4167314743420425</v>
      </c>
      <c r="J124" s="1090"/>
      <c r="K124" s="945"/>
      <c r="M124" s="1011"/>
      <c r="N124" s="1070"/>
      <c r="O124" s="1072"/>
      <c r="P124" s="1072"/>
    </row>
    <row r="125" spans="1:16">
      <c r="A125" s="19"/>
      <c r="B125" s="148" t="s">
        <v>18</v>
      </c>
      <c r="C125" s="616" t="s">
        <v>95</v>
      </c>
      <c r="D125" s="616" t="s">
        <v>95</v>
      </c>
      <c r="E125" s="222">
        <v>2.6300751186690628E-4</v>
      </c>
      <c r="F125" s="65" t="s">
        <v>33</v>
      </c>
      <c r="G125" s="65">
        <v>1</v>
      </c>
      <c r="H125" s="221">
        <f t="shared" si="5"/>
        <v>1.6513028713104845E-2</v>
      </c>
      <c r="I125" s="552">
        <f>E125*$C$6/2000</f>
        <v>7.2327065763399229E-2</v>
      </c>
      <c r="M125" s="1011"/>
      <c r="N125" s="1071"/>
      <c r="O125" s="1073"/>
      <c r="P125" s="1073"/>
    </row>
    <row r="126" spans="1:16">
      <c r="A126" s="19"/>
      <c r="B126" s="226" t="s">
        <v>19</v>
      </c>
      <c r="C126" s="620" t="s">
        <v>95</v>
      </c>
      <c r="D126" s="620" t="s">
        <v>96</v>
      </c>
      <c r="E126" s="222">
        <v>1.0272E-2</v>
      </c>
      <c r="F126" s="65" t="s">
        <v>33</v>
      </c>
      <c r="G126" s="65">
        <v>1</v>
      </c>
      <c r="H126" s="142">
        <f t="shared" si="5"/>
        <v>0.64493150684931499</v>
      </c>
      <c r="I126" s="224">
        <f>E126*$C$6/2000</f>
        <v>2.8248000000000002</v>
      </c>
      <c r="J126" s="60"/>
      <c r="K126" s="949"/>
      <c r="M126" s="1011"/>
      <c r="N126" s="1072"/>
      <c r="O126" s="1071"/>
      <c r="P126" s="1071"/>
    </row>
    <row r="127" spans="1:16">
      <c r="A127" s="19"/>
      <c r="B127" s="148" t="s">
        <v>57</v>
      </c>
      <c r="C127" s="616" t="s">
        <v>95</v>
      </c>
      <c r="D127" s="616" t="s">
        <v>96</v>
      </c>
      <c r="E127" s="227">
        <v>3.2000000000000001E-9</v>
      </c>
      <c r="F127" s="65" t="s">
        <v>34</v>
      </c>
      <c r="G127" s="65" t="s">
        <v>600</v>
      </c>
      <c r="H127" s="227">
        <f>$E127*$C$8*(1-$C$14/100)</f>
        <v>2.8048000000000027E-8</v>
      </c>
      <c r="I127" s="228">
        <f>$E127*$C$9*(1-$C$14/100)/2000</f>
        <v>1.2285024000000009E-7</v>
      </c>
      <c r="J127" s="93"/>
      <c r="K127" s="787"/>
    </row>
    <row r="128" spans="1:16">
      <c r="A128" s="19"/>
      <c r="B128" s="148" t="s">
        <v>472</v>
      </c>
      <c r="C128" s="616" t="s">
        <v>95</v>
      </c>
      <c r="D128" s="616" t="s">
        <v>96</v>
      </c>
      <c r="E128" s="227">
        <v>7.9000000000000006E-6</v>
      </c>
      <c r="F128" s="65" t="s">
        <v>34</v>
      </c>
      <c r="G128" s="65" t="s">
        <v>601</v>
      </c>
      <c r="H128" s="227">
        <f>$E128*$C$8*(1-$B$252/100)</f>
        <v>6.9243500000000077E-5</v>
      </c>
      <c r="I128" s="228">
        <f>$E128*$C$9*(1-$B$252/100)/2000</f>
        <v>3.0328653000000026E-4</v>
      </c>
      <c r="J128" s="93"/>
      <c r="K128" s="787"/>
    </row>
    <row r="129" spans="1:14">
      <c r="A129" s="19"/>
      <c r="B129" s="148" t="s">
        <v>473</v>
      </c>
      <c r="C129" s="616" t="s">
        <v>95</v>
      </c>
      <c r="D129" s="616" t="s">
        <v>95</v>
      </c>
      <c r="E129" s="227">
        <v>2.1999999999999999E-5</v>
      </c>
      <c r="F129" s="65" t="s">
        <v>34</v>
      </c>
      <c r="G129" s="65" t="s">
        <v>601</v>
      </c>
      <c r="H129" s="227">
        <f>$E129*$C$8*(1-$B$252/100)</f>
        <v>1.9283000000000017E-4</v>
      </c>
      <c r="I129" s="228">
        <f>$E129*$C$9*(1-$B$252/100)/2000</f>
        <v>8.4459540000000075E-4</v>
      </c>
      <c r="J129" s="93"/>
      <c r="K129" s="787"/>
    </row>
    <row r="130" spans="1:14">
      <c r="A130" s="58"/>
      <c r="B130" s="229" t="s">
        <v>13</v>
      </c>
      <c r="C130" s="617" t="s">
        <v>95</v>
      </c>
      <c r="D130" s="617" t="s">
        <v>95</v>
      </c>
      <c r="E130" s="230">
        <v>4.1999999999999997E-3</v>
      </c>
      <c r="F130" s="66" t="s">
        <v>34</v>
      </c>
      <c r="G130" s="65" t="s">
        <v>600</v>
      </c>
      <c r="H130" s="227">
        <f>$E130*$C$8*(1-$C$14/100)</f>
        <v>3.6813000000000033E-2</v>
      </c>
      <c r="I130" s="228">
        <f>$E130*$C$9*(1-$C$14/100)/2000</f>
        <v>0.16124094000000014</v>
      </c>
      <c r="J130" s="231"/>
      <c r="K130" s="787"/>
    </row>
    <row r="131" spans="1:14">
      <c r="A131" s="19"/>
      <c r="B131" s="148" t="s">
        <v>25</v>
      </c>
      <c r="C131" s="616" t="s">
        <v>95</v>
      </c>
      <c r="D131" s="616" t="s">
        <v>95</v>
      </c>
      <c r="E131" s="227">
        <v>2.6000000000000001E-6</v>
      </c>
      <c r="F131" s="65" t="s">
        <v>34</v>
      </c>
      <c r="G131" s="65" t="s">
        <v>600</v>
      </c>
      <c r="H131" s="227">
        <f>$E131*$C$8*(1-$C$14/100)</f>
        <v>2.2789000000000022E-5</v>
      </c>
      <c r="I131" s="228">
        <f>$E131*$C$9*(1-$C$14/100)/2000</f>
        <v>9.9815820000000077E-5</v>
      </c>
      <c r="J131" s="93"/>
      <c r="K131" s="787"/>
    </row>
    <row r="132" spans="1:14">
      <c r="A132" s="19"/>
      <c r="B132" s="229" t="s">
        <v>122</v>
      </c>
      <c r="C132" s="617" t="s">
        <v>95</v>
      </c>
      <c r="D132" s="617" t="s">
        <v>95</v>
      </c>
      <c r="E132" s="227">
        <v>1.1000000000000001E-6</v>
      </c>
      <c r="F132" s="65" t="s">
        <v>34</v>
      </c>
      <c r="G132" s="65" t="s">
        <v>601</v>
      </c>
      <c r="H132" s="227">
        <f>$E132*$C$8*(1-$B$252/100)</f>
        <v>9.6415000000000109E-6</v>
      </c>
      <c r="I132" s="228">
        <f>$E132*$C$9*(1-$B$252/100)/2000</f>
        <v>4.2229770000000032E-5</v>
      </c>
      <c r="J132" s="93"/>
      <c r="K132" s="787"/>
    </row>
    <row r="133" spans="1:14">
      <c r="A133" s="19"/>
      <c r="B133" s="148" t="s">
        <v>123</v>
      </c>
      <c r="C133" s="616" t="s">
        <v>95</v>
      </c>
      <c r="D133" s="616" t="s">
        <v>95</v>
      </c>
      <c r="E133" s="227">
        <v>4.0999999999999997E-6</v>
      </c>
      <c r="F133" s="65" t="s">
        <v>34</v>
      </c>
      <c r="G133" s="65" t="s">
        <v>601</v>
      </c>
      <c r="H133" s="227">
        <f>$E133*$C$8*(1-$B$252/100)</f>
        <v>3.5936500000000031E-5</v>
      </c>
      <c r="I133" s="228">
        <f>$E133*$C$9*(1-$B$252/100)/2000</f>
        <v>1.5740187000000015E-4</v>
      </c>
      <c r="J133" s="93"/>
      <c r="K133" s="787"/>
    </row>
    <row r="134" spans="1:14">
      <c r="A134" s="19"/>
      <c r="B134" s="148" t="s">
        <v>58</v>
      </c>
      <c r="C134" s="616" t="s">
        <v>95</v>
      </c>
      <c r="D134" s="616" t="s">
        <v>95</v>
      </c>
      <c r="E134" s="227">
        <v>4.5000000000000003E-5</v>
      </c>
      <c r="F134" s="65" t="s">
        <v>34</v>
      </c>
      <c r="G134" s="65" t="s">
        <v>600</v>
      </c>
      <c r="H134" s="227">
        <f>$E134*$C$8*(1-$C$14/100)</f>
        <v>3.9442500000000044E-4</v>
      </c>
      <c r="I134" s="228">
        <f>$E134*$C$9*(1-$C$14/100)/2000</f>
        <v>1.7275815000000016E-3</v>
      </c>
      <c r="J134" s="93"/>
      <c r="K134" s="787"/>
    </row>
    <row r="135" spans="1:14">
      <c r="A135" s="19"/>
      <c r="B135" s="148" t="s">
        <v>59</v>
      </c>
      <c r="C135" s="616" t="s">
        <v>95</v>
      </c>
      <c r="D135" s="616" t="s">
        <v>95</v>
      </c>
      <c r="E135" s="227">
        <v>7.9000000000000001E-4</v>
      </c>
      <c r="F135" s="65" t="s">
        <v>34</v>
      </c>
      <c r="G135" s="65">
        <v>2</v>
      </c>
      <c r="H135" s="227">
        <f>$E135*$C$8</f>
        <v>0.138487</v>
      </c>
      <c r="I135" s="228">
        <f>$E135*$C$9/2000</f>
        <v>0.60657306000000011</v>
      </c>
      <c r="J135" s="93"/>
      <c r="K135" s="787"/>
    </row>
    <row r="136" spans="1:14">
      <c r="A136" s="19"/>
      <c r="B136" s="148" t="s">
        <v>60</v>
      </c>
      <c r="C136" s="616" t="s">
        <v>95</v>
      </c>
      <c r="D136" s="616" t="s">
        <v>95</v>
      </c>
      <c r="E136" s="227">
        <v>3.3000000000000003E-5</v>
      </c>
      <c r="F136" s="65" t="s">
        <v>34</v>
      </c>
      <c r="G136" s="65" t="s">
        <v>600</v>
      </c>
      <c r="H136" s="227">
        <f>$E136*$C$8*(1-$C$14/100)</f>
        <v>2.8924500000000031E-4</v>
      </c>
      <c r="I136" s="228">
        <f>$E136*$C$9*(1-$C$14/100)/2000</f>
        <v>1.2668931000000012E-3</v>
      </c>
      <c r="J136" s="93"/>
      <c r="K136" s="787"/>
      <c r="N136" s="1064"/>
    </row>
    <row r="137" spans="1:14">
      <c r="A137" s="58"/>
      <c r="B137" s="229" t="s">
        <v>14</v>
      </c>
      <c r="C137" s="617" t="s">
        <v>95</v>
      </c>
      <c r="D137" s="617" t="s">
        <v>95</v>
      </c>
      <c r="E137" s="230">
        <v>2.8E-5</v>
      </c>
      <c r="F137" s="66" t="s">
        <v>34</v>
      </c>
      <c r="G137" s="65" t="s">
        <v>600</v>
      </c>
      <c r="H137" s="227">
        <f>$E137*$C$8*(1-$C$14/100)</f>
        <v>2.4542000000000021E-4</v>
      </c>
      <c r="I137" s="228">
        <f>$E137*$C$9*(1-$C$14/100)/2000</f>
        <v>1.0749396000000009E-3</v>
      </c>
      <c r="J137" s="231"/>
      <c r="K137" s="787"/>
    </row>
    <row r="138" spans="1:14">
      <c r="A138" s="58"/>
      <c r="B138" s="612" t="s">
        <v>124</v>
      </c>
      <c r="C138" s="614" t="s">
        <v>634</v>
      </c>
      <c r="D138" s="613" t="s">
        <v>95</v>
      </c>
      <c r="E138" s="523">
        <v>3.4999999999999999E-6</v>
      </c>
      <c r="F138" s="613" t="s">
        <v>34</v>
      </c>
      <c r="G138" s="65" t="s">
        <v>601</v>
      </c>
      <c r="H138" s="227">
        <f>$E138*$C$8*(1-$C$14/100)</f>
        <v>3.0677500000000026E-5</v>
      </c>
      <c r="I138" s="228">
        <f>$E138*$C$9*(1-$C$14/100)/2000</f>
        <v>1.3436745000000011E-4</v>
      </c>
      <c r="J138" s="231"/>
      <c r="K138" s="787"/>
    </row>
    <row r="139" spans="1:14">
      <c r="A139" s="19"/>
      <c r="B139" s="612" t="s">
        <v>125</v>
      </c>
      <c r="C139" s="615" t="s">
        <v>95</v>
      </c>
      <c r="D139" s="613" t="s">
        <v>96</v>
      </c>
      <c r="E139" s="227">
        <v>1.7499999999999998E-5</v>
      </c>
      <c r="F139" s="65" t="s">
        <v>34</v>
      </c>
      <c r="G139" s="65" t="s">
        <v>601</v>
      </c>
      <c r="H139" s="227">
        <f>$E139*$C$8*(1-$B$252/100)</f>
        <v>1.5338750000000012E-4</v>
      </c>
      <c r="I139" s="228">
        <f>$E139*$C$9*(1-$B$252/100)/2000</f>
        <v>6.7183725000000052E-4</v>
      </c>
      <c r="J139" s="93"/>
      <c r="K139" s="787"/>
    </row>
    <row r="140" spans="1:14">
      <c r="A140" s="19"/>
      <c r="B140" s="148" t="s">
        <v>61</v>
      </c>
      <c r="C140" s="616" t="s">
        <v>95</v>
      </c>
      <c r="D140" s="616" t="s">
        <v>96</v>
      </c>
      <c r="E140" s="227">
        <v>6.4999999999999996E-6</v>
      </c>
      <c r="F140" s="65" t="s">
        <v>34</v>
      </c>
      <c r="G140" s="65" t="s">
        <v>601</v>
      </c>
      <c r="H140" s="227">
        <f>$E140*$C$8*(1-$B$252/100)</f>
        <v>5.6972500000000051E-5</v>
      </c>
      <c r="I140" s="228">
        <f>$E140*$C$9*(1-$B$252/100)/2000</f>
        <v>2.495395500000002E-4</v>
      </c>
      <c r="J140" s="93"/>
      <c r="K140" s="787"/>
    </row>
    <row r="141" spans="1:14">
      <c r="A141" s="19"/>
      <c r="B141" s="229" t="s">
        <v>126</v>
      </c>
      <c r="C141" s="617" t="s">
        <v>95</v>
      </c>
      <c r="D141" s="617" t="s">
        <v>95</v>
      </c>
      <c r="E141" s="227">
        <v>2.9E-5</v>
      </c>
      <c r="F141" s="65" t="s">
        <v>34</v>
      </c>
      <c r="G141" s="65" t="s">
        <v>600</v>
      </c>
      <c r="H141" s="227">
        <f t="shared" ref="H141:H146" si="7">$E141*$C$8*(1-$C$14/100)</f>
        <v>2.5418500000000025E-4</v>
      </c>
      <c r="I141" s="228">
        <f t="shared" ref="I141:I146" si="8">$E141*$C$9*(1-$C$14/100)/2000</f>
        <v>1.113330300000001E-3</v>
      </c>
      <c r="J141" s="93"/>
      <c r="K141" s="787"/>
    </row>
    <row r="142" spans="1:14">
      <c r="A142" s="19"/>
      <c r="B142" s="229" t="s">
        <v>127</v>
      </c>
      <c r="C142" s="617" t="s">
        <v>95</v>
      </c>
      <c r="D142" s="617" t="s">
        <v>96</v>
      </c>
      <c r="E142" s="227">
        <v>3.3000000000000003E-5</v>
      </c>
      <c r="F142" s="65" t="s">
        <v>34</v>
      </c>
      <c r="G142" s="65" t="s">
        <v>600</v>
      </c>
      <c r="H142" s="227">
        <f t="shared" si="7"/>
        <v>2.8924500000000031E-4</v>
      </c>
      <c r="I142" s="228">
        <f t="shared" si="8"/>
        <v>1.2668931000000012E-3</v>
      </c>
      <c r="J142" s="93"/>
      <c r="K142" s="787"/>
    </row>
    <row r="143" spans="1:14">
      <c r="A143" s="19"/>
      <c r="B143" s="148" t="s">
        <v>62</v>
      </c>
      <c r="C143" s="616" t="s">
        <v>95</v>
      </c>
      <c r="D143" s="616" t="s">
        <v>96</v>
      </c>
      <c r="E143" s="227">
        <v>1.8E-7</v>
      </c>
      <c r="F143" s="65" t="s">
        <v>34</v>
      </c>
      <c r="G143" s="65" t="s">
        <v>600</v>
      </c>
      <c r="H143" s="227">
        <f t="shared" si="7"/>
        <v>1.5777000000000016E-6</v>
      </c>
      <c r="I143" s="228">
        <f t="shared" si="8"/>
        <v>6.9103260000000059E-6</v>
      </c>
      <c r="J143" s="93"/>
      <c r="K143" s="787"/>
    </row>
    <row r="144" spans="1:14">
      <c r="A144" s="19"/>
      <c r="B144" s="148" t="s">
        <v>128</v>
      </c>
      <c r="C144" s="616" t="s">
        <v>95</v>
      </c>
      <c r="D144" s="616" t="s">
        <v>95</v>
      </c>
      <c r="E144" s="227">
        <v>4.6999999999999997E-8</v>
      </c>
      <c r="F144" s="65" t="s">
        <v>34</v>
      </c>
      <c r="G144" s="65" t="s">
        <v>600</v>
      </c>
      <c r="H144" s="227">
        <f t="shared" si="7"/>
        <v>4.1195500000000038E-7</v>
      </c>
      <c r="I144" s="228">
        <f t="shared" si="8"/>
        <v>1.8043629000000014E-6</v>
      </c>
      <c r="J144" s="93"/>
      <c r="K144" s="787"/>
    </row>
    <row r="145" spans="1:11">
      <c r="A145" s="19"/>
      <c r="B145" s="148" t="s">
        <v>63</v>
      </c>
      <c r="C145" s="616" t="s">
        <v>95</v>
      </c>
      <c r="D145" s="616" t="s">
        <v>96</v>
      </c>
      <c r="E145" s="227">
        <v>3.1000000000000001E-5</v>
      </c>
      <c r="F145" s="65" t="s">
        <v>34</v>
      </c>
      <c r="G145" s="65" t="s">
        <v>600</v>
      </c>
      <c r="H145" s="227">
        <f t="shared" si="7"/>
        <v>2.7171500000000028E-4</v>
      </c>
      <c r="I145" s="228">
        <f t="shared" si="8"/>
        <v>1.1901117000000013E-3</v>
      </c>
      <c r="J145" s="93"/>
      <c r="K145" s="787"/>
    </row>
    <row r="146" spans="1:11">
      <c r="A146" s="19"/>
      <c r="B146" s="148" t="s">
        <v>474</v>
      </c>
      <c r="C146" s="616" t="s">
        <v>96</v>
      </c>
      <c r="D146" s="616" t="s">
        <v>95</v>
      </c>
      <c r="E146" s="227">
        <v>1.5999999999999999E-5</v>
      </c>
      <c r="F146" s="65" t="s">
        <v>34</v>
      </c>
      <c r="G146" s="65" t="s">
        <v>600</v>
      </c>
      <c r="H146" s="227">
        <f t="shared" si="7"/>
        <v>1.4024000000000013E-4</v>
      </c>
      <c r="I146" s="228">
        <f t="shared" si="8"/>
        <v>6.1425120000000051E-4</v>
      </c>
      <c r="J146" s="93"/>
      <c r="K146" s="787"/>
    </row>
    <row r="147" spans="1:11">
      <c r="A147" s="19"/>
      <c r="B147" s="148" t="s">
        <v>129</v>
      </c>
      <c r="C147" s="616" t="s">
        <v>95</v>
      </c>
      <c r="D147" s="616" t="s">
        <v>95</v>
      </c>
      <c r="E147" s="227">
        <v>1.3313937101149186E-3</v>
      </c>
      <c r="F147" s="65" t="s">
        <v>33</v>
      </c>
      <c r="G147" s="65" t="s">
        <v>633</v>
      </c>
      <c r="H147" s="227">
        <f>C7*E147</f>
        <v>8.3592070840548538E-2</v>
      </c>
      <c r="I147" s="228">
        <f>E147*C6/2000</f>
        <v>0.36613327028160264</v>
      </c>
      <c r="J147" s="93"/>
      <c r="K147" s="787"/>
    </row>
    <row r="148" spans="1:11">
      <c r="A148" s="19"/>
      <c r="B148" s="148" t="s">
        <v>484</v>
      </c>
      <c r="C148" s="616" t="s">
        <v>95</v>
      </c>
      <c r="D148" s="616" t="s">
        <v>96</v>
      </c>
      <c r="E148" s="227">
        <v>4.8000000000000001E-5</v>
      </c>
      <c r="F148" s="65" t="s">
        <v>34</v>
      </c>
      <c r="G148" s="65" t="s">
        <v>601</v>
      </c>
      <c r="H148" s="227">
        <f>$E148*$C$8*(1-$B$252/100)</f>
        <v>4.207200000000004E-4</v>
      </c>
      <c r="I148" s="228">
        <f>$E148*$C$9*(1-$B$252/100)/2000</f>
        <v>1.8427536000000016E-3</v>
      </c>
      <c r="J148" s="93"/>
      <c r="K148" s="787"/>
    </row>
    <row r="149" spans="1:11">
      <c r="A149" s="19"/>
      <c r="B149" s="148" t="s">
        <v>485</v>
      </c>
      <c r="C149" s="616" t="s">
        <v>95</v>
      </c>
      <c r="D149" s="616" t="s">
        <v>95</v>
      </c>
      <c r="E149" s="227">
        <v>1.6000000000000001E-3</v>
      </c>
      <c r="F149" s="65" t="s">
        <v>34</v>
      </c>
      <c r="G149" s="65" t="s">
        <v>601</v>
      </c>
      <c r="H149" s="227">
        <f>$E149*$C$8*(1-$B$252/100)</f>
        <v>1.4024000000000012E-2</v>
      </c>
      <c r="I149" s="228">
        <f>$E149*$C$9*(1-$B$252/100)/2000</f>
        <v>6.1425120000000055E-2</v>
      </c>
      <c r="J149" s="93"/>
      <c r="K149" s="788"/>
    </row>
    <row r="150" spans="1:11">
      <c r="A150" s="19"/>
      <c r="B150" s="148" t="s">
        <v>155</v>
      </c>
      <c r="C150" s="616" t="s">
        <v>95</v>
      </c>
      <c r="D150" s="616" t="s">
        <v>95</v>
      </c>
      <c r="E150" s="227">
        <v>3.4999999999999999E-6</v>
      </c>
      <c r="F150" s="65" t="s">
        <v>34</v>
      </c>
      <c r="G150" s="65" t="s">
        <v>601</v>
      </c>
      <c r="H150" s="227">
        <f>$E150*$C$8*(1-$B$252/100)</f>
        <v>3.0677500000000026E-5</v>
      </c>
      <c r="I150" s="228">
        <f>$E150*$C$9*(1-$B$252/100)/2000</f>
        <v>1.3436745000000011E-4</v>
      </c>
      <c r="J150" s="93"/>
      <c r="K150" s="787"/>
    </row>
    <row r="151" spans="1:11">
      <c r="A151" s="19"/>
      <c r="B151" s="148" t="s">
        <v>130</v>
      </c>
      <c r="C151" s="616" t="s">
        <v>95</v>
      </c>
      <c r="D151" s="616" t="s">
        <v>96</v>
      </c>
      <c r="E151" s="227">
        <v>1.5E-5</v>
      </c>
      <c r="F151" s="65" t="s">
        <v>34</v>
      </c>
      <c r="G151" s="65" t="s">
        <v>600</v>
      </c>
      <c r="H151" s="227">
        <f>$E151*$C$8*(1-$C$14/100)</f>
        <v>1.3147500000000015E-4</v>
      </c>
      <c r="I151" s="228">
        <f>$E151*$C$9*(1-$C$14/100)/2000</f>
        <v>5.7586050000000058E-4</v>
      </c>
      <c r="J151" s="93"/>
      <c r="K151" s="787"/>
    </row>
    <row r="152" spans="1:11">
      <c r="A152" s="19"/>
      <c r="B152" s="148" t="s">
        <v>131</v>
      </c>
      <c r="C152" s="616" t="s">
        <v>95</v>
      </c>
      <c r="D152" s="616" t="s">
        <v>96</v>
      </c>
      <c r="E152" s="227">
        <v>2.3E-5</v>
      </c>
      <c r="F152" s="65" t="s">
        <v>34</v>
      </c>
      <c r="G152" s="65" t="s">
        <v>600</v>
      </c>
      <c r="H152" s="227">
        <f>$E152*$C$8*(1-$C$14/100)</f>
        <v>2.0159500000000021E-4</v>
      </c>
      <c r="I152" s="228">
        <f>$E152*$C$9*(1-$C$14/100)/2000</f>
        <v>8.8298610000000068E-4</v>
      </c>
      <c r="J152" s="93"/>
      <c r="K152" s="787"/>
    </row>
    <row r="153" spans="1:11">
      <c r="A153" s="19"/>
      <c r="B153" s="148" t="s">
        <v>459</v>
      </c>
      <c r="C153" s="616" t="s">
        <v>96</v>
      </c>
      <c r="D153" s="616" t="s">
        <v>95</v>
      </c>
      <c r="E153" s="227">
        <v>5.4E-6</v>
      </c>
      <c r="F153" s="65" t="s">
        <v>34</v>
      </c>
      <c r="G153" s="65" t="s">
        <v>600</v>
      </c>
      <c r="H153" s="227">
        <f>$E153*$C$8*(1-$C$14/100)</f>
        <v>4.7331000000000045E-5</v>
      </c>
      <c r="I153" s="228">
        <f>$E153*$C$9*(1-$C$14/100)/2000</f>
        <v>2.0730978000000017E-4</v>
      </c>
      <c r="J153" s="93"/>
      <c r="K153" s="787"/>
    </row>
    <row r="154" spans="1:11">
      <c r="A154" s="58"/>
      <c r="B154" s="229" t="s">
        <v>17</v>
      </c>
      <c r="C154" s="617" t="s">
        <v>95</v>
      </c>
      <c r="D154" s="617" t="s">
        <v>95</v>
      </c>
      <c r="E154" s="230">
        <v>2.9E-4</v>
      </c>
      <c r="F154" s="66" t="s">
        <v>34</v>
      </c>
      <c r="G154" s="65" t="s">
        <v>600</v>
      </c>
      <c r="H154" s="227">
        <f>$E154*$C$8*(1-$C$14/100)</f>
        <v>2.5418500000000022E-3</v>
      </c>
      <c r="I154" s="228">
        <f>$E154*$C$9*(1-$C$14/100)/2000</f>
        <v>1.1133303000000009E-2</v>
      </c>
      <c r="J154" s="231"/>
      <c r="K154" s="787"/>
    </row>
    <row r="155" spans="1:11">
      <c r="A155" s="19"/>
      <c r="B155" s="148" t="s">
        <v>64</v>
      </c>
      <c r="C155" s="616" t="s">
        <v>95</v>
      </c>
      <c r="D155" s="616" t="s">
        <v>96</v>
      </c>
      <c r="E155" s="227">
        <v>9.7E-5</v>
      </c>
      <c r="F155" s="65" t="s">
        <v>34</v>
      </c>
      <c r="G155" s="65" t="s">
        <v>600</v>
      </c>
      <c r="H155" s="227">
        <f>$E155*$C$8*(1-$C$14/100)</f>
        <v>8.502050000000008E-4</v>
      </c>
      <c r="I155" s="228">
        <f>$E155*$C$9*(1-$C$14/100)/2000</f>
        <v>3.7238979000000032E-3</v>
      </c>
      <c r="J155" s="93"/>
      <c r="K155" s="787"/>
    </row>
    <row r="156" spans="1:11">
      <c r="A156" s="19"/>
      <c r="B156" s="148" t="s">
        <v>156</v>
      </c>
      <c r="C156" s="616" t="s">
        <v>95</v>
      </c>
      <c r="D156" s="616" t="s">
        <v>95</v>
      </c>
      <c r="E156" s="227">
        <v>3.3000000000000003E-5</v>
      </c>
      <c r="F156" s="65" t="s">
        <v>34</v>
      </c>
      <c r="G156" s="65" t="s">
        <v>601</v>
      </c>
      <c r="H156" s="227">
        <f>$E156*$C$8*(1-$B$252/100)</f>
        <v>2.8924500000000031E-4</v>
      </c>
      <c r="I156" s="228">
        <f>$E156*$C$9*(1-$B$252/100)/2000</f>
        <v>1.2668931000000012E-3</v>
      </c>
      <c r="J156" s="93"/>
      <c r="K156" s="787"/>
    </row>
    <row r="157" spans="1:11">
      <c r="A157" s="19"/>
      <c r="B157" s="148" t="s">
        <v>65</v>
      </c>
      <c r="C157" s="616" t="s">
        <v>95</v>
      </c>
      <c r="D157" s="616" t="s">
        <v>96</v>
      </c>
      <c r="E157" s="227">
        <v>1.1000000000000001E-7</v>
      </c>
      <c r="F157" s="65" t="s">
        <v>34</v>
      </c>
      <c r="G157" s="65" t="s">
        <v>600</v>
      </c>
      <c r="H157" s="227">
        <f>$E157*$C$8*(1-$C$14/100)</f>
        <v>9.6415000000000097E-7</v>
      </c>
      <c r="I157" s="228">
        <f>$E157*$C$9*(1-$C$14/100)/2000</f>
        <v>4.2229770000000039E-6</v>
      </c>
      <c r="J157" s="93"/>
      <c r="K157" s="787"/>
    </row>
    <row r="158" spans="1:11">
      <c r="A158" s="19"/>
      <c r="B158" s="148" t="s">
        <v>66</v>
      </c>
      <c r="C158" s="616" t="s">
        <v>95</v>
      </c>
      <c r="D158" s="616" t="s">
        <v>95</v>
      </c>
      <c r="E158" s="227">
        <v>5.1E-8</v>
      </c>
      <c r="F158" s="65" t="s">
        <v>34</v>
      </c>
      <c r="G158" s="65" t="s">
        <v>600</v>
      </c>
      <c r="H158" s="227">
        <f>$E158*$C$8*(1-$C$14/100)</f>
        <v>4.4701500000000038E-7</v>
      </c>
      <c r="I158" s="228">
        <f>$E158*$C$9*(1-$C$14/100)/2000</f>
        <v>1.9579257000000017E-6</v>
      </c>
      <c r="J158" s="93"/>
      <c r="K158" s="787"/>
    </row>
    <row r="159" spans="1:11">
      <c r="A159" s="19"/>
      <c r="B159" s="148" t="s">
        <v>132</v>
      </c>
      <c r="C159" s="616" t="s">
        <v>95</v>
      </c>
      <c r="D159" s="616" t="s">
        <v>95</v>
      </c>
      <c r="E159" s="227">
        <v>3.8000000000000002E-5</v>
      </c>
      <c r="F159" s="65" t="s">
        <v>34</v>
      </c>
      <c r="G159" s="65" t="s">
        <v>600</v>
      </c>
      <c r="H159" s="227">
        <f>$E159*$C$8*(1-$C$14/100)</f>
        <v>3.3307000000000031E-4</v>
      </c>
      <c r="I159" s="228">
        <f>$E159*$C$9*(1-$C$14/100)/2000</f>
        <v>1.4588466000000013E-3</v>
      </c>
      <c r="J159" s="93"/>
      <c r="K159" s="787"/>
    </row>
    <row r="160" spans="1:11">
      <c r="A160" s="19"/>
      <c r="B160" s="234" t="s">
        <v>476</v>
      </c>
      <c r="C160" s="583" t="s">
        <v>95</v>
      </c>
      <c r="D160" s="583" t="s">
        <v>96</v>
      </c>
      <c r="E160" s="227">
        <v>2.6999999999999999E-5</v>
      </c>
      <c r="F160" s="65" t="s">
        <v>34</v>
      </c>
      <c r="G160" s="65" t="s">
        <v>601</v>
      </c>
      <c r="H160" s="227">
        <f>$E160*$C$8*(1-$B$252/100)</f>
        <v>2.3665500000000025E-4</v>
      </c>
      <c r="I160" s="228">
        <f>$E160*$C$9*(1-$B$252/100)/2000</f>
        <v>1.0365489000000009E-3</v>
      </c>
      <c r="J160" s="93"/>
      <c r="K160" s="787"/>
    </row>
    <row r="161" spans="1:11">
      <c r="A161" s="19"/>
      <c r="B161" s="148" t="s">
        <v>67</v>
      </c>
      <c r="C161" s="616" t="s">
        <v>95</v>
      </c>
      <c r="D161" s="616" t="s">
        <v>95</v>
      </c>
      <c r="E161" s="227">
        <v>8.1460000000000006E-9</v>
      </c>
      <c r="F161" s="65" t="s">
        <v>34</v>
      </c>
      <c r="G161" s="65" t="s">
        <v>600</v>
      </c>
      <c r="H161" s="227">
        <f>$E161*$C$8*(1-$C$14/100)</f>
        <v>7.1399690000000084E-8</v>
      </c>
      <c r="I161" s="228">
        <f>$E161*$C$9*(1-$C$14/100)/2000</f>
        <v>3.1273064220000033E-7</v>
      </c>
      <c r="J161" s="93"/>
      <c r="K161" s="787"/>
    </row>
    <row r="162" spans="1:11">
      <c r="A162" s="19"/>
      <c r="B162" s="148" t="s">
        <v>68</v>
      </c>
      <c r="C162" s="616" t="s">
        <v>95</v>
      </c>
      <c r="D162" s="616" t="s">
        <v>96</v>
      </c>
      <c r="E162" s="227">
        <v>1.2480069999999999E-4</v>
      </c>
      <c r="F162" s="65" t="s">
        <v>34</v>
      </c>
      <c r="G162" s="65" t="s">
        <v>600</v>
      </c>
      <c r="H162" s="227">
        <f>$E162*$C$8*(1-$C$14/100)</f>
        <v>1.0938781355000009E-3</v>
      </c>
      <c r="I162" s="228">
        <f>$E162*$C$9*(1-$C$14/100)/2000</f>
        <v>4.7911862334900036E-3</v>
      </c>
      <c r="J162" s="93"/>
      <c r="K162" s="787"/>
    </row>
    <row r="163" spans="1:11">
      <c r="A163" s="19"/>
      <c r="B163" s="148" t="s">
        <v>69</v>
      </c>
      <c r="C163" s="616" t="s">
        <v>95</v>
      </c>
      <c r="D163" s="616" t="s">
        <v>96</v>
      </c>
      <c r="E163" s="227">
        <v>2.7999999999999999E-6</v>
      </c>
      <c r="F163" s="65" t="s">
        <v>34</v>
      </c>
      <c r="G163" s="65" t="s">
        <v>601</v>
      </c>
      <c r="H163" s="227">
        <f>$E163*$C$8*(1-$B$252/100)</f>
        <v>2.454200000000002E-5</v>
      </c>
      <c r="I163" s="228">
        <f>$E163*$C$9*(1-$B$252/100)/2000</f>
        <v>1.074939600000001E-4</v>
      </c>
      <c r="J163" s="93"/>
      <c r="K163" s="787"/>
    </row>
    <row r="164" spans="1:11">
      <c r="A164" s="58"/>
      <c r="B164" s="229" t="s">
        <v>20</v>
      </c>
      <c r="C164" s="617" t="s">
        <v>95</v>
      </c>
      <c r="D164" s="617" t="s">
        <v>95</v>
      </c>
      <c r="E164" s="230">
        <v>1.9E-3</v>
      </c>
      <c r="F164" s="66" t="s">
        <v>34</v>
      </c>
      <c r="G164" s="65" t="s">
        <v>600</v>
      </c>
      <c r="H164" s="227">
        <f t="shared" ref="H164:H172" si="9">$E164*$C$8*(1-$C$14/100)</f>
        <v>1.6653500000000016E-2</v>
      </c>
      <c r="I164" s="228">
        <f t="shared" ref="I164:I172" si="10">$E164*$C$9*(1-$C$14/100)/2000</f>
        <v>7.2942330000000069E-2</v>
      </c>
      <c r="J164" s="231"/>
      <c r="K164" s="787"/>
    </row>
    <row r="165" spans="1:11">
      <c r="A165" s="19"/>
      <c r="B165" s="234" t="s">
        <v>70</v>
      </c>
      <c r="C165" s="583" t="s">
        <v>95</v>
      </c>
      <c r="D165" s="583" t="s">
        <v>95</v>
      </c>
      <c r="E165" s="227">
        <v>8.5999999999999997E-12</v>
      </c>
      <c r="F165" s="65" t="s">
        <v>34</v>
      </c>
      <c r="G165" s="65" t="s">
        <v>600</v>
      </c>
      <c r="H165" s="227">
        <f t="shared" si="9"/>
        <v>7.5379000000000071E-11</v>
      </c>
      <c r="I165" s="228">
        <f t="shared" si="10"/>
        <v>3.3016002000000027E-10</v>
      </c>
      <c r="J165" s="93"/>
      <c r="K165" s="787"/>
    </row>
    <row r="166" spans="1:11">
      <c r="A166" s="58"/>
      <c r="B166" s="229" t="s">
        <v>21</v>
      </c>
      <c r="C166" s="617" t="s">
        <v>95</v>
      </c>
      <c r="D166" s="617" t="s">
        <v>95</v>
      </c>
      <c r="E166" s="227">
        <v>9.2000000000000003E-4</v>
      </c>
      <c r="F166" s="66" t="s">
        <v>34</v>
      </c>
      <c r="G166" s="65" t="s">
        <v>600</v>
      </c>
      <c r="H166" s="227">
        <f t="shared" si="9"/>
        <v>8.0638000000000081E-3</v>
      </c>
      <c r="I166" s="228">
        <f t="shared" si="10"/>
        <v>3.5319444000000033E-2</v>
      </c>
      <c r="J166" s="231"/>
      <c r="K166" s="787"/>
    </row>
    <row r="167" spans="1:11">
      <c r="A167" s="19"/>
      <c r="B167" s="229" t="s">
        <v>134</v>
      </c>
      <c r="C167" s="617" t="s">
        <v>95</v>
      </c>
      <c r="D167" s="617" t="s">
        <v>95</v>
      </c>
      <c r="E167" s="227">
        <v>3.1000000000000001E-5</v>
      </c>
      <c r="F167" s="65" t="s">
        <v>34</v>
      </c>
      <c r="G167" s="65" t="s">
        <v>600</v>
      </c>
      <c r="H167" s="227">
        <f t="shared" si="9"/>
        <v>2.7171500000000028E-4</v>
      </c>
      <c r="I167" s="228">
        <f t="shared" si="10"/>
        <v>1.1901117000000013E-3</v>
      </c>
      <c r="J167" s="93"/>
      <c r="K167" s="787"/>
    </row>
    <row r="168" spans="1:11">
      <c r="A168" s="19"/>
      <c r="B168" s="148" t="s">
        <v>71</v>
      </c>
      <c r="C168" s="616" t="s">
        <v>95</v>
      </c>
      <c r="D168" s="616" t="s">
        <v>95</v>
      </c>
      <c r="E168" s="227">
        <v>3.0000000000000001E-5</v>
      </c>
      <c r="F168" s="65" t="s">
        <v>34</v>
      </c>
      <c r="G168" s="65" t="s">
        <v>600</v>
      </c>
      <c r="H168" s="227">
        <f t="shared" si="9"/>
        <v>2.6295000000000029E-4</v>
      </c>
      <c r="I168" s="228">
        <f t="shared" si="10"/>
        <v>1.1517210000000012E-3</v>
      </c>
      <c r="J168" s="93"/>
      <c r="K168" s="787"/>
    </row>
    <row r="169" spans="1:11">
      <c r="A169" s="19"/>
      <c r="B169" s="45" t="s">
        <v>135</v>
      </c>
      <c r="C169" s="618" t="s">
        <v>96</v>
      </c>
      <c r="D169" s="618" t="s">
        <v>95</v>
      </c>
      <c r="E169" s="227">
        <v>4.1E-5</v>
      </c>
      <c r="F169" s="65" t="s">
        <v>34</v>
      </c>
      <c r="G169" s="65" t="s">
        <v>600</v>
      </c>
      <c r="H169" s="227">
        <f t="shared" si="9"/>
        <v>3.5936500000000032E-4</v>
      </c>
      <c r="I169" s="228">
        <f t="shared" si="10"/>
        <v>1.5740187000000015E-3</v>
      </c>
      <c r="J169" s="93"/>
      <c r="K169" s="787"/>
    </row>
    <row r="170" spans="1:11">
      <c r="A170" s="19"/>
      <c r="B170" s="148" t="s">
        <v>72</v>
      </c>
      <c r="C170" s="616" t="s">
        <v>95</v>
      </c>
      <c r="D170" s="616" t="s">
        <v>96</v>
      </c>
      <c r="E170" s="227">
        <v>2.1999999999999998E-8</v>
      </c>
      <c r="F170" s="65" t="s">
        <v>34</v>
      </c>
      <c r="G170" s="65" t="s">
        <v>600</v>
      </c>
      <c r="H170" s="227">
        <f t="shared" si="9"/>
        <v>1.9283000000000015E-7</v>
      </c>
      <c r="I170" s="228">
        <f t="shared" si="10"/>
        <v>8.445954000000006E-7</v>
      </c>
      <c r="J170" s="93"/>
      <c r="K170" s="787"/>
    </row>
    <row r="171" spans="1:11">
      <c r="A171" s="19"/>
      <c r="B171" s="148" t="s">
        <v>73</v>
      </c>
      <c r="C171" s="616" t="s">
        <v>95</v>
      </c>
      <c r="D171" s="616" t="s">
        <v>95</v>
      </c>
      <c r="E171" s="227">
        <v>1.8E-5</v>
      </c>
      <c r="F171" s="65" t="s">
        <v>34</v>
      </c>
      <c r="G171" s="65" t="s">
        <v>600</v>
      </c>
      <c r="H171" s="227">
        <f t="shared" si="9"/>
        <v>1.5777000000000016E-4</v>
      </c>
      <c r="I171" s="228">
        <f t="shared" si="10"/>
        <v>6.910326000000007E-4</v>
      </c>
      <c r="J171" s="93"/>
      <c r="K171" s="787"/>
    </row>
    <row r="172" spans="1:11" ht="14.4" thickBot="1">
      <c r="A172" s="58"/>
      <c r="B172" s="235" t="s">
        <v>136</v>
      </c>
      <c r="C172" s="619" t="s">
        <v>95</v>
      </c>
      <c r="D172" s="619" t="s">
        <v>95</v>
      </c>
      <c r="E172" s="570">
        <v>2.5000000000000001E-5</v>
      </c>
      <c r="F172" s="236" t="s">
        <v>34</v>
      </c>
      <c r="G172" s="237" t="s">
        <v>600</v>
      </c>
      <c r="H172" s="227">
        <f t="shared" si="9"/>
        <v>2.1912500000000019E-4</v>
      </c>
      <c r="I172" s="228">
        <f t="shared" si="10"/>
        <v>9.5976750000000086E-4</v>
      </c>
      <c r="J172" s="231"/>
      <c r="K172" s="787"/>
    </row>
    <row r="173" spans="1:11" ht="14.4" thickTop="1">
      <c r="A173" s="19"/>
      <c r="B173" s="630"/>
      <c r="C173" s="631"/>
      <c r="D173" s="631"/>
      <c r="E173" s="631"/>
      <c r="F173" s="631"/>
      <c r="G173" s="629" t="s">
        <v>566</v>
      </c>
      <c r="H173" s="809">
        <f>SUMIF($C$121:$C$172,"Y",H121:H172)-SUM(H131,H155)</f>
        <v>3.5632280800295466</v>
      </c>
      <c r="I173" s="915">
        <f>SUMIF($C$121:$C$172,"Y",I121:I172)-SUM(I131,I155)</f>
        <v>15.606938990529427</v>
      </c>
      <c r="J173" s="59"/>
    </row>
    <row r="174" spans="1:11" ht="14.4" thickBot="1">
      <c r="A174" s="19"/>
      <c r="B174" s="508"/>
      <c r="C174" s="126"/>
      <c r="D174" s="126"/>
      <c r="E174" s="126"/>
      <c r="F174" s="126"/>
      <c r="G174" s="257" t="s">
        <v>567</v>
      </c>
      <c r="H174" s="812">
        <f>SUMIF($D$121:$D$172,"Y",H121:H172)-H131</f>
        <v>2.3641568185263111</v>
      </c>
      <c r="I174" s="1271">
        <f>SUMIF($D$121:$D$172,"Y",I121:I172)-I131</f>
        <v>10.355006865145253</v>
      </c>
      <c r="J174" s="59"/>
    </row>
    <row r="175" spans="1:11" ht="14.4" thickTop="1">
      <c r="A175" s="1393" t="s">
        <v>288</v>
      </c>
      <c r="B175" s="1393"/>
      <c r="C175" s="217"/>
      <c r="D175" s="217"/>
      <c r="E175" s="217"/>
      <c r="F175" s="217"/>
      <c r="G175" s="242"/>
      <c r="H175" s="971"/>
      <c r="I175" s="971"/>
      <c r="J175" s="59"/>
    </row>
    <row r="176" spans="1:11" ht="14.25" customHeight="1">
      <c r="A176" s="263" t="s">
        <v>100</v>
      </c>
      <c r="B176" s="963" t="s">
        <v>608</v>
      </c>
      <c r="C176" s="963"/>
      <c r="D176" s="963"/>
      <c r="E176" s="963"/>
      <c r="F176" s="963"/>
      <c r="G176" s="963"/>
      <c r="H176" s="963"/>
      <c r="I176" s="963"/>
      <c r="J176" s="59"/>
    </row>
    <row r="177" spans="1:13">
      <c r="A177" s="264" t="s">
        <v>159</v>
      </c>
      <c r="B177" s="963" t="s">
        <v>296</v>
      </c>
      <c r="C177" s="963"/>
      <c r="D177" s="963"/>
      <c r="E177" s="963"/>
      <c r="F177" s="963"/>
      <c r="G177" s="963"/>
      <c r="H177" s="963"/>
      <c r="I177" s="963"/>
      <c r="J177" s="59"/>
    </row>
    <row r="178" spans="1:13" ht="21" customHeight="1">
      <c r="A178" s="208" t="s">
        <v>160</v>
      </c>
      <c r="B178" s="1401" t="s">
        <v>297</v>
      </c>
      <c r="C178" s="1401"/>
      <c r="D178" s="1401"/>
      <c r="E178" s="1401"/>
      <c r="F178" s="1401"/>
      <c r="G178" s="1401"/>
      <c r="H178" s="1401"/>
      <c r="I178" s="1401"/>
      <c r="J178" s="59"/>
    </row>
    <row r="179" spans="1:13">
      <c r="A179" s="208" t="s">
        <v>161</v>
      </c>
      <c r="B179" s="780" t="s">
        <v>298</v>
      </c>
      <c r="C179" s="780"/>
      <c r="D179" s="780"/>
      <c r="E179" s="780"/>
      <c r="F179" s="780"/>
      <c r="G179" s="780"/>
      <c r="H179" s="780"/>
      <c r="I179" s="780"/>
      <c r="J179" s="59"/>
    </row>
    <row r="180" spans="1:13" ht="24.75" customHeight="1">
      <c r="A180" s="208" t="s">
        <v>162</v>
      </c>
      <c r="B180" s="1400" t="s">
        <v>299</v>
      </c>
      <c r="C180" s="1400"/>
      <c r="D180" s="1400"/>
      <c r="E180" s="1400"/>
      <c r="F180" s="1400"/>
      <c r="G180" s="1400"/>
      <c r="H180" s="1400"/>
      <c r="I180" s="1400"/>
      <c r="J180" s="59"/>
    </row>
    <row r="181" spans="1:13" ht="14.25" customHeight="1">
      <c r="A181" s="208" t="s">
        <v>163</v>
      </c>
      <c r="B181" s="968" t="s">
        <v>446</v>
      </c>
      <c r="C181" s="968"/>
      <c r="D181" s="968"/>
      <c r="E181" s="968"/>
      <c r="F181" s="968"/>
      <c r="G181" s="968"/>
      <c r="H181" s="968"/>
      <c r="I181" s="968"/>
      <c r="J181" s="59"/>
    </row>
    <row r="182" spans="1:13" ht="14.25" customHeight="1">
      <c r="A182" s="208" t="s">
        <v>164</v>
      </c>
      <c r="B182" s="963" t="s">
        <v>487</v>
      </c>
      <c r="C182" s="963"/>
      <c r="D182" s="963"/>
      <c r="E182" s="963"/>
      <c r="F182" s="963"/>
      <c r="G182" s="963"/>
      <c r="H182" s="963"/>
      <c r="I182" s="963"/>
      <c r="J182" s="59"/>
    </row>
    <row r="183" spans="1:13">
      <c r="A183" s="19"/>
      <c r="B183" s="217"/>
      <c r="C183" s="217"/>
      <c r="D183" s="217"/>
      <c r="E183" s="217"/>
      <c r="F183" s="217"/>
      <c r="G183" s="242"/>
      <c r="H183" s="243"/>
      <c r="I183" s="243"/>
      <c r="J183" s="59"/>
    </row>
    <row r="184" spans="1:13" ht="14.4" thickBot="1">
      <c r="A184" s="19"/>
      <c r="B184" s="61" t="s">
        <v>316</v>
      </c>
      <c r="C184" s="61"/>
      <c r="D184" s="61"/>
      <c r="E184" s="217"/>
      <c r="F184" s="217"/>
      <c r="G184" s="242"/>
      <c r="H184" s="243"/>
      <c r="I184" s="243"/>
      <c r="J184" s="59"/>
    </row>
    <row r="185" spans="1:13" ht="28.5" customHeight="1" thickTop="1">
      <c r="A185" s="19"/>
      <c r="B185" s="1394" t="s">
        <v>22</v>
      </c>
      <c r="C185" s="1402" t="s">
        <v>36</v>
      </c>
      <c r="D185" s="1404" t="s">
        <v>390</v>
      </c>
      <c r="E185" s="1381" t="s">
        <v>93</v>
      </c>
      <c r="F185" s="1396" t="s">
        <v>31</v>
      </c>
      <c r="G185" s="1398" t="s">
        <v>94</v>
      </c>
      <c r="H185" s="1399"/>
    </row>
    <row r="186" spans="1:13" ht="15.75" customHeight="1" thickBot="1">
      <c r="A186" s="19"/>
      <c r="B186" s="1395"/>
      <c r="C186" s="1403"/>
      <c r="D186" s="1405"/>
      <c r="E186" s="1382"/>
      <c r="F186" s="1397"/>
      <c r="G186" s="239" t="s">
        <v>23</v>
      </c>
      <c r="H186" s="240" t="s">
        <v>8</v>
      </c>
      <c r="M186" s="64" t="s">
        <v>175</v>
      </c>
    </row>
    <row r="187" spans="1:13" ht="15" thickTop="1" thickBot="1">
      <c r="A187" s="58"/>
      <c r="B187" s="161" t="s">
        <v>635</v>
      </c>
      <c r="C187" s="162"/>
      <c r="D187" s="162"/>
      <c r="E187" s="162"/>
      <c r="F187" s="162"/>
      <c r="G187" s="162"/>
      <c r="H187" s="241"/>
      <c r="M187" s="57"/>
    </row>
    <row r="188" spans="1:13">
      <c r="A188" s="58"/>
      <c r="B188" s="244" t="s">
        <v>137</v>
      </c>
      <c r="C188" s="623" t="s">
        <v>95</v>
      </c>
      <c r="D188" s="623" t="s">
        <v>96</v>
      </c>
      <c r="E188" s="245">
        <v>2.4000000000000001E-5</v>
      </c>
      <c r="F188" s="246" t="s">
        <v>138</v>
      </c>
      <c r="G188" s="222">
        <f t="shared" ref="G188:G224" si="11">$E188*$C$13/1020</f>
        <v>9.3411764705882362E-7</v>
      </c>
      <c r="H188" s="247">
        <f t="shared" ref="H188:H224" si="12">$E188*$C$12*$C$13/1020/2000</f>
        <v>4.0914352941176476E-6</v>
      </c>
      <c r="K188" s="786"/>
      <c r="M188" s="64" t="s">
        <v>176</v>
      </c>
    </row>
    <row r="189" spans="1:13">
      <c r="A189" s="58"/>
      <c r="B189" s="229" t="s">
        <v>139</v>
      </c>
      <c r="C189" s="617" t="s">
        <v>95</v>
      </c>
      <c r="D189" s="617" t="s">
        <v>96</v>
      </c>
      <c r="E189" s="230">
        <v>1.7999999999999999E-6</v>
      </c>
      <c r="F189" s="66" t="s">
        <v>138</v>
      </c>
      <c r="G189" s="222">
        <f t="shared" si="11"/>
        <v>7.0058823529411764E-8</v>
      </c>
      <c r="H189" s="247">
        <f t="shared" si="12"/>
        <v>3.068576470588235E-7</v>
      </c>
      <c r="J189" s="786"/>
      <c r="K189" s="786"/>
      <c r="M189" s="64" t="s">
        <v>176</v>
      </c>
    </row>
    <row r="190" spans="1:13">
      <c r="A190" s="58"/>
      <c r="B190" s="229" t="s">
        <v>140</v>
      </c>
      <c r="C190" s="617" t="s">
        <v>95</v>
      </c>
      <c r="D190" s="617" t="s">
        <v>96</v>
      </c>
      <c r="E190" s="230">
        <v>1.5999999999999999E-5</v>
      </c>
      <c r="F190" s="66" t="s">
        <v>138</v>
      </c>
      <c r="G190" s="222">
        <f t="shared" si="11"/>
        <v>6.2274509803921571E-7</v>
      </c>
      <c r="H190" s="247">
        <f t="shared" si="12"/>
        <v>2.7276235294117652E-6</v>
      </c>
      <c r="J190" s="786"/>
      <c r="K190" s="786"/>
      <c r="M190" s="64" t="s">
        <v>176</v>
      </c>
    </row>
    <row r="191" spans="1:13">
      <c r="A191" s="58"/>
      <c r="B191" s="229" t="s">
        <v>141</v>
      </c>
      <c r="C191" s="617" t="s">
        <v>95</v>
      </c>
      <c r="D191" s="617" t="s">
        <v>96</v>
      </c>
      <c r="E191" s="230">
        <v>1.7999999999999999E-6</v>
      </c>
      <c r="F191" s="66" t="s">
        <v>138</v>
      </c>
      <c r="G191" s="222">
        <f t="shared" si="11"/>
        <v>7.0058823529411764E-8</v>
      </c>
      <c r="H191" s="247">
        <f t="shared" si="12"/>
        <v>3.068576470588235E-7</v>
      </c>
      <c r="J191" s="786"/>
      <c r="K191" s="786"/>
      <c r="M191" s="64" t="s">
        <v>176</v>
      </c>
    </row>
    <row r="192" spans="1:13">
      <c r="A192" s="58"/>
      <c r="B192" s="229" t="s">
        <v>142</v>
      </c>
      <c r="C192" s="617" t="s">
        <v>95</v>
      </c>
      <c r="D192" s="617" t="s">
        <v>96</v>
      </c>
      <c r="E192" s="230">
        <v>1.7999999999999999E-6</v>
      </c>
      <c r="F192" s="66" t="s">
        <v>138</v>
      </c>
      <c r="G192" s="222">
        <f t="shared" si="11"/>
        <v>7.0058823529411764E-8</v>
      </c>
      <c r="H192" s="247">
        <f t="shared" si="12"/>
        <v>3.068576470588235E-7</v>
      </c>
      <c r="J192" s="786"/>
      <c r="K192" s="786"/>
      <c r="M192" s="64" t="s">
        <v>176</v>
      </c>
    </row>
    <row r="193" spans="1:13" hidden="1">
      <c r="A193" s="58"/>
      <c r="B193" s="612" t="s">
        <v>11</v>
      </c>
      <c r="C193" s="615" t="s">
        <v>95</v>
      </c>
      <c r="D193" s="613" t="s">
        <v>95</v>
      </c>
      <c r="E193" s="961">
        <v>0</v>
      </c>
      <c r="F193" s="66" t="s">
        <v>138</v>
      </c>
      <c r="G193" s="222">
        <f t="shared" si="11"/>
        <v>0</v>
      </c>
      <c r="H193" s="247">
        <f t="shared" si="12"/>
        <v>0</v>
      </c>
      <c r="I193" s="969" t="s">
        <v>626</v>
      </c>
      <c r="J193" s="786"/>
      <c r="K193" s="786"/>
      <c r="M193" s="64"/>
    </row>
    <row r="194" spans="1:13" hidden="1">
      <c r="A194" s="58"/>
      <c r="B194" s="612" t="s">
        <v>12</v>
      </c>
      <c r="C194" s="615" t="s">
        <v>95</v>
      </c>
      <c r="D194" s="613" t="s">
        <v>95</v>
      </c>
      <c r="E194" s="961">
        <v>0</v>
      </c>
      <c r="F194" s="66" t="s">
        <v>138</v>
      </c>
      <c r="G194" s="222">
        <f t="shared" si="11"/>
        <v>0</v>
      </c>
      <c r="H194" s="247">
        <f t="shared" si="12"/>
        <v>0</v>
      </c>
      <c r="I194" s="969" t="s">
        <v>626</v>
      </c>
      <c r="J194" s="786"/>
      <c r="K194" s="786"/>
      <c r="M194" s="64"/>
    </row>
    <row r="195" spans="1:13">
      <c r="A195" s="58"/>
      <c r="B195" s="612" t="s">
        <v>457</v>
      </c>
      <c r="C195" s="624" t="s">
        <v>96</v>
      </c>
      <c r="D195" s="624" t="s">
        <v>95</v>
      </c>
      <c r="E195" s="805">
        <v>3.2</v>
      </c>
      <c r="F195" s="524" t="s">
        <v>138</v>
      </c>
      <c r="G195" s="222">
        <f t="shared" si="11"/>
        <v>0.12454901960784316</v>
      </c>
      <c r="H195" s="247">
        <f t="shared" si="12"/>
        <v>0.54552470588235302</v>
      </c>
      <c r="J195" s="786"/>
      <c r="K195" s="786"/>
      <c r="M195" s="64"/>
    </row>
    <row r="196" spans="1:13">
      <c r="A196" s="58"/>
      <c r="B196" s="229" t="s">
        <v>143</v>
      </c>
      <c r="C196" s="617" t="s">
        <v>95</v>
      </c>
      <c r="D196" s="617" t="s">
        <v>96</v>
      </c>
      <c r="E196" s="230">
        <v>2.3999999999999999E-6</v>
      </c>
      <c r="F196" s="66" t="s">
        <v>138</v>
      </c>
      <c r="G196" s="222">
        <f t="shared" si="11"/>
        <v>9.3411764705882352E-8</v>
      </c>
      <c r="H196" s="247">
        <f t="shared" si="12"/>
        <v>4.091435294117647E-7</v>
      </c>
      <c r="J196" s="786"/>
      <c r="K196" s="786"/>
      <c r="M196" s="64" t="s">
        <v>176</v>
      </c>
    </row>
    <row r="197" spans="1:13">
      <c r="A197" s="58"/>
      <c r="B197" s="148" t="s">
        <v>473</v>
      </c>
      <c r="C197" s="616" t="s">
        <v>95</v>
      </c>
      <c r="D197" s="616" t="s">
        <v>95</v>
      </c>
      <c r="E197" s="230">
        <v>2.0000000000000001E-4</v>
      </c>
      <c r="F197" s="66" t="s">
        <v>138</v>
      </c>
      <c r="G197" s="222">
        <f t="shared" si="11"/>
        <v>7.7843137254901973E-6</v>
      </c>
      <c r="H197" s="247">
        <f t="shared" si="12"/>
        <v>3.4095294117647058E-5</v>
      </c>
      <c r="J197" s="786"/>
      <c r="K197" s="786"/>
      <c r="M197" s="64"/>
    </row>
    <row r="198" spans="1:13">
      <c r="A198" s="58"/>
      <c r="B198" s="229" t="s">
        <v>144</v>
      </c>
      <c r="C198" s="617" t="s">
        <v>95</v>
      </c>
      <c r="D198" s="617" t="s">
        <v>96</v>
      </c>
      <c r="E198" s="230">
        <v>1.7999999999999999E-6</v>
      </c>
      <c r="F198" s="66" t="s">
        <v>138</v>
      </c>
      <c r="G198" s="222">
        <f t="shared" si="11"/>
        <v>7.0058823529411764E-8</v>
      </c>
      <c r="H198" s="247">
        <f t="shared" si="12"/>
        <v>3.068576470588235E-7</v>
      </c>
      <c r="J198" s="786"/>
      <c r="K198" s="786"/>
      <c r="M198" s="64" t="s">
        <v>176</v>
      </c>
    </row>
    <row r="199" spans="1:13">
      <c r="A199" s="58"/>
      <c r="B199" s="180" t="s">
        <v>13</v>
      </c>
      <c r="C199" s="616" t="s">
        <v>95</v>
      </c>
      <c r="D199" s="616" t="s">
        <v>95</v>
      </c>
      <c r="E199" s="230">
        <v>2.0999999999999999E-3</v>
      </c>
      <c r="F199" s="66" t="s">
        <v>138</v>
      </c>
      <c r="G199" s="222">
        <f t="shared" si="11"/>
        <v>8.1735294117647056E-5</v>
      </c>
      <c r="H199" s="247">
        <f t="shared" si="12"/>
        <v>3.5800058823529411E-4</v>
      </c>
      <c r="J199" s="786"/>
      <c r="K199" s="786"/>
      <c r="M199" s="64"/>
    </row>
    <row r="200" spans="1:13">
      <c r="A200" s="58"/>
      <c r="B200" s="229" t="s">
        <v>25</v>
      </c>
      <c r="C200" s="617" t="s">
        <v>95</v>
      </c>
      <c r="D200" s="617" t="s">
        <v>95</v>
      </c>
      <c r="E200" s="230">
        <v>1.1999999999999999E-6</v>
      </c>
      <c r="F200" s="66" t="s">
        <v>138</v>
      </c>
      <c r="G200" s="222">
        <f t="shared" si="11"/>
        <v>4.6705882352941176E-8</v>
      </c>
      <c r="H200" s="247">
        <f t="shared" si="12"/>
        <v>2.0457176470588235E-7</v>
      </c>
      <c r="J200" s="786"/>
      <c r="K200" s="786"/>
      <c r="M200" s="64" t="s">
        <v>176</v>
      </c>
    </row>
    <row r="201" spans="1:13">
      <c r="A201" s="58"/>
      <c r="B201" s="229" t="s">
        <v>145</v>
      </c>
      <c r="C201" s="617" t="s">
        <v>95</v>
      </c>
      <c r="D201" s="617" t="s">
        <v>96</v>
      </c>
      <c r="E201" s="230">
        <v>1.7999999999999999E-6</v>
      </c>
      <c r="F201" s="66" t="s">
        <v>138</v>
      </c>
      <c r="G201" s="222">
        <f t="shared" si="11"/>
        <v>7.0058823529411764E-8</v>
      </c>
      <c r="H201" s="247">
        <f t="shared" si="12"/>
        <v>3.068576470588235E-7</v>
      </c>
      <c r="J201" s="786"/>
      <c r="K201" s="786"/>
      <c r="M201" s="64" t="s">
        <v>176</v>
      </c>
    </row>
    <row r="202" spans="1:13">
      <c r="A202" s="58"/>
      <c r="B202" s="229" t="s">
        <v>146</v>
      </c>
      <c r="C202" s="617" t="s">
        <v>95</v>
      </c>
      <c r="D202" s="617" t="s">
        <v>96</v>
      </c>
      <c r="E202" s="230">
        <v>1.1999999999999999E-6</v>
      </c>
      <c r="F202" s="66" t="s">
        <v>138</v>
      </c>
      <c r="G202" s="222">
        <f t="shared" si="11"/>
        <v>4.6705882352941176E-8</v>
      </c>
      <c r="H202" s="247">
        <f t="shared" si="12"/>
        <v>2.0457176470588235E-7</v>
      </c>
      <c r="J202" s="786"/>
      <c r="K202" s="786"/>
      <c r="M202" s="64" t="s">
        <v>176</v>
      </c>
    </row>
    <row r="203" spans="1:13" ht="15" customHeight="1">
      <c r="A203" s="58"/>
      <c r="B203" s="229" t="s">
        <v>147</v>
      </c>
      <c r="C203" s="617" t="s">
        <v>95</v>
      </c>
      <c r="D203" s="617" t="s">
        <v>96</v>
      </c>
      <c r="E203" s="230">
        <v>1.7999999999999999E-6</v>
      </c>
      <c r="F203" s="66" t="s">
        <v>138</v>
      </c>
      <c r="G203" s="222">
        <f t="shared" si="11"/>
        <v>7.0058823529411764E-8</v>
      </c>
      <c r="H203" s="247">
        <f t="shared" si="12"/>
        <v>3.068576470588235E-7</v>
      </c>
      <c r="J203" s="786"/>
      <c r="K203" s="786"/>
      <c r="M203" s="64" t="s">
        <v>176</v>
      </c>
    </row>
    <row r="204" spans="1:13" ht="15" customHeight="1">
      <c r="A204" s="58"/>
      <c r="B204" s="229" t="s">
        <v>122</v>
      </c>
      <c r="C204" s="617" t="s">
        <v>95</v>
      </c>
      <c r="D204" s="617" t="s">
        <v>95</v>
      </c>
      <c r="E204" s="230">
        <v>1.2E-5</v>
      </c>
      <c r="F204" s="66" t="s">
        <v>138</v>
      </c>
      <c r="G204" s="222">
        <f t="shared" si="11"/>
        <v>4.6705882352941181E-7</v>
      </c>
      <c r="H204" s="247">
        <f t="shared" si="12"/>
        <v>2.0457176470588238E-6</v>
      </c>
      <c r="J204" s="786"/>
      <c r="K204" s="786"/>
      <c r="M204" s="64"/>
    </row>
    <row r="205" spans="1:13" ht="15" customHeight="1">
      <c r="A205" s="58"/>
      <c r="B205" s="148" t="s">
        <v>123</v>
      </c>
      <c r="C205" s="616" t="s">
        <v>95</v>
      </c>
      <c r="D205" s="616" t="s">
        <v>95</v>
      </c>
      <c r="E205" s="230">
        <v>1.1000000000000001E-3</v>
      </c>
      <c r="F205" s="66" t="s">
        <v>138</v>
      </c>
      <c r="G205" s="222">
        <f t="shared" si="11"/>
        <v>4.2813725490196088E-5</v>
      </c>
      <c r="H205" s="247">
        <f t="shared" si="12"/>
        <v>1.8752411764705885E-4</v>
      </c>
      <c r="J205" s="786"/>
      <c r="K205" s="786"/>
      <c r="M205" s="64"/>
    </row>
    <row r="206" spans="1:13">
      <c r="A206" s="58"/>
      <c r="B206" s="229" t="s">
        <v>124</v>
      </c>
      <c r="C206" s="617" t="s">
        <v>95</v>
      </c>
      <c r="D206" s="617" t="s">
        <v>96</v>
      </c>
      <c r="E206" s="230">
        <v>1.4E-3</v>
      </c>
      <c r="F206" s="66" t="s">
        <v>138</v>
      </c>
      <c r="G206" s="222">
        <f t="shared" si="11"/>
        <v>5.449019607843138E-5</v>
      </c>
      <c r="H206" s="247">
        <f t="shared" si="12"/>
        <v>2.3866705882352943E-4</v>
      </c>
      <c r="J206" s="786"/>
      <c r="K206" s="786"/>
      <c r="M206" s="64"/>
    </row>
    <row r="207" spans="1:13">
      <c r="A207" s="58"/>
      <c r="B207" s="229" t="s">
        <v>148</v>
      </c>
      <c r="C207" s="617" t="s">
        <v>95</v>
      </c>
      <c r="D207" s="617" t="s">
        <v>96</v>
      </c>
      <c r="E207" s="230">
        <v>1.7999999999999999E-6</v>
      </c>
      <c r="F207" s="66" t="s">
        <v>138</v>
      </c>
      <c r="G207" s="222">
        <f t="shared" si="11"/>
        <v>7.0058823529411764E-8</v>
      </c>
      <c r="H207" s="247">
        <f t="shared" si="12"/>
        <v>3.068576470588235E-7</v>
      </c>
      <c r="J207" s="786"/>
      <c r="K207" s="786"/>
      <c r="M207" s="64" t="s">
        <v>176</v>
      </c>
    </row>
    <row r="208" spans="1:13">
      <c r="A208" s="58"/>
      <c r="B208" s="148" t="s">
        <v>61</v>
      </c>
      <c r="C208" s="617" t="s">
        <v>95</v>
      </c>
      <c r="D208" s="617" t="s">
        <v>96</v>
      </c>
      <c r="E208" s="230">
        <v>8.3999999999999995E-5</v>
      </c>
      <c r="F208" s="66" t="s">
        <v>138</v>
      </c>
      <c r="G208" s="222">
        <f t="shared" si="11"/>
        <v>3.2694117647058824E-6</v>
      </c>
      <c r="H208" s="247">
        <f t="shared" si="12"/>
        <v>1.4320023529411765E-5</v>
      </c>
      <c r="J208" s="786"/>
      <c r="K208" s="786"/>
      <c r="M208" s="64"/>
    </row>
    <row r="209" spans="1:13">
      <c r="A209" s="58"/>
      <c r="B209" s="229" t="s">
        <v>149</v>
      </c>
      <c r="C209" s="617" t="s">
        <v>95</v>
      </c>
      <c r="D209" s="617" t="s">
        <v>96</v>
      </c>
      <c r="E209" s="230">
        <v>1.1999999999999999E-6</v>
      </c>
      <c r="F209" s="66" t="s">
        <v>138</v>
      </c>
      <c r="G209" s="222">
        <f t="shared" si="11"/>
        <v>4.6705882352941176E-8</v>
      </c>
      <c r="H209" s="247">
        <f t="shared" si="12"/>
        <v>2.0457176470588235E-7</v>
      </c>
      <c r="J209" s="786"/>
      <c r="K209" s="786"/>
      <c r="M209" s="64" t="s">
        <v>176</v>
      </c>
    </row>
    <row r="210" spans="1:13">
      <c r="A210" s="58"/>
      <c r="B210" s="229" t="s">
        <v>150</v>
      </c>
      <c r="C210" s="617" t="s">
        <v>95</v>
      </c>
      <c r="D210" s="617" t="s">
        <v>95</v>
      </c>
      <c r="E210" s="230">
        <v>1.1999999999999999E-3</v>
      </c>
      <c r="F210" s="66" t="s">
        <v>138</v>
      </c>
      <c r="G210" s="222">
        <f t="shared" si="11"/>
        <v>4.6705882352941181E-5</v>
      </c>
      <c r="H210" s="247">
        <f t="shared" si="12"/>
        <v>2.0457176470588235E-4</v>
      </c>
      <c r="J210" s="786"/>
      <c r="K210" s="786"/>
      <c r="M210" s="64"/>
    </row>
    <row r="211" spans="1:13">
      <c r="A211" s="58"/>
      <c r="B211" s="229" t="s">
        <v>151</v>
      </c>
      <c r="C211" s="617" t="s">
        <v>95</v>
      </c>
      <c r="D211" s="617" t="s">
        <v>96</v>
      </c>
      <c r="E211" s="230">
        <v>3.0000000000000001E-6</v>
      </c>
      <c r="F211" s="66" t="s">
        <v>138</v>
      </c>
      <c r="G211" s="222">
        <f t="shared" si="11"/>
        <v>1.1676470588235295E-7</v>
      </c>
      <c r="H211" s="247">
        <f t="shared" si="12"/>
        <v>5.1142941176470595E-7</v>
      </c>
      <c r="J211" s="786"/>
      <c r="K211" s="786"/>
      <c r="M211" s="64" t="s">
        <v>176</v>
      </c>
    </row>
    <row r="212" spans="1:13">
      <c r="A212" s="58"/>
      <c r="B212" s="248" t="s">
        <v>152</v>
      </c>
      <c r="C212" s="625" t="s">
        <v>95</v>
      </c>
      <c r="D212" s="625" t="s">
        <v>96</v>
      </c>
      <c r="E212" s="230">
        <v>2.7999999999999999E-6</v>
      </c>
      <c r="F212" s="66" t="s">
        <v>138</v>
      </c>
      <c r="G212" s="222">
        <f t="shared" si="11"/>
        <v>1.0898039215686274E-7</v>
      </c>
      <c r="H212" s="247">
        <f t="shared" si="12"/>
        <v>4.773341176470588E-7</v>
      </c>
      <c r="J212" s="786"/>
      <c r="K212" s="786"/>
      <c r="M212" s="64" t="s">
        <v>176</v>
      </c>
    </row>
    <row r="213" spans="1:13" hidden="1">
      <c r="A213" s="58"/>
      <c r="B213" s="229" t="s">
        <v>15</v>
      </c>
      <c r="C213" s="617" t="s">
        <v>95</v>
      </c>
      <c r="D213" s="617" t="s">
        <v>95</v>
      </c>
      <c r="E213" s="962">
        <v>0</v>
      </c>
      <c r="F213" s="66" t="s">
        <v>138</v>
      </c>
      <c r="G213" s="222">
        <f t="shared" si="11"/>
        <v>0</v>
      </c>
      <c r="H213" s="247">
        <f t="shared" si="12"/>
        <v>0</v>
      </c>
      <c r="I213" s="969" t="s">
        <v>626</v>
      </c>
      <c r="J213" s="786"/>
      <c r="K213" s="786"/>
      <c r="M213" s="64"/>
    </row>
    <row r="214" spans="1:13" ht="15" customHeight="1">
      <c r="A214" s="58"/>
      <c r="B214" s="229" t="s">
        <v>153</v>
      </c>
      <c r="C214" s="617" t="s">
        <v>95</v>
      </c>
      <c r="D214" s="617" t="s">
        <v>95</v>
      </c>
      <c r="E214" s="249">
        <v>1.8</v>
      </c>
      <c r="F214" s="66" t="s">
        <v>138</v>
      </c>
      <c r="G214" s="222">
        <f t="shared" si="11"/>
        <v>7.0058823529411771E-2</v>
      </c>
      <c r="H214" s="247">
        <f t="shared" si="12"/>
        <v>0.30685764705882362</v>
      </c>
      <c r="J214" s="786"/>
      <c r="K214" s="786"/>
      <c r="M214" s="64"/>
    </row>
    <row r="215" spans="1:13" ht="15" customHeight="1">
      <c r="A215" s="58"/>
      <c r="B215" s="229" t="s">
        <v>154</v>
      </c>
      <c r="C215" s="617" t="s">
        <v>95</v>
      </c>
      <c r="D215" s="617" t="s">
        <v>96</v>
      </c>
      <c r="E215" s="230">
        <v>1.7999999999999999E-6</v>
      </c>
      <c r="F215" s="66" t="s">
        <v>138</v>
      </c>
      <c r="G215" s="222">
        <f t="shared" si="11"/>
        <v>7.0058823529411764E-8</v>
      </c>
      <c r="H215" s="247">
        <f t="shared" si="12"/>
        <v>3.068576470588235E-7</v>
      </c>
      <c r="J215" s="786"/>
      <c r="K215" s="786"/>
      <c r="M215" s="64" t="s">
        <v>176</v>
      </c>
    </row>
    <row r="216" spans="1:13" ht="15" customHeight="1">
      <c r="A216" s="58"/>
      <c r="B216" s="148" t="s">
        <v>484</v>
      </c>
      <c r="C216" s="617" t="s">
        <v>95</v>
      </c>
      <c r="D216" s="617" t="s">
        <v>96</v>
      </c>
      <c r="E216" s="230">
        <v>5.0000000000000001E-4</v>
      </c>
      <c r="F216" s="66" t="s">
        <v>138</v>
      </c>
      <c r="G216" s="222">
        <f t="shared" si="11"/>
        <v>1.9460784313725494E-5</v>
      </c>
      <c r="H216" s="247">
        <f t="shared" si="12"/>
        <v>8.5238235294117645E-5</v>
      </c>
      <c r="J216" s="786"/>
      <c r="K216" s="786"/>
      <c r="M216" s="64"/>
    </row>
    <row r="217" spans="1:13">
      <c r="A217" s="58"/>
      <c r="B217" s="148" t="s">
        <v>485</v>
      </c>
      <c r="C217" s="616" t="s">
        <v>95</v>
      </c>
      <c r="D217" s="616" t="s">
        <v>95</v>
      </c>
      <c r="E217" s="230">
        <v>3.8000000000000002E-4</v>
      </c>
      <c r="F217" s="66" t="s">
        <v>138</v>
      </c>
      <c r="G217" s="222">
        <f t="shared" si="11"/>
        <v>1.4790196078431375E-5</v>
      </c>
      <c r="H217" s="247">
        <f t="shared" si="12"/>
        <v>6.4781058823529423E-5</v>
      </c>
      <c r="J217" s="786"/>
      <c r="K217" s="786"/>
      <c r="M217" s="64"/>
    </row>
    <row r="218" spans="1:13">
      <c r="A218" s="58"/>
      <c r="B218" s="229" t="s">
        <v>155</v>
      </c>
      <c r="C218" s="617" t="s">
        <v>95</v>
      </c>
      <c r="D218" s="617" t="s">
        <v>95</v>
      </c>
      <c r="E218" s="230">
        <v>2.5999999999999998E-4</v>
      </c>
      <c r="F218" s="66" t="s">
        <v>138</v>
      </c>
      <c r="G218" s="222">
        <f t="shared" si="11"/>
        <v>1.0119607843137254E-5</v>
      </c>
      <c r="H218" s="247">
        <f t="shared" si="12"/>
        <v>4.4323882352941168E-5</v>
      </c>
      <c r="J218" s="786"/>
      <c r="K218" s="786"/>
      <c r="M218" s="64"/>
    </row>
    <row r="219" spans="1:13">
      <c r="A219" s="58"/>
      <c r="B219" s="229" t="s">
        <v>64</v>
      </c>
      <c r="C219" s="617" t="s">
        <v>95</v>
      </c>
      <c r="D219" s="617" t="s">
        <v>96</v>
      </c>
      <c r="E219" s="230">
        <v>6.0999999999999997E-4</v>
      </c>
      <c r="F219" s="66" t="s">
        <v>138</v>
      </c>
      <c r="G219" s="222">
        <f t="shared" si="11"/>
        <v>2.3742156862745101E-5</v>
      </c>
      <c r="H219" s="247">
        <f t="shared" si="12"/>
        <v>1.0399064705882353E-4</v>
      </c>
      <c r="J219" s="786"/>
      <c r="K219" s="786"/>
      <c r="M219" s="64" t="s">
        <v>176</v>
      </c>
    </row>
    <row r="220" spans="1:13">
      <c r="A220" s="58"/>
      <c r="B220" s="229" t="s">
        <v>156</v>
      </c>
      <c r="C220" s="617" t="s">
        <v>95</v>
      </c>
      <c r="D220" s="617" t="s">
        <v>95</v>
      </c>
      <c r="E220" s="230">
        <v>2.0999999999999999E-3</v>
      </c>
      <c r="F220" s="66" t="s">
        <v>138</v>
      </c>
      <c r="G220" s="222">
        <f t="shared" si="11"/>
        <v>8.1735294117647056E-5</v>
      </c>
      <c r="H220" s="247">
        <f t="shared" si="12"/>
        <v>3.5800058823529411E-4</v>
      </c>
      <c r="J220" s="786"/>
      <c r="K220" s="786"/>
      <c r="M220" s="64"/>
    </row>
    <row r="221" spans="1:13">
      <c r="A221" s="58"/>
      <c r="B221" s="229" t="s">
        <v>157</v>
      </c>
      <c r="C221" s="617" t="s">
        <v>95</v>
      </c>
      <c r="D221" s="617" t="s">
        <v>96</v>
      </c>
      <c r="E221" s="230">
        <v>1.7E-5</v>
      </c>
      <c r="F221" s="66" t="s">
        <v>138</v>
      </c>
      <c r="G221" s="222">
        <f t="shared" si="11"/>
        <v>6.6166666666666675E-7</v>
      </c>
      <c r="H221" s="247">
        <f t="shared" si="12"/>
        <v>2.8981000000000003E-6</v>
      </c>
      <c r="J221" s="786"/>
      <c r="K221" s="786"/>
      <c r="M221" s="64" t="s">
        <v>176</v>
      </c>
    </row>
    <row r="222" spans="1:13">
      <c r="A222" s="58"/>
      <c r="B222" s="229" t="s">
        <v>158</v>
      </c>
      <c r="C222" s="617" t="s">
        <v>95</v>
      </c>
      <c r="D222" s="617" t="s">
        <v>96</v>
      </c>
      <c r="E222" s="230">
        <v>5.0000000000000004E-6</v>
      </c>
      <c r="F222" s="66" t="s">
        <v>138</v>
      </c>
      <c r="G222" s="222">
        <f t="shared" si="11"/>
        <v>1.9460784313725492E-7</v>
      </c>
      <c r="H222" s="247">
        <f t="shared" si="12"/>
        <v>8.5238235294117666E-7</v>
      </c>
      <c r="J222" s="786"/>
      <c r="K222" s="786"/>
      <c r="M222" s="64" t="s">
        <v>176</v>
      </c>
    </row>
    <row r="223" spans="1:13">
      <c r="A223" s="58"/>
      <c r="B223" s="608" t="s">
        <v>478</v>
      </c>
      <c r="C223" s="617" t="s">
        <v>95</v>
      </c>
      <c r="D223" s="617" t="s">
        <v>96</v>
      </c>
      <c r="E223" s="230">
        <v>2.4000000000000001E-5</v>
      </c>
      <c r="F223" s="66" t="s">
        <v>138</v>
      </c>
      <c r="G223" s="222">
        <f t="shared" si="11"/>
        <v>9.3411764705882362E-7</v>
      </c>
      <c r="H223" s="247">
        <f t="shared" si="12"/>
        <v>4.0914352941176476E-6</v>
      </c>
      <c r="J223" s="786"/>
      <c r="K223" s="786"/>
      <c r="M223" s="64"/>
    </row>
    <row r="224" spans="1:13" ht="14.4" thickBot="1">
      <c r="A224" s="58"/>
      <c r="B224" s="250" t="s">
        <v>21</v>
      </c>
      <c r="C224" s="260" t="s">
        <v>95</v>
      </c>
      <c r="D224" s="260" t="s">
        <v>95</v>
      </c>
      <c r="E224" s="251">
        <v>3.3999999999999998E-3</v>
      </c>
      <c r="F224" s="252" t="s">
        <v>138</v>
      </c>
      <c r="G224" s="253">
        <f t="shared" si="11"/>
        <v>1.3233333333333332E-4</v>
      </c>
      <c r="H224" s="254">
        <f t="shared" si="12"/>
        <v>5.7961999999999998E-4</v>
      </c>
      <c r="J224" s="786"/>
      <c r="K224" s="786"/>
      <c r="M224" s="64"/>
    </row>
    <row r="225" spans="1:13" ht="14.4" thickTop="1">
      <c r="A225" s="58"/>
      <c r="B225" s="627"/>
      <c r="C225" s="628"/>
      <c r="D225" s="628"/>
      <c r="E225" s="628"/>
      <c r="F225" s="629" t="s">
        <v>97</v>
      </c>
      <c r="G225" s="806">
        <f>SUMIF($C$188:$C$224,"Y",G188:G224)</f>
        <v>7.0582637784313715E-2</v>
      </c>
      <c r="H225" s="807">
        <f>SUMIF($C$188:$C$224,"Y",H188:H224)</f>
        <v>0.30915195349529417</v>
      </c>
      <c r="I225" s="275"/>
      <c r="M225" s="64"/>
    </row>
    <row r="226" spans="1:13" ht="14.4" thickBot="1">
      <c r="A226" s="58"/>
      <c r="B226" s="255"/>
      <c r="C226" s="256"/>
      <c r="D226" s="256"/>
      <c r="E226" s="256"/>
      <c r="F226" s="257" t="s">
        <v>486</v>
      </c>
      <c r="G226" s="553">
        <f>SUMIF($D$188:$D$224,"Y",G188:G224)</f>
        <v>0.19502637454901964</v>
      </c>
      <c r="H226" s="276">
        <f>SUMIF($D$188:$D$224,"Y",H188:H224)</f>
        <v>0.85421552052470628</v>
      </c>
      <c r="I226" s="275"/>
      <c r="M226" s="64"/>
    </row>
    <row r="227" spans="1:13" ht="14.4" thickTop="1">
      <c r="A227" s="1393" t="s">
        <v>288</v>
      </c>
      <c r="B227" s="1393"/>
      <c r="C227" s="205"/>
      <c r="D227" s="262"/>
      <c r="E227" s="262"/>
      <c r="F227" s="262"/>
      <c r="G227" s="262"/>
      <c r="H227" s="262"/>
      <c r="I227" s="262"/>
    </row>
    <row r="228" spans="1:13" ht="45" customHeight="1">
      <c r="A228" s="208" t="s">
        <v>100</v>
      </c>
      <c r="B228" s="1400" t="s">
        <v>628</v>
      </c>
      <c r="C228" s="1400"/>
      <c r="D228" s="1400"/>
      <c r="E228" s="1400"/>
      <c r="F228" s="1400"/>
      <c r="G228" s="1400"/>
      <c r="H228" s="1400"/>
      <c r="I228" s="1400"/>
    </row>
    <row r="229" spans="1:13">
      <c r="A229" s="208"/>
      <c r="B229" s="209"/>
      <c r="C229" s="266"/>
      <c r="D229" s="266"/>
      <c r="E229" s="267"/>
      <c r="F229" s="267"/>
      <c r="G229" s="262"/>
      <c r="H229" s="262"/>
      <c r="I229" s="262"/>
    </row>
    <row r="230" spans="1:13">
      <c r="A230" s="1393" t="s">
        <v>301</v>
      </c>
      <c r="B230" s="1393"/>
      <c r="C230" s="205"/>
      <c r="D230" s="262"/>
      <c r="E230" s="262"/>
      <c r="F230" s="262"/>
      <c r="G230" s="262"/>
      <c r="H230" s="262"/>
      <c r="I230" s="262"/>
    </row>
    <row r="231" spans="1:13">
      <c r="A231" s="268"/>
      <c r="B231" s="269" t="s">
        <v>303</v>
      </c>
      <c r="C231" s="5"/>
      <c r="D231" s="206" t="s">
        <v>304</v>
      </c>
      <c r="E231" s="262"/>
      <c r="F231" s="262"/>
      <c r="G231" s="262"/>
      <c r="H231" s="262"/>
      <c r="I231" s="262"/>
    </row>
    <row r="232" spans="1:13">
      <c r="A232" s="268"/>
      <c r="B232" s="269" t="s">
        <v>165</v>
      </c>
      <c r="C232" s="5"/>
      <c r="D232" s="270" t="s">
        <v>305</v>
      </c>
      <c r="E232" s="262"/>
      <c r="F232" s="262"/>
      <c r="G232" s="262"/>
      <c r="H232" s="262"/>
      <c r="I232" s="262"/>
    </row>
    <row r="233" spans="1:13">
      <c r="A233" s="268"/>
      <c r="B233" s="269" t="s">
        <v>306</v>
      </c>
      <c r="C233" s="5"/>
      <c r="D233" s="206" t="s">
        <v>624</v>
      </c>
      <c r="E233" s="262"/>
      <c r="F233" s="262"/>
      <c r="G233" s="262"/>
      <c r="H233" s="262"/>
      <c r="I233" s="262"/>
    </row>
    <row r="234" spans="1:13">
      <c r="A234" s="268"/>
      <c r="B234" s="270" t="s">
        <v>307</v>
      </c>
      <c r="C234" s="5"/>
      <c r="D234" s="271" t="s">
        <v>166</v>
      </c>
      <c r="E234" s="262"/>
      <c r="F234" s="262"/>
      <c r="G234" s="262"/>
      <c r="H234" s="262"/>
      <c r="I234" s="262"/>
    </row>
    <row r="235" spans="1:13">
      <c r="A235" s="268"/>
      <c r="B235" s="272" t="s">
        <v>308</v>
      </c>
      <c r="C235" s="5"/>
      <c r="D235" s="206" t="s">
        <v>309</v>
      </c>
      <c r="E235" s="262"/>
      <c r="F235" s="262"/>
      <c r="G235" s="262"/>
      <c r="H235" s="262"/>
      <c r="I235" s="262"/>
    </row>
    <row r="236" spans="1:13">
      <c r="A236" s="268"/>
      <c r="B236" s="271" t="s">
        <v>102</v>
      </c>
      <c r="C236" s="5"/>
      <c r="D236" s="272" t="s">
        <v>310</v>
      </c>
      <c r="E236" s="262"/>
      <c r="F236" s="262"/>
      <c r="G236" s="262"/>
      <c r="H236" s="262"/>
      <c r="I236" s="262"/>
    </row>
    <row r="237" spans="1:13">
      <c r="A237" s="268"/>
      <c r="B237" s="271" t="s">
        <v>104</v>
      </c>
      <c r="C237" s="5"/>
      <c r="D237" s="271" t="s">
        <v>168</v>
      </c>
      <c r="E237" s="262"/>
      <c r="F237" s="262"/>
      <c r="G237" s="262"/>
      <c r="H237" s="262"/>
      <c r="I237" s="262"/>
    </row>
    <row r="238" spans="1:13">
      <c r="A238" s="273"/>
      <c r="B238" s="270" t="s">
        <v>169</v>
      </c>
      <c r="C238" s="5"/>
      <c r="D238" s="206" t="s">
        <v>311</v>
      </c>
      <c r="E238" s="262"/>
      <c r="F238" s="262"/>
      <c r="G238" s="262"/>
      <c r="H238" s="262"/>
      <c r="I238" s="262"/>
    </row>
    <row r="239" spans="1:13">
      <c r="A239" s="273"/>
      <c r="B239" s="271" t="s">
        <v>106</v>
      </c>
      <c r="C239" s="5"/>
      <c r="D239" s="271" t="s">
        <v>105</v>
      </c>
      <c r="E239" s="262"/>
      <c r="F239" s="262"/>
      <c r="G239" s="262"/>
      <c r="H239" s="262"/>
      <c r="I239" s="262"/>
    </row>
    <row r="240" spans="1:13">
      <c r="A240" s="273"/>
      <c r="B240" s="271" t="s">
        <v>312</v>
      </c>
      <c r="C240" s="5"/>
      <c r="D240" s="271" t="s">
        <v>107</v>
      </c>
      <c r="E240" s="262"/>
      <c r="F240" s="262"/>
      <c r="G240" s="262"/>
      <c r="H240" s="262"/>
      <c r="I240" s="262"/>
    </row>
    <row r="241" spans="1:9">
      <c r="A241" s="273"/>
      <c r="B241" s="271" t="s">
        <v>170</v>
      </c>
      <c r="C241" s="5"/>
      <c r="D241" s="271" t="s">
        <v>171</v>
      </c>
      <c r="E241" s="262"/>
      <c r="F241" s="262"/>
      <c r="G241" s="262"/>
      <c r="H241" s="262"/>
      <c r="I241" s="262"/>
    </row>
    <row r="242" spans="1:9">
      <c r="A242" s="273"/>
      <c r="B242" s="262" t="s">
        <v>302</v>
      </c>
      <c r="C242" s="5"/>
      <c r="D242" s="270" t="s">
        <v>109</v>
      </c>
      <c r="E242" s="262"/>
      <c r="F242" s="262"/>
      <c r="G242" s="262"/>
      <c r="H242" s="262"/>
      <c r="I242" s="262"/>
    </row>
    <row r="243" spans="1:9">
      <c r="A243" s="273"/>
      <c r="B243" s="5"/>
      <c r="C243" s="262"/>
      <c r="D243" s="5"/>
      <c r="E243" s="262"/>
      <c r="F243" s="262"/>
      <c r="G243" s="262"/>
      <c r="H243" s="262"/>
      <c r="I243" s="262"/>
    </row>
    <row r="244" spans="1:9">
      <c r="A244" s="274" t="s">
        <v>313</v>
      </c>
      <c r="B244" s="268"/>
      <c r="C244" s="19"/>
      <c r="D244" s="5"/>
      <c r="E244" s="5"/>
      <c r="F244" s="5"/>
      <c r="G244" s="5"/>
      <c r="H244" s="5"/>
      <c r="I244" s="5"/>
    </row>
    <row r="245" spans="1:9">
      <c r="A245" s="274"/>
      <c r="B245" s="205" t="s">
        <v>314</v>
      </c>
      <c r="C245" s="19"/>
      <c r="D245" s="5"/>
      <c r="E245" s="5"/>
      <c r="F245" s="5"/>
      <c r="G245" s="5"/>
      <c r="H245" s="5"/>
      <c r="I245" s="5"/>
    </row>
    <row r="246" spans="1:9">
      <c r="A246" s="19"/>
      <c r="B246" s="205" t="s">
        <v>315</v>
      </c>
      <c r="C246" s="173"/>
      <c r="D246" s="173"/>
      <c r="E246" s="169"/>
      <c r="F246" s="169"/>
      <c r="G246" s="5"/>
      <c r="H246" s="5"/>
      <c r="I246" s="5"/>
    </row>
    <row r="250" spans="1:9">
      <c r="A250" s="19" t="s">
        <v>77</v>
      </c>
      <c r="B250" s="5"/>
      <c r="C250" s="20"/>
      <c r="D250" s="5"/>
    </row>
    <row r="251" spans="1:9">
      <c r="A251" s="18"/>
      <c r="B251" s="5">
        <v>2.2046199999999998</v>
      </c>
      <c r="C251" s="5" t="s">
        <v>178</v>
      </c>
      <c r="D251" s="5"/>
    </row>
    <row r="252" spans="1:9">
      <c r="A252" s="18"/>
      <c r="B252" s="465">
        <v>95</v>
      </c>
      <c r="C252" s="5" t="s">
        <v>317</v>
      </c>
      <c r="D252" s="5"/>
    </row>
    <row r="253" spans="1:9">
      <c r="A253" s="18"/>
      <c r="B253" s="466">
        <v>90</v>
      </c>
      <c r="C253" s="5" t="s">
        <v>318</v>
      </c>
      <c r="D253" s="5"/>
    </row>
    <row r="254" spans="1:9">
      <c r="A254" s="18"/>
      <c r="B254" s="467">
        <v>95</v>
      </c>
      <c r="C254" s="277" t="s">
        <v>319</v>
      </c>
      <c r="D254" s="5"/>
    </row>
  </sheetData>
  <mergeCells count="39">
    <mergeCell ref="C118:C119"/>
    <mergeCell ref="D118:D119"/>
    <mergeCell ref="F118:F119"/>
    <mergeCell ref="B89:B90"/>
    <mergeCell ref="D89:D90"/>
    <mergeCell ref="D110:D111"/>
    <mergeCell ref="E110:F110"/>
    <mergeCell ref="A114:B114"/>
    <mergeCell ref="B115:I115"/>
    <mergeCell ref="B118:B119"/>
    <mergeCell ref="E118:E119"/>
    <mergeCell ref="G118:G119"/>
    <mergeCell ref="A175:B175"/>
    <mergeCell ref="B1:J1"/>
    <mergeCell ref="B2:J2"/>
    <mergeCell ref="B3:J3"/>
    <mergeCell ref="C89:C90"/>
    <mergeCell ref="E89:F89"/>
    <mergeCell ref="B18:B19"/>
    <mergeCell ref="C18:D18"/>
    <mergeCell ref="B86:H86"/>
    <mergeCell ref="B101:I101"/>
    <mergeCell ref="H118:I118"/>
    <mergeCell ref="A97:B97"/>
    <mergeCell ref="B98:I98"/>
    <mergeCell ref="B100:I100"/>
    <mergeCell ref="B110:B111"/>
    <mergeCell ref="C110:C111"/>
    <mergeCell ref="G185:H185"/>
    <mergeCell ref="B228:I228"/>
    <mergeCell ref="B178:I178"/>
    <mergeCell ref="B180:I180"/>
    <mergeCell ref="C185:C186"/>
    <mergeCell ref="D185:D186"/>
    <mergeCell ref="A230:B230"/>
    <mergeCell ref="A227:B227"/>
    <mergeCell ref="B185:B186"/>
    <mergeCell ref="E185:E186"/>
    <mergeCell ref="F185:F186"/>
  </mergeCells>
  <phoneticPr fontId="72" type="noConversion"/>
  <pageMargins left="0.25" right="0.25" top="0.75" bottom="0.75" header="0.3" footer="0.3"/>
  <pageSetup scale="68" orientation="portrait" r:id="rId1"/>
  <headerFooter>
    <oddFooter>&amp;CPage &amp;P of &amp;N</oddFooter>
  </headerFooter>
  <rowBreaks count="2" manualBreakCount="2">
    <brk id="115" max="8" man="1"/>
    <brk id="18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6851-E631-4B03-8335-E2E8C7C8EDAC}">
  <dimension ref="A1:L136"/>
  <sheetViews>
    <sheetView workbookViewId="0">
      <selection activeCell="J112" sqref="J112"/>
    </sheetView>
  </sheetViews>
  <sheetFormatPr defaultColWidth="9.109375" defaultRowHeight="11.4"/>
  <cols>
    <col min="1" max="1" width="2.6640625" style="19" customWidth="1"/>
    <col min="2" max="2" width="37.109375" style="19" customWidth="1"/>
    <col min="3" max="4" width="12.6640625" style="19" customWidth="1"/>
    <col min="5" max="6" width="11.88671875" style="19" customWidth="1"/>
    <col min="7" max="7" width="9.33203125" style="19" bestFit="1" customWidth="1"/>
    <col min="8" max="8" width="10.44140625" style="19" customWidth="1"/>
    <col min="9" max="9" width="9.109375" style="19"/>
    <col min="10" max="10" width="9.6640625" style="19" bestFit="1" customWidth="1"/>
    <col min="11" max="11" width="26.109375" style="19" bestFit="1" customWidth="1"/>
    <col min="12" max="12" width="10.33203125" style="19" bestFit="1" customWidth="1"/>
    <col min="13" max="16384" width="9.109375" style="19"/>
  </cols>
  <sheetData>
    <row r="1" spans="2:10" ht="15" customHeight="1">
      <c r="B1" s="1437" t="s">
        <v>441</v>
      </c>
      <c r="C1" s="1437"/>
      <c r="D1" s="1437"/>
      <c r="E1" s="1437"/>
      <c r="F1" s="1437"/>
      <c r="G1" s="1437"/>
      <c r="H1" s="1437"/>
      <c r="I1" s="1437"/>
      <c r="J1" s="1437"/>
    </row>
    <row r="2" spans="2:10" ht="15" customHeight="1">
      <c r="B2" s="1438" t="s">
        <v>542</v>
      </c>
      <c r="C2" s="1438"/>
      <c r="D2" s="1438"/>
      <c r="E2" s="1438"/>
      <c r="F2" s="1438"/>
      <c r="G2" s="1438"/>
      <c r="H2" s="1438"/>
      <c r="I2" s="1438"/>
      <c r="J2" s="1438"/>
    </row>
    <row r="3" spans="2:10" ht="15" customHeight="1">
      <c r="B3" s="1438" t="str">
        <f>'3a-RTO - Dryer GHM DHM'!B3:J3</f>
        <v>Enviva Pellets Ahoskie, LLC</v>
      </c>
      <c r="C3" s="1438"/>
      <c r="D3" s="1438"/>
      <c r="E3" s="1438"/>
      <c r="F3" s="1438"/>
      <c r="G3" s="1438"/>
      <c r="H3" s="1438"/>
      <c r="I3" s="1438"/>
      <c r="J3" s="1438"/>
    </row>
    <row r="4" spans="2:10" ht="15" customHeight="1" thickBot="1">
      <c r="B4" s="7" t="s">
        <v>90</v>
      </c>
      <c r="C4" s="8"/>
      <c r="D4" s="8"/>
      <c r="E4" s="8"/>
      <c r="F4" s="8"/>
    </row>
    <row r="5" spans="2:10" ht="15" customHeight="1" thickTop="1">
      <c r="B5" s="9" t="s">
        <v>329</v>
      </c>
      <c r="C5" s="717">
        <f>'3a-RTO - Dryer GHM DHM'!C8*0.15</f>
        <v>26.295000000000002</v>
      </c>
      <c r="D5" s="10" t="s">
        <v>29</v>
      </c>
      <c r="E5" s="636"/>
      <c r="F5" s="424"/>
      <c r="G5" s="636"/>
      <c r="H5" s="637"/>
    </row>
    <row r="6" spans="2:10" ht="15" customHeight="1">
      <c r="B6" s="309" t="s">
        <v>330</v>
      </c>
      <c r="C6" s="15">
        <f>C5*C7</f>
        <v>1314.75</v>
      </c>
      <c r="D6" s="16" t="s">
        <v>79</v>
      </c>
      <c r="E6" s="17"/>
      <c r="F6" s="17"/>
      <c r="G6" s="17"/>
      <c r="H6" s="17"/>
    </row>
    <row r="7" spans="2:10" ht="15" customHeight="1" thickBot="1">
      <c r="B7" s="185" t="s">
        <v>43</v>
      </c>
      <c r="C7" s="278">
        <v>50</v>
      </c>
      <c r="D7" s="68" t="s">
        <v>30</v>
      </c>
      <c r="E7" s="17"/>
      <c r="F7" s="17"/>
      <c r="G7" s="17"/>
      <c r="H7" s="17"/>
    </row>
    <row r="8" spans="2:10" ht="11.25" customHeight="1" thickTop="1">
      <c r="C8" s="59"/>
      <c r="D8" s="59"/>
      <c r="E8" s="59"/>
      <c r="F8" s="59"/>
      <c r="G8" s="59"/>
    </row>
    <row r="9" spans="2:10" ht="11.25" customHeight="1">
      <c r="C9" s="59"/>
      <c r="D9" s="59"/>
      <c r="E9" s="59"/>
      <c r="F9" s="59"/>
      <c r="G9" s="59"/>
    </row>
    <row r="10" spans="2:10" ht="11.25" customHeight="1" thickBot="1">
      <c r="B10" s="199" t="s">
        <v>433</v>
      </c>
      <c r="C10" s="59"/>
      <c r="D10" s="59"/>
      <c r="E10" s="59"/>
      <c r="F10" s="59"/>
      <c r="G10" s="59"/>
    </row>
    <row r="11" spans="2:10" ht="42" customHeight="1" thickTop="1">
      <c r="B11" s="1420" t="s">
        <v>22</v>
      </c>
      <c r="C11" s="1381" t="s">
        <v>37</v>
      </c>
      <c r="D11" s="1381" t="s">
        <v>31</v>
      </c>
      <c r="E11" s="1398" t="s">
        <v>94</v>
      </c>
      <c r="F11" s="1399"/>
      <c r="G11" s="59"/>
    </row>
    <row r="12" spans="2:10" ht="15.75" customHeight="1" thickBot="1">
      <c r="B12" s="1421"/>
      <c r="C12" s="1382"/>
      <c r="D12" s="1382"/>
      <c r="E12" s="539" t="s">
        <v>23</v>
      </c>
      <c r="F12" s="638" t="s">
        <v>8</v>
      </c>
      <c r="G12" s="59"/>
    </row>
    <row r="13" spans="2:10" ht="15" customHeight="1" thickTop="1">
      <c r="B13" s="179" t="s">
        <v>2</v>
      </c>
      <c r="C13" s="143">
        <v>0.6</v>
      </c>
      <c r="D13" s="36" t="s">
        <v>113</v>
      </c>
      <c r="E13" s="121">
        <f>C13*$C$5</f>
        <v>15.777000000000001</v>
      </c>
      <c r="F13" s="147">
        <f>C13*$C$6/2000</f>
        <v>0.39442500000000003</v>
      </c>
      <c r="G13" s="59"/>
    </row>
    <row r="14" spans="2:10" ht="15" customHeight="1">
      <c r="B14" s="180" t="s">
        <v>114</v>
      </c>
      <c r="C14" s="120">
        <v>0.22</v>
      </c>
      <c r="D14" s="36" t="s">
        <v>113</v>
      </c>
      <c r="E14" s="120">
        <f t="shared" ref="E14:E19" si="0">C14*$C$5</f>
        <v>5.7849000000000004</v>
      </c>
      <c r="F14" s="147">
        <f t="shared" ref="F14:F19" si="1">C14*$C$6/2000</f>
        <v>0.14462250000000001</v>
      </c>
      <c r="G14" s="59"/>
    </row>
    <row r="15" spans="2:10" ht="15" customHeight="1">
      <c r="B15" s="180" t="s">
        <v>115</v>
      </c>
      <c r="C15" s="123">
        <v>2.5000000000000001E-2</v>
      </c>
      <c r="D15" s="36" t="s">
        <v>113</v>
      </c>
      <c r="E15" s="120">
        <f t="shared" si="0"/>
        <v>0.65737500000000004</v>
      </c>
      <c r="F15" s="232">
        <f t="shared" si="1"/>
        <v>1.6434374999999998E-2</v>
      </c>
      <c r="G15" s="59"/>
    </row>
    <row r="16" spans="2:10" ht="15" customHeight="1">
      <c r="B16" s="180" t="s">
        <v>3</v>
      </c>
      <c r="C16" s="123">
        <v>1.7000000000000001E-2</v>
      </c>
      <c r="D16" s="36" t="s">
        <v>113</v>
      </c>
      <c r="E16" s="120">
        <f t="shared" si="0"/>
        <v>0.44701500000000005</v>
      </c>
      <c r="F16" s="232">
        <f t="shared" si="1"/>
        <v>1.1175375000000001E-2</v>
      </c>
      <c r="G16" s="59"/>
    </row>
    <row r="17" spans="1:12" ht="15" customHeight="1">
      <c r="B17" s="148" t="s">
        <v>76</v>
      </c>
      <c r="C17" s="249">
        <f>0.56+0.017</f>
        <v>0.57700000000000007</v>
      </c>
      <c r="D17" s="36" t="s">
        <v>113</v>
      </c>
      <c r="E17" s="121">
        <f t="shared" si="0"/>
        <v>15.172215000000003</v>
      </c>
      <c r="F17" s="147">
        <f t="shared" si="1"/>
        <v>0.379305375</v>
      </c>
      <c r="G17" s="59"/>
    </row>
    <row r="18" spans="1:12" ht="15" customHeight="1">
      <c r="B18" s="148" t="s">
        <v>331</v>
      </c>
      <c r="C18" s="249">
        <f>0.5+0.017</f>
        <v>0.51700000000000002</v>
      </c>
      <c r="D18" s="36" t="s">
        <v>113</v>
      </c>
      <c r="E18" s="121">
        <f t="shared" si="0"/>
        <v>13.594515000000001</v>
      </c>
      <c r="F18" s="147">
        <f t="shared" si="1"/>
        <v>0.33986287500000001</v>
      </c>
      <c r="G18" s="59"/>
    </row>
    <row r="19" spans="1:12" ht="15" customHeight="1">
      <c r="B19" s="148" t="s">
        <v>332</v>
      </c>
      <c r="C19" s="249">
        <f>0.43+0.017</f>
        <v>0.44700000000000001</v>
      </c>
      <c r="D19" s="36" t="s">
        <v>113</v>
      </c>
      <c r="E19" s="121">
        <f t="shared" si="0"/>
        <v>11.753865000000001</v>
      </c>
      <c r="F19" s="147">
        <f t="shared" si="1"/>
        <v>0.29384662500000003</v>
      </c>
      <c r="G19" s="59"/>
    </row>
    <row r="20" spans="1:12" ht="15" customHeight="1">
      <c r="B20" s="148" t="s">
        <v>117</v>
      </c>
      <c r="C20" s="453">
        <v>93.8</v>
      </c>
      <c r="D20" s="36" t="s">
        <v>667</v>
      </c>
      <c r="E20" s="165">
        <f>C20*$B$114*$C$5</f>
        <v>5437.6312960200003</v>
      </c>
      <c r="F20" s="312">
        <f>C20*$B$114*($C$6)/2000</f>
        <v>135.94078240050001</v>
      </c>
    </row>
    <row r="21" spans="1:12" ht="15" customHeight="1">
      <c r="B21" s="148" t="s">
        <v>118</v>
      </c>
      <c r="C21" s="454">
        <v>7.1999999999999998E-3</v>
      </c>
      <c r="D21" s="36" t="s">
        <v>667</v>
      </c>
      <c r="E21" s="120">
        <f>C21*$B$114*$C$5</f>
        <v>0.41738747688</v>
      </c>
      <c r="F21" s="232">
        <f>C21*$B$114*$C$6/2000</f>
        <v>1.0434686921999999E-2</v>
      </c>
    </row>
    <row r="22" spans="1:12" ht="15" customHeight="1">
      <c r="B22" s="148" t="s">
        <v>119</v>
      </c>
      <c r="C22" s="454">
        <v>3.5999999999999999E-3</v>
      </c>
      <c r="D22" s="36" t="s">
        <v>667</v>
      </c>
      <c r="E22" s="120">
        <f>C22*$B$114*$C$5</f>
        <v>0.20869373844</v>
      </c>
      <c r="F22" s="555">
        <f>C22*$B$114*$C$6/2000</f>
        <v>5.2173434609999996E-3</v>
      </c>
    </row>
    <row r="23" spans="1:12" s="58" customFormat="1" ht="15" customHeight="1" thickBot="1">
      <c r="B23" s="1433" t="s">
        <v>333</v>
      </c>
      <c r="C23" s="1434"/>
      <c r="D23" s="1435"/>
      <c r="E23" s="313">
        <f>E20+E21*$C$122+E22*$C$123</f>
        <v>5510.2567169971198</v>
      </c>
      <c r="F23" s="314">
        <f>F20+F21*$C$122+F22*$C$123</f>
        <v>137.756417924928</v>
      </c>
    </row>
    <row r="24" spans="1:12" ht="12" thickTop="1">
      <c r="A24" s="1393" t="s">
        <v>288</v>
      </c>
      <c r="B24" s="1393"/>
      <c r="C24" s="205"/>
      <c r="D24" s="205"/>
      <c r="E24" s="205"/>
      <c r="F24" s="205"/>
      <c r="G24" s="205"/>
      <c r="H24" s="205"/>
      <c r="I24" s="205"/>
      <c r="J24" s="205"/>
    </row>
    <row r="25" spans="1:12" ht="27" customHeight="1">
      <c r="A25" s="264" t="s">
        <v>100</v>
      </c>
      <c r="B25" s="1436" t="s">
        <v>334</v>
      </c>
      <c r="C25" s="1436"/>
      <c r="D25" s="1436"/>
      <c r="E25" s="1436"/>
      <c r="F25" s="1436"/>
      <c r="G25" s="1436"/>
      <c r="H25" s="1436"/>
      <c r="I25" s="1436"/>
      <c r="J25" s="1436"/>
    </row>
    <row r="26" spans="1:12" ht="11.25" customHeight="1">
      <c r="A26" s="264" t="s">
        <v>159</v>
      </c>
      <c r="B26" s="600" t="s">
        <v>335</v>
      </c>
      <c r="C26" s="506"/>
      <c r="D26" s="506"/>
      <c r="E26" s="506"/>
      <c r="F26" s="506"/>
      <c r="G26" s="506"/>
      <c r="H26" s="506"/>
      <c r="I26" s="506"/>
      <c r="J26" s="506"/>
    </row>
    <row r="28" spans="1:12" ht="12" thickBot="1">
      <c r="B28" s="31" t="s">
        <v>434</v>
      </c>
      <c r="D28" s="43"/>
    </row>
    <row r="29" spans="1:12" ht="23.25" customHeight="1" thickTop="1">
      <c r="B29" s="1425" t="s">
        <v>22</v>
      </c>
      <c r="C29" s="1428" t="s">
        <v>36</v>
      </c>
      <c r="D29" s="1430" t="s">
        <v>390</v>
      </c>
      <c r="E29" s="1381" t="s">
        <v>93</v>
      </c>
      <c r="F29" s="1418" t="s">
        <v>31</v>
      </c>
      <c r="G29" s="1398" t="s">
        <v>94</v>
      </c>
      <c r="H29" s="1399"/>
    </row>
    <row r="30" spans="1:12" ht="15.75" customHeight="1" thickBot="1">
      <c r="B30" s="1426"/>
      <c r="C30" s="1429"/>
      <c r="D30" s="1431"/>
      <c r="E30" s="1382"/>
      <c r="F30" s="1419"/>
      <c r="G30" s="239" t="s">
        <v>23</v>
      </c>
      <c r="H30" s="240" t="s">
        <v>8</v>
      </c>
    </row>
    <row r="31" spans="1:12" ht="15" customHeight="1" thickTop="1">
      <c r="B31" s="639" t="s">
        <v>11</v>
      </c>
      <c r="C31" s="621" t="s">
        <v>95</v>
      </c>
      <c r="D31" s="621" t="s">
        <v>95</v>
      </c>
      <c r="E31" s="222">
        <v>8.3000000000000001E-4</v>
      </c>
      <c r="F31" s="223" t="s">
        <v>34</v>
      </c>
      <c r="G31" s="222">
        <f t="shared" ref="G31:G62" si="2">$E31*$C$5*(1-$B$117)</f>
        <v>2.1824850000000003E-2</v>
      </c>
      <c r="H31" s="247">
        <f t="shared" ref="H31:H62" si="3">$E31*$C$6/2000</f>
        <v>5.4562125000000002E-4</v>
      </c>
      <c r="I31" s="372"/>
      <c r="J31" s="59"/>
      <c r="K31" s="451"/>
      <c r="L31" s="5"/>
    </row>
    <row r="32" spans="1:12" ht="15" customHeight="1">
      <c r="B32" s="35" t="s">
        <v>12</v>
      </c>
      <c r="C32" s="622" t="s">
        <v>95</v>
      </c>
      <c r="D32" s="622" t="s">
        <v>95</v>
      </c>
      <c r="E32" s="227">
        <v>4.0000000000000001E-3</v>
      </c>
      <c r="F32" s="65" t="s">
        <v>34</v>
      </c>
      <c r="G32" s="227">
        <f t="shared" si="2"/>
        <v>0.10518000000000001</v>
      </c>
      <c r="H32" s="228">
        <f t="shared" si="3"/>
        <v>2.6295000000000003E-3</v>
      </c>
      <c r="I32" s="372"/>
      <c r="J32" s="59"/>
      <c r="K32" s="758"/>
      <c r="L32" s="759"/>
    </row>
    <row r="33" spans="2:12" ht="15" customHeight="1">
      <c r="B33" s="35" t="s">
        <v>15</v>
      </c>
      <c r="C33" s="622" t="s">
        <v>95</v>
      </c>
      <c r="D33" s="622" t="s">
        <v>95</v>
      </c>
      <c r="E33" s="227">
        <v>4.4000000000000003E-3</v>
      </c>
      <c r="F33" s="65" t="s">
        <v>34</v>
      </c>
      <c r="G33" s="227">
        <f t="shared" si="2"/>
        <v>0.11569800000000001</v>
      </c>
      <c r="H33" s="228">
        <f t="shared" si="3"/>
        <v>2.8924500000000004E-3</v>
      </c>
      <c r="I33" s="372"/>
      <c r="J33" s="59"/>
      <c r="K33" s="758"/>
      <c r="L33" s="759"/>
    </row>
    <row r="34" spans="2:12" ht="15" customHeight="1">
      <c r="B34" s="35" t="s">
        <v>18</v>
      </c>
      <c r="C34" s="622" t="s">
        <v>95</v>
      </c>
      <c r="D34" s="622" t="s">
        <v>95</v>
      </c>
      <c r="E34" s="227">
        <v>5.1E-5</v>
      </c>
      <c r="F34" s="65" t="s">
        <v>34</v>
      </c>
      <c r="G34" s="227">
        <f t="shared" si="2"/>
        <v>1.3410450000000001E-3</v>
      </c>
      <c r="H34" s="228">
        <f t="shared" si="3"/>
        <v>3.3526124999999999E-5</v>
      </c>
      <c r="I34" s="372"/>
      <c r="J34" s="59"/>
      <c r="K34" s="758"/>
      <c r="L34" s="759"/>
    </row>
    <row r="35" spans="2:12" ht="15" customHeight="1">
      <c r="B35" s="640" t="s">
        <v>19</v>
      </c>
      <c r="C35" s="641" t="s">
        <v>95</v>
      </c>
      <c r="D35" s="641" t="s">
        <v>96</v>
      </c>
      <c r="E35" s="227">
        <v>6.0999999999999999E-5</v>
      </c>
      <c r="F35" s="65" t="s">
        <v>34</v>
      </c>
      <c r="G35" s="227">
        <f t="shared" si="2"/>
        <v>1.603995E-3</v>
      </c>
      <c r="H35" s="228">
        <f t="shared" si="3"/>
        <v>4.0099874999999997E-5</v>
      </c>
      <c r="I35" s="372"/>
      <c r="J35" s="59"/>
      <c r="K35" s="758"/>
      <c r="L35" s="759"/>
    </row>
    <row r="36" spans="2:12" ht="15" customHeight="1">
      <c r="B36" s="35" t="s">
        <v>57</v>
      </c>
      <c r="C36" s="622" t="s">
        <v>95</v>
      </c>
      <c r="D36" s="622" t="s">
        <v>96</v>
      </c>
      <c r="E36" s="227">
        <v>3.2000000000000001E-9</v>
      </c>
      <c r="F36" s="65" t="s">
        <v>34</v>
      </c>
      <c r="G36" s="227">
        <f t="shared" si="2"/>
        <v>8.4144000000000002E-8</v>
      </c>
      <c r="H36" s="228">
        <f t="shared" si="3"/>
        <v>2.1036000000000001E-9</v>
      </c>
      <c r="I36" s="372"/>
      <c r="J36" s="59"/>
      <c r="K36" s="758"/>
      <c r="L36" s="759"/>
    </row>
    <row r="37" spans="2:12" ht="15" customHeight="1">
      <c r="B37" s="35" t="s">
        <v>472</v>
      </c>
      <c r="C37" s="622" t="s">
        <v>95</v>
      </c>
      <c r="D37" s="622" t="s">
        <v>96</v>
      </c>
      <c r="E37" s="227">
        <v>7.9000000000000006E-6</v>
      </c>
      <c r="F37" s="65" t="s">
        <v>34</v>
      </c>
      <c r="G37" s="227">
        <f t="shared" si="2"/>
        <v>2.0773050000000003E-4</v>
      </c>
      <c r="H37" s="228">
        <f t="shared" si="3"/>
        <v>5.1932625000000007E-6</v>
      </c>
      <c r="I37" s="372"/>
      <c r="J37" s="59"/>
      <c r="K37" s="758"/>
      <c r="L37" s="759"/>
    </row>
    <row r="38" spans="2:12" ht="15" customHeight="1">
      <c r="B38" s="35" t="s">
        <v>473</v>
      </c>
      <c r="C38" s="622" t="s">
        <v>95</v>
      </c>
      <c r="D38" s="622" t="s">
        <v>95</v>
      </c>
      <c r="E38" s="227">
        <v>2.1999999999999999E-5</v>
      </c>
      <c r="F38" s="65" t="s">
        <v>34</v>
      </c>
      <c r="G38" s="227">
        <f t="shared" si="2"/>
        <v>5.7848999999999997E-4</v>
      </c>
      <c r="H38" s="228">
        <f t="shared" si="3"/>
        <v>1.4462249999999999E-5</v>
      </c>
      <c r="I38" s="372"/>
      <c r="J38" s="59"/>
      <c r="K38" s="758"/>
      <c r="L38" s="759"/>
    </row>
    <row r="39" spans="2:12" ht="15" customHeight="1">
      <c r="B39" s="35" t="s">
        <v>13</v>
      </c>
      <c r="C39" s="622" t="s">
        <v>95</v>
      </c>
      <c r="D39" s="622" t="s">
        <v>95</v>
      </c>
      <c r="E39" s="227">
        <v>4.1999999999999997E-3</v>
      </c>
      <c r="F39" s="65" t="s">
        <v>34</v>
      </c>
      <c r="G39" s="227">
        <f t="shared" si="2"/>
        <v>0.110439</v>
      </c>
      <c r="H39" s="228">
        <f t="shared" si="3"/>
        <v>2.7609749999999997E-3</v>
      </c>
      <c r="I39" s="372"/>
      <c r="J39" s="59"/>
      <c r="K39" s="758"/>
      <c r="L39" s="759"/>
    </row>
    <row r="40" spans="2:12" ht="15" customHeight="1">
      <c r="B40" s="35" t="s">
        <v>25</v>
      </c>
      <c r="C40" s="622" t="s">
        <v>95</v>
      </c>
      <c r="D40" s="622" t="s">
        <v>95</v>
      </c>
      <c r="E40" s="227">
        <v>2.6000000000000001E-6</v>
      </c>
      <c r="F40" s="65" t="s">
        <v>34</v>
      </c>
      <c r="G40" s="227">
        <f t="shared" si="2"/>
        <v>6.8367000000000005E-5</v>
      </c>
      <c r="H40" s="228">
        <f t="shared" si="3"/>
        <v>1.709175E-6</v>
      </c>
      <c r="I40" s="372"/>
      <c r="J40" s="59"/>
      <c r="K40" s="758"/>
      <c r="L40" s="759"/>
    </row>
    <row r="41" spans="2:12" ht="15" customHeight="1">
      <c r="B41" s="35" t="s">
        <v>122</v>
      </c>
      <c r="C41" s="622" t="s">
        <v>95</v>
      </c>
      <c r="D41" s="622" t="s">
        <v>95</v>
      </c>
      <c r="E41" s="227">
        <v>1.1000000000000001E-6</v>
      </c>
      <c r="F41" s="65" t="s">
        <v>34</v>
      </c>
      <c r="G41" s="227">
        <f t="shared" si="2"/>
        <v>2.8924500000000004E-5</v>
      </c>
      <c r="H41" s="228">
        <f t="shared" si="3"/>
        <v>7.2311250000000004E-7</v>
      </c>
      <c r="I41" s="372"/>
      <c r="J41" s="59"/>
      <c r="K41" s="758"/>
      <c r="L41" s="759"/>
    </row>
    <row r="42" spans="2:12" ht="15" customHeight="1">
      <c r="B42" s="35" t="s">
        <v>123</v>
      </c>
      <c r="C42" s="622" t="s">
        <v>95</v>
      </c>
      <c r="D42" s="622" t="s">
        <v>95</v>
      </c>
      <c r="E42" s="227">
        <v>4.0999999999999997E-6</v>
      </c>
      <c r="F42" s="65" t="s">
        <v>34</v>
      </c>
      <c r="G42" s="227">
        <f t="shared" si="2"/>
        <v>1.0780950000000001E-4</v>
      </c>
      <c r="H42" s="228">
        <f t="shared" si="3"/>
        <v>2.6952374999999997E-6</v>
      </c>
      <c r="I42" s="372"/>
      <c r="J42" s="59"/>
      <c r="K42" s="758"/>
      <c r="L42" s="759"/>
    </row>
    <row r="43" spans="2:12" ht="15" customHeight="1">
      <c r="B43" s="35" t="s">
        <v>58</v>
      </c>
      <c r="C43" s="622" t="s">
        <v>95</v>
      </c>
      <c r="D43" s="622" t="s">
        <v>95</v>
      </c>
      <c r="E43" s="227">
        <v>4.5000000000000003E-5</v>
      </c>
      <c r="F43" s="65" t="s">
        <v>34</v>
      </c>
      <c r="G43" s="227">
        <f t="shared" si="2"/>
        <v>1.1832750000000001E-3</v>
      </c>
      <c r="H43" s="228">
        <f t="shared" si="3"/>
        <v>2.9581875E-5</v>
      </c>
      <c r="I43" s="372"/>
      <c r="J43" s="59"/>
      <c r="K43" s="758"/>
      <c r="L43" s="759"/>
    </row>
    <row r="44" spans="2:12" ht="15" customHeight="1">
      <c r="B44" s="35" t="s">
        <v>59</v>
      </c>
      <c r="C44" s="622" t="s">
        <v>95</v>
      </c>
      <c r="D44" s="622" t="s">
        <v>95</v>
      </c>
      <c r="E44" s="227">
        <v>7.9000000000000001E-4</v>
      </c>
      <c r="F44" s="65" t="s">
        <v>34</v>
      </c>
      <c r="G44" s="227">
        <f t="shared" si="2"/>
        <v>2.0773050000000001E-2</v>
      </c>
      <c r="H44" s="228">
        <f t="shared" si="3"/>
        <v>5.1932624999999994E-4</v>
      </c>
      <c r="I44" s="372"/>
      <c r="J44" s="59"/>
      <c r="K44" s="758"/>
      <c r="L44" s="759"/>
    </row>
    <row r="45" spans="2:12" ht="15" customHeight="1">
      <c r="B45" s="35" t="s">
        <v>60</v>
      </c>
      <c r="C45" s="622" t="s">
        <v>95</v>
      </c>
      <c r="D45" s="622" t="s">
        <v>95</v>
      </c>
      <c r="E45" s="227">
        <v>3.3000000000000003E-5</v>
      </c>
      <c r="F45" s="65" t="s">
        <v>34</v>
      </c>
      <c r="G45" s="227">
        <f t="shared" si="2"/>
        <v>8.6773500000000012E-4</v>
      </c>
      <c r="H45" s="228">
        <f t="shared" si="3"/>
        <v>2.1693375E-5</v>
      </c>
      <c r="I45" s="372"/>
      <c r="J45" s="59"/>
      <c r="K45" s="758"/>
      <c r="L45" s="759"/>
    </row>
    <row r="46" spans="2:12" ht="15" customHeight="1">
      <c r="B46" s="229" t="s">
        <v>14</v>
      </c>
      <c r="C46" s="617" t="s">
        <v>95</v>
      </c>
      <c r="D46" s="617" t="s">
        <v>95</v>
      </c>
      <c r="E46" s="230">
        <v>2.8E-5</v>
      </c>
      <c r="F46" s="66" t="s">
        <v>34</v>
      </c>
      <c r="G46" s="227">
        <f t="shared" si="2"/>
        <v>7.3626000000000008E-4</v>
      </c>
      <c r="H46" s="228">
        <f t="shared" si="3"/>
        <v>1.8406500000000001E-5</v>
      </c>
      <c r="I46" s="372"/>
      <c r="J46" s="59"/>
      <c r="K46" s="758"/>
      <c r="L46" s="759"/>
    </row>
    <row r="47" spans="2:12" ht="15" customHeight="1">
      <c r="B47" s="229" t="s">
        <v>124</v>
      </c>
      <c r="C47" s="642" t="s">
        <v>495</v>
      </c>
      <c r="D47" s="617" t="s">
        <v>95</v>
      </c>
      <c r="E47" s="230">
        <v>3.4999999999999999E-6</v>
      </c>
      <c r="F47" s="66" t="s">
        <v>34</v>
      </c>
      <c r="G47" s="227">
        <f t="shared" si="2"/>
        <v>9.203250000000001E-5</v>
      </c>
      <c r="H47" s="228">
        <f t="shared" si="3"/>
        <v>2.3008125000000001E-6</v>
      </c>
      <c r="I47" s="372"/>
      <c r="J47" s="59"/>
      <c r="K47" s="758"/>
      <c r="L47" s="759"/>
    </row>
    <row r="48" spans="2:12" ht="15" customHeight="1">
      <c r="B48" s="35" t="s">
        <v>125</v>
      </c>
      <c r="C48" s="622" t="s">
        <v>95</v>
      </c>
      <c r="D48" s="622" t="s">
        <v>96</v>
      </c>
      <c r="E48" s="227">
        <v>1.7499999999999998E-5</v>
      </c>
      <c r="F48" s="65" t="s">
        <v>34</v>
      </c>
      <c r="G48" s="227">
        <f t="shared" si="2"/>
        <v>4.6016249999999997E-4</v>
      </c>
      <c r="H48" s="228">
        <f t="shared" si="3"/>
        <v>1.1504062499999998E-5</v>
      </c>
      <c r="I48" s="372"/>
      <c r="J48" s="59"/>
      <c r="K48" s="758"/>
      <c r="L48" s="759"/>
    </row>
    <row r="49" spans="2:12" ht="15" customHeight="1">
      <c r="B49" s="35" t="s">
        <v>61</v>
      </c>
      <c r="C49" s="622" t="s">
        <v>95</v>
      </c>
      <c r="D49" s="622" t="s">
        <v>96</v>
      </c>
      <c r="E49" s="227">
        <v>6.4999999999999996E-6</v>
      </c>
      <c r="F49" s="65" t="s">
        <v>34</v>
      </c>
      <c r="G49" s="227">
        <f t="shared" si="2"/>
        <v>1.7091750000000001E-4</v>
      </c>
      <c r="H49" s="228">
        <f t="shared" si="3"/>
        <v>4.2729374999999994E-6</v>
      </c>
      <c r="I49" s="372"/>
      <c r="J49" s="59"/>
      <c r="K49" s="758"/>
      <c r="L49" s="759"/>
    </row>
    <row r="50" spans="2:12" ht="15" customHeight="1">
      <c r="B50" s="180" t="s">
        <v>126</v>
      </c>
      <c r="C50" s="616" t="s">
        <v>95</v>
      </c>
      <c r="D50" s="616" t="s">
        <v>95</v>
      </c>
      <c r="E50" s="227">
        <v>2.9E-5</v>
      </c>
      <c r="F50" s="65" t="s">
        <v>34</v>
      </c>
      <c r="G50" s="227">
        <f t="shared" si="2"/>
        <v>7.6255500000000005E-4</v>
      </c>
      <c r="H50" s="228">
        <f t="shared" si="3"/>
        <v>1.9063875E-5</v>
      </c>
      <c r="I50" s="372"/>
      <c r="J50" s="59"/>
      <c r="K50" s="451"/>
      <c r="L50" s="760"/>
    </row>
    <row r="51" spans="2:12" ht="15" customHeight="1">
      <c r="B51" s="180" t="s">
        <v>127</v>
      </c>
      <c r="C51" s="616" t="s">
        <v>95</v>
      </c>
      <c r="D51" s="616" t="s">
        <v>96</v>
      </c>
      <c r="E51" s="227">
        <v>3.3000000000000003E-5</v>
      </c>
      <c r="F51" s="65" t="s">
        <v>34</v>
      </c>
      <c r="G51" s="227">
        <f t="shared" si="2"/>
        <v>8.6773500000000012E-4</v>
      </c>
      <c r="H51" s="228">
        <f t="shared" si="3"/>
        <v>2.1693375E-5</v>
      </c>
      <c r="I51" s="372"/>
      <c r="J51" s="59"/>
      <c r="K51" s="5"/>
      <c r="L51" s="5"/>
    </row>
    <row r="52" spans="2:12" ht="15" customHeight="1">
      <c r="B52" s="35" t="s">
        <v>62</v>
      </c>
      <c r="C52" s="622" t="s">
        <v>95</v>
      </c>
      <c r="D52" s="622" t="s">
        <v>96</v>
      </c>
      <c r="E52" s="227">
        <v>1.8E-7</v>
      </c>
      <c r="F52" s="65" t="s">
        <v>34</v>
      </c>
      <c r="G52" s="227">
        <f t="shared" si="2"/>
        <v>4.7331000000000005E-6</v>
      </c>
      <c r="H52" s="228">
        <f t="shared" si="3"/>
        <v>1.183275E-7</v>
      </c>
      <c r="I52" s="372"/>
      <c r="J52" s="59"/>
      <c r="K52" s="5"/>
      <c r="L52" s="5"/>
    </row>
    <row r="53" spans="2:12" ht="15" customHeight="1">
      <c r="B53" s="180" t="s">
        <v>128</v>
      </c>
      <c r="C53" s="616" t="s">
        <v>95</v>
      </c>
      <c r="D53" s="616" t="s">
        <v>95</v>
      </c>
      <c r="E53" s="227">
        <v>4.6999999999999997E-8</v>
      </c>
      <c r="F53" s="65" t="s">
        <v>34</v>
      </c>
      <c r="G53" s="227">
        <f t="shared" si="2"/>
        <v>1.235865E-6</v>
      </c>
      <c r="H53" s="228">
        <f t="shared" si="3"/>
        <v>3.0896624999999998E-8</v>
      </c>
      <c r="I53" s="372"/>
      <c r="J53" s="59"/>
      <c r="K53" s="451"/>
      <c r="L53" s="5"/>
    </row>
    <row r="54" spans="2:12" ht="15" customHeight="1">
      <c r="B54" s="180" t="s">
        <v>63</v>
      </c>
      <c r="C54" s="616" t="s">
        <v>95</v>
      </c>
      <c r="D54" s="616" t="s">
        <v>96</v>
      </c>
      <c r="E54" s="227">
        <v>3.1000000000000001E-5</v>
      </c>
      <c r="F54" s="65" t="s">
        <v>34</v>
      </c>
      <c r="G54" s="227">
        <f t="shared" si="2"/>
        <v>8.1514500000000008E-4</v>
      </c>
      <c r="H54" s="228">
        <f t="shared" si="3"/>
        <v>2.0378625E-5</v>
      </c>
      <c r="I54" s="372"/>
      <c r="J54" s="59"/>
      <c r="K54" s="758"/>
      <c r="L54" s="759"/>
    </row>
    <row r="55" spans="2:12" ht="15" customHeight="1">
      <c r="B55" s="148" t="s">
        <v>474</v>
      </c>
      <c r="C55" s="616" t="s">
        <v>96</v>
      </c>
      <c r="D55" s="616" t="s">
        <v>95</v>
      </c>
      <c r="E55" s="227">
        <v>1.5999999999999999E-6</v>
      </c>
      <c r="F55" s="65" t="s">
        <v>34</v>
      </c>
      <c r="G55" s="227">
        <f t="shared" si="2"/>
        <v>4.2072E-5</v>
      </c>
      <c r="H55" s="228">
        <f t="shared" si="3"/>
        <v>1.0517999999999998E-6</v>
      </c>
      <c r="I55" s="372"/>
      <c r="J55" s="59"/>
      <c r="K55" s="758"/>
      <c r="L55" s="759"/>
    </row>
    <row r="56" spans="2:12" ht="15" customHeight="1">
      <c r="B56" s="180" t="s">
        <v>129</v>
      </c>
      <c r="C56" s="616" t="s">
        <v>95</v>
      </c>
      <c r="D56" s="616" t="s">
        <v>95</v>
      </c>
      <c r="E56" s="227">
        <v>1.9E-2</v>
      </c>
      <c r="F56" s="65" t="s">
        <v>34</v>
      </c>
      <c r="G56" s="227">
        <f t="shared" si="2"/>
        <v>0.49960500000000002</v>
      </c>
      <c r="H56" s="228">
        <f t="shared" si="3"/>
        <v>1.2490124999999999E-2</v>
      </c>
      <c r="I56" s="372"/>
      <c r="J56" s="59"/>
      <c r="K56" s="451"/>
      <c r="L56" s="760"/>
    </row>
    <row r="57" spans="2:12" ht="15" customHeight="1">
      <c r="B57" s="180" t="s">
        <v>484</v>
      </c>
      <c r="C57" s="616" t="s">
        <v>95</v>
      </c>
      <c r="D57" s="616" t="s">
        <v>96</v>
      </c>
      <c r="E57" s="227">
        <v>4.8000000000000001E-5</v>
      </c>
      <c r="F57" s="65" t="s">
        <v>34</v>
      </c>
      <c r="G57" s="227">
        <f t="shared" si="2"/>
        <v>1.26216E-3</v>
      </c>
      <c r="H57" s="228">
        <f t="shared" si="3"/>
        <v>3.1553999999999996E-5</v>
      </c>
      <c r="I57" s="372"/>
      <c r="J57" s="59"/>
      <c r="K57" s="5"/>
      <c r="L57" s="5"/>
    </row>
    <row r="58" spans="2:12" ht="15" customHeight="1">
      <c r="B58" s="180" t="s">
        <v>485</v>
      </c>
      <c r="C58" s="616" t="s">
        <v>95</v>
      </c>
      <c r="D58" s="616" t="s">
        <v>95</v>
      </c>
      <c r="E58" s="227">
        <v>1.6000000000000001E-3</v>
      </c>
      <c r="F58" s="65" t="s">
        <v>34</v>
      </c>
      <c r="G58" s="227">
        <f t="shared" si="2"/>
        <v>4.2072000000000005E-2</v>
      </c>
      <c r="H58" s="228">
        <f t="shared" si="3"/>
        <v>1.0518000000000001E-3</v>
      </c>
      <c r="I58" s="372"/>
      <c r="J58" s="59"/>
      <c r="K58" s="5"/>
      <c r="L58" s="5"/>
    </row>
    <row r="59" spans="2:12" ht="15" customHeight="1">
      <c r="B59" s="180" t="s">
        <v>155</v>
      </c>
      <c r="C59" s="616" t="s">
        <v>95</v>
      </c>
      <c r="D59" s="616" t="s">
        <v>95</v>
      </c>
      <c r="E59" s="227">
        <v>3.4999999999999999E-6</v>
      </c>
      <c r="F59" s="65" t="s">
        <v>34</v>
      </c>
      <c r="G59" s="227">
        <f t="shared" si="2"/>
        <v>9.203250000000001E-5</v>
      </c>
      <c r="H59" s="228">
        <f t="shared" si="3"/>
        <v>2.3008125000000001E-6</v>
      </c>
      <c r="I59" s="372"/>
      <c r="J59" s="59"/>
      <c r="K59" s="451"/>
      <c r="L59" s="5"/>
    </row>
    <row r="60" spans="2:12" ht="15" customHeight="1">
      <c r="B60" s="180" t="s">
        <v>130</v>
      </c>
      <c r="C60" s="616" t="s">
        <v>95</v>
      </c>
      <c r="D60" s="616" t="s">
        <v>96</v>
      </c>
      <c r="E60" s="227">
        <v>1.5E-5</v>
      </c>
      <c r="F60" s="65" t="s">
        <v>34</v>
      </c>
      <c r="G60" s="227">
        <f t="shared" si="2"/>
        <v>3.9442500000000006E-4</v>
      </c>
      <c r="H60" s="228">
        <f t="shared" si="3"/>
        <v>9.8606250000000001E-6</v>
      </c>
      <c r="I60" s="372"/>
      <c r="J60" s="59"/>
      <c r="K60" s="758"/>
      <c r="L60" s="759"/>
    </row>
    <row r="61" spans="2:12" ht="15" customHeight="1">
      <c r="B61" s="180" t="s">
        <v>131</v>
      </c>
      <c r="C61" s="616" t="s">
        <v>95</v>
      </c>
      <c r="D61" s="616" t="s">
        <v>96</v>
      </c>
      <c r="E61" s="227">
        <v>2.3E-5</v>
      </c>
      <c r="F61" s="65" t="s">
        <v>34</v>
      </c>
      <c r="G61" s="227">
        <f t="shared" si="2"/>
        <v>6.0478500000000004E-4</v>
      </c>
      <c r="H61" s="228">
        <f t="shared" si="3"/>
        <v>1.5119625E-5</v>
      </c>
      <c r="I61" s="372"/>
      <c r="J61" s="59"/>
      <c r="K61" s="758"/>
      <c r="L61" s="759"/>
    </row>
    <row r="62" spans="2:12" ht="15" customHeight="1">
      <c r="B62" s="180" t="s">
        <v>459</v>
      </c>
      <c r="C62" s="616" t="s">
        <v>96</v>
      </c>
      <c r="D62" s="616" t="s">
        <v>95</v>
      </c>
      <c r="E62" s="227">
        <v>5.4E-6</v>
      </c>
      <c r="F62" s="65" t="s">
        <v>34</v>
      </c>
      <c r="G62" s="227">
        <f t="shared" si="2"/>
        <v>1.4199300000000001E-4</v>
      </c>
      <c r="H62" s="228">
        <f t="shared" si="3"/>
        <v>3.5498249999999999E-6</v>
      </c>
      <c r="I62" s="372"/>
      <c r="J62" s="59"/>
      <c r="K62" s="758"/>
      <c r="L62" s="759"/>
    </row>
    <row r="63" spans="2:12" ht="15" customHeight="1">
      <c r="B63" s="229" t="s">
        <v>17</v>
      </c>
      <c r="C63" s="617" t="s">
        <v>95</v>
      </c>
      <c r="D63" s="617" t="s">
        <v>95</v>
      </c>
      <c r="E63" s="230">
        <v>2.9E-4</v>
      </c>
      <c r="F63" s="66" t="s">
        <v>34</v>
      </c>
      <c r="G63" s="227">
        <f t="shared" ref="G63:G81" si="4">$E63*$C$5*(1-$B$117)</f>
        <v>7.6255500000000009E-3</v>
      </c>
      <c r="H63" s="228">
        <f t="shared" ref="H63:H81" si="5">$E63*$C$6/2000</f>
        <v>1.9063874999999998E-4</v>
      </c>
      <c r="I63" s="372"/>
      <c r="J63" s="59"/>
      <c r="K63" s="758"/>
      <c r="L63" s="759"/>
    </row>
    <row r="64" spans="2:12" ht="15" customHeight="1">
      <c r="B64" s="180" t="s">
        <v>64</v>
      </c>
      <c r="C64" s="616" t="s">
        <v>95</v>
      </c>
      <c r="D64" s="616" t="s">
        <v>96</v>
      </c>
      <c r="E64" s="227">
        <v>9.7E-5</v>
      </c>
      <c r="F64" s="65" t="s">
        <v>34</v>
      </c>
      <c r="G64" s="227">
        <f t="shared" si="4"/>
        <v>2.550615E-3</v>
      </c>
      <c r="H64" s="228">
        <f t="shared" si="5"/>
        <v>6.3765375000000003E-5</v>
      </c>
      <c r="I64" s="372"/>
      <c r="J64" s="59"/>
      <c r="K64" s="758"/>
      <c r="L64" s="759"/>
    </row>
    <row r="65" spans="2:12" ht="15" customHeight="1">
      <c r="B65" s="180" t="s">
        <v>156</v>
      </c>
      <c r="C65" s="616" t="s">
        <v>95</v>
      </c>
      <c r="D65" s="616" t="s">
        <v>95</v>
      </c>
      <c r="E65" s="227">
        <v>3.3000000000000003E-5</v>
      </c>
      <c r="F65" s="65" t="s">
        <v>34</v>
      </c>
      <c r="G65" s="227">
        <f t="shared" si="4"/>
        <v>8.6773500000000012E-4</v>
      </c>
      <c r="H65" s="228">
        <f t="shared" si="5"/>
        <v>2.1693375E-5</v>
      </c>
      <c r="I65" s="372"/>
      <c r="J65" s="59"/>
      <c r="K65" s="758"/>
      <c r="L65" s="759"/>
    </row>
    <row r="66" spans="2:12" ht="15" customHeight="1">
      <c r="B66" s="180" t="s">
        <v>65</v>
      </c>
      <c r="C66" s="616" t="s">
        <v>95</v>
      </c>
      <c r="D66" s="616" t="s">
        <v>96</v>
      </c>
      <c r="E66" s="227">
        <v>1.1000000000000001E-7</v>
      </c>
      <c r="F66" s="65" t="s">
        <v>34</v>
      </c>
      <c r="G66" s="227">
        <f t="shared" si="4"/>
        <v>2.8924500000000001E-6</v>
      </c>
      <c r="H66" s="228">
        <f t="shared" si="5"/>
        <v>7.2311250000000012E-8</v>
      </c>
      <c r="I66" s="372"/>
      <c r="J66" s="59"/>
      <c r="K66" s="758"/>
      <c r="L66" s="759"/>
    </row>
    <row r="67" spans="2:12" ht="15" customHeight="1">
      <c r="B67" s="180" t="s">
        <v>66</v>
      </c>
      <c r="C67" s="616" t="s">
        <v>95</v>
      </c>
      <c r="D67" s="616" t="s">
        <v>95</v>
      </c>
      <c r="E67" s="227">
        <v>5.1E-8</v>
      </c>
      <c r="F67" s="65" t="s">
        <v>34</v>
      </c>
      <c r="G67" s="227">
        <f t="shared" si="4"/>
        <v>1.3410450000000001E-6</v>
      </c>
      <c r="H67" s="228">
        <f t="shared" si="5"/>
        <v>3.3526125000000002E-8</v>
      </c>
      <c r="I67" s="372"/>
      <c r="J67" s="59"/>
      <c r="K67" s="758"/>
      <c r="L67" s="759"/>
    </row>
    <row r="68" spans="2:12" ht="15" customHeight="1">
      <c r="B68" s="180" t="s">
        <v>132</v>
      </c>
      <c r="C68" s="616" t="s">
        <v>95</v>
      </c>
      <c r="D68" s="616" t="s">
        <v>95</v>
      </c>
      <c r="E68" s="227">
        <v>3.8000000000000002E-5</v>
      </c>
      <c r="F68" s="65" t="s">
        <v>34</v>
      </c>
      <c r="G68" s="227">
        <f t="shared" si="4"/>
        <v>9.9921000000000016E-4</v>
      </c>
      <c r="H68" s="228">
        <f t="shared" si="5"/>
        <v>2.4980250000000002E-5</v>
      </c>
      <c r="I68" s="372"/>
      <c r="J68" s="59"/>
      <c r="K68" s="451"/>
      <c r="L68" s="760"/>
    </row>
    <row r="69" spans="2:12" ht="15" customHeight="1">
      <c r="B69" s="473" t="s">
        <v>476</v>
      </c>
      <c r="C69" s="583" t="s">
        <v>95</v>
      </c>
      <c r="D69" s="583" t="s">
        <v>96</v>
      </c>
      <c r="E69" s="227">
        <v>2.6999999999999999E-5</v>
      </c>
      <c r="F69" s="65" t="s">
        <v>34</v>
      </c>
      <c r="G69" s="227">
        <f t="shared" si="4"/>
        <v>7.0996500000000001E-4</v>
      </c>
      <c r="H69" s="228">
        <f t="shared" si="5"/>
        <v>1.7749125000000001E-5</v>
      </c>
      <c r="I69" s="372"/>
      <c r="J69" s="59"/>
    </row>
    <row r="70" spans="2:12" ht="15" customHeight="1">
      <c r="B70" s="180" t="s">
        <v>67</v>
      </c>
      <c r="C70" s="616" t="s">
        <v>95</v>
      </c>
      <c r="D70" s="616" t="s">
        <v>95</v>
      </c>
      <c r="E70" s="227">
        <v>8.1460000000000006E-9</v>
      </c>
      <c r="F70" s="65" t="s">
        <v>34</v>
      </c>
      <c r="G70" s="227">
        <f t="shared" si="4"/>
        <v>2.1419907000000004E-7</v>
      </c>
      <c r="H70" s="228">
        <f t="shared" si="5"/>
        <v>5.3549767499999998E-9</v>
      </c>
      <c r="I70" s="372"/>
      <c r="J70" s="59"/>
    </row>
    <row r="71" spans="2:12" ht="15" customHeight="1">
      <c r="B71" s="180" t="s">
        <v>68</v>
      </c>
      <c r="C71" s="616" t="s">
        <v>95</v>
      </c>
      <c r="D71" s="616" t="s">
        <v>96</v>
      </c>
      <c r="E71" s="227">
        <v>1.2480069999999999E-4</v>
      </c>
      <c r="F71" s="65" t="s">
        <v>34</v>
      </c>
      <c r="G71" s="227">
        <f t="shared" si="4"/>
        <v>3.2816344065000002E-3</v>
      </c>
      <c r="H71" s="228">
        <f t="shared" si="5"/>
        <v>8.2040860162499991E-5</v>
      </c>
      <c r="I71" s="372"/>
      <c r="J71" s="59"/>
    </row>
    <row r="72" spans="2:12" ht="15" customHeight="1">
      <c r="B72" s="180" t="s">
        <v>69</v>
      </c>
      <c r="C72" s="616" t="s">
        <v>95</v>
      </c>
      <c r="D72" s="616" t="s">
        <v>96</v>
      </c>
      <c r="E72" s="227">
        <v>2.7999999999999999E-6</v>
      </c>
      <c r="F72" s="65" t="s">
        <v>34</v>
      </c>
      <c r="G72" s="227">
        <f t="shared" si="4"/>
        <v>7.3626000000000003E-5</v>
      </c>
      <c r="H72" s="228">
        <f t="shared" si="5"/>
        <v>1.8406499999999999E-6</v>
      </c>
      <c r="I72" s="372"/>
      <c r="J72" s="59"/>
    </row>
    <row r="73" spans="2:12" ht="15" customHeight="1">
      <c r="B73" s="229" t="s">
        <v>20</v>
      </c>
      <c r="C73" s="617" t="s">
        <v>95</v>
      </c>
      <c r="D73" s="617" t="s">
        <v>95</v>
      </c>
      <c r="E73" s="230">
        <v>1.9E-3</v>
      </c>
      <c r="F73" s="66" t="s">
        <v>34</v>
      </c>
      <c r="G73" s="227">
        <f t="shared" si="4"/>
        <v>4.9960500000000005E-2</v>
      </c>
      <c r="H73" s="228">
        <f t="shared" si="5"/>
        <v>1.2490125E-3</v>
      </c>
      <c r="I73" s="372"/>
      <c r="J73" s="59"/>
    </row>
    <row r="74" spans="2:12" ht="15" customHeight="1">
      <c r="B74" s="473" t="s">
        <v>70</v>
      </c>
      <c r="C74" s="583" t="s">
        <v>95</v>
      </c>
      <c r="D74" s="583" t="s">
        <v>95</v>
      </c>
      <c r="E74" s="227">
        <v>8.5999999999999997E-12</v>
      </c>
      <c r="F74" s="65" t="s">
        <v>34</v>
      </c>
      <c r="G74" s="227">
        <f t="shared" si="4"/>
        <v>2.2613700000000001E-10</v>
      </c>
      <c r="H74" s="228">
        <f t="shared" si="5"/>
        <v>5.653425E-12</v>
      </c>
      <c r="I74" s="372"/>
      <c r="J74" s="59"/>
    </row>
    <row r="75" spans="2:12" ht="15" customHeight="1">
      <c r="B75" s="473" t="s">
        <v>21</v>
      </c>
      <c r="C75" s="583" t="s">
        <v>95</v>
      </c>
      <c r="D75" s="583" t="s">
        <v>95</v>
      </c>
      <c r="E75" s="227">
        <v>9.2000000000000003E-4</v>
      </c>
      <c r="F75" s="65" t="s">
        <v>34</v>
      </c>
      <c r="G75" s="227">
        <f t="shared" si="4"/>
        <v>2.4191400000000002E-2</v>
      </c>
      <c r="H75" s="228">
        <f t="shared" si="5"/>
        <v>6.0478500000000004E-4</v>
      </c>
      <c r="I75" s="372"/>
      <c r="J75" s="59"/>
    </row>
    <row r="76" spans="2:12" ht="15" customHeight="1">
      <c r="B76" s="180" t="s">
        <v>134</v>
      </c>
      <c r="C76" s="616" t="s">
        <v>95</v>
      </c>
      <c r="D76" s="616" t="s">
        <v>95</v>
      </c>
      <c r="E76" s="227">
        <v>3.1000000000000001E-5</v>
      </c>
      <c r="F76" s="65" t="s">
        <v>34</v>
      </c>
      <c r="G76" s="227">
        <f t="shared" si="4"/>
        <v>8.1514500000000008E-4</v>
      </c>
      <c r="H76" s="228">
        <f t="shared" si="5"/>
        <v>2.0378625E-5</v>
      </c>
      <c r="I76" s="372"/>
      <c r="J76" s="59"/>
    </row>
    <row r="77" spans="2:12" ht="15" customHeight="1">
      <c r="B77" s="180" t="s">
        <v>71</v>
      </c>
      <c r="C77" s="616" t="s">
        <v>95</v>
      </c>
      <c r="D77" s="616" t="s">
        <v>95</v>
      </c>
      <c r="E77" s="227">
        <v>3.0000000000000001E-5</v>
      </c>
      <c r="F77" s="65" t="s">
        <v>34</v>
      </c>
      <c r="G77" s="227">
        <f t="shared" si="4"/>
        <v>7.8885000000000012E-4</v>
      </c>
      <c r="H77" s="228">
        <f t="shared" si="5"/>
        <v>1.972125E-5</v>
      </c>
      <c r="I77" s="372"/>
      <c r="J77" s="59"/>
    </row>
    <row r="78" spans="2:12" ht="15" customHeight="1">
      <c r="B78" s="45" t="s">
        <v>135</v>
      </c>
      <c r="C78" s="618" t="s">
        <v>96</v>
      </c>
      <c r="D78" s="618" t="s">
        <v>95</v>
      </c>
      <c r="E78" s="227">
        <v>4.1E-5</v>
      </c>
      <c r="F78" s="65" t="s">
        <v>34</v>
      </c>
      <c r="G78" s="227">
        <f t="shared" si="4"/>
        <v>1.0780950000000001E-3</v>
      </c>
      <c r="H78" s="228">
        <f t="shared" si="5"/>
        <v>2.6952375000000001E-5</v>
      </c>
      <c r="I78" s="372"/>
      <c r="J78" s="59"/>
    </row>
    <row r="79" spans="2:12" ht="15" customHeight="1">
      <c r="B79" s="180" t="s">
        <v>72</v>
      </c>
      <c r="C79" s="616" t="s">
        <v>95</v>
      </c>
      <c r="D79" s="616" t="s">
        <v>96</v>
      </c>
      <c r="E79" s="227">
        <v>2.1999999999999998E-8</v>
      </c>
      <c r="F79" s="65" t="s">
        <v>34</v>
      </c>
      <c r="G79" s="227">
        <f t="shared" si="4"/>
        <v>5.7848999999999999E-7</v>
      </c>
      <c r="H79" s="228">
        <f t="shared" si="5"/>
        <v>1.4462249999999999E-8</v>
      </c>
      <c r="I79" s="372"/>
      <c r="J79" s="59"/>
    </row>
    <row r="80" spans="2:12" ht="15" customHeight="1">
      <c r="B80" s="35" t="s">
        <v>73</v>
      </c>
      <c r="C80" s="622" t="s">
        <v>95</v>
      </c>
      <c r="D80" s="622" t="s">
        <v>95</v>
      </c>
      <c r="E80" s="227">
        <v>1.8E-5</v>
      </c>
      <c r="F80" s="65" t="s">
        <v>34</v>
      </c>
      <c r="G80" s="227">
        <f t="shared" si="4"/>
        <v>4.7331000000000006E-4</v>
      </c>
      <c r="H80" s="228">
        <f t="shared" si="5"/>
        <v>1.1832749999999999E-5</v>
      </c>
      <c r="I80" s="372"/>
      <c r="J80" s="59"/>
    </row>
    <row r="81" spans="1:10" ht="15" customHeight="1" thickBot="1">
      <c r="B81" s="235" t="s">
        <v>136</v>
      </c>
      <c r="C81" s="619" t="s">
        <v>95</v>
      </c>
      <c r="D81" s="619" t="s">
        <v>95</v>
      </c>
      <c r="E81" s="570">
        <v>2.5000000000000001E-5</v>
      </c>
      <c r="F81" s="236" t="s">
        <v>34</v>
      </c>
      <c r="G81" s="535">
        <f t="shared" si="4"/>
        <v>6.5737500000000008E-4</v>
      </c>
      <c r="H81" s="536">
        <f t="shared" si="5"/>
        <v>1.6434375000000001E-5</v>
      </c>
      <c r="I81" s="372"/>
      <c r="J81" s="59"/>
    </row>
    <row r="82" spans="1:10" ht="15" customHeight="1" thickTop="1">
      <c r="B82" s="634"/>
      <c r="C82" s="635"/>
      <c r="D82" s="635"/>
      <c r="E82" s="631"/>
      <c r="F82" s="629" t="s">
        <v>566</v>
      </c>
      <c r="G82" s="809">
        <f>SUMIF($C$31:$C$81,"Y",G31:G81)-SUM(G40,G64)</f>
        <v>1.0181324619257071</v>
      </c>
      <c r="H82" s="916">
        <f>SUMIF($C$31:$C$81,"Y",H31:H81)-SUM(H40,H64)</f>
        <v>2.545331154814268E-2</v>
      </c>
    </row>
    <row r="83" spans="1:10" ht="15" customHeight="1" thickBot="1">
      <c r="B83" s="632"/>
      <c r="C83" s="633"/>
      <c r="D83" s="633"/>
      <c r="E83" s="126"/>
      <c r="F83" s="257" t="s">
        <v>567</v>
      </c>
      <c r="G83" s="812">
        <f>SUMIF($D$31:$D$81,"Y",G31:G81)-G40</f>
        <v>1.0090260853352073</v>
      </c>
      <c r="H83" s="842">
        <f>SUMIF($D$31:$D$81,"Y",H31:H81)-H40</f>
        <v>2.5225652133380176E-2</v>
      </c>
    </row>
    <row r="84" spans="1:10" ht="12" thickTop="1">
      <c r="A84" s="1393" t="s">
        <v>288</v>
      </c>
      <c r="B84" s="1393"/>
      <c r="C84" s="205"/>
      <c r="D84" s="205"/>
      <c r="E84" s="205"/>
      <c r="F84" s="205"/>
      <c r="G84" s="205"/>
      <c r="H84" s="205"/>
      <c r="I84" s="205"/>
      <c r="J84" s="205"/>
    </row>
    <row r="85" spans="1:10" ht="11.25" customHeight="1">
      <c r="A85" s="264" t="s">
        <v>100</v>
      </c>
      <c r="B85" s="963" t="s">
        <v>336</v>
      </c>
      <c r="C85" s="963"/>
      <c r="D85" s="963"/>
      <c r="E85" s="963"/>
      <c r="F85" s="963"/>
      <c r="G85" s="963"/>
      <c r="H85" s="963"/>
      <c r="I85" s="963"/>
      <c r="J85" s="963"/>
    </row>
    <row r="86" spans="1:10" ht="17.25" customHeight="1">
      <c r="A86" s="26" t="s">
        <v>159</v>
      </c>
      <c r="B86" s="1432" t="s">
        <v>487</v>
      </c>
      <c r="C86" s="1432"/>
      <c r="D86" s="1432"/>
      <c r="E86" s="1432"/>
      <c r="F86" s="1432"/>
      <c r="G86" s="1432"/>
      <c r="H86" s="1432"/>
      <c r="I86" s="1432"/>
      <c r="J86" s="589"/>
    </row>
    <row r="87" spans="1:10" ht="12">
      <c r="A87" s="264"/>
      <c r="B87" s="592"/>
      <c r="C87" s="266"/>
      <c r="D87" s="266"/>
      <c r="E87" s="602"/>
      <c r="F87" s="602"/>
      <c r="G87" s="205"/>
      <c r="H87" s="205"/>
      <c r="I87" s="205"/>
      <c r="J87" s="205"/>
    </row>
    <row r="88" spans="1:10" ht="11.25" customHeight="1">
      <c r="A88" s="1393" t="s">
        <v>301</v>
      </c>
      <c r="B88" s="1393"/>
      <c r="C88" s="205"/>
      <c r="D88" s="205"/>
      <c r="E88" s="205"/>
      <c r="F88" s="205"/>
      <c r="G88" s="205"/>
      <c r="H88" s="205"/>
      <c r="I88" s="205"/>
      <c r="J88" s="205"/>
    </row>
    <row r="89" spans="1:10" ht="11.25" customHeight="1">
      <c r="A89" s="590"/>
      <c r="B89" s="306" t="s">
        <v>303</v>
      </c>
      <c r="C89" s="205"/>
      <c r="D89" s="205" t="s">
        <v>496</v>
      </c>
      <c r="F89" s="205"/>
      <c r="G89" s="205"/>
      <c r="H89" s="205"/>
      <c r="I89" s="205"/>
      <c r="J89" s="205"/>
    </row>
    <row r="90" spans="1:10">
      <c r="A90" s="590"/>
      <c r="B90" s="269" t="s">
        <v>165</v>
      </c>
      <c r="C90" s="205"/>
      <c r="D90" s="206" t="s">
        <v>624</v>
      </c>
      <c r="F90" s="205"/>
      <c r="G90" s="205"/>
      <c r="H90" s="205"/>
      <c r="I90" s="205"/>
      <c r="J90" s="205"/>
    </row>
    <row r="91" spans="1:10">
      <c r="A91" s="590"/>
      <c r="B91" s="269" t="s">
        <v>306</v>
      </c>
      <c r="C91" s="205"/>
      <c r="D91" s="271" t="s">
        <v>166</v>
      </c>
      <c r="F91" s="205"/>
      <c r="G91" s="205"/>
      <c r="H91" s="205"/>
      <c r="I91" s="205"/>
      <c r="J91" s="205"/>
    </row>
    <row r="92" spans="1:10" ht="11.25" customHeight="1">
      <c r="A92" s="590"/>
      <c r="B92" s="271" t="s">
        <v>497</v>
      </c>
      <c r="C92" s="205"/>
      <c r="D92" s="206" t="s">
        <v>309</v>
      </c>
      <c r="F92" s="205"/>
      <c r="G92" s="205"/>
      <c r="H92" s="205"/>
      <c r="I92" s="205"/>
      <c r="J92" s="205"/>
    </row>
    <row r="93" spans="1:10">
      <c r="A93" s="590"/>
      <c r="B93" s="205" t="s">
        <v>102</v>
      </c>
      <c r="C93" s="205"/>
      <c r="D93" s="206" t="s">
        <v>498</v>
      </c>
      <c r="F93" s="205"/>
      <c r="G93" s="205"/>
      <c r="H93" s="205"/>
      <c r="I93" s="205"/>
      <c r="J93" s="205"/>
    </row>
    <row r="94" spans="1:10">
      <c r="A94" s="590"/>
      <c r="B94" s="271" t="s">
        <v>104</v>
      </c>
      <c r="C94" s="205"/>
      <c r="D94" s="206" t="s">
        <v>311</v>
      </c>
      <c r="F94" s="205"/>
      <c r="G94" s="205"/>
      <c r="H94" s="205"/>
      <c r="I94" s="205"/>
      <c r="J94" s="205"/>
    </row>
    <row r="95" spans="1:10">
      <c r="A95" s="205"/>
      <c r="B95" s="205" t="s">
        <v>169</v>
      </c>
      <c r="C95" s="205"/>
      <c r="D95" s="206" t="s">
        <v>499</v>
      </c>
      <c r="F95" s="205"/>
      <c r="G95" s="205"/>
      <c r="H95" s="205"/>
      <c r="I95" s="205"/>
      <c r="J95" s="205"/>
    </row>
    <row r="96" spans="1:10">
      <c r="A96" s="205"/>
      <c r="B96" s="271" t="s">
        <v>106</v>
      </c>
      <c r="C96" s="205"/>
      <c r="D96" s="271" t="s">
        <v>105</v>
      </c>
      <c r="F96" s="205"/>
      <c r="G96" s="205"/>
      <c r="H96" s="205"/>
      <c r="I96" s="205"/>
      <c r="J96" s="205"/>
    </row>
    <row r="97" spans="1:10">
      <c r="A97" s="205"/>
      <c r="B97" s="271" t="s">
        <v>170</v>
      </c>
      <c r="C97" s="205"/>
      <c r="D97" s="271" t="s">
        <v>107</v>
      </c>
      <c r="F97" s="205"/>
      <c r="G97" s="205"/>
      <c r="H97" s="205"/>
      <c r="I97" s="205"/>
      <c r="J97" s="205"/>
    </row>
    <row r="98" spans="1:10">
      <c r="A98" s="205"/>
      <c r="B98" s="271" t="s">
        <v>108</v>
      </c>
      <c r="C98" s="205"/>
      <c r="D98" s="271" t="s">
        <v>109</v>
      </c>
      <c r="F98" s="205"/>
      <c r="G98" s="205"/>
      <c r="H98" s="205"/>
      <c r="I98" s="205"/>
      <c r="J98" s="205"/>
    </row>
    <row r="99" spans="1:10">
      <c r="B99" s="206" t="s">
        <v>304</v>
      </c>
      <c r="C99" s="205"/>
      <c r="E99" s="271"/>
    </row>
    <row r="100" spans="1:10">
      <c r="B100" s="206"/>
      <c r="C100" s="205"/>
      <c r="E100" s="271"/>
    </row>
    <row r="101" spans="1:10">
      <c r="A101" s="590" t="s">
        <v>110</v>
      </c>
      <c r="C101" s="597"/>
    </row>
    <row r="102" spans="1:10">
      <c r="A102" s="590"/>
      <c r="B102" s="205" t="s">
        <v>315</v>
      </c>
      <c r="C102" s="597"/>
      <c r="D102" s="597"/>
      <c r="E102" s="169"/>
      <c r="F102" s="169"/>
    </row>
    <row r="103" spans="1:10" ht="12.6">
      <c r="A103" s="26"/>
      <c r="C103" s="21"/>
      <c r="D103" s="597"/>
      <c r="E103" s="169"/>
      <c r="F103" s="169"/>
    </row>
    <row r="104" spans="1:10">
      <c r="C104" s="20"/>
    </row>
    <row r="105" spans="1:10" ht="12.75" customHeight="1">
      <c r="C105" s="20"/>
    </row>
    <row r="106" spans="1:10" ht="12.75" customHeight="1">
      <c r="B106" s="601"/>
      <c r="C106" s="20"/>
    </row>
    <row r="107" spans="1:10" ht="12.75" customHeight="1">
      <c r="A107" s="601"/>
      <c r="B107" s="601"/>
      <c r="C107" s="20"/>
    </row>
    <row r="108" spans="1:10" ht="12.75" customHeight="1">
      <c r="A108" s="601"/>
      <c r="B108" s="601"/>
      <c r="C108" s="20"/>
    </row>
    <row r="109" spans="1:10" ht="12.75" customHeight="1">
      <c r="A109" s="601"/>
      <c r="B109" s="601"/>
      <c r="C109" s="20"/>
    </row>
    <row r="110" spans="1:10" ht="12.75" customHeight="1">
      <c r="A110" s="601"/>
      <c r="B110" s="601"/>
      <c r="C110" s="20"/>
    </row>
    <row r="111" spans="1:10" ht="12.75" customHeight="1">
      <c r="A111" s="601"/>
      <c r="C111" s="20"/>
    </row>
    <row r="112" spans="1:10" ht="12.75" customHeight="1">
      <c r="C112" s="20"/>
    </row>
    <row r="113" spans="1:3" ht="12.75" customHeight="1">
      <c r="A113" s="19" t="s">
        <v>77</v>
      </c>
      <c r="C113" s="20"/>
    </row>
    <row r="114" spans="1:3" ht="12.75" customHeight="1">
      <c r="B114" s="19">
        <v>2.2046199999999998</v>
      </c>
      <c r="C114" s="19" t="s">
        <v>178</v>
      </c>
    </row>
    <row r="115" spans="1:3" ht="12.75" customHeight="1">
      <c r="B115" s="645"/>
      <c r="C115" s="19" t="s">
        <v>317</v>
      </c>
    </row>
    <row r="116" spans="1:3" ht="12.75" customHeight="1">
      <c r="B116" s="645"/>
      <c r="C116" s="19" t="s">
        <v>318</v>
      </c>
    </row>
    <row r="117" spans="1:3" ht="12.75" customHeight="1">
      <c r="B117" s="645"/>
      <c r="C117" s="20" t="s">
        <v>319</v>
      </c>
    </row>
    <row r="118" spans="1:3" ht="12.75" customHeight="1">
      <c r="B118" s="646"/>
      <c r="C118" s="20" t="s">
        <v>337</v>
      </c>
    </row>
    <row r="119" spans="1:3" ht="12.75" customHeight="1">
      <c r="B119" s="646"/>
      <c r="C119" s="20"/>
    </row>
    <row r="120" spans="1:3" ht="12.75" customHeight="1">
      <c r="B120" s="19" t="s">
        <v>179</v>
      </c>
      <c r="C120" s="20"/>
    </row>
    <row r="121" spans="1:3" ht="12.75" customHeight="1">
      <c r="B121" s="647" t="s">
        <v>117</v>
      </c>
      <c r="C121" s="538">
        <v>1</v>
      </c>
    </row>
    <row r="122" spans="1:3" ht="12.75" customHeight="1">
      <c r="B122" s="647" t="s">
        <v>118</v>
      </c>
      <c r="C122" s="538">
        <v>25</v>
      </c>
    </row>
    <row r="123" spans="1:3" ht="12.75" customHeight="1">
      <c r="B123" s="647" t="s">
        <v>119</v>
      </c>
      <c r="C123" s="538">
        <v>298</v>
      </c>
    </row>
    <row r="124" spans="1:3" ht="12.75" customHeight="1">
      <c r="C124" s="20"/>
    </row>
    <row r="125" spans="1:3" ht="12.75" customHeight="1">
      <c r="C125" s="20"/>
    </row>
    <row r="126" spans="1:3" ht="12.75" customHeight="1">
      <c r="C126" s="20"/>
    </row>
    <row r="127" spans="1:3" ht="12.75" customHeight="1">
      <c r="C127" s="20"/>
    </row>
    <row r="128" spans="1:3">
      <c r="C128" s="20"/>
    </row>
    <row r="129" spans="2:3">
      <c r="C129" s="20"/>
    </row>
    <row r="130" spans="2:3">
      <c r="C130" s="20"/>
    </row>
    <row r="131" spans="2:3">
      <c r="C131" s="20"/>
    </row>
    <row r="133" spans="2:3" ht="11.25" customHeight="1"/>
    <row r="134" spans="2:3" ht="11.25" customHeight="1">
      <c r="B134" s="1427"/>
      <c r="C134" s="1427"/>
    </row>
    <row r="135" spans="2:3" ht="24" customHeight="1"/>
    <row r="136" spans="2:3" ht="28.5" customHeight="1"/>
  </sheetData>
  <mergeCells count="20">
    <mergeCell ref="B23:D23"/>
    <mergeCell ref="A24:B24"/>
    <mergeCell ref="B25:J25"/>
    <mergeCell ref="B1:J1"/>
    <mergeCell ref="B2:J2"/>
    <mergeCell ref="B3:J3"/>
    <mergeCell ref="B11:B12"/>
    <mergeCell ref="C11:C12"/>
    <mergeCell ref="D11:D12"/>
    <mergeCell ref="E11:F11"/>
    <mergeCell ref="G29:H29"/>
    <mergeCell ref="C29:C30"/>
    <mergeCell ref="D29:D30"/>
    <mergeCell ref="B86:I86"/>
    <mergeCell ref="A84:B84"/>
    <mergeCell ref="A88:B88"/>
    <mergeCell ref="B134:C134"/>
    <mergeCell ref="B29:B30"/>
    <mergeCell ref="E29:E30"/>
    <mergeCell ref="F29:F30"/>
  </mergeCells>
  <printOptions horizontalCentered="1"/>
  <pageMargins left="0.7" right="0.7" top="0.75" bottom="0.75" header="0.3" footer="0.3"/>
  <pageSetup scale="61" fitToHeight="5" orientation="portrait" r:id="rId1"/>
  <headerFooter>
    <oddFooter>&amp;CPage &amp;P of &amp;N</oddFooter>
  </headerFooter>
  <rowBreaks count="1" manualBreakCount="1">
    <brk id="27"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D36A-0D51-4BB7-9322-7125EF56087A}">
  <dimension ref="A1:J131"/>
  <sheetViews>
    <sheetView topLeftCell="A91" workbookViewId="0">
      <selection activeCell="C6" sqref="C6"/>
    </sheetView>
  </sheetViews>
  <sheetFormatPr defaultColWidth="9.109375" defaultRowHeight="11.4"/>
  <cols>
    <col min="1" max="1" width="2.6640625" style="19" customWidth="1"/>
    <col min="2" max="2" width="39.44140625" style="19" customWidth="1"/>
    <col min="3" max="4" width="12.6640625" style="19" customWidth="1"/>
    <col min="5" max="6" width="11.88671875" style="19" customWidth="1"/>
    <col min="7" max="7" width="9.88671875" style="19" customWidth="1"/>
    <col min="8" max="8" width="10.44140625" style="19" customWidth="1"/>
    <col min="9" max="16384" width="9.109375" style="19"/>
  </cols>
  <sheetData>
    <row r="1" spans="2:10" ht="15" customHeight="1">
      <c r="B1" s="1437" t="s">
        <v>442</v>
      </c>
      <c r="C1" s="1437"/>
      <c r="D1" s="1437"/>
      <c r="E1" s="1437"/>
      <c r="F1" s="1437"/>
      <c r="G1" s="1437"/>
      <c r="H1" s="1437"/>
      <c r="I1" s="1437"/>
      <c r="J1" s="1437"/>
    </row>
    <row r="2" spans="2:10" ht="15" customHeight="1">
      <c r="B2" s="1438" t="s">
        <v>543</v>
      </c>
      <c r="C2" s="1438"/>
      <c r="D2" s="1438"/>
      <c r="E2" s="1438"/>
      <c r="F2" s="1438"/>
      <c r="G2" s="1438"/>
      <c r="H2" s="1438"/>
      <c r="I2" s="1438"/>
      <c r="J2" s="1438"/>
    </row>
    <row r="3" spans="2:10" ht="15" customHeight="1">
      <c r="B3" s="1438" t="str">
        <f>'3a-RTO - Dryer GHM DHM'!B3:J3</f>
        <v>Enviva Pellets Ahoskie, LLC</v>
      </c>
      <c r="C3" s="1438"/>
      <c r="D3" s="1438"/>
      <c r="E3" s="1438"/>
      <c r="F3" s="1438"/>
      <c r="G3" s="1438"/>
      <c r="H3" s="1438"/>
      <c r="I3" s="1438"/>
      <c r="J3" s="1438"/>
    </row>
    <row r="4" spans="2:10" ht="15" customHeight="1">
      <c r="B4" s="1013"/>
      <c r="C4" s="1013"/>
      <c r="D4" s="1013"/>
      <c r="E4" s="1013"/>
      <c r="F4" s="1013"/>
      <c r="G4" s="1013"/>
      <c r="H4" s="1013"/>
      <c r="I4" s="1013"/>
      <c r="J4" s="1013"/>
    </row>
    <row r="5" spans="2:10" ht="15" customHeight="1" thickBot="1">
      <c r="B5" s="7" t="s">
        <v>90</v>
      </c>
      <c r="C5" s="8"/>
      <c r="D5" s="8"/>
      <c r="E5" s="8"/>
      <c r="F5" s="8"/>
    </row>
    <row r="6" spans="2:10" ht="15" customHeight="1" thickTop="1">
      <c r="B6" s="9" t="s">
        <v>658</v>
      </c>
      <c r="C6" s="1039">
        <v>15</v>
      </c>
      <c r="D6" s="10" t="s">
        <v>29</v>
      </c>
      <c r="E6" s="636"/>
      <c r="F6" s="424"/>
      <c r="G6" s="636"/>
      <c r="H6" s="637"/>
    </row>
    <row r="7" spans="2:10" ht="15" customHeight="1">
      <c r="B7" s="309" t="s">
        <v>330</v>
      </c>
      <c r="C7" s="15">
        <f>C6*C8</f>
        <v>7500</v>
      </c>
      <c r="D7" s="16" t="s">
        <v>79</v>
      </c>
      <c r="E7" s="17"/>
      <c r="F7" s="17"/>
      <c r="G7" s="17"/>
      <c r="H7" s="17"/>
    </row>
    <row r="8" spans="2:10" ht="15" customHeight="1" thickBot="1">
      <c r="B8" s="185" t="s">
        <v>393</v>
      </c>
      <c r="C8" s="278">
        <v>500</v>
      </c>
      <c r="D8" s="68" t="s">
        <v>30</v>
      </c>
      <c r="E8" s="17"/>
      <c r="F8" s="17"/>
      <c r="G8" s="17"/>
      <c r="H8" s="17"/>
    </row>
    <row r="9" spans="2:10" ht="11.25" customHeight="1" thickTop="1">
      <c r="C9" s="59"/>
      <c r="D9" s="59"/>
      <c r="E9" s="59"/>
      <c r="F9" s="59"/>
      <c r="G9" s="59"/>
    </row>
    <row r="10" spans="2:10" ht="11.25" customHeight="1">
      <c r="C10" s="59"/>
      <c r="D10" s="59"/>
      <c r="E10" s="59"/>
      <c r="F10" s="59"/>
      <c r="G10" s="59"/>
    </row>
    <row r="11" spans="2:10" ht="11.25" customHeight="1" thickBot="1">
      <c r="B11" s="199" t="s">
        <v>338</v>
      </c>
      <c r="C11" s="59"/>
      <c r="D11" s="59"/>
      <c r="E11" s="59"/>
      <c r="F11" s="59"/>
      <c r="G11" s="59"/>
    </row>
    <row r="12" spans="2:10" ht="42" customHeight="1" thickTop="1">
      <c r="B12" s="1420" t="s">
        <v>22</v>
      </c>
      <c r="C12" s="1381" t="s">
        <v>37</v>
      </c>
      <c r="D12" s="1381" t="s">
        <v>31</v>
      </c>
      <c r="E12" s="1398" t="s">
        <v>94</v>
      </c>
      <c r="F12" s="1399"/>
      <c r="G12" s="59"/>
    </row>
    <row r="13" spans="2:10" ht="15.75" customHeight="1" thickBot="1">
      <c r="B13" s="1421"/>
      <c r="C13" s="1382"/>
      <c r="D13" s="1382"/>
      <c r="E13" s="539" t="s">
        <v>23</v>
      </c>
      <c r="F13" s="638" t="s">
        <v>8</v>
      </c>
      <c r="G13" s="59"/>
    </row>
    <row r="14" spans="2:10" ht="15" customHeight="1" thickTop="1">
      <c r="B14" s="179" t="s">
        <v>2</v>
      </c>
      <c r="C14" s="143">
        <v>0.6</v>
      </c>
      <c r="D14" s="36" t="s">
        <v>494</v>
      </c>
      <c r="E14" s="120">
        <f>C14*$C$6</f>
        <v>9</v>
      </c>
      <c r="F14" s="147">
        <f>C14*$C$7/2000</f>
        <v>2.25</v>
      </c>
      <c r="G14" s="59"/>
    </row>
    <row r="15" spans="2:10" ht="15" customHeight="1">
      <c r="B15" s="180" t="s">
        <v>114</v>
      </c>
      <c r="C15" s="120">
        <v>0.22</v>
      </c>
      <c r="D15" s="36" t="s">
        <v>494</v>
      </c>
      <c r="E15" s="120">
        <f t="shared" ref="E15:E20" si="0">C15*$C$6</f>
        <v>3.3</v>
      </c>
      <c r="F15" s="147">
        <f t="shared" ref="F15:F20" si="1">C15*$C$7/2000</f>
        <v>0.82499999999999996</v>
      </c>
      <c r="G15" s="59"/>
    </row>
    <row r="16" spans="2:10" ht="15" customHeight="1">
      <c r="B16" s="180" t="s">
        <v>115</v>
      </c>
      <c r="C16" s="123">
        <v>2.5000000000000001E-2</v>
      </c>
      <c r="D16" s="36" t="s">
        <v>494</v>
      </c>
      <c r="E16" s="120">
        <f t="shared" si="0"/>
        <v>0.375</v>
      </c>
      <c r="F16" s="232">
        <f t="shared" si="1"/>
        <v>9.375E-2</v>
      </c>
      <c r="G16" s="59"/>
    </row>
    <row r="17" spans="1:10" ht="15" customHeight="1">
      <c r="B17" s="180" t="s">
        <v>3</v>
      </c>
      <c r="C17" s="123">
        <v>1.7000000000000001E-2</v>
      </c>
      <c r="D17" s="36" t="s">
        <v>494</v>
      </c>
      <c r="E17" s="120">
        <f t="shared" si="0"/>
        <v>0.255</v>
      </c>
      <c r="F17" s="232">
        <f t="shared" si="1"/>
        <v>6.3750000000000001E-2</v>
      </c>
      <c r="G17" s="59"/>
    </row>
    <row r="18" spans="1:10" ht="15" customHeight="1">
      <c r="B18" s="148" t="s">
        <v>76</v>
      </c>
      <c r="C18" s="120">
        <f>0.56+0.017</f>
        <v>0.57700000000000007</v>
      </c>
      <c r="D18" s="36" t="s">
        <v>494</v>
      </c>
      <c r="E18" s="120">
        <f t="shared" si="0"/>
        <v>8.6550000000000011</v>
      </c>
      <c r="F18" s="147">
        <f t="shared" si="1"/>
        <v>2.1637500000000003</v>
      </c>
    </row>
    <row r="19" spans="1:10" ht="15" customHeight="1">
      <c r="B19" s="148" t="s">
        <v>331</v>
      </c>
      <c r="C19" s="120">
        <f>0.5+0.017</f>
        <v>0.51700000000000002</v>
      </c>
      <c r="D19" s="36" t="s">
        <v>494</v>
      </c>
      <c r="E19" s="120">
        <f t="shared" si="0"/>
        <v>7.7549999999999999</v>
      </c>
      <c r="F19" s="147">
        <f t="shared" si="1"/>
        <v>1.93875</v>
      </c>
    </row>
    <row r="20" spans="1:10" ht="15" customHeight="1">
      <c r="B20" s="148" t="s">
        <v>332</v>
      </c>
      <c r="C20" s="120">
        <f>0.43+0.017</f>
        <v>0.44700000000000001</v>
      </c>
      <c r="D20" s="36" t="s">
        <v>494</v>
      </c>
      <c r="E20" s="120">
        <f t="shared" si="0"/>
        <v>6.7050000000000001</v>
      </c>
      <c r="F20" s="147">
        <f t="shared" si="1"/>
        <v>1.67625</v>
      </c>
    </row>
    <row r="21" spans="1:10" ht="15" customHeight="1">
      <c r="B21" s="148" t="s">
        <v>117</v>
      </c>
      <c r="C21" s="453">
        <v>93.8</v>
      </c>
      <c r="D21" s="36" t="s">
        <v>394</v>
      </c>
      <c r="E21" s="165">
        <f>C21*$B$111*$C$6</f>
        <v>3101.9003399999997</v>
      </c>
      <c r="F21" s="312">
        <f>C21*$B$111*($C$7)/2000</f>
        <v>775.47508499999992</v>
      </c>
    </row>
    <row r="22" spans="1:10" ht="15" customHeight="1">
      <c r="B22" s="148" t="s">
        <v>118</v>
      </c>
      <c r="C22" s="454">
        <v>7.1999999999999998E-3</v>
      </c>
      <c r="D22" s="36" t="s">
        <v>394</v>
      </c>
      <c r="E22" s="120">
        <f>C22*$B$111*$C$6</f>
        <v>0.23809895999999997</v>
      </c>
      <c r="F22" s="232">
        <f>C22*$B$111*$C$7/2000</f>
        <v>5.9524739999999993E-2</v>
      </c>
    </row>
    <row r="23" spans="1:10" ht="15" customHeight="1">
      <c r="B23" s="148" t="s">
        <v>119</v>
      </c>
      <c r="C23" s="454">
        <v>3.5999999999999999E-3</v>
      </c>
      <c r="D23" s="36" t="s">
        <v>394</v>
      </c>
      <c r="E23" s="120">
        <f>C23*$B$111*$C$6</f>
        <v>0.11904947999999999</v>
      </c>
      <c r="F23" s="232">
        <f>C23*$B$111*$C$7/2000</f>
        <v>2.9762369999999996E-2</v>
      </c>
    </row>
    <row r="24" spans="1:10" s="58" customFormat="1" ht="15" customHeight="1" thickBot="1">
      <c r="B24" s="1433" t="s">
        <v>333</v>
      </c>
      <c r="C24" s="1434"/>
      <c r="D24" s="1435"/>
      <c r="E24" s="313">
        <f>E21+E22*$C$119+E23*$C$120</f>
        <v>3143.3295590399998</v>
      </c>
      <c r="F24" s="314">
        <f>F21+F22*$C$119+F23*$C$120</f>
        <v>785.83238975999996</v>
      </c>
    </row>
    <row r="25" spans="1:10" ht="12" thickTop="1">
      <c r="A25" s="1393" t="s">
        <v>288</v>
      </c>
      <c r="B25" s="1393"/>
      <c r="C25" s="205"/>
      <c r="D25" s="205"/>
      <c r="E25" s="205"/>
      <c r="F25" s="205"/>
      <c r="G25" s="205"/>
      <c r="H25" s="205"/>
      <c r="I25" s="205"/>
      <c r="J25" s="205"/>
    </row>
    <row r="26" spans="1:10" ht="12.75" customHeight="1">
      <c r="A26" s="264" t="s">
        <v>100</v>
      </c>
      <c r="B26" s="1401" t="s">
        <v>617</v>
      </c>
      <c r="C26" s="1401"/>
      <c r="D26" s="1401"/>
      <c r="E26" s="1401"/>
      <c r="F26" s="1401"/>
      <c r="G26" s="1401"/>
      <c r="H26" s="1401"/>
      <c r="I26" s="1401"/>
      <c r="J26" s="1401"/>
    </row>
    <row r="27" spans="1:10" ht="23.25" customHeight="1">
      <c r="A27" s="264" t="s">
        <v>159</v>
      </c>
      <c r="B27" s="1439" t="s">
        <v>560</v>
      </c>
      <c r="C27" s="1439"/>
      <c r="D27" s="1439"/>
      <c r="E27" s="1439"/>
      <c r="F27" s="1439"/>
      <c r="G27" s="1439"/>
      <c r="H27" s="1439"/>
      <c r="I27" s="1439"/>
      <c r="J27" s="1439"/>
    </row>
    <row r="28" spans="1:10" ht="12" customHeight="1">
      <c r="A28" s="264" t="s">
        <v>160</v>
      </c>
      <c r="B28" s="206" t="s">
        <v>335</v>
      </c>
      <c r="C28" s="592"/>
      <c r="D28" s="592"/>
      <c r="E28" s="592"/>
      <c r="F28" s="592"/>
      <c r="G28" s="592"/>
      <c r="H28" s="592"/>
      <c r="I28" s="592"/>
      <c r="J28" s="592"/>
    </row>
    <row r="29" spans="1:10" ht="11.25" customHeight="1">
      <c r="A29" s="499"/>
      <c r="B29" s="598"/>
      <c r="C29" s="598"/>
      <c r="D29" s="598"/>
      <c r="E29" s="598"/>
      <c r="F29" s="598"/>
      <c r="G29" s="598"/>
      <c r="H29" s="598"/>
      <c r="I29" s="598"/>
      <c r="J29" s="598"/>
    </row>
    <row r="30" spans="1:10" ht="12" thickBot="1">
      <c r="B30" s="31" t="s">
        <v>339</v>
      </c>
      <c r="D30" s="43"/>
    </row>
    <row r="31" spans="1:10" ht="23.25" customHeight="1" thickTop="1">
      <c r="B31" s="1425" t="s">
        <v>22</v>
      </c>
      <c r="C31" s="1428" t="s">
        <v>36</v>
      </c>
      <c r="D31" s="1430" t="s">
        <v>390</v>
      </c>
      <c r="E31" s="1407" t="s">
        <v>93</v>
      </c>
      <c r="F31" s="1418" t="s">
        <v>31</v>
      </c>
      <c r="G31" s="1398" t="s">
        <v>94</v>
      </c>
      <c r="H31" s="1399"/>
    </row>
    <row r="32" spans="1:10" ht="15.75" customHeight="1" thickBot="1">
      <c r="B32" s="1426"/>
      <c r="C32" s="1429"/>
      <c r="D32" s="1431"/>
      <c r="E32" s="1408"/>
      <c r="F32" s="1419"/>
      <c r="G32" s="44" t="s">
        <v>23</v>
      </c>
      <c r="H32" s="38" t="s">
        <v>8</v>
      </c>
    </row>
    <row r="33" spans="2:8" ht="15" customHeight="1" thickTop="1">
      <c r="B33" s="639" t="s">
        <v>11</v>
      </c>
      <c r="C33" s="621" t="s">
        <v>95</v>
      </c>
      <c r="D33" s="621" t="s">
        <v>95</v>
      </c>
      <c r="E33" s="222">
        <v>8.3000000000000001E-4</v>
      </c>
      <c r="F33" s="315" t="s">
        <v>34</v>
      </c>
      <c r="G33" s="222">
        <f t="shared" ref="G33:G38" si="2">$E33*$C$6*(1-$B$114)</f>
        <v>1.2449999999999999E-2</v>
      </c>
      <c r="H33" s="247">
        <f t="shared" ref="H33:H38" si="3">$E33*$C$7*(1-$B$114)/2000</f>
        <v>3.1124999999999998E-3</v>
      </c>
    </row>
    <row r="34" spans="2:8" ht="15" customHeight="1">
      <c r="B34" s="35" t="s">
        <v>12</v>
      </c>
      <c r="C34" s="622" t="s">
        <v>95</v>
      </c>
      <c r="D34" s="622" t="s">
        <v>95</v>
      </c>
      <c r="E34" s="227">
        <v>4.0000000000000001E-3</v>
      </c>
      <c r="F34" s="316" t="s">
        <v>34</v>
      </c>
      <c r="G34" s="227">
        <f t="shared" si="2"/>
        <v>0.06</v>
      </c>
      <c r="H34" s="228">
        <f t="shared" si="3"/>
        <v>1.4999999999999999E-2</v>
      </c>
    </row>
    <row r="35" spans="2:8" ht="15" customHeight="1">
      <c r="B35" s="35" t="s">
        <v>15</v>
      </c>
      <c r="C35" s="622" t="s">
        <v>95</v>
      </c>
      <c r="D35" s="622" t="s">
        <v>95</v>
      </c>
      <c r="E35" s="227">
        <v>4.4000000000000003E-3</v>
      </c>
      <c r="F35" s="316" t="s">
        <v>34</v>
      </c>
      <c r="G35" s="227">
        <f t="shared" si="2"/>
        <v>6.6000000000000003E-2</v>
      </c>
      <c r="H35" s="228">
        <f t="shared" si="3"/>
        <v>1.6500000000000001E-2</v>
      </c>
    </row>
    <row r="36" spans="2:8" ht="15" customHeight="1">
      <c r="B36" s="35" t="s">
        <v>18</v>
      </c>
      <c r="C36" s="622" t="s">
        <v>95</v>
      </c>
      <c r="D36" s="622" t="s">
        <v>95</v>
      </c>
      <c r="E36" s="227">
        <v>5.1E-5</v>
      </c>
      <c r="F36" s="316" t="s">
        <v>34</v>
      </c>
      <c r="G36" s="227">
        <f t="shared" si="2"/>
        <v>7.6499999999999995E-4</v>
      </c>
      <c r="H36" s="228">
        <f t="shared" si="3"/>
        <v>1.9125000000000001E-4</v>
      </c>
    </row>
    <row r="37" spans="2:8" ht="15" customHeight="1">
      <c r="B37" s="640" t="s">
        <v>19</v>
      </c>
      <c r="C37" s="641" t="s">
        <v>95</v>
      </c>
      <c r="D37" s="641" t="s">
        <v>96</v>
      </c>
      <c r="E37" s="227">
        <v>6.0999999999999999E-5</v>
      </c>
      <c r="F37" s="316" t="s">
        <v>34</v>
      </c>
      <c r="G37" s="227">
        <f t="shared" si="2"/>
        <v>9.1500000000000001E-4</v>
      </c>
      <c r="H37" s="228">
        <f t="shared" si="3"/>
        <v>2.2875E-4</v>
      </c>
    </row>
    <row r="38" spans="2:8" ht="15" customHeight="1">
      <c r="B38" s="35" t="s">
        <v>57</v>
      </c>
      <c r="C38" s="622" t="s">
        <v>95</v>
      </c>
      <c r="D38" s="622" t="s">
        <v>96</v>
      </c>
      <c r="E38" s="227">
        <v>3.2000000000000001E-9</v>
      </c>
      <c r="F38" s="316" t="s">
        <v>34</v>
      </c>
      <c r="G38" s="227">
        <f t="shared" si="2"/>
        <v>4.8E-8</v>
      </c>
      <c r="H38" s="228">
        <f t="shared" si="3"/>
        <v>1.2E-8</v>
      </c>
    </row>
    <row r="39" spans="2:8" ht="15" customHeight="1">
      <c r="B39" s="35" t="s">
        <v>472</v>
      </c>
      <c r="C39" s="622" t="s">
        <v>95</v>
      </c>
      <c r="D39" s="622" t="s">
        <v>96</v>
      </c>
      <c r="E39" s="227">
        <v>7.9000000000000006E-6</v>
      </c>
      <c r="F39" s="316" t="s">
        <v>34</v>
      </c>
      <c r="G39" s="227">
        <f>E39*$C$6*(1-$B$112)</f>
        <v>1.1850000000000001E-4</v>
      </c>
      <c r="H39" s="228">
        <f>E39*$C$7/2000*(1-$B$112)</f>
        <v>2.9625000000000002E-5</v>
      </c>
    </row>
    <row r="40" spans="2:8" ht="15" customHeight="1">
      <c r="B40" s="35" t="s">
        <v>473</v>
      </c>
      <c r="C40" s="622" t="s">
        <v>95</v>
      </c>
      <c r="D40" s="622" t="s">
        <v>95</v>
      </c>
      <c r="E40" s="227">
        <v>2.1999999999999999E-5</v>
      </c>
      <c r="F40" s="316" t="s">
        <v>34</v>
      </c>
      <c r="G40" s="227">
        <f>E40*$C$6*(1-$B$112)</f>
        <v>3.3E-4</v>
      </c>
      <c r="H40" s="228">
        <f>E40*$C$7/2000*(1-$B$112)</f>
        <v>8.25E-5</v>
      </c>
    </row>
    <row r="41" spans="2:8" ht="15" customHeight="1">
      <c r="B41" s="35" t="s">
        <v>13</v>
      </c>
      <c r="C41" s="622" t="s">
        <v>95</v>
      </c>
      <c r="D41" s="622" t="s">
        <v>95</v>
      </c>
      <c r="E41" s="227">
        <v>4.1999999999999997E-3</v>
      </c>
      <c r="F41" s="65" t="s">
        <v>34</v>
      </c>
      <c r="G41" s="227">
        <f>E41*$C$6*(1-$B$112)</f>
        <v>6.3E-2</v>
      </c>
      <c r="H41" s="228">
        <f>E41*$C$7/2000*(1-$B$112)</f>
        <v>1.5749999999999997E-2</v>
      </c>
    </row>
    <row r="42" spans="2:8" ht="15" customHeight="1">
      <c r="B42" s="35" t="s">
        <v>25</v>
      </c>
      <c r="C42" s="622" t="s">
        <v>95</v>
      </c>
      <c r="D42" s="622" t="s">
        <v>95</v>
      </c>
      <c r="E42" s="227">
        <v>2.6000000000000001E-6</v>
      </c>
      <c r="F42" s="316" t="s">
        <v>34</v>
      </c>
      <c r="G42" s="227">
        <f>$E42*$C$6*(1-$B$114)</f>
        <v>3.8999999999999999E-5</v>
      </c>
      <c r="H42" s="228">
        <f>$E42*$C$7*(1-$B$114)/2000</f>
        <v>9.7499999999999998E-6</v>
      </c>
    </row>
    <row r="43" spans="2:8" ht="15" customHeight="1">
      <c r="B43" s="35" t="s">
        <v>122</v>
      </c>
      <c r="C43" s="622" t="s">
        <v>95</v>
      </c>
      <c r="D43" s="622" t="s">
        <v>95</v>
      </c>
      <c r="E43" s="227">
        <v>1.1000000000000001E-6</v>
      </c>
      <c r="F43" s="316" t="s">
        <v>34</v>
      </c>
      <c r="G43" s="227">
        <f>E43*$C$6*(1-$B$112)</f>
        <v>1.6500000000000001E-5</v>
      </c>
      <c r="H43" s="228">
        <f>E43*$C$7/2000*(1-$B$112)</f>
        <v>4.1250000000000003E-6</v>
      </c>
    </row>
    <row r="44" spans="2:8" ht="15" customHeight="1">
      <c r="B44" s="35" t="s">
        <v>123</v>
      </c>
      <c r="C44" s="622" t="s">
        <v>95</v>
      </c>
      <c r="D44" s="622" t="s">
        <v>95</v>
      </c>
      <c r="E44" s="227">
        <v>4.0999999999999997E-6</v>
      </c>
      <c r="F44" s="316" t="s">
        <v>34</v>
      </c>
      <c r="G44" s="227">
        <f>E44*$C$6*(1-$B$112)</f>
        <v>6.1499999999999991E-5</v>
      </c>
      <c r="H44" s="228">
        <f>E44*$C$7/2000*(1-$B$112)</f>
        <v>1.5374999999999998E-5</v>
      </c>
    </row>
    <row r="45" spans="2:8" ht="15" customHeight="1">
      <c r="B45" s="35" t="s">
        <v>58</v>
      </c>
      <c r="C45" s="622" t="s">
        <v>95</v>
      </c>
      <c r="D45" s="622" t="s">
        <v>95</v>
      </c>
      <c r="E45" s="227">
        <v>4.5000000000000003E-5</v>
      </c>
      <c r="F45" s="316" t="s">
        <v>34</v>
      </c>
      <c r="G45" s="227">
        <f>$E45*$C$6*(1-$B$114)</f>
        <v>6.7500000000000004E-4</v>
      </c>
      <c r="H45" s="228">
        <f>$E45*$C$7*(1-$B$114)/2000</f>
        <v>1.6875000000000001E-4</v>
      </c>
    </row>
    <row r="46" spans="2:8" ht="15" customHeight="1">
      <c r="B46" s="35" t="s">
        <v>59</v>
      </c>
      <c r="C46" s="622" t="s">
        <v>95</v>
      </c>
      <c r="D46" s="622" t="s">
        <v>95</v>
      </c>
      <c r="E46" s="227">
        <v>7.9000000000000001E-4</v>
      </c>
      <c r="F46" s="316" t="s">
        <v>34</v>
      </c>
      <c r="G46" s="227">
        <f>E46*$C$6</f>
        <v>1.1849999999999999E-2</v>
      </c>
      <c r="H46" s="228">
        <f>E46*$C$7/2000</f>
        <v>2.9624999999999999E-3</v>
      </c>
    </row>
    <row r="47" spans="2:8" ht="15" customHeight="1">
      <c r="B47" s="35" t="s">
        <v>60</v>
      </c>
      <c r="C47" s="622" t="s">
        <v>95</v>
      </c>
      <c r="D47" s="622" t="s">
        <v>95</v>
      </c>
      <c r="E47" s="227">
        <v>3.3000000000000003E-5</v>
      </c>
      <c r="F47" s="316" t="s">
        <v>34</v>
      </c>
      <c r="G47" s="227">
        <f>$E47*$C$6*(1-$B$114)</f>
        <v>4.95E-4</v>
      </c>
      <c r="H47" s="228">
        <f>$E47*$C$7*(1-$B$114)/2000</f>
        <v>1.2375E-4</v>
      </c>
    </row>
    <row r="48" spans="2:8" ht="15" customHeight="1">
      <c r="B48" s="229" t="s">
        <v>14</v>
      </c>
      <c r="C48" s="617" t="s">
        <v>95</v>
      </c>
      <c r="D48" s="617" t="s">
        <v>95</v>
      </c>
      <c r="E48" s="230">
        <v>2.8E-5</v>
      </c>
      <c r="F48" s="66" t="s">
        <v>34</v>
      </c>
      <c r="G48" s="227">
        <f>$E48*$C$6*(1-$B$114)</f>
        <v>4.2000000000000002E-4</v>
      </c>
      <c r="H48" s="228">
        <f>$E48*$C$7*(1-$B$114)/2000</f>
        <v>1.0499999999999999E-4</v>
      </c>
    </row>
    <row r="49" spans="2:8" ht="15" customHeight="1">
      <c r="B49" s="229" t="s">
        <v>124</v>
      </c>
      <c r="C49" s="642" t="s">
        <v>495</v>
      </c>
      <c r="D49" s="617" t="s">
        <v>95</v>
      </c>
      <c r="E49" s="230">
        <v>3.4999999999999999E-6</v>
      </c>
      <c r="F49" s="66" t="s">
        <v>34</v>
      </c>
      <c r="G49" s="227">
        <f>$E49*$C$6*(1-$B$114)</f>
        <v>5.2500000000000002E-5</v>
      </c>
      <c r="H49" s="228">
        <f>$E49*$C$7*(1-$B$114)/2000</f>
        <v>1.3124999999999999E-5</v>
      </c>
    </row>
    <row r="50" spans="2:8" ht="15" customHeight="1">
      <c r="B50" s="35" t="s">
        <v>125</v>
      </c>
      <c r="C50" s="622" t="s">
        <v>95</v>
      </c>
      <c r="D50" s="622" t="s">
        <v>96</v>
      </c>
      <c r="E50" s="227">
        <v>1.7499999999999998E-5</v>
      </c>
      <c r="F50" s="316" t="s">
        <v>34</v>
      </c>
      <c r="G50" s="227">
        <f>E50*$C$6*(1-$B$112)</f>
        <v>2.6249999999999998E-4</v>
      </c>
      <c r="H50" s="228">
        <f>E50*$C$7/2000*(1-$B$112)</f>
        <v>6.5624999999999982E-5</v>
      </c>
    </row>
    <row r="51" spans="2:8" ht="15" customHeight="1">
      <c r="B51" s="35" t="s">
        <v>61</v>
      </c>
      <c r="C51" s="622" t="s">
        <v>95</v>
      </c>
      <c r="D51" s="622" t="s">
        <v>96</v>
      </c>
      <c r="E51" s="227">
        <v>6.4999999999999996E-6</v>
      </c>
      <c r="F51" s="316" t="s">
        <v>34</v>
      </c>
      <c r="G51" s="227">
        <f>E51*$C$6*(1-$B$112)</f>
        <v>9.7499999999999998E-5</v>
      </c>
      <c r="H51" s="228">
        <f>E51*$C$7/2000*(1-$B$112)</f>
        <v>2.4374999999999996E-5</v>
      </c>
    </row>
    <row r="52" spans="2:8" ht="15" customHeight="1">
      <c r="B52" s="35" t="s">
        <v>126</v>
      </c>
      <c r="C52" s="622" t="s">
        <v>95</v>
      </c>
      <c r="D52" s="622" t="s">
        <v>95</v>
      </c>
      <c r="E52" s="227">
        <v>2.9E-5</v>
      </c>
      <c r="F52" s="316" t="s">
        <v>34</v>
      </c>
      <c r="G52" s="227">
        <f t="shared" ref="G52:G57" si="4">$E52*$C$6*(1-$B$114)</f>
        <v>4.35E-4</v>
      </c>
      <c r="H52" s="228">
        <f t="shared" ref="H52:H57" si="5">$E52*$C$7*(1-$B$114)/2000</f>
        <v>1.0875E-4</v>
      </c>
    </row>
    <row r="53" spans="2:8" ht="15" customHeight="1">
      <c r="B53" s="180" t="s">
        <v>127</v>
      </c>
      <c r="C53" s="616" t="s">
        <v>95</v>
      </c>
      <c r="D53" s="616" t="s">
        <v>96</v>
      </c>
      <c r="E53" s="227">
        <v>3.3000000000000003E-5</v>
      </c>
      <c r="F53" s="316" t="s">
        <v>34</v>
      </c>
      <c r="G53" s="227">
        <f t="shared" si="4"/>
        <v>4.95E-4</v>
      </c>
      <c r="H53" s="228">
        <f t="shared" si="5"/>
        <v>1.2375E-4</v>
      </c>
    </row>
    <row r="54" spans="2:8" ht="15" customHeight="1">
      <c r="B54" s="35" t="s">
        <v>62</v>
      </c>
      <c r="C54" s="622" t="s">
        <v>95</v>
      </c>
      <c r="D54" s="622" t="s">
        <v>96</v>
      </c>
      <c r="E54" s="227">
        <v>1.8E-7</v>
      </c>
      <c r="F54" s="316" t="s">
        <v>34</v>
      </c>
      <c r="G54" s="227">
        <f t="shared" si="4"/>
        <v>2.7E-6</v>
      </c>
      <c r="H54" s="228">
        <f t="shared" si="5"/>
        <v>6.75E-7</v>
      </c>
    </row>
    <row r="55" spans="2:8" ht="15" customHeight="1">
      <c r="B55" s="35" t="s">
        <v>128</v>
      </c>
      <c r="C55" s="622" t="s">
        <v>95</v>
      </c>
      <c r="D55" s="622" t="s">
        <v>95</v>
      </c>
      <c r="E55" s="227">
        <v>4.6999999999999997E-8</v>
      </c>
      <c r="F55" s="316" t="s">
        <v>34</v>
      </c>
      <c r="G55" s="227">
        <f t="shared" si="4"/>
        <v>7.0499999999999992E-7</v>
      </c>
      <c r="H55" s="228">
        <f t="shared" si="5"/>
        <v>1.7625000000000001E-7</v>
      </c>
    </row>
    <row r="56" spans="2:8" ht="15" customHeight="1">
      <c r="B56" s="35" t="s">
        <v>63</v>
      </c>
      <c r="C56" s="622" t="s">
        <v>95</v>
      </c>
      <c r="D56" s="622" t="s">
        <v>96</v>
      </c>
      <c r="E56" s="227">
        <v>3.1000000000000001E-5</v>
      </c>
      <c r="F56" s="316" t="s">
        <v>34</v>
      </c>
      <c r="G56" s="227">
        <f t="shared" si="4"/>
        <v>4.6500000000000003E-4</v>
      </c>
      <c r="H56" s="228">
        <f t="shared" si="5"/>
        <v>1.1625000000000001E-4</v>
      </c>
    </row>
    <row r="57" spans="2:8" ht="15" customHeight="1">
      <c r="B57" s="148" t="s">
        <v>474</v>
      </c>
      <c r="C57" s="616" t="s">
        <v>96</v>
      </c>
      <c r="D57" s="616" t="s">
        <v>95</v>
      </c>
      <c r="E57" s="227">
        <v>1.5999999999999999E-6</v>
      </c>
      <c r="F57" s="65" t="s">
        <v>34</v>
      </c>
      <c r="G57" s="227">
        <f t="shared" si="4"/>
        <v>2.4000000000000001E-5</v>
      </c>
      <c r="H57" s="228">
        <f t="shared" si="5"/>
        <v>6.0000000000000002E-6</v>
      </c>
    </row>
    <row r="58" spans="2:8" ht="15" customHeight="1">
      <c r="B58" s="180" t="s">
        <v>129</v>
      </c>
      <c r="C58" s="616" t="s">
        <v>95</v>
      </c>
      <c r="D58" s="616" t="s">
        <v>95</v>
      </c>
      <c r="E58" s="227">
        <v>1.9E-2</v>
      </c>
      <c r="F58" s="316" t="s">
        <v>34</v>
      </c>
      <c r="G58" s="227">
        <f>E58*$C$6*(1-B113)</f>
        <v>0.28499999999999998</v>
      </c>
      <c r="H58" s="228">
        <f>E58*$C$7/2000*(1-$B$113)</f>
        <v>7.1249999999999994E-2</v>
      </c>
    </row>
    <row r="59" spans="2:8" ht="15" customHeight="1">
      <c r="B59" s="180" t="s">
        <v>484</v>
      </c>
      <c r="C59" s="616" t="s">
        <v>95</v>
      </c>
      <c r="D59" s="616" t="s">
        <v>96</v>
      </c>
      <c r="E59" s="227">
        <v>4.8000000000000001E-5</v>
      </c>
      <c r="F59" s="316" t="s">
        <v>34</v>
      </c>
      <c r="G59" s="227">
        <f>E59*$C$6*(1-$B$112)</f>
        <v>7.2000000000000005E-4</v>
      </c>
      <c r="H59" s="228">
        <f>E59*$C$7/2000*(1-$B$112)</f>
        <v>1.7999999999999998E-4</v>
      </c>
    </row>
    <row r="60" spans="2:8" ht="15" customHeight="1">
      <c r="B60" s="180" t="s">
        <v>485</v>
      </c>
      <c r="C60" s="616" t="s">
        <v>95</v>
      </c>
      <c r="D60" s="616" t="s">
        <v>95</v>
      </c>
      <c r="E60" s="227">
        <v>1.6000000000000001E-3</v>
      </c>
      <c r="F60" s="316" t="s">
        <v>34</v>
      </c>
      <c r="G60" s="227">
        <f>E60*$C$6*(1-$B$112)</f>
        <v>2.4E-2</v>
      </c>
      <c r="H60" s="228">
        <f>E60*$C$7/2000*(1-$B$112)</f>
        <v>6.0000000000000001E-3</v>
      </c>
    </row>
    <row r="61" spans="2:8" ht="15" customHeight="1">
      <c r="B61" s="180" t="s">
        <v>155</v>
      </c>
      <c r="C61" s="616" t="s">
        <v>95</v>
      </c>
      <c r="D61" s="616" t="s">
        <v>95</v>
      </c>
      <c r="E61" s="227">
        <v>3.4999999999999999E-6</v>
      </c>
      <c r="F61" s="316" t="s">
        <v>34</v>
      </c>
      <c r="G61" s="227">
        <f>E61*$C$6*(1-$B$112)</f>
        <v>5.2500000000000002E-5</v>
      </c>
      <c r="H61" s="228">
        <f>E61*$C$7/2000*(1-$B$112)</f>
        <v>1.3124999999999999E-5</v>
      </c>
    </row>
    <row r="62" spans="2:8" ht="15" customHeight="1">
      <c r="B62" s="180" t="s">
        <v>130</v>
      </c>
      <c r="C62" s="616" t="s">
        <v>95</v>
      </c>
      <c r="D62" s="616" t="s">
        <v>96</v>
      </c>
      <c r="E62" s="227">
        <v>1.5E-5</v>
      </c>
      <c r="F62" s="316" t="s">
        <v>34</v>
      </c>
      <c r="G62" s="227">
        <f>$E62*$C$6*(1-$B$114)</f>
        <v>2.2499999999999999E-4</v>
      </c>
      <c r="H62" s="228">
        <f>$E62*$C$7*(1-$B$114)/2000</f>
        <v>5.6249999999999998E-5</v>
      </c>
    </row>
    <row r="63" spans="2:8" ht="15" customHeight="1">
      <c r="B63" s="180" t="s">
        <v>131</v>
      </c>
      <c r="C63" s="616" t="s">
        <v>95</v>
      </c>
      <c r="D63" s="616" t="s">
        <v>96</v>
      </c>
      <c r="E63" s="227">
        <v>2.3E-5</v>
      </c>
      <c r="F63" s="316" t="s">
        <v>34</v>
      </c>
      <c r="G63" s="227">
        <f>$E63*$C$6*(1-$B$114)</f>
        <v>3.4499999999999998E-4</v>
      </c>
      <c r="H63" s="228">
        <f>$E63*$C$7*(1-$B$114)/2000</f>
        <v>8.6249999999999996E-5</v>
      </c>
    </row>
    <row r="64" spans="2:8" ht="15" customHeight="1">
      <c r="B64" s="180" t="s">
        <v>459</v>
      </c>
      <c r="C64" s="616" t="s">
        <v>96</v>
      </c>
      <c r="D64" s="616" t="s">
        <v>95</v>
      </c>
      <c r="E64" s="227">
        <v>5.4E-6</v>
      </c>
      <c r="F64" s="316" t="s">
        <v>34</v>
      </c>
      <c r="G64" s="227">
        <f>$E64*$C$6*(1-$B$114)</f>
        <v>8.1000000000000004E-5</v>
      </c>
      <c r="H64" s="228">
        <f>$E64*$C$7*(1-$B$114)/2000</f>
        <v>2.0250000000000001E-5</v>
      </c>
    </row>
    <row r="65" spans="2:8" ht="15" customHeight="1">
      <c r="B65" s="229" t="s">
        <v>17</v>
      </c>
      <c r="C65" s="617" t="s">
        <v>95</v>
      </c>
      <c r="D65" s="617" t="s">
        <v>95</v>
      </c>
      <c r="E65" s="230">
        <v>2.9E-4</v>
      </c>
      <c r="F65" s="66" t="s">
        <v>34</v>
      </c>
      <c r="G65" s="227">
        <f>$E65*$C$6*(1-$B$114)</f>
        <v>4.3499999999999997E-3</v>
      </c>
      <c r="H65" s="228">
        <f>$E65*$C$7*(1-$B$114)/2000</f>
        <v>1.0874999999999999E-3</v>
      </c>
    </row>
    <row r="66" spans="2:8" ht="15" customHeight="1">
      <c r="B66" s="180" t="s">
        <v>64</v>
      </c>
      <c r="C66" s="616" t="s">
        <v>95</v>
      </c>
      <c r="D66" s="616" t="s">
        <v>96</v>
      </c>
      <c r="E66" s="227">
        <v>9.7E-5</v>
      </c>
      <c r="F66" s="316" t="s">
        <v>34</v>
      </c>
      <c r="G66" s="227">
        <f>$E66*$C$6*(1-$B$114)</f>
        <v>1.4549999999999999E-3</v>
      </c>
      <c r="H66" s="228">
        <f>$E66*$C$7*(1-$B$114)/2000</f>
        <v>3.6375000000000003E-4</v>
      </c>
    </row>
    <row r="67" spans="2:8" ht="15" customHeight="1">
      <c r="B67" s="180" t="s">
        <v>156</v>
      </c>
      <c r="C67" s="616" t="s">
        <v>95</v>
      </c>
      <c r="D67" s="616" t="s">
        <v>95</v>
      </c>
      <c r="E67" s="227">
        <v>3.3000000000000003E-5</v>
      </c>
      <c r="F67" s="316" t="s">
        <v>34</v>
      </c>
      <c r="G67" s="227">
        <f>E67*$C$6*(1-$B$112)</f>
        <v>4.95E-4</v>
      </c>
      <c r="H67" s="228">
        <f>E67*$C$7/2000*(1-$B$112)</f>
        <v>1.2375E-4</v>
      </c>
    </row>
    <row r="68" spans="2:8" ht="15" customHeight="1">
      <c r="B68" s="180" t="s">
        <v>65</v>
      </c>
      <c r="C68" s="616" t="s">
        <v>95</v>
      </c>
      <c r="D68" s="616" t="s">
        <v>96</v>
      </c>
      <c r="E68" s="227">
        <v>1.1000000000000001E-7</v>
      </c>
      <c r="F68" s="316" t="s">
        <v>34</v>
      </c>
      <c r="G68" s="227">
        <f>$E68*$C$6*(1-$B$114)</f>
        <v>1.6500000000000001E-6</v>
      </c>
      <c r="H68" s="228">
        <f>$E68*$C$7*(1-$B$114)/2000</f>
        <v>4.1250000000000002E-7</v>
      </c>
    </row>
    <row r="69" spans="2:8" ht="15" customHeight="1">
      <c r="B69" s="180" t="s">
        <v>66</v>
      </c>
      <c r="C69" s="616" t="s">
        <v>95</v>
      </c>
      <c r="D69" s="616" t="s">
        <v>95</v>
      </c>
      <c r="E69" s="227">
        <v>5.1E-8</v>
      </c>
      <c r="F69" s="316" t="s">
        <v>34</v>
      </c>
      <c r="G69" s="227">
        <f>E69*$C$6</f>
        <v>7.6499999999999998E-7</v>
      </c>
      <c r="H69" s="228">
        <f>E69*$C$7/2000</f>
        <v>1.9125000000000002E-7</v>
      </c>
    </row>
    <row r="70" spans="2:8" ht="15" customHeight="1">
      <c r="B70" s="180" t="s">
        <v>132</v>
      </c>
      <c r="C70" s="616" t="s">
        <v>95</v>
      </c>
      <c r="D70" s="616" t="s">
        <v>95</v>
      </c>
      <c r="E70" s="227">
        <v>3.8000000000000002E-5</v>
      </c>
      <c r="F70" s="316" t="s">
        <v>34</v>
      </c>
      <c r="G70" s="227">
        <f>E70*$C$6</f>
        <v>5.6999999999999998E-4</v>
      </c>
      <c r="H70" s="228">
        <f>E70*$C$7/2000</f>
        <v>1.4250000000000002E-4</v>
      </c>
    </row>
    <row r="71" spans="2:8" ht="15" customHeight="1">
      <c r="B71" s="473" t="s">
        <v>476</v>
      </c>
      <c r="C71" s="583" t="s">
        <v>95</v>
      </c>
      <c r="D71" s="583" t="s">
        <v>96</v>
      </c>
      <c r="E71" s="227">
        <v>2.6999999999999999E-5</v>
      </c>
      <c r="F71" s="316" t="s">
        <v>34</v>
      </c>
      <c r="G71" s="227">
        <f>E71*$C$6*(1-$B$112)</f>
        <v>4.0499999999999998E-4</v>
      </c>
      <c r="H71" s="228">
        <f>E71*$C$7/2000*(1-$B$112)</f>
        <v>1.0124999999999999E-4</v>
      </c>
    </row>
    <row r="72" spans="2:8" ht="15" customHeight="1">
      <c r="B72" s="180" t="s">
        <v>67</v>
      </c>
      <c r="C72" s="616" t="s">
        <v>95</v>
      </c>
      <c r="D72" s="616" t="s">
        <v>95</v>
      </c>
      <c r="E72" s="227">
        <v>8.1460000000000006E-9</v>
      </c>
      <c r="F72" s="316" t="s">
        <v>34</v>
      </c>
      <c r="G72" s="227">
        <f>$E72*$C$6*(1-$B$114)</f>
        <v>1.2219000000000001E-7</v>
      </c>
      <c r="H72" s="228">
        <f>$E72*$C$7*(1-$B$114)/2000</f>
        <v>3.0547500000000003E-8</v>
      </c>
    </row>
    <row r="73" spans="2:8" ht="15" customHeight="1">
      <c r="B73" s="180" t="s">
        <v>68</v>
      </c>
      <c r="C73" s="616" t="s">
        <v>95</v>
      </c>
      <c r="D73" s="616" t="s">
        <v>96</v>
      </c>
      <c r="E73" s="227">
        <v>1.2480069999999999E-4</v>
      </c>
      <c r="F73" s="316" t="s">
        <v>34</v>
      </c>
      <c r="G73" s="227">
        <f>E73*$C$6</f>
        <v>1.8720104999999999E-3</v>
      </c>
      <c r="H73" s="228">
        <f>E73*$C$7/2000</f>
        <v>4.6800262499999997E-4</v>
      </c>
    </row>
    <row r="74" spans="2:8" ht="15" customHeight="1">
      <c r="B74" s="180" t="s">
        <v>69</v>
      </c>
      <c r="C74" s="616" t="s">
        <v>95</v>
      </c>
      <c r="D74" s="616" t="s">
        <v>96</v>
      </c>
      <c r="E74" s="227">
        <v>2.7999999999999999E-6</v>
      </c>
      <c r="F74" s="316" t="s">
        <v>34</v>
      </c>
      <c r="G74" s="227">
        <f>E74*$C$6*(1-$B$112)</f>
        <v>4.1999999999999998E-5</v>
      </c>
      <c r="H74" s="228">
        <f>E74*$C$7/2000*(1-$B$112)</f>
        <v>1.0499999999999999E-5</v>
      </c>
    </row>
    <row r="75" spans="2:8" ht="15" customHeight="1">
      <c r="B75" s="229" t="s">
        <v>20</v>
      </c>
      <c r="C75" s="617" t="s">
        <v>95</v>
      </c>
      <c r="D75" s="617" t="s">
        <v>95</v>
      </c>
      <c r="E75" s="230">
        <v>1.9E-3</v>
      </c>
      <c r="F75" s="66" t="s">
        <v>34</v>
      </c>
      <c r="G75" s="227">
        <f>E75*$C$6*(1-$B$112)</f>
        <v>2.8500000000000001E-2</v>
      </c>
      <c r="H75" s="228">
        <f>E75*$C$7/2000*(1-$B$112)</f>
        <v>7.1250000000000003E-3</v>
      </c>
    </row>
    <row r="76" spans="2:8" ht="15" customHeight="1">
      <c r="B76" s="643" t="s">
        <v>70</v>
      </c>
      <c r="C76" s="644" t="s">
        <v>95</v>
      </c>
      <c r="D76" s="644" t="s">
        <v>95</v>
      </c>
      <c r="E76" s="227">
        <v>8.5999999999999997E-12</v>
      </c>
      <c r="F76" s="316" t="s">
        <v>34</v>
      </c>
      <c r="G76" s="227">
        <f>$E76*$C$6*(1-$B$114)</f>
        <v>1.2899999999999999E-10</v>
      </c>
      <c r="H76" s="228">
        <f>$E76*$C$7*(1-$B$114)/2000</f>
        <v>3.2249999999999998E-11</v>
      </c>
    </row>
    <row r="77" spans="2:8" ht="15" customHeight="1">
      <c r="B77" s="473" t="s">
        <v>21</v>
      </c>
      <c r="C77" s="583" t="s">
        <v>95</v>
      </c>
      <c r="D77" s="583" t="s">
        <v>95</v>
      </c>
      <c r="E77" s="227">
        <v>9.2000000000000003E-4</v>
      </c>
      <c r="F77" s="65" t="s">
        <v>34</v>
      </c>
      <c r="G77" s="227">
        <f>$E77*$C$6*(1-$B$114)</f>
        <v>1.38E-2</v>
      </c>
      <c r="H77" s="228">
        <f>$E77*$C$7*(1-$B$114)/2000</f>
        <v>3.4500000000000004E-3</v>
      </c>
    </row>
    <row r="78" spans="2:8" ht="15" customHeight="1">
      <c r="B78" s="180" t="s">
        <v>134</v>
      </c>
      <c r="C78" s="616" t="s">
        <v>95</v>
      </c>
      <c r="D78" s="616" t="s">
        <v>95</v>
      </c>
      <c r="E78" s="227">
        <v>3.1000000000000001E-5</v>
      </c>
      <c r="F78" s="316" t="s">
        <v>34</v>
      </c>
      <c r="G78" s="227">
        <f>E78*$C$6</f>
        <v>4.6500000000000003E-4</v>
      </c>
      <c r="H78" s="228">
        <f>E78*$C$7/2000</f>
        <v>1.1625000000000001E-4</v>
      </c>
    </row>
    <row r="79" spans="2:8" ht="15" customHeight="1">
      <c r="B79" s="35" t="s">
        <v>71</v>
      </c>
      <c r="C79" s="622" t="s">
        <v>95</v>
      </c>
      <c r="D79" s="622" t="s">
        <v>95</v>
      </c>
      <c r="E79" s="227">
        <v>3.0000000000000001E-5</v>
      </c>
      <c r="F79" s="316" t="s">
        <v>34</v>
      </c>
      <c r="G79" s="227">
        <f>$E79*$C$6*(1-$B$114)</f>
        <v>4.4999999999999999E-4</v>
      </c>
      <c r="H79" s="228">
        <f>$E79*$C$7*(1-$B$114)/2000</f>
        <v>1.125E-4</v>
      </c>
    </row>
    <row r="80" spans="2:8" ht="15" customHeight="1">
      <c r="B80" s="45" t="s">
        <v>135</v>
      </c>
      <c r="C80" s="618" t="s">
        <v>96</v>
      </c>
      <c r="D80" s="618" t="s">
        <v>95</v>
      </c>
      <c r="E80" s="227">
        <v>4.1E-5</v>
      </c>
      <c r="F80" s="65" t="s">
        <v>34</v>
      </c>
      <c r="G80" s="227">
        <f>$E80*$C$6*(1-$B$114)</f>
        <v>6.1499999999999999E-4</v>
      </c>
      <c r="H80" s="228">
        <f>$E80*$C$7*(1-$B$114)/2000</f>
        <v>1.5375E-4</v>
      </c>
    </row>
    <row r="81" spans="1:10" ht="15" customHeight="1">
      <c r="B81" s="35" t="s">
        <v>72</v>
      </c>
      <c r="C81" s="622" t="s">
        <v>95</v>
      </c>
      <c r="D81" s="622" t="s">
        <v>96</v>
      </c>
      <c r="E81" s="227">
        <v>2.1999999999999998E-8</v>
      </c>
      <c r="F81" s="316" t="s">
        <v>34</v>
      </c>
      <c r="G81" s="227">
        <f>$E81*$C$6*(1-$B$114)</f>
        <v>3.2999999999999996E-7</v>
      </c>
      <c r="H81" s="228">
        <f>$E81*$C$7*(1-$B$114)/2000</f>
        <v>8.2500000000000004E-8</v>
      </c>
    </row>
    <row r="82" spans="1:10" ht="15" customHeight="1">
      <c r="B82" s="35" t="s">
        <v>73</v>
      </c>
      <c r="C82" s="622" t="s">
        <v>95</v>
      </c>
      <c r="D82" s="622" t="s">
        <v>95</v>
      </c>
      <c r="E82" s="227">
        <v>1.8E-5</v>
      </c>
      <c r="F82" s="316" t="s">
        <v>34</v>
      </c>
      <c r="G82" s="227">
        <f>$E82*$C$6*(1-$B$114)</f>
        <v>2.7E-4</v>
      </c>
      <c r="H82" s="228">
        <f>$E82*$C$7*(1-$B$114)/2000</f>
        <v>6.7500000000000001E-5</v>
      </c>
    </row>
    <row r="83" spans="1:10" ht="15" customHeight="1" thickBot="1">
      <c r="B83" s="235" t="s">
        <v>136</v>
      </c>
      <c r="C83" s="619" t="s">
        <v>95</v>
      </c>
      <c r="D83" s="619" t="s">
        <v>95</v>
      </c>
      <c r="E83" s="570">
        <v>2.5000000000000001E-5</v>
      </c>
      <c r="F83" s="236" t="s">
        <v>34</v>
      </c>
      <c r="G83" s="535">
        <f>$E83*$C$6*(1-$B$114)</f>
        <v>3.7500000000000001E-4</v>
      </c>
      <c r="H83" s="536">
        <f>$E83*$C$7*(1-$B$114)/2000</f>
        <v>9.3750000000000002E-5</v>
      </c>
    </row>
    <row r="84" spans="1:10" ht="15" customHeight="1" thickTop="1">
      <c r="B84" s="634"/>
      <c r="C84" s="635"/>
      <c r="D84" s="635"/>
      <c r="E84" s="631"/>
      <c r="F84" s="629" t="s">
        <v>566</v>
      </c>
      <c r="G84" s="809">
        <f>SUMIF($C$33:$C$83,"Y",G33:G83)-SUM(G42,G66)</f>
        <v>0.580794330819</v>
      </c>
      <c r="H84" s="810">
        <f>SUMIF($C$33:$C$83,"Y",H33:H83)-SUM(H42,H66)</f>
        <v>0.14519858270475</v>
      </c>
      <c r="J84" s="317"/>
    </row>
    <row r="85" spans="1:10" ht="15" customHeight="1" thickBot="1">
      <c r="B85" s="632"/>
      <c r="C85" s="633"/>
      <c r="D85" s="633"/>
      <c r="E85" s="126"/>
      <c r="F85" s="257" t="s">
        <v>567</v>
      </c>
      <c r="G85" s="812">
        <f>SUMIF($D$33:$D$83,"Y",G33:G83)-G42</f>
        <v>0.57559959231900004</v>
      </c>
      <c r="H85" s="811">
        <f>SUMIF($D$33:$D$83,"Y",H33:H83)-H42</f>
        <v>0.14389989807975001</v>
      </c>
      <c r="J85" s="317"/>
    </row>
    <row r="86" spans="1:10" ht="12" thickTop="1">
      <c r="A86" s="1393" t="s">
        <v>288</v>
      </c>
      <c r="B86" s="1393"/>
      <c r="C86" s="205"/>
      <c r="D86" s="205"/>
      <c r="E86" s="205"/>
      <c r="F86" s="205"/>
      <c r="G86" s="205"/>
      <c r="H86" s="205"/>
      <c r="I86" s="205"/>
      <c r="J86" s="205"/>
    </row>
    <row r="87" spans="1:10" ht="11.25" customHeight="1">
      <c r="A87" s="264" t="s">
        <v>100</v>
      </c>
      <c r="B87" s="963" t="s">
        <v>336</v>
      </c>
      <c r="C87" s="963"/>
      <c r="D87" s="963"/>
      <c r="E87" s="963"/>
      <c r="F87" s="963"/>
      <c r="G87" s="963"/>
      <c r="H87" s="963"/>
      <c r="I87" s="963"/>
      <c r="J87" s="963"/>
    </row>
    <row r="88" spans="1:10" ht="11.25" customHeight="1">
      <c r="A88" s="264" t="s">
        <v>159</v>
      </c>
      <c r="B88" s="1012" t="s">
        <v>487</v>
      </c>
      <c r="C88" s="1012"/>
      <c r="D88" s="1012"/>
      <c r="E88" s="1012"/>
      <c r="F88" s="1012"/>
      <c r="G88" s="1012"/>
      <c r="H88" s="1012"/>
      <c r="I88" s="1012"/>
      <c r="J88" s="205"/>
    </row>
    <row r="89" spans="1:10" ht="12.6">
      <c r="A89" s="26"/>
      <c r="B89" s="939"/>
      <c r="C89" s="939"/>
      <c r="D89" s="939"/>
      <c r="E89" s="939"/>
      <c r="F89" s="939"/>
      <c r="G89" s="939"/>
      <c r="H89" s="939"/>
      <c r="I89" s="939"/>
      <c r="J89" s="205"/>
    </row>
    <row r="90" spans="1:10" ht="11.25" customHeight="1">
      <c r="A90" s="1393" t="s">
        <v>301</v>
      </c>
      <c r="B90" s="1393"/>
      <c r="C90" s="205"/>
      <c r="D90" s="205"/>
      <c r="E90" s="205"/>
      <c r="F90" s="205"/>
      <c r="G90" s="205"/>
      <c r="H90" s="205"/>
      <c r="I90" s="205"/>
      <c r="J90" s="205"/>
    </row>
    <row r="91" spans="1:10" ht="11.25" customHeight="1">
      <c r="A91" s="590"/>
      <c r="B91" s="306" t="s">
        <v>303</v>
      </c>
      <c r="C91" s="205"/>
      <c r="E91" s="205" t="s">
        <v>496</v>
      </c>
      <c r="F91" s="205"/>
      <c r="G91" s="205"/>
      <c r="H91" s="205"/>
      <c r="I91" s="205"/>
      <c r="J91" s="205"/>
    </row>
    <row r="92" spans="1:10" ht="14.25" customHeight="1">
      <c r="A92" s="590"/>
      <c r="B92" s="269" t="s">
        <v>165</v>
      </c>
      <c r="C92" s="205"/>
      <c r="E92" s="206" t="s">
        <v>624</v>
      </c>
      <c r="F92" s="205"/>
      <c r="G92" s="205"/>
      <c r="H92" s="205"/>
      <c r="I92" s="205"/>
      <c r="J92" s="205"/>
    </row>
    <row r="93" spans="1:10" ht="11.25" customHeight="1">
      <c r="A93" s="590"/>
      <c r="B93" s="269" t="s">
        <v>306</v>
      </c>
      <c r="C93" s="205"/>
      <c r="E93" s="271" t="s">
        <v>166</v>
      </c>
      <c r="F93" s="205"/>
      <c r="G93" s="205"/>
      <c r="H93" s="205"/>
      <c r="I93" s="205"/>
      <c r="J93" s="205"/>
    </row>
    <row r="94" spans="1:10">
      <c r="A94" s="590"/>
      <c r="B94" s="271" t="s">
        <v>497</v>
      </c>
      <c r="C94" s="205"/>
      <c r="E94" s="206" t="s">
        <v>309</v>
      </c>
      <c r="F94" s="205"/>
      <c r="G94" s="205"/>
      <c r="H94" s="205"/>
      <c r="I94" s="205"/>
      <c r="J94" s="205"/>
    </row>
    <row r="95" spans="1:10">
      <c r="A95" s="590"/>
      <c r="B95" s="205" t="s">
        <v>102</v>
      </c>
      <c r="C95" s="205"/>
      <c r="E95" s="206" t="s">
        <v>498</v>
      </c>
      <c r="F95" s="205"/>
      <c r="G95" s="205"/>
      <c r="H95" s="205"/>
      <c r="I95" s="205"/>
      <c r="J95" s="205"/>
    </row>
    <row r="96" spans="1:10">
      <c r="A96" s="590"/>
      <c r="B96" s="271" t="s">
        <v>104</v>
      </c>
      <c r="C96" s="205"/>
      <c r="E96" s="206" t="s">
        <v>311</v>
      </c>
      <c r="F96" s="205"/>
      <c r="G96" s="205"/>
      <c r="H96" s="205"/>
      <c r="I96" s="205"/>
      <c r="J96" s="205"/>
    </row>
    <row r="97" spans="1:10">
      <c r="A97" s="205"/>
      <c r="B97" s="205" t="s">
        <v>169</v>
      </c>
      <c r="C97" s="205"/>
      <c r="E97" s="206" t="s">
        <v>499</v>
      </c>
      <c r="F97" s="205"/>
      <c r="G97" s="205"/>
      <c r="H97" s="205"/>
      <c r="I97" s="205"/>
      <c r="J97" s="205"/>
    </row>
    <row r="98" spans="1:10">
      <c r="A98" s="205"/>
      <c r="B98" s="271" t="s">
        <v>106</v>
      </c>
      <c r="C98" s="205"/>
      <c r="E98" s="271" t="s">
        <v>105</v>
      </c>
      <c r="F98" s="205"/>
      <c r="G98" s="205"/>
      <c r="H98" s="205"/>
      <c r="I98" s="205"/>
      <c r="J98" s="205"/>
    </row>
    <row r="99" spans="1:10">
      <c r="A99" s="205"/>
      <c r="B99" s="271" t="s">
        <v>170</v>
      </c>
      <c r="C99" s="205"/>
      <c r="E99" s="271" t="s">
        <v>107</v>
      </c>
      <c r="F99" s="205"/>
      <c r="G99" s="205"/>
      <c r="H99" s="205"/>
      <c r="I99" s="205"/>
      <c r="J99" s="205"/>
    </row>
    <row r="100" spans="1:10">
      <c r="A100" s="205"/>
      <c r="B100" s="271" t="s">
        <v>108</v>
      </c>
      <c r="C100" s="205"/>
      <c r="E100" s="271" t="s">
        <v>109</v>
      </c>
      <c r="F100" s="205"/>
      <c r="G100" s="205"/>
      <c r="H100" s="205"/>
      <c r="I100" s="205"/>
      <c r="J100" s="205"/>
    </row>
    <row r="101" spans="1:10">
      <c r="A101" s="205"/>
      <c r="B101" s="206" t="s">
        <v>304</v>
      </c>
      <c r="C101" s="205"/>
      <c r="E101" s="271"/>
      <c r="F101" s="205"/>
      <c r="G101" s="205"/>
      <c r="H101" s="205"/>
      <c r="I101" s="205"/>
      <c r="J101" s="205"/>
    </row>
    <row r="102" spans="1:10">
      <c r="A102" s="205"/>
      <c r="B102" s="206"/>
      <c r="C102" s="205"/>
      <c r="E102" s="271"/>
      <c r="F102" s="205"/>
      <c r="G102" s="205"/>
      <c r="H102" s="205"/>
      <c r="I102" s="205"/>
      <c r="J102" s="205"/>
    </row>
    <row r="103" spans="1:10">
      <c r="A103" s="590" t="s">
        <v>110</v>
      </c>
      <c r="B103" s="590"/>
      <c r="C103" s="21"/>
    </row>
    <row r="104" spans="1:10">
      <c r="A104" s="205"/>
      <c r="B104" s="205" t="s">
        <v>315</v>
      </c>
      <c r="C104" s="597"/>
      <c r="D104" s="597"/>
      <c r="E104" s="169"/>
      <c r="F104" s="169"/>
    </row>
    <row r="105" spans="1:10" ht="12.6">
      <c r="A105" s="26"/>
      <c r="C105" s="597"/>
      <c r="D105" s="597"/>
      <c r="E105" s="169"/>
      <c r="F105" s="169"/>
    </row>
    <row r="106" spans="1:10">
      <c r="C106" s="21"/>
    </row>
    <row r="107" spans="1:10" ht="12.75" customHeight="1">
      <c r="C107" s="20"/>
    </row>
    <row r="108" spans="1:10" ht="12.75" customHeight="1">
      <c r="C108" s="20"/>
    </row>
    <row r="109" spans="1:10" ht="12.75" customHeight="1">
      <c r="C109" s="20"/>
    </row>
    <row r="110" spans="1:10" ht="12.75" customHeight="1">
      <c r="A110" s="19" t="s">
        <v>77</v>
      </c>
      <c r="C110" s="20"/>
    </row>
    <row r="111" spans="1:10" ht="12.75" customHeight="1">
      <c r="B111" s="19">
        <v>2.2046199999999998</v>
      </c>
      <c r="C111" s="19" t="s">
        <v>178</v>
      </c>
    </row>
    <row r="112" spans="1:10" ht="12.75" customHeight="1">
      <c r="B112" s="645"/>
      <c r="C112" s="19" t="s">
        <v>317</v>
      </c>
    </row>
    <row r="113" spans="2:3" ht="12.75" customHeight="1">
      <c r="B113" s="645"/>
      <c r="C113" s="19" t="s">
        <v>318</v>
      </c>
    </row>
    <row r="114" spans="2:3" ht="12.75" customHeight="1">
      <c r="B114" s="645"/>
      <c r="C114" s="20" t="s">
        <v>319</v>
      </c>
    </row>
    <row r="115" spans="2:3" ht="12.75" customHeight="1">
      <c r="B115" s="646"/>
      <c r="C115" s="20" t="s">
        <v>337</v>
      </c>
    </row>
    <row r="116" spans="2:3" ht="12.75" customHeight="1">
      <c r="B116" s="646"/>
      <c r="C116" s="20"/>
    </row>
    <row r="117" spans="2:3" ht="12.75" customHeight="1">
      <c r="B117" s="19" t="s">
        <v>179</v>
      </c>
      <c r="C117" s="20"/>
    </row>
    <row r="118" spans="2:3" ht="12.75" customHeight="1">
      <c r="B118" s="647" t="s">
        <v>117</v>
      </c>
      <c r="C118" s="538">
        <v>1</v>
      </c>
    </row>
    <row r="119" spans="2:3" ht="12.75" customHeight="1">
      <c r="B119" s="647" t="s">
        <v>118</v>
      </c>
      <c r="C119" s="538">
        <v>25</v>
      </c>
    </row>
    <row r="120" spans="2:3" ht="12.75" customHeight="1">
      <c r="B120" s="647" t="s">
        <v>119</v>
      </c>
      <c r="C120" s="538">
        <v>298</v>
      </c>
    </row>
    <row r="121" spans="2:3" ht="12.75" customHeight="1">
      <c r="C121" s="20"/>
    </row>
    <row r="122" spans="2:3" ht="12.75" customHeight="1">
      <c r="C122" s="20"/>
    </row>
    <row r="123" spans="2:3" ht="12.75" customHeight="1">
      <c r="C123" s="20"/>
    </row>
    <row r="124" spans="2:3">
      <c r="C124" s="20"/>
    </row>
    <row r="125" spans="2:3">
      <c r="C125" s="20"/>
    </row>
    <row r="126" spans="2:3">
      <c r="C126" s="20"/>
    </row>
    <row r="127" spans="2:3">
      <c r="C127" s="20"/>
    </row>
    <row r="128" spans="2:3">
      <c r="C128" s="20"/>
    </row>
    <row r="129" spans="2:3" ht="11.25" customHeight="1"/>
    <row r="130" spans="2:3" ht="11.25" customHeight="1"/>
    <row r="131" spans="2:3">
      <c r="B131" s="1427"/>
      <c r="C131" s="1427"/>
    </row>
  </sheetData>
  <mergeCells count="20">
    <mergeCell ref="A25:B25"/>
    <mergeCell ref="B1:J1"/>
    <mergeCell ref="B2:J2"/>
    <mergeCell ref="B3:J3"/>
    <mergeCell ref="B12:B13"/>
    <mergeCell ref="C12:C13"/>
    <mergeCell ref="D12:D13"/>
    <mergeCell ref="E12:F12"/>
    <mergeCell ref="B24:D24"/>
    <mergeCell ref="A86:B86"/>
    <mergeCell ref="A90:B90"/>
    <mergeCell ref="B131:C131"/>
    <mergeCell ref="B26:J26"/>
    <mergeCell ref="B27:J27"/>
    <mergeCell ref="B31:B32"/>
    <mergeCell ref="E31:E32"/>
    <mergeCell ref="F31:F32"/>
    <mergeCell ref="G31:H31"/>
    <mergeCell ref="C31:C32"/>
    <mergeCell ref="D31:D32"/>
  </mergeCells>
  <pageMargins left="0.25" right="0.25" top="0.75" bottom="0.75" header="0.3" footer="0.3"/>
  <pageSetup scale="61" orientation="portrait" r:id="rId1"/>
  <headerFooter>
    <oddFooter>&amp;CPage &amp;P of &amp;N</oddFooter>
  </headerFooter>
  <rowBreaks count="1" manualBreakCount="1">
    <brk id="29" max="9"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E869-A80F-4CBF-AB73-B24BC762B936}">
  <dimension ref="A1:Q89"/>
  <sheetViews>
    <sheetView topLeftCell="A61" workbookViewId="0">
      <selection activeCell="K23" sqref="K23"/>
    </sheetView>
  </sheetViews>
  <sheetFormatPr defaultColWidth="8.88671875" defaultRowHeight="13.8"/>
  <cols>
    <col min="1" max="1" width="2.5546875" style="188" customWidth="1"/>
    <col min="2" max="2" width="41.33203125" style="188" customWidth="1"/>
    <col min="3" max="5" width="11.5546875" style="188" customWidth="1"/>
    <col min="6" max="7" width="12.44140625" style="188" customWidth="1"/>
    <col min="8" max="8" width="11.109375" style="188" customWidth="1"/>
    <col min="9" max="12" width="11.44140625" style="188" customWidth="1"/>
    <col min="13" max="13" width="5.6640625" style="188" customWidth="1"/>
    <col min="14" max="15" width="8.88671875" style="188"/>
    <col min="16" max="16" width="12.44140625" style="188" bestFit="1" customWidth="1"/>
    <col min="17" max="16384" width="8.88671875" style="188"/>
  </cols>
  <sheetData>
    <row r="1" spans="1:14">
      <c r="A1" s="187"/>
      <c r="B1" s="1406" t="s">
        <v>500</v>
      </c>
      <c r="C1" s="1406"/>
      <c r="D1" s="1406"/>
      <c r="E1" s="1406"/>
      <c r="F1" s="1406"/>
      <c r="G1" s="1406"/>
      <c r="H1" s="1406"/>
      <c r="I1" s="1406"/>
      <c r="J1" s="193"/>
      <c r="K1" s="307"/>
      <c r="L1" s="307"/>
      <c r="M1" s="307"/>
    </row>
    <row r="2" spans="1:14">
      <c r="A2" s="187"/>
      <c r="B2" s="1406" t="s">
        <v>327</v>
      </c>
      <c r="C2" s="1406"/>
      <c r="D2" s="1406"/>
      <c r="E2" s="1406"/>
      <c r="F2" s="1406"/>
      <c r="G2" s="1406"/>
      <c r="H2" s="1406"/>
      <c r="I2" s="1406"/>
      <c r="J2" s="193"/>
      <c r="K2" s="307"/>
      <c r="L2" s="307"/>
      <c r="M2" s="307"/>
      <c r="N2" s="193"/>
    </row>
    <row r="3" spans="1:14">
      <c r="A3" s="187"/>
      <c r="B3" s="1406" t="str">
        <f>'3a-RTO - Dryer GHM DHM'!B3:J3</f>
        <v>Enviva Pellets Ahoskie, LLC</v>
      </c>
      <c r="C3" s="1406"/>
      <c r="D3" s="1406"/>
      <c r="E3" s="1406"/>
      <c r="F3" s="1406"/>
      <c r="G3" s="1406"/>
      <c r="H3" s="1406"/>
      <c r="I3" s="1406"/>
      <c r="J3" s="193"/>
      <c r="K3" s="307"/>
      <c r="L3" s="307"/>
      <c r="M3" s="307"/>
    </row>
    <row r="5" spans="1:14" ht="14.4" thickBot="1">
      <c r="B5" s="200" t="s">
        <v>320</v>
      </c>
    </row>
    <row r="6" spans="1:14" ht="14.4" thickTop="1">
      <c r="B6" s="280" t="s">
        <v>321</v>
      </c>
      <c r="C6" s="556">
        <v>2.5</v>
      </c>
      <c r="D6" s="281" t="s">
        <v>29</v>
      </c>
      <c r="E6" s="189"/>
      <c r="F6" s="190"/>
      <c r="G6" s="189"/>
    </row>
    <row r="7" spans="1:14">
      <c r="B7" s="282" t="s">
        <v>281</v>
      </c>
      <c r="C7" s="283">
        <v>2</v>
      </c>
      <c r="D7" s="284"/>
      <c r="E7" s="189"/>
      <c r="F7" s="190"/>
      <c r="G7" s="189"/>
    </row>
    <row r="8" spans="1:14" ht="14.4" thickBot="1">
      <c r="B8" s="285" t="s">
        <v>78</v>
      </c>
      <c r="C8" s="286">
        <v>8760</v>
      </c>
      <c r="D8" s="287" t="s">
        <v>30</v>
      </c>
      <c r="E8" s="189"/>
      <c r="F8" s="189"/>
      <c r="G8" s="189"/>
    </row>
    <row r="9" spans="1:14" ht="14.4" thickTop="1">
      <c r="B9" s="191"/>
      <c r="C9" s="192"/>
      <c r="D9" s="189"/>
      <c r="E9" s="190"/>
      <c r="F9" s="189"/>
    </row>
    <row r="10" spans="1:14" ht="14.4" thickBot="1">
      <c r="A10" s="93"/>
      <c r="B10" s="199" t="s">
        <v>322</v>
      </c>
      <c r="C10" s="93"/>
      <c r="D10" s="93"/>
      <c r="E10" s="93"/>
      <c r="F10" s="93"/>
      <c r="G10" s="93"/>
      <c r="H10" s="93"/>
    </row>
    <row r="11" spans="1:14" ht="24.75" customHeight="1" thickTop="1">
      <c r="A11" s="93"/>
      <c r="B11" s="1443" t="s">
        <v>22</v>
      </c>
      <c r="C11" s="1445" t="s">
        <v>37</v>
      </c>
      <c r="D11" s="1445" t="s">
        <v>31</v>
      </c>
      <c r="E11" s="1445" t="s">
        <v>121</v>
      </c>
      <c r="F11" s="1447" t="s">
        <v>94</v>
      </c>
      <c r="G11" s="1448"/>
      <c r="H11" s="93"/>
    </row>
    <row r="12" spans="1:14" ht="23.4" thickBot="1">
      <c r="A12" s="93"/>
      <c r="B12" s="1444"/>
      <c r="C12" s="1446"/>
      <c r="D12" s="1446"/>
      <c r="E12" s="1446"/>
      <c r="F12" s="288" t="s">
        <v>561</v>
      </c>
      <c r="G12" s="289" t="s">
        <v>323</v>
      </c>
      <c r="H12" s="93"/>
    </row>
    <row r="13" spans="1:14" ht="14.4" thickTop="1">
      <c r="A13" s="93"/>
      <c r="B13" s="290" t="s">
        <v>2</v>
      </c>
      <c r="C13" s="144">
        <v>84</v>
      </c>
      <c r="D13" s="33" t="s">
        <v>138</v>
      </c>
      <c r="E13" s="291">
        <v>1</v>
      </c>
      <c r="F13" s="143">
        <f>C13*$C$6*$C$7/1020</f>
        <v>0.41176470588235292</v>
      </c>
      <c r="G13" s="292">
        <f>F13*$C$8/2000</f>
        <v>1.8035294117647058</v>
      </c>
      <c r="H13" s="93"/>
    </row>
    <row r="14" spans="1:14">
      <c r="A14" s="93"/>
      <c r="B14" s="293" t="s">
        <v>282</v>
      </c>
      <c r="C14" s="121">
        <v>50</v>
      </c>
      <c r="D14" s="36" t="s">
        <v>138</v>
      </c>
      <c r="E14" s="223">
        <v>2</v>
      </c>
      <c r="F14" s="120">
        <f>C14*$C$6*$C$7/1020</f>
        <v>0.24509803921568626</v>
      </c>
      <c r="G14" s="147">
        <f t="shared" ref="G14:G18" si="0">F14*$C$8/2000</f>
        <v>1.0735294117647058</v>
      </c>
      <c r="H14" s="93"/>
    </row>
    <row r="15" spans="1:14">
      <c r="A15" s="93"/>
      <c r="B15" s="293" t="s">
        <v>324</v>
      </c>
      <c r="C15" s="294">
        <v>0.6</v>
      </c>
      <c r="D15" s="36" t="s">
        <v>138</v>
      </c>
      <c r="E15" s="223">
        <v>1</v>
      </c>
      <c r="F15" s="233">
        <f t="shared" ref="F15:F18" si="1">C15*$C$6*$C$7/1020</f>
        <v>2.9411764705882353E-3</v>
      </c>
      <c r="G15" s="232">
        <f t="shared" si="0"/>
        <v>1.2882352941176472E-2</v>
      </c>
      <c r="H15" s="93"/>
    </row>
    <row r="16" spans="1:14">
      <c r="A16" s="93"/>
      <c r="B16" s="293" t="s">
        <v>3</v>
      </c>
      <c r="C16" s="120">
        <v>5.5</v>
      </c>
      <c r="D16" s="36" t="s">
        <v>138</v>
      </c>
      <c r="E16" s="223">
        <v>1</v>
      </c>
      <c r="F16" s="123">
        <f t="shared" si="1"/>
        <v>2.6960784313725492E-2</v>
      </c>
      <c r="G16" s="232">
        <f t="shared" si="0"/>
        <v>0.11808823529411765</v>
      </c>
      <c r="H16" s="93"/>
    </row>
    <row r="17" spans="1:13">
      <c r="A17" s="93"/>
      <c r="B17" s="295" t="s">
        <v>325</v>
      </c>
      <c r="C17" s="120">
        <v>5.7</v>
      </c>
      <c r="D17" s="36" t="s">
        <v>138</v>
      </c>
      <c r="E17" s="223">
        <v>1</v>
      </c>
      <c r="F17" s="123">
        <f t="shared" si="1"/>
        <v>2.7941176470588237E-2</v>
      </c>
      <c r="G17" s="232">
        <f t="shared" si="0"/>
        <v>0.12238235294117648</v>
      </c>
      <c r="H17" s="93"/>
    </row>
    <row r="18" spans="1:13">
      <c r="A18" s="93"/>
      <c r="B18" s="148" t="s">
        <v>326</v>
      </c>
      <c r="C18" s="296">
        <v>1.9</v>
      </c>
      <c r="D18" s="36" t="s">
        <v>138</v>
      </c>
      <c r="E18" s="223">
        <v>1</v>
      </c>
      <c r="F18" s="233">
        <f t="shared" si="1"/>
        <v>9.3137254901960783E-3</v>
      </c>
      <c r="G18" s="232">
        <f t="shared" si="0"/>
        <v>4.0794117647058828E-2</v>
      </c>
      <c r="H18" s="93"/>
    </row>
    <row r="19" spans="1:13" ht="15.75" customHeight="1">
      <c r="A19" s="93"/>
      <c r="B19" s="1440" t="s">
        <v>387</v>
      </c>
      <c r="C19" s="1441"/>
      <c r="D19" s="1441"/>
      <c r="E19" s="1442"/>
      <c r="F19" s="311">
        <f>SUM(F17:F18)</f>
        <v>3.7254901960784313E-2</v>
      </c>
      <c r="G19" s="310">
        <f>SUM(G17:G18)</f>
        <v>0.16317647058823531</v>
      </c>
      <c r="H19" s="93"/>
    </row>
    <row r="20" spans="1:13">
      <c r="A20" s="93"/>
      <c r="B20" s="148" t="s">
        <v>117</v>
      </c>
      <c r="C20" s="455">
        <v>120000</v>
      </c>
      <c r="D20" s="36" t="s">
        <v>138</v>
      </c>
      <c r="E20" s="452">
        <v>1</v>
      </c>
      <c r="F20" s="146">
        <f>C20*$C$6*$C$7/1020</f>
        <v>588.23529411764707</v>
      </c>
      <c r="G20" s="312">
        <f>F20*$C$8/2000</f>
        <v>2576.4705882352941</v>
      </c>
      <c r="H20" s="93"/>
    </row>
    <row r="21" spans="1:13">
      <c r="A21" s="93"/>
      <c r="B21" s="148" t="s">
        <v>118</v>
      </c>
      <c r="C21" s="456">
        <v>2.2999999999999998</v>
      </c>
      <c r="D21" s="36" t="s">
        <v>138</v>
      </c>
      <c r="E21" s="452">
        <v>1</v>
      </c>
      <c r="F21" s="233">
        <f t="shared" ref="F21:F22" si="2">C21*$C$6*$C$7/1020</f>
        <v>1.1274509803921568E-2</v>
      </c>
      <c r="G21" s="232">
        <f t="shared" ref="G21:G22" si="3">F21*$C$8/2000</f>
        <v>4.9382352941176474E-2</v>
      </c>
      <c r="H21" s="93"/>
    </row>
    <row r="22" spans="1:13">
      <c r="A22" s="93"/>
      <c r="B22" s="148" t="s">
        <v>388</v>
      </c>
      <c r="C22" s="456">
        <v>0.64</v>
      </c>
      <c r="D22" s="36" t="s">
        <v>138</v>
      </c>
      <c r="E22" s="452" t="s">
        <v>558</v>
      </c>
      <c r="F22" s="233">
        <f t="shared" si="2"/>
        <v>3.1372549019607846E-3</v>
      </c>
      <c r="G22" s="232">
        <f t="shared" si="3"/>
        <v>1.3741176470588236E-2</v>
      </c>
      <c r="H22" s="93"/>
    </row>
    <row r="23" spans="1:13" ht="14.4" thickBot="1">
      <c r="A23" s="93"/>
      <c r="B23" s="457" t="s">
        <v>333</v>
      </c>
      <c r="C23" s="459" t="s">
        <v>98</v>
      </c>
      <c r="D23" s="458" t="s">
        <v>98</v>
      </c>
      <c r="E23" s="460">
        <v>3</v>
      </c>
      <c r="F23" s="534">
        <f>F20+(F21*25)+F22*298</f>
        <v>589.45205882352934</v>
      </c>
      <c r="G23" s="514">
        <f>G20+(G21*25)+G22*298</f>
        <v>2581.8000176470587</v>
      </c>
      <c r="H23" s="93"/>
    </row>
    <row r="24" spans="1:13" ht="14.4" thickTop="1">
      <c r="A24" s="297" t="s">
        <v>196</v>
      </c>
      <c r="C24" s="298"/>
      <c r="D24" s="299"/>
      <c r="E24" s="299"/>
      <c r="F24" s="299"/>
      <c r="G24" s="93"/>
      <c r="H24" s="93"/>
    </row>
    <row r="25" spans="1:13" ht="21.75" customHeight="1">
      <c r="A25" s="208" t="s">
        <v>100</v>
      </c>
      <c r="B25" s="1400" t="s">
        <v>300</v>
      </c>
      <c r="C25" s="1400"/>
      <c r="D25" s="1400"/>
      <c r="E25" s="1400"/>
      <c r="F25" s="1400"/>
      <c r="G25" s="1400"/>
      <c r="H25" s="93"/>
    </row>
    <row r="26" spans="1:13" ht="12" customHeight="1">
      <c r="A26" s="208" t="s">
        <v>159</v>
      </c>
      <c r="B26" s="1400" t="s">
        <v>435</v>
      </c>
      <c r="C26" s="1400"/>
      <c r="D26" s="1400"/>
      <c r="E26" s="1400"/>
      <c r="F26" s="1400"/>
      <c r="G26" s="1400"/>
      <c r="H26" s="93"/>
    </row>
    <row r="27" spans="1:13" ht="13.5" customHeight="1">
      <c r="A27" s="208" t="s">
        <v>160</v>
      </c>
      <c r="B27" s="1417" t="s">
        <v>389</v>
      </c>
      <c r="C27" s="1417"/>
      <c r="D27" s="1417"/>
      <c r="E27" s="1417"/>
      <c r="F27" s="1417"/>
      <c r="G27" s="1417"/>
      <c r="H27" s="93"/>
    </row>
    <row r="28" spans="1:13" ht="6" customHeight="1">
      <c r="A28" s="93"/>
      <c r="B28" s="159"/>
      <c r="C28" s="159"/>
      <c r="D28" s="159"/>
      <c r="E28" s="159"/>
      <c r="F28" s="300"/>
      <c r="G28" s="160"/>
      <c r="H28" s="93"/>
    </row>
    <row r="29" spans="1:13" ht="14.4" thickBot="1">
      <c r="A29" s="93"/>
      <c r="B29" s="200" t="s">
        <v>120</v>
      </c>
      <c r="C29" s="159"/>
      <c r="D29" s="159"/>
      <c r="E29" s="159"/>
      <c r="F29" s="300"/>
      <c r="G29" s="160"/>
      <c r="H29" s="93"/>
    </row>
    <row r="30" spans="1:13" ht="16.5" customHeight="1" thickTop="1">
      <c r="B30" s="1425" t="s">
        <v>22</v>
      </c>
      <c r="C30" s="1402" t="s">
        <v>36</v>
      </c>
      <c r="D30" s="1404" t="s">
        <v>390</v>
      </c>
      <c r="E30" s="1407" t="s">
        <v>93</v>
      </c>
      <c r="F30" s="1449" t="s">
        <v>31</v>
      </c>
      <c r="G30" s="163" t="s">
        <v>269</v>
      </c>
      <c r="H30" s="164"/>
      <c r="I30" s="61"/>
      <c r="J30" s="61"/>
      <c r="K30" s="61"/>
    </row>
    <row r="31" spans="1:13" ht="16.5" customHeight="1" thickBot="1">
      <c r="B31" s="1426"/>
      <c r="C31" s="1403"/>
      <c r="D31" s="1405"/>
      <c r="E31" s="1408"/>
      <c r="F31" s="1450"/>
      <c r="G31" s="301" t="s">
        <v>23</v>
      </c>
      <c r="H31" s="302" t="s">
        <v>8</v>
      </c>
      <c r="I31" s="751"/>
      <c r="J31" s="751"/>
      <c r="K31" s="751"/>
    </row>
    <row r="32" spans="1:13" ht="15" thickTop="1" thickBot="1">
      <c r="B32" s="161" t="s">
        <v>328</v>
      </c>
      <c r="C32" s="162"/>
      <c r="D32" s="162"/>
      <c r="E32" s="162"/>
      <c r="F32" s="303"/>
      <c r="G32" s="303"/>
      <c r="H32" s="304"/>
      <c r="I32" s="752"/>
      <c r="J32" s="752"/>
      <c r="K32" s="752"/>
      <c r="M32" s="64" t="s">
        <v>175</v>
      </c>
    </row>
    <row r="33" spans="2:13">
      <c r="B33" s="47" t="s">
        <v>137</v>
      </c>
      <c r="C33" s="648" t="s">
        <v>95</v>
      </c>
      <c r="D33" s="48" t="s">
        <v>96</v>
      </c>
      <c r="E33" s="230">
        <v>2.4000000000000001E-5</v>
      </c>
      <c r="F33" s="66" t="s">
        <v>138</v>
      </c>
      <c r="G33" s="227">
        <f t="shared" ref="G33:G69" si="4">$E33*($C$7*$C$6)/1020</f>
        <v>1.1764705882352942E-7</v>
      </c>
      <c r="H33" s="228">
        <f t="shared" ref="H33:H68" si="5">G33*$C$8/2000</f>
        <v>5.1529411764705885E-7</v>
      </c>
      <c r="I33" s="753"/>
      <c r="J33" s="753"/>
      <c r="K33" s="753"/>
      <c r="M33" s="64" t="s">
        <v>176</v>
      </c>
    </row>
    <row r="34" spans="2:13">
      <c r="B34" s="47" t="s">
        <v>139</v>
      </c>
      <c r="C34" s="648" t="s">
        <v>95</v>
      </c>
      <c r="D34" s="48" t="s">
        <v>96</v>
      </c>
      <c r="E34" s="230">
        <v>1.7999999999999999E-6</v>
      </c>
      <c r="F34" s="66" t="s">
        <v>138</v>
      </c>
      <c r="G34" s="227">
        <f t="shared" si="4"/>
        <v>8.823529411764706E-9</v>
      </c>
      <c r="H34" s="228">
        <f t="shared" si="5"/>
        <v>3.8647058823529411E-8</v>
      </c>
      <c r="I34" s="753"/>
      <c r="J34" s="753"/>
      <c r="K34" s="753"/>
      <c r="M34" s="64" t="s">
        <v>176</v>
      </c>
    </row>
    <row r="35" spans="2:13">
      <c r="B35" s="47" t="s">
        <v>140</v>
      </c>
      <c r="C35" s="648" t="s">
        <v>95</v>
      </c>
      <c r="D35" s="48" t="s">
        <v>96</v>
      </c>
      <c r="E35" s="230">
        <v>1.5999999999999999E-5</v>
      </c>
      <c r="F35" s="66" t="s">
        <v>138</v>
      </c>
      <c r="G35" s="227">
        <f t="shared" si="4"/>
        <v>7.8431372549019607E-8</v>
      </c>
      <c r="H35" s="228">
        <f t="shared" si="5"/>
        <v>3.4352941176470583E-7</v>
      </c>
      <c r="I35" s="753"/>
      <c r="J35" s="753"/>
      <c r="K35" s="753"/>
      <c r="M35" s="64" t="s">
        <v>176</v>
      </c>
    </row>
    <row r="36" spans="2:13">
      <c r="B36" s="47" t="s">
        <v>141</v>
      </c>
      <c r="C36" s="648" t="s">
        <v>95</v>
      </c>
      <c r="D36" s="48" t="s">
        <v>96</v>
      </c>
      <c r="E36" s="230">
        <v>1.7999999999999999E-6</v>
      </c>
      <c r="F36" s="66" t="s">
        <v>138</v>
      </c>
      <c r="G36" s="227">
        <f t="shared" si="4"/>
        <v>8.823529411764706E-9</v>
      </c>
      <c r="H36" s="228">
        <f t="shared" si="5"/>
        <v>3.8647058823529411E-8</v>
      </c>
      <c r="I36" s="753"/>
      <c r="J36" s="753"/>
      <c r="K36" s="753"/>
      <c r="M36" s="64" t="s">
        <v>176</v>
      </c>
    </row>
    <row r="37" spans="2:13">
      <c r="B37" s="47" t="s">
        <v>142</v>
      </c>
      <c r="C37" s="648" t="s">
        <v>95</v>
      </c>
      <c r="D37" s="48" t="s">
        <v>96</v>
      </c>
      <c r="E37" s="230">
        <v>1.7999999999999999E-6</v>
      </c>
      <c r="F37" s="66" t="s">
        <v>138</v>
      </c>
      <c r="G37" s="227">
        <f t="shared" si="4"/>
        <v>8.823529411764706E-9</v>
      </c>
      <c r="H37" s="228">
        <f t="shared" si="5"/>
        <v>3.8647058823529411E-8</v>
      </c>
      <c r="I37" s="753"/>
      <c r="J37" s="753"/>
      <c r="K37" s="753"/>
      <c r="M37" s="64" t="s">
        <v>176</v>
      </c>
    </row>
    <row r="38" spans="2:13">
      <c r="B38" s="47" t="s">
        <v>11</v>
      </c>
      <c r="C38" s="648" t="s">
        <v>95</v>
      </c>
      <c r="D38" s="48" t="s">
        <v>95</v>
      </c>
      <c r="E38" s="230">
        <v>1.52E-5</v>
      </c>
      <c r="F38" s="66" t="s">
        <v>138</v>
      </c>
      <c r="G38" s="227">
        <f t="shared" si="4"/>
        <v>7.4509803921568627E-8</v>
      </c>
      <c r="H38" s="228">
        <f t="shared" si="5"/>
        <v>3.2635294117647061E-7</v>
      </c>
      <c r="I38" s="753"/>
      <c r="J38" s="753"/>
      <c r="K38" s="753"/>
      <c r="M38" s="64"/>
    </row>
    <row r="39" spans="2:13">
      <c r="B39" s="47" t="s">
        <v>12</v>
      </c>
      <c r="C39" s="648" t="s">
        <v>95</v>
      </c>
      <c r="D39" s="48" t="s">
        <v>95</v>
      </c>
      <c r="E39" s="230">
        <v>1.8E-5</v>
      </c>
      <c r="F39" s="66" t="s">
        <v>138</v>
      </c>
      <c r="G39" s="227">
        <f t="shared" si="4"/>
        <v>8.823529411764707E-8</v>
      </c>
      <c r="H39" s="228">
        <f t="shared" si="5"/>
        <v>3.8647058823529417E-7</v>
      </c>
      <c r="I39" s="753"/>
      <c r="J39" s="753"/>
      <c r="K39" s="753"/>
      <c r="M39" s="64"/>
    </row>
    <row r="40" spans="2:13">
      <c r="B40" s="47" t="s">
        <v>457</v>
      </c>
      <c r="C40" s="648" t="s">
        <v>96</v>
      </c>
      <c r="D40" s="48" t="s">
        <v>95</v>
      </c>
      <c r="E40" s="230">
        <v>3.2</v>
      </c>
      <c r="F40" s="66" t="s">
        <v>138</v>
      </c>
      <c r="G40" s="227">
        <f t="shared" si="4"/>
        <v>1.5686274509803921E-2</v>
      </c>
      <c r="H40" s="228">
        <f t="shared" si="5"/>
        <v>6.8705882352941172E-2</v>
      </c>
      <c r="I40" s="753"/>
      <c r="J40" s="753"/>
      <c r="K40" s="753"/>
      <c r="M40" s="64"/>
    </row>
    <row r="41" spans="2:13">
      <c r="B41" s="47" t="s">
        <v>143</v>
      </c>
      <c r="C41" s="648" t="s">
        <v>95</v>
      </c>
      <c r="D41" s="48" t="s">
        <v>96</v>
      </c>
      <c r="E41" s="230">
        <v>2.3999999999999999E-6</v>
      </c>
      <c r="F41" s="66" t="s">
        <v>138</v>
      </c>
      <c r="G41" s="227">
        <f t="shared" si="4"/>
        <v>1.1764705882352941E-8</v>
      </c>
      <c r="H41" s="228">
        <f t="shared" si="5"/>
        <v>5.1529411764705884E-8</v>
      </c>
      <c r="I41" s="753"/>
      <c r="J41" s="753"/>
      <c r="K41" s="753"/>
      <c r="M41" s="64" t="s">
        <v>176</v>
      </c>
    </row>
    <row r="42" spans="2:13">
      <c r="B42" s="47" t="s">
        <v>473</v>
      </c>
      <c r="C42" s="648" t="s">
        <v>95</v>
      </c>
      <c r="D42" s="48" t="s">
        <v>95</v>
      </c>
      <c r="E42" s="230">
        <v>2.0000000000000001E-4</v>
      </c>
      <c r="F42" s="66" t="s">
        <v>138</v>
      </c>
      <c r="G42" s="227">
        <f t="shared" si="4"/>
        <v>9.8039215686274508E-7</v>
      </c>
      <c r="H42" s="228">
        <f t="shared" si="5"/>
        <v>4.2941176470588233E-6</v>
      </c>
      <c r="I42" s="753"/>
      <c r="J42" s="753"/>
      <c r="K42" s="753"/>
      <c r="M42" s="64"/>
    </row>
    <row r="43" spans="2:13">
      <c r="B43" s="47" t="s">
        <v>144</v>
      </c>
      <c r="C43" s="648" t="s">
        <v>95</v>
      </c>
      <c r="D43" s="48" t="s">
        <v>96</v>
      </c>
      <c r="E43" s="230">
        <v>1.7999999999999999E-6</v>
      </c>
      <c r="F43" s="66" t="s">
        <v>138</v>
      </c>
      <c r="G43" s="227">
        <f t="shared" si="4"/>
        <v>8.823529411764706E-9</v>
      </c>
      <c r="H43" s="228">
        <f t="shared" si="5"/>
        <v>3.8647058823529411E-8</v>
      </c>
      <c r="I43" s="753"/>
      <c r="J43" s="753"/>
      <c r="K43" s="753"/>
      <c r="M43" s="64" t="s">
        <v>176</v>
      </c>
    </row>
    <row r="44" spans="2:13">
      <c r="B44" s="47" t="s">
        <v>13</v>
      </c>
      <c r="C44" s="648" t="s">
        <v>95</v>
      </c>
      <c r="D44" s="48" t="s">
        <v>95</v>
      </c>
      <c r="E44" s="230">
        <v>2.0999999999999999E-3</v>
      </c>
      <c r="F44" s="66" t="s">
        <v>138</v>
      </c>
      <c r="G44" s="227">
        <f t="shared" si="4"/>
        <v>1.0294117647058823E-5</v>
      </c>
      <c r="H44" s="228">
        <f t="shared" si="5"/>
        <v>4.5088235294117644E-5</v>
      </c>
      <c r="I44" s="753"/>
      <c r="J44" s="753"/>
      <c r="K44" s="753"/>
      <c r="M44" s="64"/>
    </row>
    <row r="45" spans="2:13">
      <c r="B45" s="47" t="s">
        <v>25</v>
      </c>
      <c r="C45" s="648" t="s">
        <v>95</v>
      </c>
      <c r="D45" s="48" t="s">
        <v>95</v>
      </c>
      <c r="E45" s="230">
        <v>1.1999999999999999E-6</v>
      </c>
      <c r="F45" s="66" t="s">
        <v>138</v>
      </c>
      <c r="G45" s="227">
        <f t="shared" si="4"/>
        <v>5.8823529411764704E-9</v>
      </c>
      <c r="H45" s="228">
        <f t="shared" si="5"/>
        <v>2.5764705882352942E-8</v>
      </c>
      <c r="I45" s="753"/>
      <c r="J45" s="753"/>
      <c r="K45" s="753"/>
      <c r="M45" s="64" t="s">
        <v>176</v>
      </c>
    </row>
    <row r="46" spans="2:13">
      <c r="B46" s="47" t="s">
        <v>145</v>
      </c>
      <c r="C46" s="648" t="s">
        <v>95</v>
      </c>
      <c r="D46" s="48" t="s">
        <v>96</v>
      </c>
      <c r="E46" s="230">
        <v>1.7999999999999999E-6</v>
      </c>
      <c r="F46" s="66" t="s">
        <v>138</v>
      </c>
      <c r="G46" s="227">
        <f t="shared" si="4"/>
        <v>8.823529411764706E-9</v>
      </c>
      <c r="H46" s="228">
        <f t="shared" si="5"/>
        <v>3.8647058823529411E-8</v>
      </c>
      <c r="I46" s="753"/>
      <c r="J46" s="753"/>
      <c r="K46" s="753"/>
      <c r="M46" s="64" t="s">
        <v>176</v>
      </c>
    </row>
    <row r="47" spans="2:13">
      <c r="B47" s="47" t="s">
        <v>146</v>
      </c>
      <c r="C47" s="648" t="s">
        <v>95</v>
      </c>
      <c r="D47" s="48" t="s">
        <v>96</v>
      </c>
      <c r="E47" s="230">
        <v>1.1999999999999999E-6</v>
      </c>
      <c r="F47" s="66" t="s">
        <v>138</v>
      </c>
      <c r="G47" s="227">
        <f t="shared" si="4"/>
        <v>5.8823529411764704E-9</v>
      </c>
      <c r="H47" s="228">
        <f t="shared" si="5"/>
        <v>2.5764705882352942E-8</v>
      </c>
      <c r="I47" s="753"/>
      <c r="J47" s="753"/>
      <c r="K47" s="753"/>
      <c r="M47" s="64" t="s">
        <v>176</v>
      </c>
    </row>
    <row r="48" spans="2:13">
      <c r="B48" s="47" t="s">
        <v>147</v>
      </c>
      <c r="C48" s="648" t="s">
        <v>95</v>
      </c>
      <c r="D48" s="48" t="s">
        <v>96</v>
      </c>
      <c r="E48" s="230">
        <v>1.7999999999999999E-6</v>
      </c>
      <c r="F48" s="66" t="s">
        <v>138</v>
      </c>
      <c r="G48" s="227">
        <f t="shared" si="4"/>
        <v>8.823529411764706E-9</v>
      </c>
      <c r="H48" s="228">
        <f t="shared" si="5"/>
        <v>3.8647058823529411E-8</v>
      </c>
      <c r="I48" s="753"/>
      <c r="J48" s="753"/>
      <c r="K48" s="753"/>
      <c r="M48" s="64" t="s">
        <v>176</v>
      </c>
    </row>
    <row r="49" spans="2:13">
      <c r="B49" s="47" t="s">
        <v>122</v>
      </c>
      <c r="C49" s="648" t="s">
        <v>95</v>
      </c>
      <c r="D49" s="48" t="s">
        <v>95</v>
      </c>
      <c r="E49" s="230">
        <v>1.2E-5</v>
      </c>
      <c r="F49" s="66" t="s">
        <v>138</v>
      </c>
      <c r="G49" s="227">
        <f t="shared" si="4"/>
        <v>5.8823529411764709E-8</v>
      </c>
      <c r="H49" s="228">
        <f t="shared" si="5"/>
        <v>2.5764705882352943E-7</v>
      </c>
      <c r="I49" s="753"/>
      <c r="J49" s="753"/>
      <c r="K49" s="753"/>
      <c r="M49" s="64"/>
    </row>
    <row r="50" spans="2:13">
      <c r="B50" s="47" t="s">
        <v>123</v>
      </c>
      <c r="C50" s="648" t="s">
        <v>95</v>
      </c>
      <c r="D50" s="48" t="s">
        <v>95</v>
      </c>
      <c r="E50" s="230">
        <v>1.1000000000000001E-3</v>
      </c>
      <c r="F50" s="66" t="s">
        <v>138</v>
      </c>
      <c r="G50" s="227">
        <f t="shared" si="4"/>
        <v>5.3921568627450987E-6</v>
      </c>
      <c r="H50" s="228">
        <f t="shared" si="5"/>
        <v>2.3617647058823532E-5</v>
      </c>
      <c r="I50" s="753"/>
      <c r="J50" s="753"/>
      <c r="K50" s="753"/>
      <c r="M50" s="64"/>
    </row>
    <row r="51" spans="2:13">
      <c r="B51" s="47" t="s">
        <v>124</v>
      </c>
      <c r="C51" s="648" t="s">
        <v>95</v>
      </c>
      <c r="D51" s="48" t="s">
        <v>96</v>
      </c>
      <c r="E51" s="230">
        <v>1.4E-3</v>
      </c>
      <c r="F51" s="66" t="s">
        <v>138</v>
      </c>
      <c r="G51" s="227">
        <f>$E51*($C$7*$C$6)/1020</f>
        <v>6.8627450980392162E-6</v>
      </c>
      <c r="H51" s="228">
        <f t="shared" si="5"/>
        <v>3.0058823529411767E-5</v>
      </c>
      <c r="I51" s="753"/>
      <c r="J51" s="753"/>
      <c r="K51" s="753"/>
      <c r="M51" s="64"/>
    </row>
    <row r="52" spans="2:13">
      <c r="B52" s="47" t="s">
        <v>148</v>
      </c>
      <c r="C52" s="648" t="s">
        <v>95</v>
      </c>
      <c r="D52" s="48" t="s">
        <v>96</v>
      </c>
      <c r="E52" s="230">
        <v>1.7999999999999999E-6</v>
      </c>
      <c r="F52" s="66" t="s">
        <v>138</v>
      </c>
      <c r="G52" s="227">
        <f t="shared" si="4"/>
        <v>8.823529411764706E-9</v>
      </c>
      <c r="H52" s="228">
        <f t="shared" si="5"/>
        <v>3.8647058823529411E-8</v>
      </c>
      <c r="I52" s="753"/>
      <c r="J52" s="753"/>
      <c r="K52" s="753"/>
      <c r="M52" s="64" t="s">
        <v>176</v>
      </c>
    </row>
    <row r="53" spans="2:13">
      <c r="B53" s="47" t="s">
        <v>61</v>
      </c>
      <c r="C53" s="648" t="s">
        <v>95</v>
      </c>
      <c r="D53" s="48" t="s">
        <v>96</v>
      </c>
      <c r="E53" s="230">
        <v>8.3999999999999995E-5</v>
      </c>
      <c r="F53" s="66" t="s">
        <v>138</v>
      </c>
      <c r="G53" s="227">
        <f t="shared" si="4"/>
        <v>4.1176470588235289E-7</v>
      </c>
      <c r="H53" s="228">
        <f t="shared" si="5"/>
        <v>1.8035294117647058E-6</v>
      </c>
      <c r="I53" s="753"/>
      <c r="J53" s="753"/>
      <c r="K53" s="753"/>
      <c r="M53" s="64"/>
    </row>
    <row r="54" spans="2:13">
      <c r="B54" s="47" t="s">
        <v>149</v>
      </c>
      <c r="C54" s="648" t="s">
        <v>95</v>
      </c>
      <c r="D54" s="48" t="s">
        <v>96</v>
      </c>
      <c r="E54" s="230">
        <v>1.1999999999999999E-6</v>
      </c>
      <c r="F54" s="66" t="s">
        <v>138</v>
      </c>
      <c r="G54" s="227">
        <f t="shared" si="4"/>
        <v>5.8823529411764704E-9</v>
      </c>
      <c r="H54" s="228">
        <f t="shared" si="5"/>
        <v>2.5764705882352942E-8</v>
      </c>
      <c r="I54" s="753"/>
      <c r="J54" s="753"/>
      <c r="K54" s="753"/>
      <c r="M54" s="64" t="s">
        <v>176</v>
      </c>
    </row>
    <row r="55" spans="2:13">
      <c r="B55" s="47" t="s">
        <v>150</v>
      </c>
      <c r="C55" s="648" t="s">
        <v>95</v>
      </c>
      <c r="D55" s="48" t="s">
        <v>95</v>
      </c>
      <c r="E55" s="230">
        <v>1.1999999999999999E-3</v>
      </c>
      <c r="F55" s="66" t="s">
        <v>138</v>
      </c>
      <c r="G55" s="227">
        <f t="shared" si="4"/>
        <v>5.8823529411764701E-6</v>
      </c>
      <c r="H55" s="228">
        <f t="shared" si="5"/>
        <v>2.5764705882352938E-5</v>
      </c>
      <c r="I55" s="753"/>
      <c r="J55" s="753"/>
      <c r="K55" s="753"/>
      <c r="M55" s="64"/>
    </row>
    <row r="56" spans="2:13">
      <c r="B56" s="49" t="s">
        <v>151</v>
      </c>
      <c r="C56" s="649" t="s">
        <v>95</v>
      </c>
      <c r="D56" s="48" t="s">
        <v>96</v>
      </c>
      <c r="E56" s="230">
        <v>3.0000000000000001E-6</v>
      </c>
      <c r="F56" s="66" t="s">
        <v>138</v>
      </c>
      <c r="G56" s="227">
        <f t="shared" si="4"/>
        <v>1.4705882352941177E-8</v>
      </c>
      <c r="H56" s="228">
        <f t="shared" si="5"/>
        <v>6.4411764705882357E-8</v>
      </c>
      <c r="I56" s="753"/>
      <c r="J56" s="753"/>
      <c r="K56" s="753"/>
      <c r="M56" s="64" t="s">
        <v>176</v>
      </c>
    </row>
    <row r="57" spans="2:13">
      <c r="B57" s="47" t="s">
        <v>152</v>
      </c>
      <c r="C57" s="648" t="s">
        <v>95</v>
      </c>
      <c r="D57" s="48" t="s">
        <v>96</v>
      </c>
      <c r="E57" s="230">
        <v>2.7999999999999999E-6</v>
      </c>
      <c r="F57" s="66" t="s">
        <v>138</v>
      </c>
      <c r="G57" s="227">
        <f t="shared" si="4"/>
        <v>1.3725490196078431E-8</v>
      </c>
      <c r="H57" s="228">
        <f t="shared" si="5"/>
        <v>6.0117647058823526E-8</v>
      </c>
      <c r="I57" s="753"/>
      <c r="J57" s="753"/>
      <c r="K57" s="753"/>
      <c r="M57" s="64" t="s">
        <v>176</v>
      </c>
    </row>
    <row r="58" spans="2:13">
      <c r="B58" s="47" t="s">
        <v>15</v>
      </c>
      <c r="C58" s="648" t="s">
        <v>95</v>
      </c>
      <c r="D58" s="48" t="s">
        <v>95</v>
      </c>
      <c r="E58" s="67">
        <v>7.4999999999999997E-2</v>
      </c>
      <c r="F58" s="66" t="s">
        <v>138</v>
      </c>
      <c r="G58" s="227">
        <f t="shared" si="4"/>
        <v>3.6764705882352941E-4</v>
      </c>
      <c r="H58" s="228">
        <f t="shared" si="5"/>
        <v>1.6102941176470589E-3</v>
      </c>
      <c r="I58" s="753"/>
      <c r="J58" s="753"/>
      <c r="K58" s="753"/>
      <c r="M58" s="64"/>
    </row>
    <row r="59" spans="2:13">
      <c r="B59" s="47" t="s">
        <v>153</v>
      </c>
      <c r="C59" s="648" t="s">
        <v>95</v>
      </c>
      <c r="D59" s="48" t="s">
        <v>95</v>
      </c>
      <c r="E59" s="249">
        <v>1.8</v>
      </c>
      <c r="F59" s="66" t="s">
        <v>138</v>
      </c>
      <c r="G59" s="227">
        <f t="shared" si="4"/>
        <v>8.8235294117647058E-3</v>
      </c>
      <c r="H59" s="228">
        <f t="shared" si="5"/>
        <v>3.8647058823529416E-2</v>
      </c>
      <c r="I59" s="753"/>
      <c r="J59" s="753"/>
      <c r="K59" s="753"/>
      <c r="M59" s="64"/>
    </row>
    <row r="60" spans="2:13">
      <c r="B60" s="45" t="s">
        <v>154</v>
      </c>
      <c r="C60" s="618" t="s">
        <v>95</v>
      </c>
      <c r="D60" s="48" t="s">
        <v>96</v>
      </c>
      <c r="E60" s="230">
        <v>1.7999999999999999E-6</v>
      </c>
      <c r="F60" s="66" t="s">
        <v>138</v>
      </c>
      <c r="G60" s="227">
        <f t="shared" si="4"/>
        <v>8.823529411764706E-9</v>
      </c>
      <c r="H60" s="228">
        <f t="shared" si="5"/>
        <v>3.8647058823529411E-8</v>
      </c>
      <c r="I60" s="753"/>
      <c r="J60" s="753"/>
      <c r="K60" s="753"/>
      <c r="M60" s="64" t="s">
        <v>176</v>
      </c>
    </row>
    <row r="61" spans="2:13">
      <c r="B61" s="45" t="s">
        <v>484</v>
      </c>
      <c r="C61" s="618" t="s">
        <v>95</v>
      </c>
      <c r="D61" s="48" t="s">
        <v>96</v>
      </c>
      <c r="E61" s="230">
        <v>5.0000000000000001E-4</v>
      </c>
      <c r="F61" s="66" t="s">
        <v>138</v>
      </c>
      <c r="G61" s="227">
        <f t="shared" si="4"/>
        <v>2.4509803921568628E-6</v>
      </c>
      <c r="H61" s="228">
        <f t="shared" si="5"/>
        <v>1.073529411764706E-5</v>
      </c>
      <c r="I61" s="753"/>
      <c r="J61" s="753"/>
      <c r="K61" s="753"/>
      <c r="M61" s="64"/>
    </row>
    <row r="62" spans="2:13">
      <c r="B62" s="47" t="s">
        <v>485</v>
      </c>
      <c r="C62" s="648" t="s">
        <v>95</v>
      </c>
      <c r="D62" s="48" t="s">
        <v>95</v>
      </c>
      <c r="E62" s="230">
        <v>3.8000000000000002E-4</v>
      </c>
      <c r="F62" s="66" t="s">
        <v>138</v>
      </c>
      <c r="G62" s="227">
        <f t="shared" si="4"/>
        <v>1.8627450980392158E-6</v>
      </c>
      <c r="H62" s="228">
        <f t="shared" si="5"/>
        <v>8.1588235294117654E-6</v>
      </c>
      <c r="I62" s="753"/>
      <c r="J62" s="753"/>
      <c r="K62" s="753"/>
      <c r="M62" s="64"/>
    </row>
    <row r="63" spans="2:13">
      <c r="B63" s="47" t="s">
        <v>155</v>
      </c>
      <c r="C63" s="648" t="s">
        <v>95</v>
      </c>
      <c r="D63" s="48" t="s">
        <v>95</v>
      </c>
      <c r="E63" s="230">
        <v>2.5999999999999998E-4</v>
      </c>
      <c r="F63" s="66" t="s">
        <v>138</v>
      </c>
      <c r="G63" s="227">
        <f t="shared" si="4"/>
        <v>1.2745098039215686E-6</v>
      </c>
      <c r="H63" s="228">
        <f t="shared" si="5"/>
        <v>5.5823529411764704E-6</v>
      </c>
      <c r="I63" s="753"/>
      <c r="J63" s="753"/>
      <c r="K63" s="753"/>
      <c r="M63" s="64"/>
    </row>
    <row r="64" spans="2:13">
      <c r="B64" s="47" t="s">
        <v>64</v>
      </c>
      <c r="C64" s="648" t="s">
        <v>95</v>
      </c>
      <c r="D64" s="48" t="s">
        <v>96</v>
      </c>
      <c r="E64" s="230">
        <v>6.0999999999999997E-4</v>
      </c>
      <c r="F64" s="66" t="s">
        <v>138</v>
      </c>
      <c r="G64" s="227">
        <f t="shared" si="4"/>
        <v>2.9901960784313724E-6</v>
      </c>
      <c r="H64" s="228">
        <f t="shared" si="5"/>
        <v>1.3097058823529411E-5</v>
      </c>
      <c r="I64" s="753"/>
      <c r="J64" s="753"/>
      <c r="K64" s="753"/>
      <c r="M64" s="64" t="s">
        <v>176</v>
      </c>
    </row>
    <row r="65" spans="1:17">
      <c r="B65" s="45" t="s">
        <v>156</v>
      </c>
      <c r="C65" s="618" t="s">
        <v>95</v>
      </c>
      <c r="D65" s="46" t="s">
        <v>95</v>
      </c>
      <c r="E65" s="230">
        <v>2.0999999999999999E-3</v>
      </c>
      <c r="F65" s="66" t="s">
        <v>138</v>
      </c>
      <c r="G65" s="227">
        <f t="shared" si="4"/>
        <v>1.0294117647058823E-5</v>
      </c>
      <c r="H65" s="228">
        <f t="shared" si="5"/>
        <v>4.5088235294117644E-5</v>
      </c>
      <c r="I65" s="753"/>
      <c r="J65" s="753"/>
      <c r="K65" s="753"/>
      <c r="M65" s="64"/>
    </row>
    <row r="66" spans="1:17">
      <c r="B66" s="47" t="s">
        <v>157</v>
      </c>
      <c r="C66" s="648" t="s">
        <v>95</v>
      </c>
      <c r="D66" s="48" t="s">
        <v>96</v>
      </c>
      <c r="E66" s="230">
        <v>1.7E-5</v>
      </c>
      <c r="F66" s="66" t="s">
        <v>138</v>
      </c>
      <c r="G66" s="227">
        <f t="shared" si="4"/>
        <v>8.3333333333333338E-8</v>
      </c>
      <c r="H66" s="228">
        <f t="shared" si="5"/>
        <v>3.6500000000000005E-7</v>
      </c>
      <c r="I66" s="753"/>
      <c r="J66" s="753"/>
      <c r="K66" s="753"/>
      <c r="M66" s="64" t="s">
        <v>176</v>
      </c>
    </row>
    <row r="67" spans="1:17">
      <c r="B67" s="47" t="s">
        <v>158</v>
      </c>
      <c r="C67" s="648" t="s">
        <v>95</v>
      </c>
      <c r="D67" s="48" t="s">
        <v>96</v>
      </c>
      <c r="E67" s="230">
        <v>5.0000000000000004E-6</v>
      </c>
      <c r="F67" s="66" t="s">
        <v>138</v>
      </c>
      <c r="G67" s="227">
        <f t="shared" si="4"/>
        <v>2.450980392156863E-8</v>
      </c>
      <c r="H67" s="228">
        <f t="shared" si="5"/>
        <v>1.073529411764706E-7</v>
      </c>
      <c r="I67" s="753"/>
      <c r="J67" s="753"/>
      <c r="K67" s="753"/>
      <c r="M67" s="64" t="s">
        <v>176</v>
      </c>
    </row>
    <row r="68" spans="1:17">
      <c r="B68" s="45" t="s">
        <v>478</v>
      </c>
      <c r="C68" s="618" t="s">
        <v>95</v>
      </c>
      <c r="D68" s="48" t="s">
        <v>96</v>
      </c>
      <c r="E68" s="230">
        <v>2.4000000000000001E-5</v>
      </c>
      <c r="F68" s="66" t="s">
        <v>138</v>
      </c>
      <c r="G68" s="227">
        <f t="shared" si="4"/>
        <v>1.1764705882352942E-7</v>
      </c>
      <c r="H68" s="228">
        <f t="shared" si="5"/>
        <v>5.1529411764705885E-7</v>
      </c>
      <c r="I68" s="753"/>
      <c r="J68" s="753"/>
      <c r="K68" s="753"/>
      <c r="M68" s="64"/>
    </row>
    <row r="69" spans="1:17" ht="14.4" thickBot="1">
      <c r="B69" s="51" t="s">
        <v>21</v>
      </c>
      <c r="C69" s="650" t="s">
        <v>95</v>
      </c>
      <c r="D69" s="52" t="s">
        <v>95</v>
      </c>
      <c r="E69" s="830">
        <v>3.3999999999999998E-3</v>
      </c>
      <c r="F69" s="572" t="s">
        <v>138</v>
      </c>
      <c r="G69" s="831">
        <f t="shared" si="4"/>
        <v>1.6666666666666664E-5</v>
      </c>
      <c r="H69" s="832">
        <f>G69*$C$8/2000</f>
        <v>7.2999999999999999E-5</v>
      </c>
      <c r="I69" s="753"/>
      <c r="J69" s="753"/>
      <c r="K69" s="753"/>
      <c r="M69" s="64"/>
    </row>
    <row r="70" spans="1:17" ht="14.4" thickTop="1">
      <c r="B70" s="627"/>
      <c r="C70" s="628"/>
      <c r="D70" s="628"/>
      <c r="E70" s="628"/>
      <c r="F70" s="629" t="s">
        <v>566</v>
      </c>
      <c r="G70" s="833">
        <f>SUMIF($C$33:$C$69,"Y",G33:G69)</f>
        <v>9.2573107843137246E-3</v>
      </c>
      <c r="H70" s="834">
        <f>SUMIF($C$33:$C$69,"Y",H33:H69)</f>
        <v>4.0547021235294113E-2</v>
      </c>
      <c r="I70" s="754"/>
      <c r="J70" s="754"/>
      <c r="K70" s="754"/>
    </row>
    <row r="71" spans="1:17" ht="14.4" thickBot="1">
      <c r="B71" s="255"/>
      <c r="C71" s="256"/>
      <c r="D71" s="256"/>
      <c r="E71" s="256"/>
      <c r="F71" s="257" t="s">
        <v>567</v>
      </c>
      <c r="G71" s="835">
        <f>SUMIF($D$33:$D$69,"Y",G33:G69)</f>
        <v>2.4930325490196081E-2</v>
      </c>
      <c r="H71" s="836">
        <f>SUMIF($D$33:$D$69,"Y",H33:H69)</f>
        <v>0.10919482564705882</v>
      </c>
      <c r="I71" s="754"/>
      <c r="J71" s="754"/>
    </row>
    <row r="72" spans="1:17" s="58" customFormat="1" ht="12" thickTop="1">
      <c r="A72" s="1393" t="s">
        <v>288</v>
      </c>
      <c r="B72" s="1393"/>
      <c r="C72" s="205"/>
      <c r="D72" s="205"/>
      <c r="E72" s="205"/>
      <c r="F72" s="262"/>
      <c r="G72" s="262"/>
      <c r="H72" s="262"/>
      <c r="I72" s="262"/>
      <c r="O72" s="308"/>
    </row>
    <row r="73" spans="1:17" ht="31.5" customHeight="1">
      <c r="A73" s="264" t="s">
        <v>100</v>
      </c>
      <c r="B73" s="1400" t="s">
        <v>606</v>
      </c>
      <c r="C73" s="1400"/>
      <c r="D73" s="1400"/>
      <c r="E73" s="1400"/>
      <c r="F73" s="1400"/>
      <c r="G73" s="1400"/>
      <c r="H73" s="1400"/>
      <c r="I73" s="1400"/>
      <c r="J73" s="262"/>
      <c r="K73" s="262"/>
      <c r="L73"/>
      <c r="M73"/>
      <c r="N73" s="262"/>
      <c r="O73" s="5"/>
      <c r="P73" s="5"/>
      <c r="Q73" s="5"/>
    </row>
    <row r="74" spans="1:17" ht="12.75" customHeight="1">
      <c r="A74" s="264"/>
      <c r="B74" s="305"/>
      <c r="C74" s="266"/>
      <c r="D74" s="266"/>
      <c r="E74" s="266"/>
      <c r="F74" s="266"/>
      <c r="G74" s="267"/>
      <c r="H74" s="267"/>
      <c r="I74" s="267"/>
      <c r="J74" s="279"/>
      <c r="K74" s="279"/>
      <c r="L74"/>
      <c r="M74"/>
      <c r="N74" s="279"/>
      <c r="O74" s="174"/>
      <c r="P74" s="174"/>
      <c r="Q74" s="174"/>
    </row>
    <row r="75" spans="1:17">
      <c r="A75" s="1393" t="s">
        <v>301</v>
      </c>
      <c r="B75" s="1393"/>
      <c r="C75" s="262"/>
      <c r="D75" s="262"/>
      <c r="E75" s="205"/>
      <c r="F75" s="262"/>
      <c r="G75" s="262"/>
      <c r="H75" s="262"/>
      <c r="I75" s="262"/>
      <c r="J75" s="267"/>
      <c r="K75" s="267"/>
      <c r="L75" s="267"/>
      <c r="M75" s="267"/>
      <c r="N75" s="262"/>
      <c r="O75" s="5"/>
      <c r="P75" s="5"/>
      <c r="Q75" s="5"/>
    </row>
    <row r="76" spans="1:17">
      <c r="A76" s="268"/>
      <c r="B76" s="306" t="s">
        <v>101</v>
      </c>
      <c r="C76" s="262"/>
      <c r="D76" s="262" t="s">
        <v>305</v>
      </c>
      <c r="G76" s="262"/>
      <c r="H76" s="262"/>
      <c r="I76" s="262"/>
      <c r="J76" s="262"/>
      <c r="K76" s="262"/>
      <c r="L76" s="262"/>
      <c r="M76" s="262"/>
      <c r="N76" s="262"/>
      <c r="O76" s="5"/>
      <c r="P76" s="5"/>
      <c r="Q76" s="5"/>
    </row>
    <row r="77" spans="1:17">
      <c r="A77" s="268"/>
      <c r="B77" s="306" t="s">
        <v>303</v>
      </c>
      <c r="C77" s="262"/>
      <c r="D77" s="206" t="s">
        <v>624</v>
      </c>
      <c r="G77" s="262"/>
      <c r="H77" s="262"/>
      <c r="I77" s="262"/>
      <c r="J77" s="262"/>
      <c r="K77" s="262"/>
      <c r="L77" s="262"/>
      <c r="M77" s="262"/>
      <c r="N77" s="262"/>
      <c r="O77" s="5"/>
      <c r="P77" s="5"/>
      <c r="Q77" s="5"/>
    </row>
    <row r="78" spans="1:17">
      <c r="A78" s="268"/>
      <c r="B78" s="269" t="s">
        <v>165</v>
      </c>
      <c r="C78" s="270"/>
      <c r="D78" s="271" t="s">
        <v>166</v>
      </c>
      <c r="G78" s="262"/>
      <c r="H78" s="262"/>
      <c r="I78" s="262"/>
      <c r="J78" s="262"/>
      <c r="K78" s="262"/>
      <c r="L78" s="262"/>
      <c r="M78" s="262"/>
      <c r="N78" s="262"/>
      <c r="O78" s="5"/>
      <c r="P78" s="5"/>
      <c r="Q78" s="5"/>
    </row>
    <row r="79" spans="1:17">
      <c r="A79" s="268"/>
      <c r="B79" s="269" t="s">
        <v>167</v>
      </c>
      <c r="C79" s="270"/>
      <c r="D79" s="206" t="s">
        <v>309</v>
      </c>
      <c r="G79" s="262"/>
      <c r="H79" s="262"/>
      <c r="I79" s="262"/>
      <c r="J79" s="262"/>
      <c r="K79" s="262"/>
      <c r="L79" s="262"/>
      <c r="M79" s="262"/>
      <c r="N79" s="262"/>
      <c r="O79" s="5"/>
      <c r="P79" s="5"/>
      <c r="Q79" s="5"/>
    </row>
    <row r="80" spans="1:17">
      <c r="A80" s="268"/>
      <c r="B80" s="270" t="s">
        <v>307</v>
      </c>
      <c r="C80" s="270"/>
      <c r="D80" s="272" t="s">
        <v>310</v>
      </c>
      <c r="G80" s="262"/>
      <c r="H80" s="262"/>
      <c r="I80" s="262"/>
      <c r="J80" s="262"/>
      <c r="K80" s="262"/>
      <c r="L80" s="262"/>
      <c r="M80" s="262"/>
      <c r="N80" s="262"/>
      <c r="O80" s="5"/>
      <c r="P80" s="5"/>
      <c r="Q80" s="5"/>
    </row>
    <row r="81" spans="1:17">
      <c r="A81" s="268"/>
      <c r="B81" s="205" t="s">
        <v>102</v>
      </c>
      <c r="C81" s="270"/>
      <c r="D81" s="206" t="s">
        <v>311</v>
      </c>
      <c r="G81" s="262"/>
      <c r="H81" s="262"/>
      <c r="I81" s="262"/>
      <c r="J81" s="262"/>
      <c r="K81" s="262"/>
      <c r="L81" s="262"/>
      <c r="M81" s="262"/>
      <c r="N81" s="262"/>
      <c r="O81" s="5"/>
      <c r="P81" s="5"/>
      <c r="Q81" s="5"/>
    </row>
    <row r="82" spans="1:17">
      <c r="A82" s="273"/>
      <c r="B82" s="271" t="s">
        <v>104</v>
      </c>
      <c r="C82" s="270"/>
      <c r="D82" s="205" t="s">
        <v>103</v>
      </c>
      <c r="G82" s="262"/>
      <c r="H82" s="262"/>
      <c r="I82" s="262"/>
      <c r="J82" s="262"/>
      <c r="K82" s="262"/>
      <c r="L82" s="262"/>
      <c r="M82" s="262"/>
      <c r="N82" s="262"/>
      <c r="O82" s="5"/>
      <c r="P82" s="5"/>
      <c r="Q82" s="5"/>
    </row>
    <row r="83" spans="1:17">
      <c r="A83" s="273"/>
      <c r="B83" s="262" t="s">
        <v>169</v>
      </c>
      <c r="C83" s="270"/>
      <c r="D83" s="271" t="s">
        <v>105</v>
      </c>
      <c r="G83" s="262"/>
      <c r="H83" s="262"/>
      <c r="I83" s="262"/>
      <c r="J83" s="262"/>
      <c r="K83" s="262"/>
      <c r="L83" s="262"/>
      <c r="M83" s="262"/>
      <c r="N83" s="262"/>
      <c r="O83" s="5"/>
      <c r="P83" s="5"/>
      <c r="Q83" s="5"/>
    </row>
    <row r="84" spans="1:17">
      <c r="A84" s="273"/>
      <c r="B84" s="271" t="s">
        <v>106</v>
      </c>
      <c r="C84" s="270"/>
      <c r="D84" s="271" t="s">
        <v>107</v>
      </c>
      <c r="G84" s="262"/>
      <c r="H84" s="262"/>
      <c r="I84" s="262"/>
      <c r="J84" s="262"/>
      <c r="K84" s="262"/>
      <c r="L84" s="262"/>
      <c r="M84" s="262"/>
      <c r="N84" s="262"/>
      <c r="O84" s="5"/>
      <c r="P84" s="5"/>
      <c r="Q84" s="5"/>
    </row>
    <row r="85" spans="1:17">
      <c r="A85" s="273"/>
      <c r="B85" s="271" t="s">
        <v>170</v>
      </c>
      <c r="C85" s="270"/>
      <c r="D85" s="270" t="s">
        <v>109</v>
      </c>
      <c r="G85" s="262"/>
      <c r="H85" s="262"/>
      <c r="I85" s="262"/>
      <c r="J85" s="262"/>
      <c r="K85" s="262"/>
      <c r="L85" s="262"/>
      <c r="M85" s="262"/>
      <c r="N85" s="262"/>
      <c r="O85" s="5"/>
      <c r="P85" s="5"/>
      <c r="Q85" s="5"/>
    </row>
    <row r="86" spans="1:17">
      <c r="A86" s="273"/>
      <c r="B86" s="206" t="s">
        <v>304</v>
      </c>
      <c r="C86" s="270"/>
      <c r="G86" s="262"/>
      <c r="H86" s="262"/>
      <c r="I86" s="262"/>
      <c r="J86" s="262"/>
      <c r="K86" s="262"/>
      <c r="L86" s="262"/>
      <c r="M86" s="262"/>
      <c r="N86" s="262"/>
      <c r="O86" s="5"/>
      <c r="P86" s="5"/>
      <c r="Q86" s="5"/>
    </row>
    <row r="87" spans="1:17">
      <c r="A87" s="273"/>
      <c r="B87" s="262"/>
      <c r="C87" s="270"/>
      <c r="D87" s="271"/>
      <c r="E87" s="262"/>
      <c r="F87" s="262"/>
      <c r="G87" s="262"/>
      <c r="H87" s="262"/>
      <c r="I87" s="262"/>
      <c r="J87" s="262"/>
      <c r="K87" s="262"/>
      <c r="L87" s="262"/>
      <c r="M87" s="262"/>
      <c r="N87" s="262"/>
      <c r="O87" s="5"/>
      <c r="P87" s="5"/>
      <c r="Q87" s="5"/>
    </row>
    <row r="88" spans="1:17">
      <c r="A88" s="274" t="s">
        <v>313</v>
      </c>
      <c r="B88" s="938"/>
      <c r="J88" s="262"/>
      <c r="K88" s="262"/>
      <c r="L88" s="262"/>
      <c r="M88" s="262"/>
      <c r="N88" s="262"/>
      <c r="O88" s="5"/>
      <c r="P88" s="5"/>
      <c r="Q88" s="5"/>
    </row>
    <row r="89" spans="1:17">
      <c r="A89" s="274"/>
      <c r="B89" s="205" t="s">
        <v>314</v>
      </c>
    </row>
  </sheetData>
  <mergeCells count="20">
    <mergeCell ref="A75:B75"/>
    <mergeCell ref="B30:B31"/>
    <mergeCell ref="D30:D31"/>
    <mergeCell ref="E30:E31"/>
    <mergeCell ref="B73:I73"/>
    <mergeCell ref="A72:B72"/>
    <mergeCell ref="F30:F31"/>
    <mergeCell ref="C30:C31"/>
    <mergeCell ref="B1:I1"/>
    <mergeCell ref="B2:I2"/>
    <mergeCell ref="B3:I3"/>
    <mergeCell ref="B27:G27"/>
    <mergeCell ref="B19:E19"/>
    <mergeCell ref="B25:G25"/>
    <mergeCell ref="B26:G26"/>
    <mergeCell ref="B11:B12"/>
    <mergeCell ref="C11:C12"/>
    <mergeCell ref="D11:D12"/>
    <mergeCell ref="E11:E12"/>
    <mergeCell ref="F11:G11"/>
  </mergeCells>
  <pageMargins left="0.25" right="0.25" top="0.75" bottom="0.75" header="0.3" footer="0.3"/>
  <pageSetup scale="75" fitToWidth="0" fitToHeight="0" orientation="portrait" r:id="rId1"/>
  <headerFooter>
    <oddFooter>&amp;CPage &amp;P of &amp;N</oddFooter>
  </headerFooter>
  <rowBreaks count="1" manualBreakCount="1">
    <brk id="28" max="8"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0721-DFD2-4F84-8720-77BCC36FCF8B}">
  <dimension ref="A1:Q208"/>
  <sheetViews>
    <sheetView topLeftCell="A169" workbookViewId="0">
      <selection activeCell="I57" sqref="I57"/>
    </sheetView>
  </sheetViews>
  <sheetFormatPr defaultColWidth="9.109375" defaultRowHeight="11.4" outlineLevelRow="1"/>
  <cols>
    <col min="1" max="1" width="2.6640625" style="5" customWidth="1"/>
    <col min="2" max="2" width="35.88671875" style="5" customWidth="1"/>
    <col min="3" max="4" width="13.6640625" style="5" customWidth="1"/>
    <col min="5" max="5" width="13" style="5" customWidth="1"/>
    <col min="6" max="7" width="13.44140625" style="5" customWidth="1"/>
    <col min="8" max="8" width="12.88671875" style="5" customWidth="1"/>
    <col min="9" max="13" width="9.109375" style="5"/>
    <col min="14" max="14" width="5" style="5" customWidth="1"/>
    <col min="15" max="15" width="19.44140625" style="5" customWidth="1"/>
    <col min="16" max="16384" width="9.109375" style="5"/>
  </cols>
  <sheetData>
    <row r="1" spans="2:9" ht="15" customHeight="1">
      <c r="B1" s="1406" t="s">
        <v>443</v>
      </c>
      <c r="C1" s="1406"/>
      <c r="D1" s="1406"/>
      <c r="E1" s="1406"/>
      <c r="F1" s="1406"/>
      <c r="G1" s="1406"/>
      <c r="H1" s="1406"/>
      <c r="I1" s="193"/>
    </row>
    <row r="2" spans="2:9" ht="25.5" customHeight="1">
      <c r="B2" s="1475" t="s">
        <v>622</v>
      </c>
      <c r="C2" s="1475"/>
      <c r="D2" s="1475"/>
      <c r="E2" s="1475"/>
      <c r="F2" s="1475"/>
      <c r="G2" s="1475"/>
      <c r="H2" s="1475"/>
      <c r="I2" s="193"/>
    </row>
    <row r="3" spans="2:9" s="57" customFormat="1" ht="15" customHeight="1">
      <c r="B3" s="1406" t="str">
        <f>'3a-RTO - Dryer GHM DHM'!B3:J3</f>
        <v>Enviva Pellets Ahoskie, LLC</v>
      </c>
      <c r="C3" s="1406"/>
      <c r="D3" s="1406"/>
      <c r="E3" s="1406"/>
      <c r="F3" s="1406"/>
      <c r="G3" s="1406"/>
      <c r="H3" s="1406"/>
      <c r="I3" s="193"/>
    </row>
    <row r="4" spans="2:9" ht="15" customHeight="1"/>
    <row r="5" spans="2:9" ht="15" customHeight="1" thickBot="1">
      <c r="B5" s="7" t="s">
        <v>90</v>
      </c>
      <c r="C5" s="8"/>
      <c r="D5" s="8"/>
      <c r="E5" s="8"/>
      <c r="F5" s="8"/>
      <c r="G5" s="8"/>
      <c r="H5" s="8"/>
    </row>
    <row r="6" spans="2:9" ht="15" customHeight="1" thickTop="1">
      <c r="B6" s="9" t="s">
        <v>506</v>
      </c>
      <c r="C6" s="931">
        <v>74.785388127853878</v>
      </c>
      <c r="D6" s="10" t="s">
        <v>27</v>
      </c>
      <c r="E6" s="8"/>
      <c r="F6" s="8"/>
      <c r="G6" s="8"/>
      <c r="H6" s="8"/>
    </row>
    <row r="7" spans="2:9" ht="15" customHeight="1">
      <c r="B7" s="12" t="s">
        <v>507</v>
      </c>
      <c r="C7" s="13">
        <v>630000</v>
      </c>
      <c r="D7" s="14" t="s">
        <v>87</v>
      </c>
      <c r="E7" s="930"/>
      <c r="F7" s="8"/>
      <c r="G7" s="8"/>
      <c r="H7" s="8"/>
    </row>
    <row r="8" spans="2:9" ht="15" customHeight="1">
      <c r="B8" s="676" t="s">
        <v>504</v>
      </c>
      <c r="C8" s="850">
        <v>12</v>
      </c>
      <c r="D8" s="677" t="s">
        <v>27</v>
      </c>
      <c r="E8" s="8"/>
      <c r="F8" s="8"/>
      <c r="G8" s="8"/>
      <c r="H8" s="8"/>
    </row>
    <row r="9" spans="2:9" ht="15" customHeight="1">
      <c r="B9" s="12" t="s">
        <v>505</v>
      </c>
      <c r="C9" s="13">
        <v>100000</v>
      </c>
      <c r="D9" s="14" t="s">
        <v>87</v>
      </c>
      <c r="E9" s="8"/>
      <c r="F9" s="8"/>
      <c r="G9" s="8"/>
      <c r="H9" s="8"/>
    </row>
    <row r="10" spans="2:9" ht="15" customHeight="1">
      <c r="B10" s="4" t="s">
        <v>43</v>
      </c>
      <c r="C10" s="15">
        <v>8760</v>
      </c>
      <c r="D10" s="16" t="s">
        <v>30</v>
      </c>
      <c r="E10" s="8"/>
      <c r="F10" s="8"/>
      <c r="G10" s="8"/>
      <c r="H10" s="8"/>
    </row>
    <row r="11" spans="2:9" ht="15" customHeight="1">
      <c r="B11" s="4" t="s">
        <v>502</v>
      </c>
      <c r="C11" s="917">
        <v>19.8</v>
      </c>
      <c r="D11" s="16" t="s">
        <v>29</v>
      </c>
      <c r="E11" s="8"/>
      <c r="F11" s="8"/>
      <c r="G11" s="8"/>
      <c r="H11" s="8"/>
    </row>
    <row r="12" spans="2:9" ht="15" customHeight="1" thickBot="1">
      <c r="B12" s="185" t="s">
        <v>503</v>
      </c>
      <c r="C12" s="509">
        <v>95</v>
      </c>
      <c r="D12" s="68" t="s">
        <v>88</v>
      </c>
      <c r="E12" s="8"/>
      <c r="F12" s="8"/>
      <c r="G12" s="8"/>
      <c r="H12" s="8"/>
    </row>
    <row r="13" spans="2:9" ht="11.25" customHeight="1" thickTop="1"/>
    <row r="14" spans="2:9" ht="15" customHeight="1" thickBot="1">
      <c r="B14" s="31" t="s">
        <v>548</v>
      </c>
      <c r="C14" s="604"/>
      <c r="D14" s="604"/>
    </row>
    <row r="15" spans="2:9" ht="15" customHeight="1" thickTop="1">
      <c r="B15" s="1411" t="s">
        <v>22</v>
      </c>
      <c r="C15" s="1413" t="s">
        <v>471</v>
      </c>
      <c r="D15" s="1414"/>
    </row>
    <row r="16" spans="2:9" ht="15" customHeight="1" thickBot="1">
      <c r="B16" s="1412"/>
      <c r="C16" s="605" t="s">
        <v>23</v>
      </c>
      <c r="D16" s="606" t="s">
        <v>8</v>
      </c>
    </row>
    <row r="17" spans="2:4" ht="15" customHeight="1" thickTop="1">
      <c r="B17" s="607" t="s">
        <v>2</v>
      </c>
      <c r="C17" s="846">
        <f>E124+E57</f>
        <v>5.3158734359800786</v>
      </c>
      <c r="D17" s="1272">
        <f>F124+F57</f>
        <v>22.389579499232063</v>
      </c>
    </row>
    <row r="18" spans="2:4" ht="15" customHeight="1">
      <c r="B18" s="35" t="s">
        <v>114</v>
      </c>
      <c r="C18" s="847">
        <f>E125+E58</f>
        <v>1.5635724364238868</v>
      </c>
      <c r="D18" s="1057">
        <f>F125+F58</f>
        <v>6.5844688184910183</v>
      </c>
    </row>
    <row r="19" spans="2:4" ht="15" customHeight="1">
      <c r="B19" s="35" t="s">
        <v>115</v>
      </c>
      <c r="C19" s="848">
        <f>E59</f>
        <v>1.1647058823529411E-2</v>
      </c>
      <c r="D19" s="1058">
        <f>F59</f>
        <v>5.1014117647058828E-2</v>
      </c>
    </row>
    <row r="20" spans="2:4" ht="15" customHeight="1">
      <c r="B20" s="35" t="s">
        <v>3</v>
      </c>
      <c r="C20" s="847">
        <f>E60+F97</f>
        <v>8.9194698612721357</v>
      </c>
      <c r="D20" s="1273">
        <f>F60+G97</f>
        <v>37.531204327492894</v>
      </c>
    </row>
    <row r="21" spans="2:4" ht="15" customHeight="1">
      <c r="B21" s="37" t="s">
        <v>76</v>
      </c>
      <c r="C21" s="847">
        <f>E61+E107+F98</f>
        <v>1.1751718807352627</v>
      </c>
      <c r="D21" s="1057">
        <f>F61+F107+G98</f>
        <v>4.9780278531449387</v>
      </c>
    </row>
    <row r="22" spans="2:4" ht="15" customHeight="1">
      <c r="B22" s="37" t="s">
        <v>331</v>
      </c>
      <c r="C22" s="847">
        <f>E61+E108+F98</f>
        <v>1.1751718807352627</v>
      </c>
      <c r="D22" s="1057">
        <f>F61+F108+G98</f>
        <v>4.9780278531449387</v>
      </c>
    </row>
    <row r="23" spans="2:4" ht="15" customHeight="1">
      <c r="B23" s="37" t="s">
        <v>332</v>
      </c>
      <c r="C23" s="847">
        <f>E61+E109+F98</f>
        <v>1.1751718807352627</v>
      </c>
      <c r="D23" s="1057">
        <f>F61+F109+G98</f>
        <v>4.9780278531449387</v>
      </c>
    </row>
    <row r="24" spans="2:4" ht="15" customHeight="1">
      <c r="B24" s="37" t="s">
        <v>424</v>
      </c>
      <c r="C24" s="849">
        <f>E65</f>
        <v>2343.2542941176471</v>
      </c>
      <c r="D24" s="1059">
        <f>F65</f>
        <v>10263.453808235294</v>
      </c>
    </row>
    <row r="25" spans="2:4" ht="15" hidden="1" customHeight="1" outlineLevel="1">
      <c r="B25" s="612" t="s">
        <v>11</v>
      </c>
      <c r="C25" s="819">
        <f>SUMIF($B$75:$B$80,B25,$F$75:$F$80)+SUMIF($B$131:$B$167,B25,$G$131:$G$167)+SUMIF($B$89:$B$94,B25,$F$89:$F$94)</f>
        <v>0.22951688015160809</v>
      </c>
      <c r="D25" s="919">
        <f t="shared" ref="D25" si="0">SUMIF($B$75:$B$80,B25,$G$75:$G$80)+SUMIF($B$131:$B$168,B25,$H$131:$H$168)+SUMIF($B$89:$B$94,B25,$G$89:$G$94)</f>
        <v>0.96623451076191758</v>
      </c>
    </row>
    <row r="26" spans="2:4" ht="15" hidden="1" customHeight="1" outlineLevel="1">
      <c r="B26" s="612" t="s">
        <v>12</v>
      </c>
      <c r="C26" s="819">
        <f t="shared" ref="C26:C30" si="1">SUMIF($B$75:$B$80,B26,$F$75:$F$80)+SUMIF($B$131:$B$167,B26,$G$131:$G$167)+SUMIF($B$89:$B$94,B26,$F$89:$F$94)</f>
        <v>0.29504672794879949</v>
      </c>
      <c r="D26" s="919">
        <f>SUMIF($B$75:$B$80,B26,$G$75:$G$80)+SUMIF($B$131:$B$167,B26,$H$131:$H$167)+SUMIF($B$89:$B$94,B26,$G$89:$G$94)</f>
        <v>1.2423951564076692</v>
      </c>
    </row>
    <row r="27" spans="2:4" ht="15" hidden="1" customHeight="1" outlineLevel="1">
      <c r="B27" s="612" t="s">
        <v>15</v>
      </c>
      <c r="C27" s="918">
        <f t="shared" si="1"/>
        <v>0.22007967634334979</v>
      </c>
      <c r="D27" s="919">
        <f t="shared" ref="D27:D48" si="2">SUMIF($B$75:$B$80,B27,$G$75:$G$80)+SUMIF($B$131:$B$167,B27,$H$131:$H$167)+SUMIF($B$89:$B$94,B27,$G$89:$G$94)</f>
        <v>0.926137579224935</v>
      </c>
    </row>
    <row r="28" spans="2:4" ht="15" hidden="1" customHeight="1" outlineLevel="1">
      <c r="B28" s="612" t="s">
        <v>16</v>
      </c>
      <c r="C28" s="918">
        <f t="shared" si="1"/>
        <v>0.31720164383561644</v>
      </c>
      <c r="D28" s="919">
        <f t="shared" si="2"/>
        <v>1.3343</v>
      </c>
    </row>
    <row r="29" spans="2:4" ht="15" hidden="1" customHeight="1" outlineLevel="1">
      <c r="B29" s="612" t="s">
        <v>18</v>
      </c>
      <c r="C29" s="918">
        <f t="shared" si="1"/>
        <v>0.45348807892707832</v>
      </c>
      <c r="D29" s="919">
        <f t="shared" si="2"/>
        <v>1.9101055431533132</v>
      </c>
    </row>
    <row r="30" spans="2:4" ht="15" hidden="1" customHeight="1" outlineLevel="1">
      <c r="B30" s="612" t="s">
        <v>19</v>
      </c>
      <c r="C30" s="918">
        <f t="shared" si="1"/>
        <v>4.6398729193232173E-2</v>
      </c>
      <c r="D30" s="919">
        <f t="shared" si="2"/>
        <v>0.19527813001557709</v>
      </c>
    </row>
    <row r="31" spans="2:4" ht="15" hidden="1" customHeight="1" outlineLevel="1">
      <c r="B31" s="653" t="s">
        <v>457</v>
      </c>
      <c r="C31" s="844">
        <f t="shared" ref="C31:C45" si="3">SUMIF($B$75:$B$80,B31,$F$75:$F$80)+SUMIF($B$131:$B$167,B31,$G$131:$G$167)+SUMIF($B$89:$B$94,B31,$F$89:$F$94)</f>
        <v>6.2117647058823534E-2</v>
      </c>
      <c r="D31" s="920">
        <f t="shared" si="2"/>
        <v>0.27207529411764703</v>
      </c>
    </row>
    <row r="32" spans="2:4" ht="15" hidden="1" customHeight="1" outlineLevel="1">
      <c r="B32" s="653" t="s">
        <v>473</v>
      </c>
      <c r="C32" s="844">
        <f t="shared" si="3"/>
        <v>3.8823529411764706E-6</v>
      </c>
      <c r="D32" s="920">
        <f t="shared" si="2"/>
        <v>1.7004705882352941E-5</v>
      </c>
    </row>
    <row r="33" spans="2:4" ht="15" hidden="1" customHeight="1" outlineLevel="1">
      <c r="B33" s="653" t="s">
        <v>13</v>
      </c>
      <c r="C33" s="844">
        <f t="shared" si="3"/>
        <v>4.076470588235294E-5</v>
      </c>
      <c r="D33" s="920">
        <f t="shared" si="2"/>
        <v>1.7854941176470587E-4</v>
      </c>
    </row>
    <row r="34" spans="2:4" ht="15" hidden="1" customHeight="1" outlineLevel="1">
      <c r="B34" s="612" t="s">
        <v>25</v>
      </c>
      <c r="C34" s="844">
        <f t="shared" si="3"/>
        <v>2.3294117647058822E-8</v>
      </c>
      <c r="D34" s="920">
        <f t="shared" si="2"/>
        <v>1.0202823529411764E-7</v>
      </c>
    </row>
    <row r="35" spans="2:4" ht="15" hidden="1" customHeight="1" outlineLevel="1">
      <c r="B35" s="653" t="s">
        <v>122</v>
      </c>
      <c r="C35" s="844">
        <f t="shared" si="3"/>
        <v>2.3294117647058824E-7</v>
      </c>
      <c r="D35" s="920">
        <f t="shared" si="2"/>
        <v>1.0202823529411766E-6</v>
      </c>
    </row>
    <row r="36" spans="2:4" ht="15" hidden="1" customHeight="1" outlineLevel="1">
      <c r="B36" s="653" t="s">
        <v>123</v>
      </c>
      <c r="C36" s="844">
        <f t="shared" si="3"/>
        <v>2.1352941176470589E-5</v>
      </c>
      <c r="D36" s="920">
        <f t="shared" si="2"/>
        <v>9.3525882352941196E-5</v>
      </c>
    </row>
    <row r="37" spans="2:4" ht="15" hidden="1" customHeight="1" outlineLevel="1">
      <c r="B37" s="653" t="s">
        <v>124</v>
      </c>
      <c r="C37" s="844">
        <f t="shared" si="3"/>
        <v>2.7176470588235296E-5</v>
      </c>
      <c r="D37" s="920">
        <f t="shared" si="2"/>
        <v>1.1903294117647059E-4</v>
      </c>
    </row>
    <row r="38" spans="2:4" ht="15" hidden="1" customHeight="1" outlineLevel="1">
      <c r="B38" s="653" t="s">
        <v>501</v>
      </c>
      <c r="C38" s="844">
        <f t="shared" si="3"/>
        <v>1.6305882352941175E-6</v>
      </c>
      <c r="D38" s="920">
        <f t="shared" si="2"/>
        <v>7.1419764705882347E-6</v>
      </c>
    </row>
    <row r="39" spans="2:4" ht="15" hidden="1" customHeight="1" outlineLevel="1">
      <c r="B39" s="653" t="s">
        <v>150</v>
      </c>
      <c r="C39" s="844">
        <f t="shared" si="3"/>
        <v>2.3294117647058824E-5</v>
      </c>
      <c r="D39" s="920">
        <f t="shared" si="2"/>
        <v>1.0202823529411764E-4</v>
      </c>
    </row>
    <row r="40" spans="2:4" ht="15" hidden="1" customHeight="1" outlineLevel="1">
      <c r="B40" s="653" t="s">
        <v>153</v>
      </c>
      <c r="C40" s="844">
        <f t="shared" si="3"/>
        <v>3.4941176470588232E-2</v>
      </c>
      <c r="D40" s="920">
        <f t="shared" si="2"/>
        <v>0.15304235294117649</v>
      </c>
    </row>
    <row r="41" spans="2:4" ht="15" hidden="1" customHeight="1" outlineLevel="1">
      <c r="B41" s="45" t="s">
        <v>475</v>
      </c>
      <c r="C41" s="844">
        <f t="shared" si="3"/>
        <v>9.7058823529411773E-6</v>
      </c>
      <c r="D41" s="920">
        <f t="shared" si="2"/>
        <v>4.251176470588235E-5</v>
      </c>
    </row>
    <row r="42" spans="2:4" ht="15" hidden="1" customHeight="1" outlineLevel="1">
      <c r="B42" s="45" t="s">
        <v>458</v>
      </c>
      <c r="C42" s="844">
        <f t="shared" si="3"/>
        <v>7.3764705882352948E-6</v>
      </c>
      <c r="D42" s="920">
        <f t="shared" si="2"/>
        <v>3.2308941176470591E-5</v>
      </c>
    </row>
    <row r="43" spans="2:4" ht="15" hidden="1" customHeight="1" outlineLevel="1">
      <c r="B43" s="653" t="s">
        <v>155</v>
      </c>
      <c r="C43" s="844">
        <f t="shared" si="3"/>
        <v>5.0470588235294114E-6</v>
      </c>
      <c r="D43" s="920">
        <f t="shared" si="2"/>
        <v>2.2106117647058821E-5</v>
      </c>
    </row>
    <row r="44" spans="2:4" ht="15" hidden="1" customHeight="1" outlineLevel="1">
      <c r="B44" s="653" t="s">
        <v>64</v>
      </c>
      <c r="C44" s="844">
        <f t="shared" si="3"/>
        <v>1.1841176470588236E-5</v>
      </c>
      <c r="D44" s="920">
        <f t="shared" si="2"/>
        <v>5.1864352941176465E-5</v>
      </c>
    </row>
    <row r="45" spans="2:4" ht="15" hidden="1" customHeight="1" outlineLevel="1">
      <c r="B45" s="653" t="s">
        <v>156</v>
      </c>
      <c r="C45" s="844">
        <f t="shared" si="3"/>
        <v>4.076470588235294E-5</v>
      </c>
      <c r="D45" s="920">
        <f t="shared" si="2"/>
        <v>1.7854941176470587E-4</v>
      </c>
    </row>
    <row r="46" spans="2:4" ht="15" hidden="1" customHeight="1" outlineLevel="1">
      <c r="B46" s="612" t="s">
        <v>68</v>
      </c>
      <c r="C46" s="844">
        <f>SUMIF($N$131:$N$167,"x",G131:G167)</f>
        <v>1.355329411764706E-5</v>
      </c>
      <c r="D46" s="845">
        <f>SUMIF($N$131:$N$167,"x",H131:H167)</f>
        <v>5.9363428235294116E-5</v>
      </c>
    </row>
    <row r="47" spans="2:4" ht="15" hidden="1" customHeight="1" outlineLevel="1">
      <c r="B47" s="45" t="s">
        <v>69</v>
      </c>
      <c r="C47" s="844">
        <f>SUMIF($B$75:$B$80,B47,$F$75:$F$80)+SUMIF($B$131:$B$167,B47,$G$131:$G$167)+SUMIF($B$89:$B$94,B47,$F$89:$F$94)</f>
        <v>4.6588235294117647E-7</v>
      </c>
      <c r="D47" s="920">
        <f t="shared" si="2"/>
        <v>2.0405647058823531E-6</v>
      </c>
    </row>
    <row r="48" spans="2:4" ht="15" hidden="1" customHeight="1" outlineLevel="1">
      <c r="B48" s="653" t="s">
        <v>21</v>
      </c>
      <c r="C48" s="844">
        <f>SUMIF($B$75:$B$80,B48,$F$75:$F$80)+SUMIF($B$131:$B$167,B48,$G$131:$G$167)+SUMIF($B$89:$B$94,B48,$F$89:$F$94)</f>
        <v>6.6000000000000005E-5</v>
      </c>
      <c r="D48" s="920">
        <f t="shared" si="2"/>
        <v>2.8907999999999999E-4</v>
      </c>
    </row>
    <row r="49" spans="1:8" ht="15" customHeight="1" collapsed="1">
      <c r="B49" s="45" t="s">
        <v>480</v>
      </c>
      <c r="C49" s="819">
        <f>F81+G168+F95</f>
        <v>1.5969341602820373</v>
      </c>
      <c r="D49" s="822">
        <f>G81+H168+G95</f>
        <v>6.7286375361681188</v>
      </c>
    </row>
    <row r="50" spans="1:8" ht="15" customHeight="1" thickBot="1">
      <c r="B50" s="609" t="s">
        <v>481</v>
      </c>
      <c r="C50" s="825">
        <f>F82+G169+F96</f>
        <v>1.2953989254884828</v>
      </c>
      <c r="D50" s="826">
        <f>G82+H169+G96</f>
        <v>5.4709047116231293</v>
      </c>
    </row>
    <row r="51" spans="1:8" ht="11.25" customHeight="1" thickTop="1">
      <c r="A51" s="654" t="s">
        <v>99</v>
      </c>
      <c r="B51" s="610"/>
      <c r="C51" s="603"/>
      <c r="D51" s="603"/>
      <c r="E51" s="603"/>
      <c r="F51" s="603"/>
      <c r="G51" s="603"/>
      <c r="H51" s="603"/>
    </row>
    <row r="52" spans="1:8" ht="20.25" customHeight="1">
      <c r="A52" s="588" t="s">
        <v>100</v>
      </c>
      <c r="B52" s="1468" t="s">
        <v>577</v>
      </c>
      <c r="C52" s="1468"/>
      <c r="D52" s="1468"/>
      <c r="E52" s="1468"/>
      <c r="F52" s="1468"/>
      <c r="G52" s="1468"/>
      <c r="H52" s="1468"/>
    </row>
    <row r="53" spans="1:8" ht="11.25" customHeight="1"/>
    <row r="54" spans="1:8" ht="12.75" customHeight="1" thickBot="1">
      <c r="B54" s="31" t="s">
        <v>670</v>
      </c>
      <c r="C54" s="201"/>
      <c r="D54" s="201"/>
      <c r="E54" s="202"/>
      <c r="F54" s="202"/>
    </row>
    <row r="55" spans="1:8" ht="38.25" customHeight="1" thickTop="1">
      <c r="B55" s="1383" t="s">
        <v>22</v>
      </c>
      <c r="C55" s="1381" t="s">
        <v>285</v>
      </c>
      <c r="D55" s="1381" t="s">
        <v>31</v>
      </c>
      <c r="E55" s="1398" t="s">
        <v>94</v>
      </c>
      <c r="F55" s="1399"/>
    </row>
    <row r="56" spans="1:8" ht="21" customHeight="1" thickBot="1">
      <c r="B56" s="1384"/>
      <c r="C56" s="1382"/>
      <c r="D56" s="1382"/>
      <c r="E56" s="1330" t="s">
        <v>23</v>
      </c>
      <c r="F56" s="212" t="s">
        <v>8</v>
      </c>
    </row>
    <row r="57" spans="1:8" ht="15" customHeight="1" thickTop="1">
      <c r="B57" s="179" t="s">
        <v>2</v>
      </c>
      <c r="C57" s="1331">
        <v>7.0740000000000011E-2</v>
      </c>
      <c r="D57" s="1211" t="s">
        <v>672</v>
      </c>
      <c r="E57" s="1332">
        <f>C57*$C$6</f>
        <v>5.2903183561643843</v>
      </c>
      <c r="F57" s="1333">
        <f>C57*C7/2000</f>
        <v>22.283100000000001</v>
      </c>
    </row>
    <row r="58" spans="1:8" ht="15" customHeight="1">
      <c r="B58" s="180" t="s">
        <v>114</v>
      </c>
      <c r="C58" s="1331">
        <v>2.0500658761528325E-2</v>
      </c>
      <c r="D58" s="1211" t="s">
        <v>672</v>
      </c>
      <c r="E58" s="1050">
        <f>C58*$C$6</f>
        <v>1.5331497223575838</v>
      </c>
      <c r="F58" s="147">
        <f>C58*C7/2000</f>
        <v>6.4577075098814225</v>
      </c>
    </row>
    <row r="59" spans="1:8" ht="15" customHeight="1">
      <c r="B59" s="180" t="s">
        <v>115</v>
      </c>
      <c r="C59" s="1334">
        <f>0.6/1020</f>
        <v>5.8823529411764701E-4</v>
      </c>
      <c r="D59" s="1211" t="s">
        <v>673</v>
      </c>
      <c r="E59" s="1335">
        <f>C59*$C$11</f>
        <v>1.1647058823529411E-2</v>
      </c>
      <c r="F59" s="232">
        <f>C59*$C$11*$C$10/2000</f>
        <v>5.1014117647058828E-2</v>
      </c>
    </row>
    <row r="60" spans="1:8" ht="15" customHeight="1">
      <c r="B60" s="180" t="s">
        <v>631</v>
      </c>
      <c r="C60" s="294">
        <v>0.10805044750240385</v>
      </c>
      <c r="D60" s="1211" t="s">
        <v>672</v>
      </c>
      <c r="E60" s="120">
        <f>C60*C6</f>
        <v>8.080594653855572</v>
      </c>
      <c r="F60" s="1336">
        <f>C60*C7/2000</f>
        <v>34.035890963257209</v>
      </c>
    </row>
    <row r="61" spans="1:8" ht="15" customHeight="1">
      <c r="B61" s="1337" t="s">
        <v>671</v>
      </c>
      <c r="C61" s="123">
        <v>1.2228384114292324E-2</v>
      </c>
      <c r="D61" s="1211" t="s">
        <v>672</v>
      </c>
      <c r="E61" s="120">
        <f>C61*C6</f>
        <v>0.91450445216383414</v>
      </c>
      <c r="F61" s="147">
        <f>C61*C7/2000</f>
        <v>3.8519409960020821</v>
      </c>
    </row>
    <row r="62" spans="1:8" ht="15" customHeight="1">
      <c r="B62" s="140" t="s">
        <v>117</v>
      </c>
      <c r="C62" s="1338">
        <f>120000/1020</f>
        <v>117.64705882352941</v>
      </c>
      <c r="D62" s="1211" t="s">
        <v>673</v>
      </c>
      <c r="E62" s="1339">
        <f>C62*$C$11</f>
        <v>2329.4117647058824</v>
      </c>
      <c r="F62" s="312">
        <f>C62*$C$11*$C$10/2000</f>
        <v>10202.823529411764</v>
      </c>
    </row>
    <row r="63" spans="1:8" ht="15" customHeight="1">
      <c r="B63" s="148" t="s">
        <v>118</v>
      </c>
      <c r="C63" s="1340">
        <f>2.3/1020</f>
        <v>2.2549019607843133E-3</v>
      </c>
      <c r="D63" s="1211" t="s">
        <v>673</v>
      </c>
      <c r="E63" s="1335">
        <f t="shared" ref="E63:E64" si="4">C63*$C$11</f>
        <v>4.4647058823529408E-2</v>
      </c>
      <c r="F63" s="147">
        <f t="shared" ref="F63:F64" si="5">C63*$C$11*$C$10/2000</f>
        <v>0.19555411764705879</v>
      </c>
    </row>
    <row r="64" spans="1:8" ht="15" customHeight="1">
      <c r="B64" s="148" t="s">
        <v>119</v>
      </c>
      <c r="C64" s="1340">
        <f>2.2/1020</f>
        <v>2.1568627450980395E-3</v>
      </c>
      <c r="D64" s="1211" t="s">
        <v>673</v>
      </c>
      <c r="E64" s="1335">
        <f t="shared" si="4"/>
        <v>4.2705882352941184E-2</v>
      </c>
      <c r="F64" s="147">
        <f t="shared" si="5"/>
        <v>0.18705176470588239</v>
      </c>
    </row>
    <row r="65" spans="1:11" ht="15" customHeight="1" thickBot="1">
      <c r="B65" s="1433" t="s">
        <v>423</v>
      </c>
      <c r="C65" s="1434"/>
      <c r="D65" s="1435"/>
      <c r="E65" s="461">
        <f>E62+E63*$C$196+E64*$C$197</f>
        <v>2343.2542941176471</v>
      </c>
      <c r="F65" s="462">
        <f>F62+F63*$C$196+F64*$C$197</f>
        <v>10263.453808235294</v>
      </c>
    </row>
    <row r="66" spans="1:11" ht="11.25" customHeight="1" thickTop="1">
      <c r="A66" s="1393" t="s">
        <v>288</v>
      </c>
      <c r="B66" s="1393"/>
      <c r="C66" s="205"/>
      <c r="D66" s="205"/>
      <c r="E66" s="205"/>
      <c r="F66" s="205"/>
      <c r="G66" s="205"/>
      <c r="H66" s="93"/>
      <c r="I66" s="93"/>
    </row>
    <row r="67" spans="1:11" ht="11.25" customHeight="1">
      <c r="A67" s="208" t="s">
        <v>100</v>
      </c>
      <c r="B67" s="1451" t="s">
        <v>608</v>
      </c>
      <c r="C67" s="1451"/>
      <c r="D67" s="1451"/>
      <c r="E67" s="1451"/>
      <c r="F67" s="1451"/>
      <c r="G67" s="1451"/>
      <c r="H67" s="1451"/>
      <c r="I67" s="963"/>
    </row>
    <row r="68" spans="1:11" ht="24.75" customHeight="1">
      <c r="A68" s="208" t="s">
        <v>159</v>
      </c>
      <c r="B68" s="1436" t="s">
        <v>177</v>
      </c>
      <c r="C68" s="1436"/>
      <c r="D68" s="1436"/>
      <c r="E68" s="1436"/>
      <c r="F68" s="1436"/>
      <c r="G68" s="1436"/>
      <c r="H68" s="1436"/>
      <c r="I68" s="1052"/>
    </row>
    <row r="69" spans="1:11" ht="11.25" customHeight="1"/>
    <row r="70" spans="1:11" ht="11.25" customHeight="1"/>
    <row r="71" spans="1:11" ht="11.25" customHeight="1"/>
    <row r="72" spans="1:11" ht="12" thickBot="1">
      <c r="B72" s="22" t="s">
        <v>669</v>
      </c>
    </row>
    <row r="73" spans="1:11" ht="36" thickTop="1">
      <c r="B73" s="1443" t="s">
        <v>22</v>
      </c>
      <c r="C73" s="1402" t="s">
        <v>36</v>
      </c>
      <c r="D73" s="1404" t="s">
        <v>390</v>
      </c>
      <c r="E73" s="655" t="s">
        <v>636</v>
      </c>
      <c r="F73" s="1398" t="s">
        <v>94</v>
      </c>
      <c r="G73" s="1399"/>
    </row>
    <row r="74" spans="1:11" ht="15.75" customHeight="1" thickBot="1">
      <c r="B74" s="1444"/>
      <c r="C74" s="1403"/>
      <c r="D74" s="1405"/>
      <c r="E74" s="24" t="s">
        <v>32</v>
      </c>
      <c r="F74" s="24" t="s">
        <v>23</v>
      </c>
      <c r="G74" s="25" t="s">
        <v>8</v>
      </c>
      <c r="J74" s="945"/>
    </row>
    <row r="75" spans="1:11" ht="15" customHeight="1" thickTop="1">
      <c r="B75" s="55" t="s">
        <v>11</v>
      </c>
      <c r="C75" s="578" t="s">
        <v>95</v>
      </c>
      <c r="D75" s="578" t="s">
        <v>95</v>
      </c>
      <c r="E75" s="838">
        <v>2.9209032087679919E-3</v>
      </c>
      <c r="F75" s="1049">
        <f>E75*$C$6</f>
        <v>0.21844088015160809</v>
      </c>
      <c r="G75" s="224">
        <f t="shared" ref="G75:G80" si="6">E75*$C$7/2000</f>
        <v>0.92008451076191755</v>
      </c>
      <c r="J75" s="950"/>
      <c r="K75" s="758"/>
    </row>
    <row r="76" spans="1:11" ht="15" customHeight="1">
      <c r="B76" s="37" t="s">
        <v>12</v>
      </c>
      <c r="C76" s="616" t="s">
        <v>95</v>
      </c>
      <c r="D76" s="616" t="s">
        <v>95</v>
      </c>
      <c r="E76" s="1280">
        <v>3.8400000000000001E-3</v>
      </c>
      <c r="F76" s="142">
        <f t="shared" ref="F76:F80" si="7">E76*$C$6</f>
        <v>0.28717589041095892</v>
      </c>
      <c r="G76" s="224">
        <f t="shared" si="6"/>
        <v>1.2096000000000002</v>
      </c>
    </row>
    <row r="77" spans="1:11" ht="15" customHeight="1">
      <c r="B77" s="37" t="s">
        <v>15</v>
      </c>
      <c r="C77" s="616" t="s">
        <v>95</v>
      </c>
      <c r="D77" s="616" t="s">
        <v>95</v>
      </c>
      <c r="E77" s="1280">
        <v>2.6925002515077305E-3</v>
      </c>
      <c r="F77" s="1049">
        <f t="shared" si="7"/>
        <v>0.20135967634334981</v>
      </c>
      <c r="G77" s="224">
        <f t="shared" si="6"/>
        <v>0.84813757922493505</v>
      </c>
    </row>
    <row r="78" spans="1:11" ht="15" customHeight="1">
      <c r="B78" s="37" t="s">
        <v>16</v>
      </c>
      <c r="C78" s="616" t="s">
        <v>95</v>
      </c>
      <c r="D78" s="616" t="s">
        <v>96</v>
      </c>
      <c r="E78" s="227">
        <v>3.7199999999999998E-3</v>
      </c>
      <c r="F78" s="1117">
        <f t="shared" si="7"/>
        <v>0.27820164383561641</v>
      </c>
      <c r="G78" s="224">
        <f t="shared" si="6"/>
        <v>1.1718</v>
      </c>
    </row>
    <row r="79" spans="1:11" ht="15" customHeight="1">
      <c r="B79" s="37" t="s">
        <v>18</v>
      </c>
      <c r="C79" s="616" t="s">
        <v>95</v>
      </c>
      <c r="D79" s="616" t="s">
        <v>95</v>
      </c>
      <c r="E79" s="1280">
        <v>6.0608635824438038E-3</v>
      </c>
      <c r="F79" s="1117">
        <f t="shared" si="7"/>
        <v>0.45326403540303478</v>
      </c>
      <c r="G79" s="224">
        <f t="shared" si="6"/>
        <v>1.9091720284697984</v>
      </c>
      <c r="H79" s="1091"/>
    </row>
    <row r="80" spans="1:11" ht="15" customHeight="1" thickBot="1">
      <c r="B80" s="56" t="s">
        <v>19</v>
      </c>
      <c r="C80" s="670" t="s">
        <v>95</v>
      </c>
      <c r="D80" s="671" t="s">
        <v>96</v>
      </c>
      <c r="E80" s="1284">
        <v>5.7453374608119705E-4</v>
      </c>
      <c r="F80" s="808">
        <f t="shared" si="7"/>
        <v>4.2966729193232168E-2</v>
      </c>
      <c r="G80" s="224">
        <f t="shared" si="6"/>
        <v>0.18097813001557708</v>
      </c>
      <c r="H80" s="1091"/>
    </row>
    <row r="81" spans="1:16" ht="15" customHeight="1" thickTop="1">
      <c r="B81" s="673"/>
      <c r="C81" s="674"/>
      <c r="D81" s="674"/>
      <c r="E81" s="675" t="s">
        <v>97</v>
      </c>
      <c r="F81" s="809">
        <f>SUMIF($C$75:$C$80,"Y",F75:F80)</f>
        <v>1.4814088553378002</v>
      </c>
      <c r="G81" s="810">
        <f>SUMIF($C$75:$C$80,"Y",G75:G80)</f>
        <v>6.2397722484722289</v>
      </c>
    </row>
    <row r="82" spans="1:16" ht="15" customHeight="1" thickBot="1">
      <c r="B82" s="1054"/>
      <c r="C82" s="1055"/>
      <c r="D82" s="1056"/>
      <c r="E82" s="651" t="s">
        <v>486</v>
      </c>
      <c r="F82" s="812">
        <f>SUMIF($D$75:$D$80,"Y",F75:F80)</f>
        <v>1.1602404823089516</v>
      </c>
      <c r="G82" s="811">
        <f>SUMIF($D$75:$D$80,"Y",G75:G80)</f>
        <v>4.8869941184566512</v>
      </c>
    </row>
    <row r="83" spans="1:16" ht="12" thickTop="1">
      <c r="A83" s="1461" t="s">
        <v>99</v>
      </c>
      <c r="B83" s="1461"/>
      <c r="C83" s="19"/>
      <c r="D83" s="19"/>
      <c r="E83" s="19"/>
    </row>
    <row r="84" spans="1:16" ht="13.5" customHeight="1">
      <c r="A84" s="208" t="s">
        <v>100</v>
      </c>
      <c r="B84" s="757" t="s">
        <v>608</v>
      </c>
      <c r="C84" s="757"/>
      <c r="D84" s="757"/>
      <c r="E84" s="757"/>
      <c r="F84" s="757"/>
      <c r="G84" s="757"/>
      <c r="H84" s="757"/>
    </row>
    <row r="85" spans="1:16" ht="12.6">
      <c r="A85" s="26"/>
      <c r="B85" s="27"/>
      <c r="C85" s="597"/>
      <c r="D85" s="597"/>
      <c r="E85" s="597"/>
      <c r="F85" s="597"/>
      <c r="G85" s="169"/>
      <c r="H85" s="169"/>
    </row>
    <row r="86" spans="1:16" ht="12" thickBot="1">
      <c r="B86" s="22" t="s">
        <v>578</v>
      </c>
      <c r="E86" s="93"/>
    </row>
    <row r="87" spans="1:16" ht="36" thickTop="1">
      <c r="B87" s="1443" t="s">
        <v>22</v>
      </c>
      <c r="C87" s="1402" t="s">
        <v>36</v>
      </c>
      <c r="D87" s="1404" t="s">
        <v>390</v>
      </c>
      <c r="E87" s="655" t="s">
        <v>636</v>
      </c>
      <c r="F87" s="1398" t="s">
        <v>94</v>
      </c>
      <c r="G87" s="1399"/>
      <c r="N87" s="93"/>
      <c r="O87" s="193"/>
      <c r="P87" s="93"/>
    </row>
    <row r="88" spans="1:16" ht="15" customHeight="1" thickBot="1">
      <c r="B88" s="1444"/>
      <c r="C88" s="1403"/>
      <c r="D88" s="1405"/>
      <c r="E88" s="318" t="s">
        <v>32</v>
      </c>
      <c r="F88" s="318" t="s">
        <v>23</v>
      </c>
      <c r="G88" s="319" t="s">
        <v>8</v>
      </c>
      <c r="N88" s="93"/>
      <c r="O88" s="1051"/>
      <c r="P88" s="93"/>
    </row>
    <row r="89" spans="1:16" ht="15" customHeight="1" thickTop="1">
      <c r="B89" s="55" t="s">
        <v>11</v>
      </c>
      <c r="C89" s="578" t="s">
        <v>95</v>
      </c>
      <c r="D89" s="578" t="s">
        <v>95</v>
      </c>
      <c r="E89" s="1276">
        <v>9.230000000000001E-4</v>
      </c>
      <c r="F89" s="221">
        <f t="shared" ref="F89:F94" si="8">E89*$C$8</f>
        <v>1.1076000000000001E-2</v>
      </c>
      <c r="G89" s="552">
        <f t="shared" ref="G89:G94" si="9">E89*$C$9/2000</f>
        <v>4.6150000000000004E-2</v>
      </c>
      <c r="N89" s="93"/>
      <c r="O89" s="1053"/>
      <c r="P89" s="93"/>
    </row>
    <row r="90" spans="1:16" ht="15" customHeight="1">
      <c r="B90" s="37" t="s">
        <v>12</v>
      </c>
      <c r="C90" s="616" t="s">
        <v>95</v>
      </c>
      <c r="D90" s="616" t="s">
        <v>95</v>
      </c>
      <c r="E90" s="1280">
        <v>6.5590312815338103E-4</v>
      </c>
      <c r="F90" s="513">
        <f t="shared" si="8"/>
        <v>7.8708375378405727E-3</v>
      </c>
      <c r="G90" s="552">
        <f t="shared" si="9"/>
        <v>3.2795156407669057E-2</v>
      </c>
      <c r="N90" s="93"/>
      <c r="O90" s="1053"/>
      <c r="P90" s="93"/>
    </row>
    <row r="91" spans="1:16" ht="15" customHeight="1">
      <c r="B91" s="37" t="s">
        <v>15</v>
      </c>
      <c r="C91" s="616" t="s">
        <v>95</v>
      </c>
      <c r="D91" s="616" t="s">
        <v>95</v>
      </c>
      <c r="E91" s="1280">
        <v>1.56E-3</v>
      </c>
      <c r="F91" s="221">
        <f t="shared" si="8"/>
        <v>1.8720000000000001E-2</v>
      </c>
      <c r="G91" s="552">
        <f t="shared" si="9"/>
        <v>7.8E-2</v>
      </c>
      <c r="J91" s="945"/>
      <c r="N91" s="93"/>
      <c r="O91" s="1053"/>
      <c r="P91" s="93"/>
    </row>
    <row r="92" spans="1:16" ht="15" customHeight="1">
      <c r="B92" s="37" t="s">
        <v>16</v>
      </c>
      <c r="C92" s="616" t="s">
        <v>95</v>
      </c>
      <c r="D92" s="616" t="s">
        <v>96</v>
      </c>
      <c r="E92" s="1280">
        <v>3.2500000000000003E-3</v>
      </c>
      <c r="F92" s="221">
        <f t="shared" si="8"/>
        <v>3.9000000000000007E-2</v>
      </c>
      <c r="G92" s="224">
        <f t="shared" si="9"/>
        <v>0.16250000000000003</v>
      </c>
      <c r="J92" s="950"/>
      <c r="K92" s="758"/>
      <c r="N92" s="93"/>
      <c r="O92" s="1053"/>
      <c r="P92" s="93"/>
    </row>
    <row r="93" spans="1:16" ht="15" customHeight="1">
      <c r="B93" s="37" t="s">
        <v>18</v>
      </c>
      <c r="C93" s="616" t="s">
        <v>95</v>
      </c>
      <c r="D93" s="616" t="s">
        <v>95</v>
      </c>
      <c r="E93" s="1280">
        <v>1.8670293670293689E-5</v>
      </c>
      <c r="F93" s="222">
        <f t="shared" si="8"/>
        <v>2.2404352404352428E-4</v>
      </c>
      <c r="G93" s="247">
        <f t="shared" si="9"/>
        <v>9.335146835146845E-4</v>
      </c>
      <c r="I93" s="1298"/>
      <c r="N93" s="93"/>
      <c r="O93" s="1053"/>
      <c r="P93" s="93"/>
    </row>
    <row r="94" spans="1:16" ht="15" customHeight="1" thickBot="1">
      <c r="B94" s="56" t="s">
        <v>19</v>
      </c>
      <c r="C94" s="670" t="s">
        <v>95</v>
      </c>
      <c r="D94" s="671" t="s">
        <v>96</v>
      </c>
      <c r="E94" s="1284">
        <v>2.8600000000000028E-4</v>
      </c>
      <c r="F94" s="513">
        <f t="shared" si="8"/>
        <v>3.4320000000000036E-3</v>
      </c>
      <c r="G94" s="552">
        <f t="shared" si="9"/>
        <v>1.4300000000000014E-2</v>
      </c>
      <c r="N94" s="93"/>
      <c r="O94" s="1053"/>
      <c r="P94" s="93"/>
    </row>
    <row r="95" spans="1:16" ht="15" customHeight="1" thickTop="1">
      <c r="B95" s="673"/>
      <c r="C95" s="674"/>
      <c r="D95" s="674"/>
      <c r="E95" s="675" t="s">
        <v>97</v>
      </c>
      <c r="F95" s="841">
        <f>SUMIF($C$89:$C$94,"Y",F89:F94)</f>
        <v>8.0322881061884108E-2</v>
      </c>
      <c r="G95" s="810">
        <f>SUMIF($C$89:$C$94,"Y",G89:G94)</f>
        <v>0.33467867109118377</v>
      </c>
    </row>
    <row r="96" spans="1:16" ht="15" customHeight="1" thickBot="1">
      <c r="B96" s="672"/>
      <c r="C96" s="626"/>
      <c r="D96" s="626"/>
      <c r="E96" s="651" t="s">
        <v>486</v>
      </c>
      <c r="F96" s="261">
        <f>SUMIF($D$89:$D$94,"Y",F89:F94)</f>
        <v>3.7890881061884096E-2</v>
      </c>
      <c r="G96" s="811">
        <f>SUMIF($D$89:$D$94,"Y",G89:G94)</f>
        <v>0.15787867109118373</v>
      </c>
    </row>
    <row r="97" spans="1:8" ht="15" customHeight="1" thickTop="1">
      <c r="B97" s="1469" t="s">
        <v>75</v>
      </c>
      <c r="C97" s="1470"/>
      <c r="D97" s="1471"/>
      <c r="E97" s="1341">
        <v>6.9906267284713691E-2</v>
      </c>
      <c r="F97" s="143">
        <f>E97*C8</f>
        <v>0.83887520741656429</v>
      </c>
      <c r="G97" s="292">
        <f>E97*C9/2000</f>
        <v>3.4953133642356846</v>
      </c>
    </row>
    <row r="98" spans="1:8" ht="15" customHeight="1" thickBot="1">
      <c r="B98" s="1472" t="s">
        <v>419</v>
      </c>
      <c r="C98" s="1473"/>
      <c r="D98" s="1474"/>
      <c r="E98" s="1342">
        <v>6.1080000000000006E-3</v>
      </c>
      <c r="F98" s="507">
        <f>E98*C8</f>
        <v>7.3296E-2</v>
      </c>
      <c r="G98" s="843">
        <f>E98*C9/2000</f>
        <v>0.30540000000000006</v>
      </c>
    </row>
    <row r="99" spans="1:8" ht="15" customHeight="1" thickTop="1">
      <c r="B99" s="217"/>
      <c r="C99" s="217"/>
      <c r="D99" s="217"/>
      <c r="E99" s="300"/>
      <c r="F99" s="216"/>
      <c r="G99" s="216"/>
    </row>
    <row r="100" spans="1:8" ht="15" customHeight="1">
      <c r="B100" s="217"/>
      <c r="C100" s="217"/>
      <c r="D100" s="217"/>
      <c r="E100" s="300"/>
      <c r="F100" s="216"/>
      <c r="G100" s="216"/>
    </row>
    <row r="101" spans="1:8">
      <c r="A101" s="1461" t="s">
        <v>99</v>
      </c>
      <c r="B101" s="1461"/>
      <c r="C101" s="19"/>
      <c r="D101" s="19"/>
      <c r="E101" s="19"/>
    </row>
    <row r="102" spans="1:8" ht="12.75" customHeight="1">
      <c r="A102" s="208" t="s">
        <v>100</v>
      </c>
      <c r="B102" s="757" t="s">
        <v>608</v>
      </c>
      <c r="C102" s="757"/>
      <c r="D102" s="757"/>
      <c r="E102" s="757"/>
      <c r="F102" s="757"/>
      <c r="G102" s="757"/>
      <c r="H102" s="757"/>
    </row>
    <row r="103" spans="1:8" ht="12.6">
      <c r="A103" s="26"/>
      <c r="B103" s="27"/>
      <c r="C103" s="597"/>
      <c r="D103" s="597"/>
      <c r="E103" s="597"/>
      <c r="F103" s="597"/>
      <c r="G103" s="169"/>
      <c r="H103" s="169"/>
    </row>
    <row r="104" spans="1:8" ht="13.2" thickBot="1">
      <c r="A104" s="26"/>
      <c r="B104" s="718" t="s">
        <v>623</v>
      </c>
      <c r="C104" s="921"/>
      <c r="D104" s="716"/>
      <c r="E104" s="716"/>
      <c r="F104" s="716"/>
      <c r="G104" s="169"/>
      <c r="H104" s="169"/>
    </row>
    <row r="105" spans="1:8" ht="24.6" thickTop="1">
      <c r="A105" s="26"/>
      <c r="B105" s="1454" t="s">
        <v>22</v>
      </c>
      <c r="C105" s="723" t="s">
        <v>188</v>
      </c>
      <c r="D105" s="723" t="s">
        <v>554</v>
      </c>
      <c r="E105" s="1456" t="s">
        <v>94</v>
      </c>
      <c r="F105" s="1457"/>
      <c r="G105" s="169"/>
      <c r="H105" s="169"/>
    </row>
    <row r="106" spans="1:8" ht="15.75" customHeight="1" thickBot="1">
      <c r="A106" s="26"/>
      <c r="B106" s="1455"/>
      <c r="C106" s="605" t="s">
        <v>191</v>
      </c>
      <c r="D106" s="605" t="s">
        <v>192</v>
      </c>
      <c r="E106" s="605" t="s">
        <v>23</v>
      </c>
      <c r="F106" s="606" t="s">
        <v>8</v>
      </c>
      <c r="G106" s="169"/>
      <c r="H106" s="169"/>
    </row>
    <row r="107" spans="1:8" ht="13.2" thickTop="1">
      <c r="A107" s="26"/>
      <c r="B107" s="719" t="s">
        <v>551</v>
      </c>
      <c r="C107" s="1462">
        <v>2186</v>
      </c>
      <c r="D107" s="1465">
        <v>0.01</v>
      </c>
      <c r="E107" s="782">
        <f>C107*D107*60/7000</f>
        <v>0.18737142857142855</v>
      </c>
      <c r="F107" s="724">
        <f>E107*8760/2000</f>
        <v>0.82068685714285705</v>
      </c>
      <c r="G107" s="169"/>
      <c r="H107" s="169"/>
    </row>
    <row r="108" spans="1:8" ht="15" customHeight="1">
      <c r="A108" s="26"/>
      <c r="B108" s="612" t="s">
        <v>552</v>
      </c>
      <c r="C108" s="1463"/>
      <c r="D108" s="1466"/>
      <c r="E108" s="783">
        <f>C107*D107*60/7000</f>
        <v>0.18737142857142855</v>
      </c>
      <c r="F108" s="725">
        <f t="shared" ref="F108:F109" si="10">E108*8760/2000</f>
        <v>0.82068685714285705</v>
      </c>
      <c r="G108" s="169"/>
      <c r="H108" s="169"/>
    </row>
    <row r="109" spans="1:8" ht="15.75" customHeight="1" thickBot="1">
      <c r="A109" s="26"/>
      <c r="B109" s="720" t="s">
        <v>553</v>
      </c>
      <c r="C109" s="1464"/>
      <c r="D109" s="1467"/>
      <c r="E109" s="784">
        <f>C107*D107*60/7000</f>
        <v>0.18737142857142855</v>
      </c>
      <c r="F109" s="726">
        <f t="shared" si="10"/>
        <v>0.82068685714285705</v>
      </c>
      <c r="G109" s="169"/>
      <c r="H109" s="169"/>
    </row>
    <row r="110" spans="1:8" ht="12" thickTop="1">
      <c r="A110" s="721" t="s">
        <v>288</v>
      </c>
      <c r="B110" s="722"/>
      <c r="C110" s="716"/>
      <c r="D110" s="716"/>
      <c r="E110" s="716"/>
      <c r="F110" s="716"/>
      <c r="G110" s="169"/>
      <c r="H110" s="169"/>
    </row>
    <row r="111" spans="1:8" ht="12.75" customHeight="1">
      <c r="A111" s="208" t="s">
        <v>100</v>
      </c>
      <c r="B111" s="1401" t="s">
        <v>579</v>
      </c>
      <c r="C111" s="1401"/>
      <c r="D111" s="1401"/>
      <c r="E111" s="1401"/>
      <c r="F111" s="1401"/>
      <c r="G111" s="1401"/>
      <c r="H111" s="1401"/>
    </row>
    <row r="112" spans="1:8" ht="12.75" customHeight="1">
      <c r="A112" s="208" t="s">
        <v>159</v>
      </c>
      <c r="B112" s="265" t="s">
        <v>418</v>
      </c>
      <c r="C112" s="716"/>
      <c r="D112" s="716"/>
      <c r="E112" s="716"/>
      <c r="F112" s="716"/>
      <c r="G112" s="169"/>
      <c r="H112" s="169"/>
    </row>
    <row r="113" spans="1:17" ht="12.75" customHeight="1">
      <c r="A113" s="208" t="s">
        <v>160</v>
      </c>
      <c r="B113" s="265" t="s">
        <v>347</v>
      </c>
      <c r="C113" s="716"/>
      <c r="D113" s="716"/>
      <c r="E113" s="716"/>
      <c r="F113" s="716"/>
      <c r="G113" s="169"/>
      <c r="H113" s="169"/>
    </row>
    <row r="114" spans="1:17" ht="12.6">
      <c r="A114" s="26"/>
      <c r="B114" s="27"/>
      <c r="C114" s="716"/>
      <c r="D114" s="716"/>
      <c r="E114" s="716"/>
      <c r="F114" s="716"/>
      <c r="G114" s="169"/>
      <c r="H114" s="169"/>
    </row>
    <row r="115" spans="1:17" ht="23.25" customHeight="1">
      <c r="A115" s="26"/>
      <c r="B115" s="1458" t="s">
        <v>668</v>
      </c>
      <c r="C115" s="1458"/>
      <c r="D115" s="1458"/>
      <c r="E115" s="1458"/>
      <c r="F115" s="1458"/>
      <c r="G115" s="1458"/>
      <c r="H115" s="1458"/>
    </row>
    <row r="116" spans="1:17" ht="14.4">
      <c r="A116" s="26"/>
      <c r="B116" s="59" t="s">
        <v>111</v>
      </c>
      <c r="C116" s="59"/>
      <c r="D116" s="39">
        <f>MAX(O119:O125)*10^-6</f>
        <v>1.84957E-2</v>
      </c>
      <c r="E116" s="59" t="s">
        <v>112</v>
      </c>
      <c r="F116" s="510"/>
      <c r="G116" s="169"/>
      <c r="H116" s="169"/>
    </row>
    <row r="117" spans="1:17" ht="14.4">
      <c r="A117" s="26"/>
      <c r="B117" s="59" t="s">
        <v>420</v>
      </c>
      <c r="C117" s="59"/>
      <c r="D117" s="211">
        <f>(F97)/(1-C12/100)</f>
        <v>16.777504148331271</v>
      </c>
      <c r="E117" s="59" t="s">
        <v>35</v>
      </c>
      <c r="F117" s="510"/>
      <c r="G117" s="169"/>
      <c r="H117" s="169"/>
    </row>
    <row r="118" spans="1:17" ht="14.4">
      <c r="A118" s="26"/>
      <c r="B118" s="59" t="s">
        <v>422</v>
      </c>
      <c r="C118" s="59"/>
      <c r="D118" s="573">
        <f>D117*D116</f>
        <v>0.31031168347629068</v>
      </c>
      <c r="E118" s="59" t="s">
        <v>29</v>
      </c>
      <c r="F118" s="510"/>
      <c r="G118" s="169"/>
      <c r="H118" s="169"/>
      <c r="M118" s="31" t="s">
        <v>22</v>
      </c>
      <c r="N118" s="19"/>
      <c r="O118" s="596" t="s">
        <v>172</v>
      </c>
    </row>
    <row r="119" spans="1:17" ht="14.4">
      <c r="A119" s="26"/>
      <c r="B119" s="59" t="s">
        <v>420</v>
      </c>
      <c r="C119" s="59"/>
      <c r="D119" s="211">
        <f>(G97)/(1-C12/100)</f>
        <v>69.906267284713635</v>
      </c>
      <c r="E119" s="59" t="s">
        <v>421</v>
      </c>
      <c r="F119" s="510"/>
      <c r="G119" s="169"/>
      <c r="H119" s="169"/>
      <c r="M119" s="19" t="s">
        <v>11</v>
      </c>
      <c r="N119" s="19"/>
      <c r="O119" s="219">
        <v>11836.21</v>
      </c>
    </row>
    <row r="120" spans="1:17" ht="14.4">
      <c r="A120" s="26"/>
      <c r="B120" s="59" t="s">
        <v>422</v>
      </c>
      <c r="C120" s="59"/>
      <c r="D120" s="211">
        <f>D119*2000*D116</f>
        <v>2585.9306956357564</v>
      </c>
      <c r="E120" s="59" t="s">
        <v>79</v>
      </c>
      <c r="F120" s="510"/>
      <c r="G120" s="169"/>
      <c r="H120" s="169"/>
      <c r="M120" s="19" t="s">
        <v>12</v>
      </c>
      <c r="N120" s="63"/>
      <c r="O120" s="219">
        <v>12919.68</v>
      </c>
    </row>
    <row r="121" spans="1:17" ht="14.4" thickBot="1">
      <c r="A121" s="26"/>
      <c r="B121" s="511"/>
      <c r="C121" s="60"/>
      <c r="D121" s="60"/>
      <c r="E121" s="60"/>
      <c r="F121" s="60"/>
      <c r="G121" s="169"/>
      <c r="H121" s="169"/>
      <c r="M121" s="19" t="s">
        <v>173</v>
      </c>
      <c r="N121" s="63"/>
      <c r="O121" s="219">
        <v>18464.099999999999</v>
      </c>
    </row>
    <row r="122" spans="1:17" ht="15.75" customHeight="1" thickTop="1">
      <c r="A122" s="26"/>
      <c r="B122" s="1383" t="s">
        <v>22</v>
      </c>
      <c r="C122" s="1381" t="s">
        <v>93</v>
      </c>
      <c r="D122" s="1381" t="s">
        <v>31</v>
      </c>
      <c r="E122" s="1422" t="s">
        <v>94</v>
      </c>
      <c r="F122" s="1423"/>
      <c r="G122" s="169"/>
      <c r="H122" s="169"/>
      <c r="M122" s="19" t="s">
        <v>174</v>
      </c>
      <c r="N122" s="63"/>
      <c r="O122" s="219">
        <v>18495.7</v>
      </c>
    </row>
    <row r="123" spans="1:17" ht="14.4" thickBot="1">
      <c r="A123" s="26"/>
      <c r="B123" s="1384"/>
      <c r="C123" s="1382"/>
      <c r="D123" s="1382"/>
      <c r="E123" s="777" t="s">
        <v>23</v>
      </c>
      <c r="F123" s="212" t="s">
        <v>8</v>
      </c>
      <c r="G123" s="169"/>
      <c r="H123" s="169"/>
      <c r="M123" s="19" t="s">
        <v>15</v>
      </c>
      <c r="N123" s="63"/>
      <c r="O123" s="219">
        <v>8597.9599999999991</v>
      </c>
    </row>
    <row r="124" spans="1:17" ht="13.2" thickTop="1">
      <c r="A124" s="26"/>
      <c r="B124" s="179" t="s">
        <v>2</v>
      </c>
      <c r="C124" s="567">
        <f>84/1020</f>
        <v>8.2352941176470587E-2</v>
      </c>
      <c r="D124" s="33" t="s">
        <v>34</v>
      </c>
      <c r="E124" s="143">
        <f>C124*D118</f>
        <v>2.5555079815694527E-2</v>
      </c>
      <c r="F124" s="568">
        <f>C124*D120/2000</f>
        <v>0.10647949923206056</v>
      </c>
      <c r="G124" s="169"/>
      <c r="H124" s="169"/>
      <c r="M124" s="19" t="s">
        <v>18</v>
      </c>
      <c r="N124" s="19"/>
      <c r="O124" s="219">
        <v>14402.51</v>
      </c>
    </row>
    <row r="125" spans="1:17" ht="14.4" thickBot="1">
      <c r="A125" s="26"/>
      <c r="B125" s="214" t="s">
        <v>114</v>
      </c>
      <c r="C125" s="152">
        <f>100/1020</f>
        <v>9.8039215686274508E-2</v>
      </c>
      <c r="D125" s="34" t="s">
        <v>34</v>
      </c>
      <c r="E125" s="152">
        <f>C125*D118</f>
        <v>3.0422714066303008E-2</v>
      </c>
      <c r="F125" s="569">
        <f>C125*D120/2000</f>
        <v>0.12676130860959589</v>
      </c>
      <c r="G125" s="169"/>
      <c r="H125" s="169"/>
      <c r="M125" s="19" t="s">
        <v>19</v>
      </c>
      <c r="N125" s="19"/>
      <c r="O125" s="219">
        <v>13536.33</v>
      </c>
    </row>
    <row r="126" spans="1:17" ht="13.2" thickTop="1">
      <c r="A126" s="26"/>
      <c r="B126" s="27"/>
      <c r="C126" s="597"/>
      <c r="D126" s="597"/>
      <c r="E126" s="597"/>
      <c r="F126" s="597"/>
      <c r="G126" s="169"/>
      <c r="H126" s="169"/>
    </row>
    <row r="127" spans="1:17" ht="15" thickBot="1">
      <c r="A127" s="26"/>
      <c r="B127" s="517" t="s">
        <v>581</v>
      </c>
      <c r="C127" s="518"/>
      <c r="D127" s="518"/>
      <c r="E127" s="518"/>
      <c r="F127" s="518"/>
      <c r="G127" s="519"/>
      <c r="H127" s="519"/>
      <c r="I127" s="512"/>
      <c r="J127" s="512"/>
      <c r="K127" s="512"/>
      <c r="L127" s="512"/>
      <c r="M127"/>
      <c r="N127"/>
      <c r="O127"/>
    </row>
    <row r="128" spans="1:17" ht="15.75" customHeight="1" thickTop="1">
      <c r="A128" s="26"/>
      <c r="B128" s="1459" t="s">
        <v>22</v>
      </c>
      <c r="C128" s="1402" t="s">
        <v>36</v>
      </c>
      <c r="D128" s="1404" t="s">
        <v>390</v>
      </c>
      <c r="E128" s="1381" t="s">
        <v>93</v>
      </c>
      <c r="F128" s="1452" t="s">
        <v>31</v>
      </c>
      <c r="G128" s="1398" t="s">
        <v>94</v>
      </c>
      <c r="H128" s="1399"/>
      <c r="I128" s="178"/>
      <c r="J128" s="178"/>
      <c r="K128" s="512"/>
      <c r="L128" s="512"/>
      <c r="M128" s="512"/>
      <c r="N128" s="512"/>
      <c r="O128"/>
      <c r="P128"/>
      <c r="Q128"/>
    </row>
    <row r="129" spans="1:17" ht="15" thickBot="1">
      <c r="A129" s="26"/>
      <c r="B129" s="1460"/>
      <c r="C129" s="1403"/>
      <c r="D129" s="1405"/>
      <c r="E129" s="1382"/>
      <c r="F129" s="1453"/>
      <c r="G129" s="520" t="s">
        <v>23</v>
      </c>
      <c r="H129" s="521" t="s">
        <v>8</v>
      </c>
      <c r="I129"/>
      <c r="J129"/>
      <c r="K129" s="522"/>
      <c r="L129" s="522"/>
      <c r="M129" s="512"/>
      <c r="N129" s="512"/>
      <c r="O129"/>
      <c r="P129"/>
      <c r="Q129"/>
    </row>
    <row r="130" spans="1:17" ht="15.6" thickTop="1" thickBot="1">
      <c r="A130" s="26"/>
      <c r="B130" s="689" t="s">
        <v>580</v>
      </c>
      <c r="C130" s="658"/>
      <c r="D130" s="658"/>
      <c r="E130" s="658"/>
      <c r="F130" s="658"/>
      <c r="G130" s="659"/>
      <c r="H130" s="660"/>
      <c r="I130"/>
      <c r="J130"/>
      <c r="K130" s="220"/>
      <c r="L130" s="220"/>
      <c r="M130" s="512"/>
      <c r="N130" s="518" t="s">
        <v>175</v>
      </c>
      <c r="O130"/>
      <c r="P130"/>
      <c r="Q130"/>
    </row>
    <row r="131" spans="1:17" ht="15" thickTop="1">
      <c r="A131" s="26"/>
      <c r="B131" s="244" t="s">
        <v>137</v>
      </c>
      <c r="C131" s="661" t="s">
        <v>95</v>
      </c>
      <c r="D131" s="661" t="s">
        <v>96</v>
      </c>
      <c r="E131" s="837">
        <v>2.4000000000000001E-5</v>
      </c>
      <c r="F131" s="662" t="s">
        <v>138</v>
      </c>
      <c r="G131" s="838">
        <f>$E131*$C$11/1020</f>
        <v>4.6588235294117647E-7</v>
      </c>
      <c r="H131" s="839">
        <f t="shared" ref="H131:H167" si="11">$E131*$C$10*$C$11/1020/2000</f>
        <v>2.0405647058823531E-6</v>
      </c>
      <c r="I131"/>
      <c r="J131"/>
      <c r="K131" s="522"/>
      <c r="L131" s="522"/>
      <c r="M131" s="512"/>
      <c r="N131" s="518" t="s">
        <v>176</v>
      </c>
      <c r="O131"/>
      <c r="P131"/>
      <c r="Q131"/>
    </row>
    <row r="132" spans="1:17" ht="14.4">
      <c r="A132" s="26"/>
      <c r="B132" s="229" t="s">
        <v>139</v>
      </c>
      <c r="C132" s="656" t="s">
        <v>95</v>
      </c>
      <c r="D132" s="656" t="s">
        <v>96</v>
      </c>
      <c r="E132" s="230">
        <v>1.7999999999999999E-6</v>
      </c>
      <c r="F132" s="524" t="s">
        <v>138</v>
      </c>
      <c r="G132" s="227">
        <f>$E132*$C$11/1020</f>
        <v>3.494117647058823E-8</v>
      </c>
      <c r="H132" s="228">
        <f t="shared" si="11"/>
        <v>1.5304235294117648E-7</v>
      </c>
      <c r="I132"/>
      <c r="J132" s="3"/>
      <c r="K132" s="512"/>
      <c r="L132" s="512"/>
      <c r="M132" s="512"/>
      <c r="N132" s="518" t="s">
        <v>176</v>
      </c>
      <c r="O132"/>
      <c r="P132"/>
      <c r="Q132"/>
    </row>
    <row r="133" spans="1:17" ht="14.4">
      <c r="A133" s="26"/>
      <c r="B133" s="229" t="s">
        <v>140</v>
      </c>
      <c r="C133" s="656" t="s">
        <v>95</v>
      </c>
      <c r="D133" s="656" t="s">
        <v>96</v>
      </c>
      <c r="E133" s="230">
        <v>1.5999999999999999E-5</v>
      </c>
      <c r="F133" s="524" t="s">
        <v>138</v>
      </c>
      <c r="G133" s="227">
        <f t="shared" ref="G133:G166" si="12">$E133*$C$11/1020</f>
        <v>3.1058823529411767E-7</v>
      </c>
      <c r="H133" s="228">
        <f t="shared" si="11"/>
        <v>1.3603764705882355E-6</v>
      </c>
      <c r="I133"/>
      <c r="J133" s="3"/>
      <c r="K133" s="512"/>
      <c r="L133" s="512"/>
      <c r="M133" s="512"/>
      <c r="N133" s="518" t="s">
        <v>176</v>
      </c>
      <c r="O133"/>
      <c r="P133"/>
      <c r="Q133"/>
    </row>
    <row r="134" spans="1:17" ht="14.4">
      <c r="A134" s="26"/>
      <c r="B134" s="229" t="s">
        <v>141</v>
      </c>
      <c r="C134" s="656" t="s">
        <v>95</v>
      </c>
      <c r="D134" s="656" t="s">
        <v>96</v>
      </c>
      <c r="E134" s="230">
        <v>1.7999999999999999E-6</v>
      </c>
      <c r="F134" s="524" t="s">
        <v>138</v>
      </c>
      <c r="G134" s="227">
        <f t="shared" si="12"/>
        <v>3.494117647058823E-8</v>
      </c>
      <c r="H134" s="228">
        <f t="shared" si="11"/>
        <v>1.5304235294117648E-7</v>
      </c>
      <c r="I134"/>
      <c r="J134" s="3"/>
      <c r="K134" s="512"/>
      <c r="L134" s="512"/>
      <c r="M134" s="512"/>
      <c r="N134" s="518" t="s">
        <v>176</v>
      </c>
      <c r="O134"/>
      <c r="P134"/>
      <c r="Q134"/>
    </row>
    <row r="135" spans="1:17" ht="14.4">
      <c r="A135" s="26"/>
      <c r="B135" s="229" t="s">
        <v>142</v>
      </c>
      <c r="C135" s="656" t="s">
        <v>95</v>
      </c>
      <c r="D135" s="656" t="s">
        <v>96</v>
      </c>
      <c r="E135" s="230">
        <v>1.7999999999999999E-6</v>
      </c>
      <c r="F135" s="524" t="s">
        <v>138</v>
      </c>
      <c r="G135" s="227">
        <f t="shared" si="12"/>
        <v>3.494117647058823E-8</v>
      </c>
      <c r="H135" s="228">
        <f t="shared" si="11"/>
        <v>1.5304235294117648E-7</v>
      </c>
      <c r="I135"/>
      <c r="J135" s="3"/>
      <c r="K135" s="512"/>
      <c r="L135" s="512"/>
      <c r="M135" s="512"/>
      <c r="N135" s="518" t="s">
        <v>176</v>
      </c>
      <c r="O135"/>
      <c r="P135"/>
      <c r="Q135"/>
    </row>
    <row r="136" spans="1:17" ht="14.4" hidden="1">
      <c r="A136" s="26"/>
      <c r="B136" s="612" t="s">
        <v>11</v>
      </c>
      <c r="C136" s="656" t="s">
        <v>95</v>
      </c>
      <c r="D136" s="656" t="s">
        <v>95</v>
      </c>
      <c r="E136" s="961">
        <v>0</v>
      </c>
      <c r="F136" s="524" t="s">
        <v>138</v>
      </c>
      <c r="G136" s="227">
        <f t="shared" si="12"/>
        <v>0</v>
      </c>
      <c r="H136" s="228">
        <f t="shared" si="11"/>
        <v>0</v>
      </c>
      <c r="I136" s="970" t="s">
        <v>626</v>
      </c>
      <c r="J136" s="3"/>
      <c r="K136" s="512"/>
      <c r="L136" s="512"/>
      <c r="M136" s="512"/>
      <c r="N136" s="518"/>
      <c r="O136"/>
      <c r="P136"/>
      <c r="Q136"/>
    </row>
    <row r="137" spans="1:17" ht="14.4" hidden="1">
      <c r="A137" s="26"/>
      <c r="B137" s="612" t="s">
        <v>12</v>
      </c>
      <c r="C137" s="656" t="s">
        <v>95</v>
      </c>
      <c r="D137" s="656" t="s">
        <v>95</v>
      </c>
      <c r="E137" s="961">
        <v>0</v>
      </c>
      <c r="F137" s="524" t="s">
        <v>138</v>
      </c>
      <c r="G137" s="227">
        <f t="shared" si="12"/>
        <v>0</v>
      </c>
      <c r="H137" s="228">
        <f t="shared" si="11"/>
        <v>0</v>
      </c>
      <c r="I137" s="970" t="s">
        <v>626</v>
      </c>
      <c r="J137" s="3"/>
      <c r="K137" s="512"/>
      <c r="L137" s="512"/>
      <c r="M137" s="512"/>
      <c r="N137" s="518"/>
      <c r="O137"/>
      <c r="P137"/>
      <c r="Q137"/>
    </row>
    <row r="138" spans="1:17" ht="14.4">
      <c r="A138" s="26"/>
      <c r="B138" s="612" t="s">
        <v>457</v>
      </c>
      <c r="C138" s="656" t="s">
        <v>96</v>
      </c>
      <c r="D138" s="656" t="s">
        <v>95</v>
      </c>
      <c r="E138" s="805">
        <v>3.2</v>
      </c>
      <c r="F138" s="524" t="s">
        <v>138</v>
      </c>
      <c r="G138" s="227">
        <f t="shared" si="12"/>
        <v>6.2117647058823534E-2</v>
      </c>
      <c r="H138" s="228">
        <f t="shared" si="11"/>
        <v>0.27207529411764703</v>
      </c>
      <c r="I138"/>
      <c r="J138" s="3"/>
      <c r="K138" s="512"/>
      <c r="L138" s="512"/>
      <c r="M138" s="512"/>
      <c r="N138" s="518"/>
      <c r="O138"/>
      <c r="P138"/>
      <c r="Q138"/>
    </row>
    <row r="139" spans="1:17" ht="14.4">
      <c r="A139" s="26"/>
      <c r="B139" s="229" t="s">
        <v>143</v>
      </c>
      <c r="C139" s="618" t="s">
        <v>95</v>
      </c>
      <c r="D139" s="618" t="s">
        <v>96</v>
      </c>
      <c r="E139" s="230">
        <v>2.3999999999999999E-6</v>
      </c>
      <c r="F139" s="524" t="s">
        <v>138</v>
      </c>
      <c r="G139" s="227">
        <f t="shared" si="12"/>
        <v>4.6588235294117645E-8</v>
      </c>
      <c r="H139" s="228">
        <f t="shared" si="11"/>
        <v>2.0405647058823529E-7</v>
      </c>
      <c r="I139"/>
      <c r="J139" s="3"/>
      <c r="K139" s="512"/>
      <c r="L139" s="512"/>
      <c r="M139" s="512"/>
      <c r="N139" s="518" t="s">
        <v>176</v>
      </c>
      <c r="O139"/>
      <c r="P139"/>
      <c r="Q139"/>
    </row>
    <row r="140" spans="1:17" ht="14.4">
      <c r="A140" s="26"/>
      <c r="B140" s="148" t="s">
        <v>473</v>
      </c>
      <c r="C140" s="656" t="s">
        <v>95</v>
      </c>
      <c r="D140" s="656" t="s">
        <v>95</v>
      </c>
      <c r="E140" s="230">
        <v>2.0000000000000001E-4</v>
      </c>
      <c r="F140" s="524" t="s">
        <v>138</v>
      </c>
      <c r="G140" s="227">
        <f t="shared" si="12"/>
        <v>3.8823529411764706E-6</v>
      </c>
      <c r="H140" s="228">
        <f t="shared" si="11"/>
        <v>1.7004705882352941E-5</v>
      </c>
      <c r="I140"/>
      <c r="J140" s="3"/>
      <c r="K140" s="512"/>
      <c r="L140" s="512"/>
      <c r="M140" s="512"/>
      <c r="N140" s="518"/>
      <c r="O140"/>
      <c r="P140"/>
      <c r="Q140"/>
    </row>
    <row r="141" spans="1:17" ht="14.4">
      <c r="A141" s="26"/>
      <c r="B141" s="229" t="s">
        <v>144</v>
      </c>
      <c r="C141" s="656" t="s">
        <v>95</v>
      </c>
      <c r="D141" s="656" t="s">
        <v>96</v>
      </c>
      <c r="E141" s="230">
        <v>1.7999999999999999E-6</v>
      </c>
      <c r="F141" s="524" t="s">
        <v>138</v>
      </c>
      <c r="G141" s="227">
        <f t="shared" si="12"/>
        <v>3.494117647058823E-8</v>
      </c>
      <c r="H141" s="228">
        <f t="shared" si="11"/>
        <v>1.5304235294117648E-7</v>
      </c>
      <c r="I141"/>
      <c r="J141" s="3"/>
      <c r="K141" s="512"/>
      <c r="L141" s="512"/>
      <c r="M141" s="512"/>
      <c r="N141" s="518" t="s">
        <v>176</v>
      </c>
      <c r="O141"/>
      <c r="P141"/>
      <c r="Q141"/>
    </row>
    <row r="142" spans="1:17" ht="14.4">
      <c r="A142" s="26"/>
      <c r="B142" s="180" t="s">
        <v>13</v>
      </c>
      <c r="C142" s="656" t="s">
        <v>95</v>
      </c>
      <c r="D142" s="656" t="s">
        <v>95</v>
      </c>
      <c r="E142" s="230">
        <v>2.0999999999999999E-3</v>
      </c>
      <c r="F142" s="524" t="s">
        <v>138</v>
      </c>
      <c r="G142" s="227">
        <f t="shared" si="12"/>
        <v>4.076470588235294E-5</v>
      </c>
      <c r="H142" s="228">
        <f t="shared" si="11"/>
        <v>1.7854941176470587E-4</v>
      </c>
      <c r="I142"/>
      <c r="J142" s="3"/>
      <c r="K142" s="512"/>
      <c r="L142" s="512"/>
      <c r="M142" s="512"/>
      <c r="O142"/>
      <c r="P142"/>
      <c r="Q142"/>
    </row>
    <row r="143" spans="1:17" ht="14.4">
      <c r="A143" s="26"/>
      <c r="B143" s="229" t="s">
        <v>25</v>
      </c>
      <c r="C143" s="656" t="s">
        <v>95</v>
      </c>
      <c r="D143" s="656" t="s">
        <v>95</v>
      </c>
      <c r="E143" s="230">
        <v>1.1999999999999999E-6</v>
      </c>
      <c r="F143" s="524" t="s">
        <v>138</v>
      </c>
      <c r="G143" s="227">
        <f t="shared" si="12"/>
        <v>2.3294117647058822E-8</v>
      </c>
      <c r="H143" s="228">
        <f t="shared" si="11"/>
        <v>1.0202823529411764E-7</v>
      </c>
      <c r="I143"/>
      <c r="J143" s="3"/>
      <c r="K143" s="512"/>
      <c r="L143" s="512"/>
      <c r="M143" s="512"/>
      <c r="N143" s="518" t="s">
        <v>176</v>
      </c>
      <c r="O143"/>
      <c r="P143"/>
      <c r="Q143"/>
    </row>
    <row r="144" spans="1:17" ht="14.4">
      <c r="A144" s="26"/>
      <c r="B144" s="229" t="s">
        <v>145</v>
      </c>
      <c r="C144" s="656" t="s">
        <v>95</v>
      </c>
      <c r="D144" s="656" t="s">
        <v>96</v>
      </c>
      <c r="E144" s="230">
        <v>1.7999999999999999E-6</v>
      </c>
      <c r="F144" s="524" t="s">
        <v>138</v>
      </c>
      <c r="G144" s="227">
        <f t="shared" si="12"/>
        <v>3.494117647058823E-8</v>
      </c>
      <c r="H144" s="228">
        <f t="shared" si="11"/>
        <v>1.5304235294117648E-7</v>
      </c>
      <c r="I144"/>
      <c r="J144" s="3"/>
      <c r="K144" s="512"/>
      <c r="L144" s="512"/>
      <c r="M144" s="512"/>
      <c r="N144" s="518" t="s">
        <v>176</v>
      </c>
      <c r="O144"/>
      <c r="P144"/>
      <c r="Q144"/>
    </row>
    <row r="145" spans="1:17" ht="14.4">
      <c r="A145" s="26"/>
      <c r="B145" s="229" t="s">
        <v>146</v>
      </c>
      <c r="C145" s="656" t="s">
        <v>95</v>
      </c>
      <c r="D145" s="656" t="s">
        <v>96</v>
      </c>
      <c r="E145" s="230">
        <v>1.1999999999999999E-6</v>
      </c>
      <c r="F145" s="524" t="s">
        <v>138</v>
      </c>
      <c r="G145" s="227">
        <f t="shared" si="12"/>
        <v>2.3294117647058822E-8</v>
      </c>
      <c r="H145" s="228">
        <f t="shared" si="11"/>
        <v>1.0202823529411764E-7</v>
      </c>
      <c r="I145"/>
      <c r="J145" s="3"/>
      <c r="K145" s="512"/>
      <c r="L145" s="512"/>
      <c r="M145" s="512"/>
      <c r="N145" s="518" t="s">
        <v>176</v>
      </c>
      <c r="O145"/>
      <c r="P145"/>
      <c r="Q145"/>
    </row>
    <row r="146" spans="1:17" ht="14.4">
      <c r="A146" s="26"/>
      <c r="B146" s="229" t="s">
        <v>147</v>
      </c>
      <c r="C146" s="618" t="s">
        <v>95</v>
      </c>
      <c r="D146" s="618" t="s">
        <v>96</v>
      </c>
      <c r="E146" s="230">
        <v>1.7999999999999999E-6</v>
      </c>
      <c r="F146" s="524" t="s">
        <v>138</v>
      </c>
      <c r="G146" s="227">
        <f t="shared" si="12"/>
        <v>3.494117647058823E-8</v>
      </c>
      <c r="H146" s="228">
        <f t="shared" si="11"/>
        <v>1.5304235294117648E-7</v>
      </c>
      <c r="I146"/>
      <c r="J146" s="3"/>
      <c r="K146" s="512"/>
      <c r="L146" s="512"/>
      <c r="M146" s="512"/>
      <c r="N146" s="518" t="s">
        <v>176</v>
      </c>
      <c r="O146"/>
      <c r="P146"/>
      <c r="Q146"/>
    </row>
    <row r="147" spans="1:17" ht="14.4">
      <c r="A147" s="26"/>
      <c r="B147" s="229" t="s">
        <v>122</v>
      </c>
      <c r="C147" s="618" t="s">
        <v>95</v>
      </c>
      <c r="D147" s="618" t="s">
        <v>95</v>
      </c>
      <c r="E147" s="230">
        <v>1.2E-5</v>
      </c>
      <c r="F147" s="524" t="s">
        <v>138</v>
      </c>
      <c r="G147" s="227">
        <f t="shared" si="12"/>
        <v>2.3294117647058824E-7</v>
      </c>
      <c r="H147" s="228">
        <f t="shared" si="11"/>
        <v>1.0202823529411766E-6</v>
      </c>
      <c r="I147"/>
      <c r="J147" s="3"/>
      <c r="K147" s="512"/>
      <c r="L147" s="512"/>
      <c r="M147" s="512"/>
      <c r="N147" s="518"/>
      <c r="O147"/>
      <c r="P147"/>
      <c r="Q147"/>
    </row>
    <row r="148" spans="1:17" ht="14.4">
      <c r="A148" s="26"/>
      <c r="B148" s="148" t="s">
        <v>123</v>
      </c>
      <c r="C148" s="656" t="s">
        <v>95</v>
      </c>
      <c r="D148" s="656" t="s">
        <v>95</v>
      </c>
      <c r="E148" s="230">
        <v>1.1000000000000001E-3</v>
      </c>
      <c r="F148" s="524" t="s">
        <v>138</v>
      </c>
      <c r="G148" s="227">
        <f t="shared" si="12"/>
        <v>2.1352941176470589E-5</v>
      </c>
      <c r="H148" s="228">
        <f t="shared" si="11"/>
        <v>9.3525882352941196E-5</v>
      </c>
      <c r="I148"/>
      <c r="J148" s="3"/>
      <c r="K148" s="512"/>
      <c r="L148" s="512"/>
      <c r="M148" s="512"/>
      <c r="N148" s="518"/>
      <c r="O148"/>
      <c r="P148"/>
      <c r="Q148"/>
    </row>
    <row r="149" spans="1:17" ht="14.4">
      <c r="A149" s="26"/>
      <c r="B149" s="229" t="s">
        <v>124</v>
      </c>
      <c r="C149" s="656" t="s">
        <v>95</v>
      </c>
      <c r="D149" s="656" t="s">
        <v>96</v>
      </c>
      <c r="E149" s="230">
        <v>1.4E-3</v>
      </c>
      <c r="F149" s="524" t="s">
        <v>138</v>
      </c>
      <c r="G149" s="227">
        <f t="shared" si="12"/>
        <v>2.7176470588235296E-5</v>
      </c>
      <c r="H149" s="228">
        <f t="shared" si="11"/>
        <v>1.1903294117647059E-4</v>
      </c>
      <c r="I149"/>
      <c r="J149" s="3"/>
      <c r="K149" s="512"/>
      <c r="L149" s="512"/>
      <c r="M149" s="512"/>
      <c r="N149" s="518"/>
      <c r="O149"/>
      <c r="P149"/>
      <c r="Q149"/>
    </row>
    <row r="150" spans="1:17" ht="14.4">
      <c r="A150" s="26"/>
      <c r="B150" s="229" t="s">
        <v>148</v>
      </c>
      <c r="C150" s="618" t="s">
        <v>95</v>
      </c>
      <c r="D150" s="618" t="s">
        <v>96</v>
      </c>
      <c r="E150" s="230">
        <v>1.7999999999999999E-6</v>
      </c>
      <c r="F150" s="524" t="s">
        <v>138</v>
      </c>
      <c r="G150" s="227">
        <f t="shared" si="12"/>
        <v>3.494117647058823E-8</v>
      </c>
      <c r="H150" s="228">
        <f t="shared" si="11"/>
        <v>1.5304235294117648E-7</v>
      </c>
      <c r="I150"/>
      <c r="J150" s="3"/>
      <c r="K150" s="512"/>
      <c r="L150" s="512"/>
      <c r="M150" s="512"/>
      <c r="N150" s="518" t="s">
        <v>176</v>
      </c>
      <c r="O150"/>
      <c r="P150"/>
      <c r="Q150"/>
    </row>
    <row r="151" spans="1:17" ht="14.4">
      <c r="A151" s="26"/>
      <c r="B151" s="148" t="s">
        <v>61</v>
      </c>
      <c r="C151" s="656" t="s">
        <v>95</v>
      </c>
      <c r="D151" s="656" t="s">
        <v>96</v>
      </c>
      <c r="E151" s="230">
        <v>8.3999999999999995E-5</v>
      </c>
      <c r="F151" s="524" t="s">
        <v>138</v>
      </c>
      <c r="G151" s="227">
        <f t="shared" si="12"/>
        <v>1.6305882352941175E-6</v>
      </c>
      <c r="H151" s="228">
        <f t="shared" si="11"/>
        <v>7.1419764705882347E-6</v>
      </c>
      <c r="I151"/>
      <c r="J151" s="3"/>
      <c r="K151" s="512"/>
      <c r="L151" s="512"/>
      <c r="M151" s="512"/>
      <c r="N151" s="518"/>
      <c r="O151"/>
      <c r="P151"/>
      <c r="Q151"/>
    </row>
    <row r="152" spans="1:17" ht="14.4">
      <c r="A152" s="26"/>
      <c r="B152" s="229" t="s">
        <v>149</v>
      </c>
      <c r="C152" s="656" t="s">
        <v>95</v>
      </c>
      <c r="D152" s="656" t="s">
        <v>96</v>
      </c>
      <c r="E152" s="230">
        <v>1.1999999999999999E-6</v>
      </c>
      <c r="F152" s="524" t="s">
        <v>138</v>
      </c>
      <c r="G152" s="227">
        <f t="shared" si="12"/>
        <v>2.3294117647058822E-8</v>
      </c>
      <c r="H152" s="228">
        <f t="shared" si="11"/>
        <v>1.0202823529411764E-7</v>
      </c>
      <c r="I152"/>
      <c r="J152" s="3"/>
      <c r="K152" s="512"/>
      <c r="L152" s="512"/>
      <c r="M152" s="512"/>
      <c r="N152" s="518" t="s">
        <v>176</v>
      </c>
      <c r="O152"/>
      <c r="P152"/>
      <c r="Q152"/>
    </row>
    <row r="153" spans="1:17" ht="14.4">
      <c r="A153" s="26"/>
      <c r="B153" s="229" t="s">
        <v>150</v>
      </c>
      <c r="C153" s="656" t="s">
        <v>95</v>
      </c>
      <c r="D153" s="656" t="s">
        <v>95</v>
      </c>
      <c r="E153" s="230">
        <v>1.1999999999999999E-3</v>
      </c>
      <c r="F153" s="524" t="s">
        <v>138</v>
      </c>
      <c r="G153" s="227">
        <f t="shared" si="12"/>
        <v>2.3294117647058824E-5</v>
      </c>
      <c r="H153" s="228">
        <f t="shared" si="11"/>
        <v>1.0202823529411764E-4</v>
      </c>
      <c r="I153"/>
      <c r="J153" s="3"/>
      <c r="K153" s="512"/>
      <c r="L153" s="512"/>
      <c r="M153" s="512"/>
      <c r="N153" s="518"/>
      <c r="O153"/>
      <c r="P153"/>
      <c r="Q153"/>
    </row>
    <row r="154" spans="1:17" ht="14.4">
      <c r="A154" s="26"/>
      <c r="B154" s="229" t="s">
        <v>151</v>
      </c>
      <c r="C154" s="657" t="s">
        <v>95</v>
      </c>
      <c r="D154" s="657" t="s">
        <v>96</v>
      </c>
      <c r="E154" s="230">
        <v>3.0000000000000001E-6</v>
      </c>
      <c r="F154" s="524" t="s">
        <v>138</v>
      </c>
      <c r="G154" s="227">
        <f t="shared" si="12"/>
        <v>5.8235294117647059E-8</v>
      </c>
      <c r="H154" s="228">
        <f t="shared" si="11"/>
        <v>2.5507058823529414E-7</v>
      </c>
      <c r="I154"/>
      <c r="J154" s="3"/>
      <c r="K154" s="512"/>
      <c r="L154" s="512"/>
      <c r="M154" s="512"/>
      <c r="N154" s="518" t="s">
        <v>176</v>
      </c>
      <c r="O154"/>
      <c r="P154"/>
      <c r="Q154"/>
    </row>
    <row r="155" spans="1:17" ht="14.4">
      <c r="A155" s="26"/>
      <c r="B155" s="248" t="s">
        <v>152</v>
      </c>
      <c r="C155" s="656" t="s">
        <v>95</v>
      </c>
      <c r="D155" s="656" t="s">
        <v>96</v>
      </c>
      <c r="E155" s="230">
        <v>2.7999999999999999E-6</v>
      </c>
      <c r="F155" s="524" t="s">
        <v>138</v>
      </c>
      <c r="G155" s="227">
        <f t="shared" si="12"/>
        <v>5.4352941176470588E-8</v>
      </c>
      <c r="H155" s="228">
        <f t="shared" si="11"/>
        <v>2.3806588235294119E-7</v>
      </c>
      <c r="I155"/>
      <c r="J155" s="3"/>
      <c r="K155" s="512"/>
      <c r="L155" s="512"/>
      <c r="M155" s="512"/>
      <c r="N155" s="518" t="s">
        <v>176</v>
      </c>
      <c r="O155"/>
      <c r="P155"/>
      <c r="Q155"/>
    </row>
    <row r="156" spans="1:17" ht="14.4" hidden="1">
      <c r="A156" s="26"/>
      <c r="B156" s="229" t="s">
        <v>15</v>
      </c>
      <c r="C156" s="656" t="s">
        <v>95</v>
      </c>
      <c r="D156" s="656" t="s">
        <v>95</v>
      </c>
      <c r="E156" s="962">
        <v>0</v>
      </c>
      <c r="F156" s="524" t="s">
        <v>138</v>
      </c>
      <c r="G156" s="227">
        <f t="shared" si="12"/>
        <v>0</v>
      </c>
      <c r="H156" s="228">
        <f t="shared" si="11"/>
        <v>0</v>
      </c>
      <c r="I156" s="970" t="s">
        <v>626</v>
      </c>
      <c r="J156" s="3"/>
      <c r="K156" s="512"/>
      <c r="L156" s="512"/>
      <c r="M156" s="512"/>
      <c r="N156" s="518"/>
      <c r="O156"/>
      <c r="P156"/>
      <c r="Q156"/>
    </row>
    <row r="157" spans="1:17" ht="14.4">
      <c r="A157" s="26"/>
      <c r="B157" s="229" t="s">
        <v>153</v>
      </c>
      <c r="C157" s="656" t="s">
        <v>95</v>
      </c>
      <c r="D157" s="656" t="s">
        <v>95</v>
      </c>
      <c r="E157" s="249">
        <v>1.8</v>
      </c>
      <c r="F157" s="524" t="s">
        <v>138</v>
      </c>
      <c r="G157" s="227">
        <f t="shared" si="12"/>
        <v>3.4941176470588232E-2</v>
      </c>
      <c r="H157" s="228">
        <f t="shared" si="11"/>
        <v>0.15304235294117649</v>
      </c>
      <c r="I157"/>
      <c r="J157" s="3"/>
      <c r="K157" s="512"/>
      <c r="L157" s="512"/>
      <c r="M157" s="512"/>
      <c r="N157" s="518"/>
      <c r="O157"/>
      <c r="P157"/>
      <c r="Q157"/>
    </row>
    <row r="158" spans="1:17" ht="14.4">
      <c r="A158" s="26"/>
      <c r="B158" s="229" t="s">
        <v>154</v>
      </c>
      <c r="C158" s="618" t="s">
        <v>95</v>
      </c>
      <c r="D158" s="618" t="s">
        <v>96</v>
      </c>
      <c r="E158" s="230">
        <v>1.7999999999999999E-6</v>
      </c>
      <c r="F158" s="524" t="s">
        <v>138</v>
      </c>
      <c r="G158" s="227">
        <f t="shared" si="12"/>
        <v>3.494117647058823E-8</v>
      </c>
      <c r="H158" s="228">
        <f t="shared" si="11"/>
        <v>1.5304235294117648E-7</v>
      </c>
      <c r="I158"/>
      <c r="J158" s="3"/>
      <c r="K158" s="512"/>
      <c r="L158" s="512"/>
      <c r="M158" s="512"/>
      <c r="N158" s="518" t="s">
        <v>176</v>
      </c>
      <c r="O158"/>
      <c r="P158"/>
      <c r="Q158"/>
    </row>
    <row r="159" spans="1:17" ht="14.4">
      <c r="A159" s="26"/>
      <c r="B159" s="148" t="s">
        <v>484</v>
      </c>
      <c r="C159" s="618" t="s">
        <v>95</v>
      </c>
      <c r="D159" s="618" t="s">
        <v>96</v>
      </c>
      <c r="E159" s="230">
        <v>5.0000000000000001E-4</v>
      </c>
      <c r="F159" s="524" t="s">
        <v>138</v>
      </c>
      <c r="G159" s="227">
        <f t="shared" si="12"/>
        <v>9.7058823529411773E-6</v>
      </c>
      <c r="H159" s="228">
        <f t="shared" si="11"/>
        <v>4.251176470588235E-5</v>
      </c>
      <c r="I159"/>
      <c r="J159" s="3"/>
      <c r="K159" s="512"/>
      <c r="L159" s="512"/>
      <c r="M159" s="512"/>
      <c r="N159" s="518"/>
      <c r="O159"/>
      <c r="P159"/>
      <c r="Q159"/>
    </row>
    <row r="160" spans="1:17" ht="14.4">
      <c r="A160" s="26"/>
      <c r="B160" s="148" t="s">
        <v>485</v>
      </c>
      <c r="C160" s="656" t="s">
        <v>95</v>
      </c>
      <c r="D160" s="656" t="s">
        <v>95</v>
      </c>
      <c r="E160" s="230">
        <v>3.8000000000000002E-4</v>
      </c>
      <c r="F160" s="524" t="s">
        <v>138</v>
      </c>
      <c r="G160" s="227">
        <f t="shared" si="12"/>
        <v>7.3764705882352948E-6</v>
      </c>
      <c r="H160" s="228">
        <f t="shared" si="11"/>
        <v>3.2308941176470591E-5</v>
      </c>
      <c r="I160"/>
      <c r="J160" s="3"/>
      <c r="K160" s="512"/>
      <c r="L160" s="512"/>
      <c r="M160" s="512"/>
      <c r="N160" s="518"/>
      <c r="O160"/>
      <c r="P160"/>
      <c r="Q160"/>
    </row>
    <row r="161" spans="1:17" ht="14.4">
      <c r="A161" s="26"/>
      <c r="B161" s="229" t="s">
        <v>155</v>
      </c>
      <c r="C161" s="656" t="s">
        <v>95</v>
      </c>
      <c r="D161" s="656" t="s">
        <v>95</v>
      </c>
      <c r="E161" s="230">
        <v>2.5999999999999998E-4</v>
      </c>
      <c r="F161" s="524" t="s">
        <v>138</v>
      </c>
      <c r="G161" s="227">
        <f t="shared" si="12"/>
        <v>5.0470588235294114E-6</v>
      </c>
      <c r="H161" s="228">
        <f t="shared" si="11"/>
        <v>2.2106117647058821E-5</v>
      </c>
      <c r="I161"/>
      <c r="J161" s="3"/>
      <c r="K161" s="512"/>
      <c r="L161" s="512"/>
      <c r="M161" s="512"/>
      <c r="N161" s="518"/>
      <c r="O161"/>
      <c r="P161"/>
      <c r="Q161"/>
    </row>
    <row r="162" spans="1:17" ht="14.4">
      <c r="A162" s="26"/>
      <c r="B162" s="229" t="s">
        <v>64</v>
      </c>
      <c r="C162" s="618" t="s">
        <v>95</v>
      </c>
      <c r="D162" s="618" t="s">
        <v>96</v>
      </c>
      <c r="E162" s="230">
        <v>6.0999999999999997E-4</v>
      </c>
      <c r="F162" s="524" t="s">
        <v>138</v>
      </c>
      <c r="G162" s="227">
        <f t="shared" si="12"/>
        <v>1.1841176470588236E-5</v>
      </c>
      <c r="H162" s="228">
        <f t="shared" si="11"/>
        <v>5.1864352941176465E-5</v>
      </c>
      <c r="I162"/>
      <c r="J162" s="3"/>
      <c r="K162" s="512"/>
      <c r="L162" s="512"/>
      <c r="M162" s="512"/>
      <c r="N162" s="518" t="s">
        <v>176</v>
      </c>
      <c r="O162"/>
      <c r="P162"/>
      <c r="Q162"/>
    </row>
    <row r="163" spans="1:17" ht="14.4">
      <c r="A163" s="26"/>
      <c r="B163" s="229" t="s">
        <v>156</v>
      </c>
      <c r="C163" s="618" t="s">
        <v>95</v>
      </c>
      <c r="D163" s="618" t="s">
        <v>95</v>
      </c>
      <c r="E163" s="230">
        <v>2.0999999999999999E-3</v>
      </c>
      <c r="F163" s="524" t="s">
        <v>138</v>
      </c>
      <c r="G163" s="227">
        <f t="shared" si="12"/>
        <v>4.076470588235294E-5</v>
      </c>
      <c r="H163" s="228">
        <f t="shared" si="11"/>
        <v>1.7854941176470587E-4</v>
      </c>
      <c r="I163"/>
      <c r="J163" s="3"/>
      <c r="K163" s="512"/>
      <c r="L163" s="512"/>
      <c r="M163" s="512"/>
      <c r="N163" s="518"/>
      <c r="O163"/>
      <c r="P163"/>
      <c r="Q163"/>
    </row>
    <row r="164" spans="1:17" ht="14.4">
      <c r="A164" s="26"/>
      <c r="B164" s="229" t="s">
        <v>157</v>
      </c>
      <c r="C164" s="656" t="s">
        <v>95</v>
      </c>
      <c r="D164" s="656" t="s">
        <v>96</v>
      </c>
      <c r="E164" s="230">
        <v>1.7E-5</v>
      </c>
      <c r="F164" s="524" t="s">
        <v>138</v>
      </c>
      <c r="G164" s="227">
        <f t="shared" si="12"/>
        <v>3.3000000000000002E-7</v>
      </c>
      <c r="H164" s="228">
        <f t="shared" si="11"/>
        <v>1.4454E-6</v>
      </c>
      <c r="I164"/>
      <c r="J164" s="3"/>
      <c r="K164" s="512"/>
      <c r="L164" s="512"/>
      <c r="M164" s="512"/>
      <c r="N164" s="518" t="s">
        <v>176</v>
      </c>
      <c r="O164"/>
      <c r="P164"/>
      <c r="Q164"/>
    </row>
    <row r="165" spans="1:17" ht="14.4">
      <c r="A165" s="26"/>
      <c r="B165" s="229" t="s">
        <v>158</v>
      </c>
      <c r="C165" s="656" t="s">
        <v>95</v>
      </c>
      <c r="D165" s="656" t="s">
        <v>96</v>
      </c>
      <c r="E165" s="230">
        <v>5.0000000000000004E-6</v>
      </c>
      <c r="F165" s="524" t="s">
        <v>138</v>
      </c>
      <c r="G165" s="227">
        <f t="shared" si="12"/>
        <v>9.7058823529411767E-8</v>
      </c>
      <c r="H165" s="228">
        <f t="shared" si="11"/>
        <v>4.251176470588236E-7</v>
      </c>
      <c r="I165"/>
      <c r="J165" s="3"/>
      <c r="K165" s="512"/>
      <c r="L165" s="512"/>
      <c r="M165" s="512"/>
      <c r="N165" s="518" t="s">
        <v>176</v>
      </c>
      <c r="O165"/>
      <c r="P165"/>
      <c r="Q165"/>
    </row>
    <row r="166" spans="1:17" ht="14.4">
      <c r="A166" s="26"/>
      <c r="B166" s="608" t="s">
        <v>478</v>
      </c>
      <c r="C166" s="656" t="s">
        <v>95</v>
      </c>
      <c r="D166" s="656" t="s">
        <v>96</v>
      </c>
      <c r="E166" s="230">
        <v>2.4000000000000001E-5</v>
      </c>
      <c r="F166" s="524" t="s">
        <v>138</v>
      </c>
      <c r="G166" s="227">
        <f t="shared" si="12"/>
        <v>4.6588235294117647E-7</v>
      </c>
      <c r="H166" s="228">
        <f t="shared" si="11"/>
        <v>2.0405647058823531E-6</v>
      </c>
      <c r="I166" s="178"/>
      <c r="J166" s="3"/>
      <c r="K166" s="512"/>
      <c r="L166" s="512"/>
      <c r="M166" s="512"/>
      <c r="O166"/>
      <c r="P166"/>
      <c r="Q166"/>
    </row>
    <row r="167" spans="1:17" ht="15" thickBot="1">
      <c r="A167" s="26"/>
      <c r="B167" s="250" t="s">
        <v>21</v>
      </c>
      <c r="C167" s="663" t="s">
        <v>95</v>
      </c>
      <c r="D167" s="663" t="s">
        <v>95</v>
      </c>
      <c r="E167" s="251">
        <v>3.3999999999999998E-3</v>
      </c>
      <c r="F167" s="526" t="s">
        <v>138</v>
      </c>
      <c r="G167" s="253">
        <f>$E167*$C$11/1020</f>
        <v>6.6000000000000005E-5</v>
      </c>
      <c r="H167" s="254">
        <f t="shared" si="11"/>
        <v>2.8907999999999999E-4</v>
      </c>
      <c r="I167" s="178"/>
      <c r="J167" s="3"/>
      <c r="K167" s="512"/>
      <c r="L167" s="512"/>
      <c r="M167" s="512"/>
      <c r="N167" s="518"/>
      <c r="O167"/>
      <c r="P167"/>
      <c r="Q167"/>
    </row>
    <row r="168" spans="1:17" ht="15" thickTop="1">
      <c r="A168" s="26"/>
      <c r="B168" s="664"/>
      <c r="C168" s="665"/>
      <c r="D168" s="665"/>
      <c r="E168" s="665"/>
      <c r="F168" s="666" t="s">
        <v>566</v>
      </c>
      <c r="G168" s="806">
        <f>SUMIF($C$131:$C$167,"Y",G131:G167)</f>
        <v>3.520242388235293E-2</v>
      </c>
      <c r="H168" s="807">
        <f>SUMIF($C$131:$C$167,"Y",H131:H167)</f>
        <v>0.15418661660470587</v>
      </c>
      <c r="I168" s="178"/>
      <c r="J168" s="178"/>
      <c r="K168" s="512"/>
      <c r="L168" s="512"/>
      <c r="M168" s="512"/>
      <c r="N168" s="512"/>
      <c r="O168"/>
      <c r="P168"/>
      <c r="Q168"/>
    </row>
    <row r="169" spans="1:17" ht="15" thickBot="1">
      <c r="A169" s="26"/>
      <c r="B169" s="667"/>
      <c r="C169" s="668"/>
      <c r="D169" s="668"/>
      <c r="E169" s="668"/>
      <c r="F169" s="669" t="s">
        <v>567</v>
      </c>
      <c r="G169" s="840">
        <f>SUMIF($D$131:$D$167,"Y",G131:G167)</f>
        <v>9.7267562117647061E-2</v>
      </c>
      <c r="H169" s="836">
        <f>SUMIF($D$131:$D$167,"Y",H131:H167)</f>
        <v>0.42603192207529406</v>
      </c>
      <c r="I169" s="512"/>
      <c r="J169" s="512"/>
      <c r="K169" s="512"/>
      <c r="L169" s="512"/>
      <c r="M169"/>
      <c r="N169"/>
      <c r="O169"/>
    </row>
    <row r="170" spans="1:17" ht="15" thickTop="1">
      <c r="A170" s="1424" t="s">
        <v>288</v>
      </c>
      <c r="B170" s="1424"/>
      <c r="C170" s="515"/>
      <c r="D170" s="515"/>
      <c r="E170" s="515"/>
      <c r="F170" s="516"/>
      <c r="G170" s="516"/>
      <c r="H170" s="169"/>
      <c r="M170"/>
      <c r="N170"/>
      <c r="O170"/>
    </row>
    <row r="171" spans="1:17" s="93" customFormat="1" ht="45.75" customHeight="1">
      <c r="A171" s="208" t="s">
        <v>100</v>
      </c>
      <c r="B171" s="1400" t="s">
        <v>629</v>
      </c>
      <c r="C171" s="1400"/>
      <c r="D171" s="1400"/>
      <c r="E171" s="1400"/>
      <c r="F171" s="1400"/>
      <c r="G171" s="1400"/>
      <c r="H171" s="1400"/>
      <c r="M171" s="510"/>
      <c r="N171" s="510"/>
      <c r="O171" s="510"/>
    </row>
    <row r="172" spans="1:17" ht="14.4">
      <c r="A172" s="26"/>
      <c r="B172" s="27"/>
      <c r="C172" s="597"/>
      <c r="D172" s="597"/>
      <c r="E172" s="597"/>
      <c r="F172" s="597"/>
      <c r="G172" s="169"/>
      <c r="H172" s="169"/>
      <c r="M172"/>
      <c r="N172"/>
      <c r="O172"/>
    </row>
    <row r="173" spans="1:17" ht="14.4">
      <c r="A173" s="1424" t="s">
        <v>301</v>
      </c>
      <c r="B173" s="1424"/>
      <c r="C173" s="591"/>
      <c r="D173" s="591"/>
      <c r="E173" s="591"/>
      <c r="F173" s="591"/>
      <c r="G173" s="591"/>
      <c r="H173" s="169"/>
      <c r="M173"/>
      <c r="N173"/>
      <c r="O173"/>
    </row>
    <row r="174" spans="1:17" ht="14.4">
      <c r="A174" s="599"/>
      <c r="B174" s="491" t="s">
        <v>425</v>
      </c>
      <c r="C174" s="271" t="s">
        <v>166</v>
      </c>
      <c r="D174"/>
      <c r="E174" s="591"/>
      <c r="F174" s="591"/>
      <c r="G174" s="591"/>
      <c r="H174" s="169"/>
      <c r="M174"/>
      <c r="N174"/>
      <c r="O174"/>
    </row>
    <row r="175" spans="1:17" ht="14.4">
      <c r="A175" s="590"/>
      <c r="B175" s="306" t="s">
        <v>303</v>
      </c>
      <c r="C175" s="206" t="s">
        <v>309</v>
      </c>
      <c r="D175"/>
      <c r="E175" s="205"/>
      <c r="F175" s="266"/>
      <c r="G175" s="266"/>
      <c r="H175" s="169"/>
      <c r="M175"/>
      <c r="N175"/>
      <c r="O175"/>
    </row>
    <row r="176" spans="1:17" ht="14.4">
      <c r="A176" s="264"/>
      <c r="B176" s="269" t="s">
        <v>165</v>
      </c>
      <c r="C176" s="272" t="s">
        <v>310</v>
      </c>
      <c r="D176"/>
      <c r="E176" s="205"/>
      <c r="F176" s="266"/>
      <c r="G176" s="266"/>
      <c r="H176" s="169"/>
      <c r="M176"/>
      <c r="N176"/>
      <c r="O176"/>
    </row>
    <row r="177" spans="1:15" ht="14.4">
      <c r="A177" s="264"/>
      <c r="B177" s="269" t="s">
        <v>306</v>
      </c>
      <c r="C177" s="205" t="s">
        <v>426</v>
      </c>
      <c r="D177"/>
      <c r="E177" s="262"/>
      <c r="F177" s="266"/>
      <c r="G177" s="266"/>
      <c r="H177" s="169"/>
      <c r="M177"/>
      <c r="N177"/>
      <c r="O177"/>
    </row>
    <row r="178" spans="1:15" ht="14.4">
      <c r="A178" s="264"/>
      <c r="B178" s="270" t="s">
        <v>307</v>
      </c>
      <c r="C178" s="271" t="s">
        <v>168</v>
      </c>
      <c r="D178"/>
      <c r="E178" s="271"/>
      <c r="F178" s="266"/>
      <c r="G178" s="266"/>
      <c r="H178" s="169"/>
      <c r="M178"/>
      <c r="N178"/>
      <c r="O178"/>
    </row>
    <row r="179" spans="1:15" ht="14.4">
      <c r="A179" s="264"/>
      <c r="B179" s="262" t="s">
        <v>102</v>
      </c>
      <c r="C179" s="262" t="s">
        <v>427</v>
      </c>
      <c r="D179"/>
      <c r="E179" s="271"/>
      <c r="F179" s="266"/>
      <c r="G179" s="266"/>
      <c r="H179" s="169"/>
      <c r="M179"/>
      <c r="N179"/>
      <c r="O179"/>
    </row>
    <row r="180" spans="1:15" ht="14.4">
      <c r="A180" s="264"/>
      <c r="B180" s="271" t="s">
        <v>104</v>
      </c>
      <c r="C180" s="206" t="s">
        <v>311</v>
      </c>
      <c r="D180"/>
      <c r="E180" s="271"/>
      <c r="F180" s="266"/>
      <c r="G180" s="266"/>
      <c r="H180" s="169"/>
      <c r="M180"/>
      <c r="N180"/>
      <c r="O180"/>
    </row>
    <row r="181" spans="1:15" ht="14.4">
      <c r="A181" s="264"/>
      <c r="B181" s="271" t="s">
        <v>106</v>
      </c>
      <c r="C181" s="271" t="s">
        <v>499</v>
      </c>
      <c r="D181"/>
      <c r="E181" s="271"/>
      <c r="F181" s="266"/>
      <c r="G181" s="266"/>
      <c r="H181" s="169"/>
      <c r="M181"/>
      <c r="N181"/>
      <c r="O181"/>
    </row>
    <row r="182" spans="1:15" ht="14.4">
      <c r="A182" s="264"/>
      <c r="B182" s="262" t="s">
        <v>170</v>
      </c>
      <c r="C182" s="271" t="s">
        <v>105</v>
      </c>
      <c r="D182"/>
      <c r="E182" s="271"/>
      <c r="F182" s="266"/>
      <c r="G182" s="266"/>
      <c r="H182" s="169"/>
      <c r="M182"/>
      <c r="N182"/>
      <c r="O182"/>
    </row>
    <row r="183" spans="1:15" ht="14.4">
      <c r="A183" s="264"/>
      <c r="B183" s="206" t="s">
        <v>304</v>
      </c>
      <c r="C183" s="271" t="s">
        <v>107</v>
      </c>
      <c r="D183"/>
      <c r="E183" s="271"/>
      <c r="F183" s="266"/>
      <c r="G183" s="266"/>
      <c r="H183" s="169"/>
      <c r="M183"/>
      <c r="N183"/>
      <c r="O183"/>
    </row>
    <row r="184" spans="1:15" ht="14.4">
      <c r="A184" s="264"/>
      <c r="B184" s="262" t="s">
        <v>305</v>
      </c>
      <c r="C184" s="271" t="s">
        <v>109</v>
      </c>
      <c r="D184"/>
      <c r="E184" s="271"/>
      <c r="F184" s="266"/>
      <c r="H184" s="169"/>
    </row>
    <row r="185" spans="1:15" ht="14.4">
      <c r="A185" s="264"/>
      <c r="B185" s="206" t="s">
        <v>624</v>
      </c>
      <c r="D185"/>
      <c r="E185" s="271"/>
      <c r="F185" s="266"/>
      <c r="G185" s="266"/>
      <c r="H185" s="169"/>
    </row>
    <row r="186" spans="1:15" ht="14.4">
      <c r="A186" s="264"/>
      <c r="C186" s="271"/>
      <c r="D186"/>
      <c r="E186" s="271"/>
      <c r="F186" s="266"/>
      <c r="G186" s="266"/>
      <c r="H186" s="169"/>
    </row>
    <row r="187" spans="1:15">
      <c r="A187" s="274" t="s">
        <v>313</v>
      </c>
      <c r="B187" s="590"/>
      <c r="F187" s="20"/>
      <c r="H187" s="169"/>
    </row>
    <row r="188" spans="1:15">
      <c r="A188" s="527"/>
      <c r="B188" s="265" t="s">
        <v>314</v>
      </c>
      <c r="C188" s="528"/>
      <c r="D188" s="528"/>
      <c r="E188" s="528"/>
      <c r="F188" s="96"/>
      <c r="G188" s="96"/>
      <c r="H188" s="169"/>
    </row>
    <row r="189" spans="1:15" ht="12.75" customHeight="1">
      <c r="A189" s="18"/>
      <c r="B189" s="262"/>
      <c r="F189" s="20"/>
    </row>
    <row r="190" spans="1:15" ht="12.75" customHeight="1">
      <c r="A190" s="18"/>
      <c r="B190" s="262"/>
      <c r="F190" s="20"/>
    </row>
    <row r="191" spans="1:15" ht="12.75" customHeight="1">
      <c r="A191" s="512" t="s">
        <v>77</v>
      </c>
      <c r="B191" s="529"/>
      <c r="C191" s="529"/>
      <c r="D191" s="529"/>
      <c r="E191" s="529"/>
      <c r="F191" s="530"/>
      <c r="G191" s="529"/>
    </row>
    <row r="192" spans="1:15" ht="12.75" customHeight="1">
      <c r="A192" s="531"/>
      <c r="B192" s="19">
        <v>2.2046199999999998</v>
      </c>
      <c r="C192" s="19" t="s">
        <v>178</v>
      </c>
      <c r="D192" s="19"/>
      <c r="E192" s="19"/>
      <c r="F192" s="20"/>
      <c r="G192" s="19"/>
    </row>
    <row r="193" spans="1:7" ht="12.75" customHeight="1">
      <c r="A193" s="18"/>
      <c r="F193" s="20"/>
    </row>
    <row r="194" spans="1:7" ht="12.75" customHeight="1">
      <c r="A194" s="531"/>
      <c r="B194" s="529" t="s">
        <v>179</v>
      </c>
      <c r="C194" s="529"/>
      <c r="D194" s="529"/>
      <c r="E194" s="529"/>
      <c r="F194" s="530"/>
      <c r="G194" s="529"/>
    </row>
    <row r="195" spans="1:7" ht="12.75" customHeight="1">
      <c r="A195" s="531"/>
      <c r="B195" s="532" t="s">
        <v>180</v>
      </c>
      <c r="C195" s="533">
        <v>1</v>
      </c>
      <c r="D195" s="529"/>
      <c r="E195" s="529"/>
      <c r="F195" s="530"/>
      <c r="G195" s="529"/>
    </row>
    <row r="196" spans="1:7" ht="12.75" customHeight="1">
      <c r="A196" s="531"/>
      <c r="B196" s="532" t="s">
        <v>181</v>
      </c>
      <c r="C196" s="533">
        <v>25</v>
      </c>
      <c r="D196" s="529"/>
      <c r="E196" s="529"/>
      <c r="F196" s="530"/>
      <c r="G196" s="529"/>
    </row>
    <row r="197" spans="1:7" ht="12.75" customHeight="1">
      <c r="A197" s="531"/>
      <c r="B197" s="532" t="s">
        <v>182</v>
      </c>
      <c r="C197" s="533">
        <v>298</v>
      </c>
      <c r="D197" s="529"/>
      <c r="E197" s="529"/>
      <c r="F197" s="530"/>
      <c r="G197" s="529"/>
    </row>
    <row r="198" spans="1:7" ht="12.75" customHeight="1">
      <c r="A198" s="18"/>
      <c r="E198" s="20"/>
    </row>
    <row r="199" spans="1:7" ht="12.75" customHeight="1">
      <c r="A199" s="18"/>
      <c r="E199" s="20"/>
      <c r="G199" s="5" t="s">
        <v>55</v>
      </c>
    </row>
    <row r="200" spans="1:7" ht="12.75" customHeight="1">
      <c r="A200" s="18"/>
      <c r="E200" s="20"/>
    </row>
    <row r="201" spans="1:7">
      <c r="A201" s="18"/>
      <c r="E201" s="20"/>
    </row>
    <row r="202" spans="1:7">
      <c r="A202" s="18"/>
      <c r="E202" s="20"/>
    </row>
    <row r="203" spans="1:7">
      <c r="A203" s="18"/>
      <c r="E203" s="20"/>
    </row>
    <row r="204" spans="1:7">
      <c r="A204" s="18"/>
      <c r="E204" s="20"/>
    </row>
    <row r="205" spans="1:7">
      <c r="A205" s="18"/>
      <c r="E205" s="20"/>
    </row>
    <row r="206" spans="1:7" ht="11.25" customHeight="1">
      <c r="A206" s="18"/>
    </row>
    <row r="207" spans="1:7" ht="11.25" customHeight="1">
      <c r="C207" s="18"/>
      <c r="D207" s="18"/>
      <c r="E207" s="18"/>
    </row>
    <row r="208" spans="1:7">
      <c r="A208" s="18"/>
      <c r="B208" s="597"/>
      <c r="C208" s="597"/>
      <c r="D208" s="597"/>
      <c r="E208" s="597"/>
    </row>
  </sheetData>
  <mergeCells count="45">
    <mergeCell ref="B1:H1"/>
    <mergeCell ref="B2:H2"/>
    <mergeCell ref="B3:H3"/>
    <mergeCell ref="B15:B16"/>
    <mergeCell ref="C15:D15"/>
    <mergeCell ref="A101:B101"/>
    <mergeCell ref="C107:C109"/>
    <mergeCell ref="D107:D109"/>
    <mergeCell ref="B52:H52"/>
    <mergeCell ref="B73:B74"/>
    <mergeCell ref="C73:C74"/>
    <mergeCell ref="D73:D74"/>
    <mergeCell ref="F73:G73"/>
    <mergeCell ref="A83:B83"/>
    <mergeCell ref="B97:D97"/>
    <mergeCell ref="B98:D98"/>
    <mergeCell ref="B87:B88"/>
    <mergeCell ref="C87:C88"/>
    <mergeCell ref="D87:D88"/>
    <mergeCell ref="A66:B66"/>
    <mergeCell ref="E55:F55"/>
    <mergeCell ref="A173:B173"/>
    <mergeCell ref="B128:B129"/>
    <mergeCell ref="C128:C129"/>
    <mergeCell ref="D128:D129"/>
    <mergeCell ref="E128:E129"/>
    <mergeCell ref="F128:F129"/>
    <mergeCell ref="G128:H128"/>
    <mergeCell ref="B171:H171"/>
    <mergeCell ref="A170:B170"/>
    <mergeCell ref="B105:B106"/>
    <mergeCell ref="E105:F105"/>
    <mergeCell ref="E122:F122"/>
    <mergeCell ref="B122:B123"/>
    <mergeCell ref="C122:C123"/>
    <mergeCell ref="D122:D123"/>
    <mergeCell ref="B111:H111"/>
    <mergeCell ref="B115:H115"/>
    <mergeCell ref="B55:B56"/>
    <mergeCell ref="C55:C56"/>
    <mergeCell ref="D55:D56"/>
    <mergeCell ref="F87:G87"/>
    <mergeCell ref="B67:H67"/>
    <mergeCell ref="B68:H68"/>
    <mergeCell ref="B65:D65"/>
  </mergeCells>
  <printOptions horizontalCentered="1"/>
  <pageMargins left="0.25" right="0.25" top="0.75" bottom="0.75" header="0.3" footer="0.3"/>
  <pageSetup scale="69" orientation="portrait" r:id="rId1"/>
  <headerFooter>
    <oddFooter>&amp;CPage &amp;P of &amp;N</oddFooter>
  </headerFooter>
  <rowBreaks count="1" manualBreakCount="1">
    <brk id="85" max="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BB29-AD50-4EF3-BB44-CFE667CCD581}">
  <sheetPr>
    <pageSetUpPr fitToPage="1"/>
  </sheetPr>
  <dimension ref="A1:AF35"/>
  <sheetViews>
    <sheetView workbookViewId="0">
      <selection activeCell="B1" sqref="B1:F1"/>
    </sheetView>
  </sheetViews>
  <sheetFormatPr defaultColWidth="9.109375" defaultRowHeight="13.2"/>
  <cols>
    <col min="1" max="1" width="3.44140625" style="1" customWidth="1"/>
    <col min="2" max="2" width="35.109375" style="1" customWidth="1"/>
    <col min="3" max="3" width="13.6640625" style="1" customWidth="1"/>
    <col min="4" max="4" width="14" style="1" customWidth="1"/>
    <col min="5" max="5" width="12.109375" style="1" customWidth="1"/>
    <col min="6" max="6" width="12" style="1" customWidth="1"/>
    <col min="7" max="7" width="11.33203125" style="1" bestFit="1" customWidth="1"/>
    <col min="8" max="256" width="9.109375" style="1"/>
    <col min="257" max="257" width="6.33203125" style="1" customWidth="1"/>
    <col min="258" max="258" width="28.5546875" style="1" customWidth="1"/>
    <col min="259" max="259" width="18.109375" style="1" customWidth="1"/>
    <col min="260" max="260" width="18.33203125" style="1" bestFit="1" customWidth="1"/>
    <col min="261" max="261" width="18.33203125" style="1" customWidth="1"/>
    <col min="262" max="512" width="9.109375" style="1"/>
    <col min="513" max="513" width="6.33203125" style="1" customWidth="1"/>
    <col min="514" max="514" width="28.5546875" style="1" customWidth="1"/>
    <col min="515" max="515" width="18.109375" style="1" customWidth="1"/>
    <col min="516" max="516" width="18.33203125" style="1" bestFit="1" customWidth="1"/>
    <col min="517" max="517" width="18.33203125" style="1" customWidth="1"/>
    <col min="518" max="768" width="9.109375" style="1"/>
    <col min="769" max="769" width="6.33203125" style="1" customWidth="1"/>
    <col min="770" max="770" width="28.5546875" style="1" customWidth="1"/>
    <col min="771" max="771" width="18.109375" style="1" customWidth="1"/>
    <col min="772" max="772" width="18.33203125" style="1" bestFit="1" customWidth="1"/>
    <col min="773" max="773" width="18.33203125" style="1" customWidth="1"/>
    <col min="774" max="1024" width="9.109375" style="1"/>
    <col min="1025" max="1025" width="6.33203125" style="1" customWidth="1"/>
    <col min="1026" max="1026" width="28.5546875" style="1" customWidth="1"/>
    <col min="1027" max="1027" width="18.109375" style="1" customWidth="1"/>
    <col min="1028" max="1028" width="18.33203125" style="1" bestFit="1" customWidth="1"/>
    <col min="1029" max="1029" width="18.33203125" style="1" customWidth="1"/>
    <col min="1030" max="1280" width="9.109375" style="1"/>
    <col min="1281" max="1281" width="6.33203125" style="1" customWidth="1"/>
    <col min="1282" max="1282" width="28.5546875" style="1" customWidth="1"/>
    <col min="1283" max="1283" width="18.109375" style="1" customWidth="1"/>
    <col min="1284" max="1284" width="18.33203125" style="1" bestFit="1" customWidth="1"/>
    <col min="1285" max="1285" width="18.33203125" style="1" customWidth="1"/>
    <col min="1286" max="1536" width="9.109375" style="1"/>
    <col min="1537" max="1537" width="6.33203125" style="1" customWidth="1"/>
    <col min="1538" max="1538" width="28.5546875" style="1" customWidth="1"/>
    <col min="1539" max="1539" width="18.109375" style="1" customWidth="1"/>
    <col min="1540" max="1540" width="18.33203125" style="1" bestFit="1" customWidth="1"/>
    <col min="1541" max="1541" width="18.33203125" style="1" customWidth="1"/>
    <col min="1542" max="1792" width="9.109375" style="1"/>
    <col min="1793" max="1793" width="6.33203125" style="1" customWidth="1"/>
    <col min="1794" max="1794" width="28.5546875" style="1" customWidth="1"/>
    <col min="1795" max="1795" width="18.109375" style="1" customWidth="1"/>
    <col min="1796" max="1796" width="18.33203125" style="1" bestFit="1" customWidth="1"/>
    <col min="1797" max="1797" width="18.33203125" style="1" customWidth="1"/>
    <col min="1798" max="2048" width="9.109375" style="1"/>
    <col min="2049" max="2049" width="6.33203125" style="1" customWidth="1"/>
    <col min="2050" max="2050" width="28.5546875" style="1" customWidth="1"/>
    <col min="2051" max="2051" width="18.109375" style="1" customWidth="1"/>
    <col min="2052" max="2052" width="18.33203125" style="1" bestFit="1" customWidth="1"/>
    <col min="2053" max="2053" width="18.33203125" style="1" customWidth="1"/>
    <col min="2054" max="2304" width="9.109375" style="1"/>
    <col min="2305" max="2305" width="6.33203125" style="1" customWidth="1"/>
    <col min="2306" max="2306" width="28.5546875" style="1" customWidth="1"/>
    <col min="2307" max="2307" width="18.109375" style="1" customWidth="1"/>
    <col min="2308" max="2308" width="18.33203125" style="1" bestFit="1" customWidth="1"/>
    <col min="2309" max="2309" width="18.33203125" style="1" customWidth="1"/>
    <col min="2310" max="2560" width="9.109375" style="1"/>
    <col min="2561" max="2561" width="6.33203125" style="1" customWidth="1"/>
    <col min="2562" max="2562" width="28.5546875" style="1" customWidth="1"/>
    <col min="2563" max="2563" width="18.109375" style="1" customWidth="1"/>
    <col min="2564" max="2564" width="18.33203125" style="1" bestFit="1" customWidth="1"/>
    <col min="2565" max="2565" width="18.33203125" style="1" customWidth="1"/>
    <col min="2566" max="2816" width="9.109375" style="1"/>
    <col min="2817" max="2817" width="6.33203125" style="1" customWidth="1"/>
    <col min="2818" max="2818" width="28.5546875" style="1" customWidth="1"/>
    <col min="2819" max="2819" width="18.109375" style="1" customWidth="1"/>
    <col min="2820" max="2820" width="18.33203125" style="1" bestFit="1" customWidth="1"/>
    <col min="2821" max="2821" width="18.33203125" style="1" customWidth="1"/>
    <col min="2822" max="3072" width="9.109375" style="1"/>
    <col min="3073" max="3073" width="6.33203125" style="1" customWidth="1"/>
    <col min="3074" max="3074" width="28.5546875" style="1" customWidth="1"/>
    <col min="3075" max="3075" width="18.109375" style="1" customWidth="1"/>
    <col min="3076" max="3076" width="18.33203125" style="1" bestFit="1" customWidth="1"/>
    <col min="3077" max="3077" width="18.33203125" style="1" customWidth="1"/>
    <col min="3078" max="3328" width="9.109375" style="1"/>
    <col min="3329" max="3329" width="6.33203125" style="1" customWidth="1"/>
    <col min="3330" max="3330" width="28.5546875" style="1" customWidth="1"/>
    <col min="3331" max="3331" width="18.109375" style="1" customWidth="1"/>
    <col min="3332" max="3332" width="18.33203125" style="1" bestFit="1" customWidth="1"/>
    <col min="3333" max="3333" width="18.33203125" style="1" customWidth="1"/>
    <col min="3334" max="3584" width="9.109375" style="1"/>
    <col min="3585" max="3585" width="6.33203125" style="1" customWidth="1"/>
    <col min="3586" max="3586" width="28.5546875" style="1" customWidth="1"/>
    <col min="3587" max="3587" width="18.109375" style="1" customWidth="1"/>
    <col min="3588" max="3588" width="18.33203125" style="1" bestFit="1" customWidth="1"/>
    <col min="3589" max="3589" width="18.33203125" style="1" customWidth="1"/>
    <col min="3590" max="3840" width="9.109375" style="1"/>
    <col min="3841" max="3841" width="6.33203125" style="1" customWidth="1"/>
    <col min="3842" max="3842" width="28.5546875" style="1" customWidth="1"/>
    <col min="3843" max="3843" width="18.109375" style="1" customWidth="1"/>
    <col min="3844" max="3844" width="18.33203125" style="1" bestFit="1" customWidth="1"/>
    <col min="3845" max="3845" width="18.33203125" style="1" customWidth="1"/>
    <col min="3846" max="4096" width="9.109375" style="1"/>
    <col min="4097" max="4097" width="6.33203125" style="1" customWidth="1"/>
    <col min="4098" max="4098" width="28.5546875" style="1" customWidth="1"/>
    <col min="4099" max="4099" width="18.109375" style="1" customWidth="1"/>
    <col min="4100" max="4100" width="18.33203125" style="1" bestFit="1" customWidth="1"/>
    <col min="4101" max="4101" width="18.33203125" style="1" customWidth="1"/>
    <col min="4102" max="4352" width="9.109375" style="1"/>
    <col min="4353" max="4353" width="6.33203125" style="1" customWidth="1"/>
    <col min="4354" max="4354" width="28.5546875" style="1" customWidth="1"/>
    <col min="4355" max="4355" width="18.109375" style="1" customWidth="1"/>
    <col min="4356" max="4356" width="18.33203125" style="1" bestFit="1" customWidth="1"/>
    <col min="4357" max="4357" width="18.33203125" style="1" customWidth="1"/>
    <col min="4358" max="4608" width="9.109375" style="1"/>
    <col min="4609" max="4609" width="6.33203125" style="1" customWidth="1"/>
    <col min="4610" max="4610" width="28.5546875" style="1" customWidth="1"/>
    <col min="4611" max="4611" width="18.109375" style="1" customWidth="1"/>
    <col min="4612" max="4612" width="18.33203125" style="1" bestFit="1" customWidth="1"/>
    <col min="4613" max="4613" width="18.33203125" style="1" customWidth="1"/>
    <col min="4614" max="4864" width="9.109375" style="1"/>
    <col min="4865" max="4865" width="6.33203125" style="1" customWidth="1"/>
    <col min="4866" max="4866" width="28.5546875" style="1" customWidth="1"/>
    <col min="4867" max="4867" width="18.109375" style="1" customWidth="1"/>
    <col min="4868" max="4868" width="18.33203125" style="1" bestFit="1" customWidth="1"/>
    <col min="4869" max="4869" width="18.33203125" style="1" customWidth="1"/>
    <col min="4870" max="5120" width="9.109375" style="1"/>
    <col min="5121" max="5121" width="6.33203125" style="1" customWidth="1"/>
    <col min="5122" max="5122" width="28.5546875" style="1" customWidth="1"/>
    <col min="5123" max="5123" width="18.109375" style="1" customWidth="1"/>
    <col min="5124" max="5124" width="18.33203125" style="1" bestFit="1" customWidth="1"/>
    <col min="5125" max="5125" width="18.33203125" style="1" customWidth="1"/>
    <col min="5126" max="5376" width="9.109375" style="1"/>
    <col min="5377" max="5377" width="6.33203125" style="1" customWidth="1"/>
    <col min="5378" max="5378" width="28.5546875" style="1" customWidth="1"/>
    <col min="5379" max="5379" width="18.109375" style="1" customWidth="1"/>
    <col min="5380" max="5380" width="18.33203125" style="1" bestFit="1" customWidth="1"/>
    <col min="5381" max="5381" width="18.33203125" style="1" customWidth="1"/>
    <col min="5382" max="5632" width="9.109375" style="1"/>
    <col min="5633" max="5633" width="6.33203125" style="1" customWidth="1"/>
    <col min="5634" max="5634" width="28.5546875" style="1" customWidth="1"/>
    <col min="5635" max="5635" width="18.109375" style="1" customWidth="1"/>
    <col min="5636" max="5636" width="18.33203125" style="1" bestFit="1" customWidth="1"/>
    <col min="5637" max="5637" width="18.33203125" style="1" customWidth="1"/>
    <col min="5638" max="5888" width="9.109375" style="1"/>
    <col min="5889" max="5889" width="6.33203125" style="1" customWidth="1"/>
    <col min="5890" max="5890" width="28.5546875" style="1" customWidth="1"/>
    <col min="5891" max="5891" width="18.109375" style="1" customWidth="1"/>
    <col min="5892" max="5892" width="18.33203125" style="1" bestFit="1" customWidth="1"/>
    <col min="5893" max="5893" width="18.33203125" style="1" customWidth="1"/>
    <col min="5894" max="6144" width="9.109375" style="1"/>
    <col min="6145" max="6145" width="6.33203125" style="1" customWidth="1"/>
    <col min="6146" max="6146" width="28.5546875" style="1" customWidth="1"/>
    <col min="6147" max="6147" width="18.109375" style="1" customWidth="1"/>
    <col min="6148" max="6148" width="18.33203125" style="1" bestFit="1" customWidth="1"/>
    <col min="6149" max="6149" width="18.33203125" style="1" customWidth="1"/>
    <col min="6150" max="6400" width="9.109375" style="1"/>
    <col min="6401" max="6401" width="6.33203125" style="1" customWidth="1"/>
    <col min="6402" max="6402" width="28.5546875" style="1" customWidth="1"/>
    <col min="6403" max="6403" width="18.109375" style="1" customWidth="1"/>
    <col min="6404" max="6404" width="18.33203125" style="1" bestFit="1" customWidth="1"/>
    <col min="6405" max="6405" width="18.33203125" style="1" customWidth="1"/>
    <col min="6406" max="6656" width="9.109375" style="1"/>
    <col min="6657" max="6657" width="6.33203125" style="1" customWidth="1"/>
    <col min="6658" max="6658" width="28.5546875" style="1" customWidth="1"/>
    <col min="6659" max="6659" width="18.109375" style="1" customWidth="1"/>
    <col min="6660" max="6660" width="18.33203125" style="1" bestFit="1" customWidth="1"/>
    <col min="6661" max="6661" width="18.33203125" style="1" customWidth="1"/>
    <col min="6662" max="6912" width="9.109375" style="1"/>
    <col min="6913" max="6913" width="6.33203125" style="1" customWidth="1"/>
    <col min="6914" max="6914" width="28.5546875" style="1" customWidth="1"/>
    <col min="6915" max="6915" width="18.109375" style="1" customWidth="1"/>
    <col min="6916" max="6916" width="18.33203125" style="1" bestFit="1" customWidth="1"/>
    <col min="6917" max="6917" width="18.33203125" style="1" customWidth="1"/>
    <col min="6918" max="7168" width="9.109375" style="1"/>
    <col min="7169" max="7169" width="6.33203125" style="1" customWidth="1"/>
    <col min="7170" max="7170" width="28.5546875" style="1" customWidth="1"/>
    <col min="7171" max="7171" width="18.109375" style="1" customWidth="1"/>
    <col min="7172" max="7172" width="18.33203125" style="1" bestFit="1" customWidth="1"/>
    <col min="7173" max="7173" width="18.33203125" style="1" customWidth="1"/>
    <col min="7174" max="7424" width="9.109375" style="1"/>
    <col min="7425" max="7425" width="6.33203125" style="1" customWidth="1"/>
    <col min="7426" max="7426" width="28.5546875" style="1" customWidth="1"/>
    <col min="7427" max="7427" width="18.109375" style="1" customWidth="1"/>
    <col min="7428" max="7428" width="18.33203125" style="1" bestFit="1" customWidth="1"/>
    <col min="7429" max="7429" width="18.33203125" style="1" customWidth="1"/>
    <col min="7430" max="7680" width="9.109375" style="1"/>
    <col min="7681" max="7681" width="6.33203125" style="1" customWidth="1"/>
    <col min="7682" max="7682" width="28.5546875" style="1" customWidth="1"/>
    <col min="7683" max="7683" width="18.109375" style="1" customWidth="1"/>
    <col min="7684" max="7684" width="18.33203125" style="1" bestFit="1" customWidth="1"/>
    <col min="7685" max="7685" width="18.33203125" style="1" customWidth="1"/>
    <col min="7686" max="7936" width="9.109375" style="1"/>
    <col min="7937" max="7937" width="6.33203125" style="1" customWidth="1"/>
    <col min="7938" max="7938" width="28.5546875" style="1" customWidth="1"/>
    <col min="7939" max="7939" width="18.109375" style="1" customWidth="1"/>
    <col min="7940" max="7940" width="18.33203125" style="1" bestFit="1" customWidth="1"/>
    <col min="7941" max="7941" width="18.33203125" style="1" customWidth="1"/>
    <col min="7942" max="8192" width="9.109375" style="1"/>
    <col min="8193" max="8193" width="6.33203125" style="1" customWidth="1"/>
    <col min="8194" max="8194" width="28.5546875" style="1" customWidth="1"/>
    <col min="8195" max="8195" width="18.109375" style="1" customWidth="1"/>
    <col min="8196" max="8196" width="18.33203125" style="1" bestFit="1" customWidth="1"/>
    <col min="8197" max="8197" width="18.33203125" style="1" customWidth="1"/>
    <col min="8198" max="8448" width="9.109375" style="1"/>
    <col min="8449" max="8449" width="6.33203125" style="1" customWidth="1"/>
    <col min="8450" max="8450" width="28.5546875" style="1" customWidth="1"/>
    <col min="8451" max="8451" width="18.109375" style="1" customWidth="1"/>
    <col min="8452" max="8452" width="18.33203125" style="1" bestFit="1" customWidth="1"/>
    <col min="8453" max="8453" width="18.33203125" style="1" customWidth="1"/>
    <col min="8454" max="8704" width="9.109375" style="1"/>
    <col min="8705" max="8705" width="6.33203125" style="1" customWidth="1"/>
    <col min="8706" max="8706" width="28.5546875" style="1" customWidth="1"/>
    <col min="8707" max="8707" width="18.109375" style="1" customWidth="1"/>
    <col min="8708" max="8708" width="18.33203125" style="1" bestFit="1" customWidth="1"/>
    <col min="8709" max="8709" width="18.33203125" style="1" customWidth="1"/>
    <col min="8710" max="8960" width="9.109375" style="1"/>
    <col min="8961" max="8961" width="6.33203125" style="1" customWidth="1"/>
    <col min="8962" max="8962" width="28.5546875" style="1" customWidth="1"/>
    <col min="8963" max="8963" width="18.109375" style="1" customWidth="1"/>
    <col min="8964" max="8964" width="18.33203125" style="1" bestFit="1" customWidth="1"/>
    <col min="8965" max="8965" width="18.33203125" style="1" customWidth="1"/>
    <col min="8966" max="9216" width="9.109375" style="1"/>
    <col min="9217" max="9217" width="6.33203125" style="1" customWidth="1"/>
    <col min="9218" max="9218" width="28.5546875" style="1" customWidth="1"/>
    <col min="9219" max="9219" width="18.109375" style="1" customWidth="1"/>
    <col min="9220" max="9220" width="18.33203125" style="1" bestFit="1" customWidth="1"/>
    <col min="9221" max="9221" width="18.33203125" style="1" customWidth="1"/>
    <col min="9222" max="9472" width="9.109375" style="1"/>
    <col min="9473" max="9473" width="6.33203125" style="1" customWidth="1"/>
    <col min="9474" max="9474" width="28.5546875" style="1" customWidth="1"/>
    <col min="9475" max="9475" width="18.109375" style="1" customWidth="1"/>
    <col min="9476" max="9476" width="18.33203125" style="1" bestFit="1" customWidth="1"/>
    <col min="9477" max="9477" width="18.33203125" style="1" customWidth="1"/>
    <col min="9478" max="9728" width="9.109375" style="1"/>
    <col min="9729" max="9729" width="6.33203125" style="1" customWidth="1"/>
    <col min="9730" max="9730" width="28.5546875" style="1" customWidth="1"/>
    <col min="9731" max="9731" width="18.109375" style="1" customWidth="1"/>
    <col min="9732" max="9732" width="18.33203125" style="1" bestFit="1" customWidth="1"/>
    <col min="9733" max="9733" width="18.33203125" style="1" customWidth="1"/>
    <col min="9734" max="9984" width="9.109375" style="1"/>
    <col min="9985" max="9985" width="6.33203125" style="1" customWidth="1"/>
    <col min="9986" max="9986" width="28.5546875" style="1" customWidth="1"/>
    <col min="9987" max="9987" width="18.109375" style="1" customWidth="1"/>
    <col min="9988" max="9988" width="18.33203125" style="1" bestFit="1" customWidth="1"/>
    <col min="9989" max="9989" width="18.33203125" style="1" customWidth="1"/>
    <col min="9990" max="10240" width="9.109375" style="1"/>
    <col min="10241" max="10241" width="6.33203125" style="1" customWidth="1"/>
    <col min="10242" max="10242" width="28.5546875" style="1" customWidth="1"/>
    <col min="10243" max="10243" width="18.109375" style="1" customWidth="1"/>
    <col min="10244" max="10244" width="18.33203125" style="1" bestFit="1" customWidth="1"/>
    <col min="10245" max="10245" width="18.33203125" style="1" customWidth="1"/>
    <col min="10246" max="10496" width="9.109375" style="1"/>
    <col min="10497" max="10497" width="6.33203125" style="1" customWidth="1"/>
    <col min="10498" max="10498" width="28.5546875" style="1" customWidth="1"/>
    <col min="10499" max="10499" width="18.109375" style="1" customWidth="1"/>
    <col min="10500" max="10500" width="18.33203125" style="1" bestFit="1" customWidth="1"/>
    <col min="10501" max="10501" width="18.33203125" style="1" customWidth="1"/>
    <col min="10502" max="10752" width="9.109375" style="1"/>
    <col min="10753" max="10753" width="6.33203125" style="1" customWidth="1"/>
    <col min="10754" max="10754" width="28.5546875" style="1" customWidth="1"/>
    <col min="10755" max="10755" width="18.109375" style="1" customWidth="1"/>
    <col min="10756" max="10756" width="18.33203125" style="1" bestFit="1" customWidth="1"/>
    <col min="10757" max="10757" width="18.33203125" style="1" customWidth="1"/>
    <col min="10758" max="11008" width="9.109375" style="1"/>
    <col min="11009" max="11009" width="6.33203125" style="1" customWidth="1"/>
    <col min="11010" max="11010" width="28.5546875" style="1" customWidth="1"/>
    <col min="11011" max="11011" width="18.109375" style="1" customWidth="1"/>
    <col min="11012" max="11012" width="18.33203125" style="1" bestFit="1" customWidth="1"/>
    <col min="11013" max="11013" width="18.33203125" style="1" customWidth="1"/>
    <col min="11014" max="11264" width="9.109375" style="1"/>
    <col min="11265" max="11265" width="6.33203125" style="1" customWidth="1"/>
    <col min="11266" max="11266" width="28.5546875" style="1" customWidth="1"/>
    <col min="11267" max="11267" width="18.109375" style="1" customWidth="1"/>
    <col min="11268" max="11268" width="18.33203125" style="1" bestFit="1" customWidth="1"/>
    <col min="11269" max="11269" width="18.33203125" style="1" customWidth="1"/>
    <col min="11270" max="11520" width="9.109375" style="1"/>
    <col min="11521" max="11521" width="6.33203125" style="1" customWidth="1"/>
    <col min="11522" max="11522" width="28.5546875" style="1" customWidth="1"/>
    <col min="11523" max="11523" width="18.109375" style="1" customWidth="1"/>
    <col min="11524" max="11524" width="18.33203125" style="1" bestFit="1" customWidth="1"/>
    <col min="11525" max="11525" width="18.33203125" style="1" customWidth="1"/>
    <col min="11526" max="11776" width="9.109375" style="1"/>
    <col min="11777" max="11777" width="6.33203125" style="1" customWidth="1"/>
    <col min="11778" max="11778" width="28.5546875" style="1" customWidth="1"/>
    <col min="11779" max="11779" width="18.109375" style="1" customWidth="1"/>
    <col min="11780" max="11780" width="18.33203125" style="1" bestFit="1" customWidth="1"/>
    <col min="11781" max="11781" width="18.33203125" style="1" customWidth="1"/>
    <col min="11782" max="12032" width="9.109375" style="1"/>
    <col min="12033" max="12033" width="6.33203125" style="1" customWidth="1"/>
    <col min="12034" max="12034" width="28.5546875" style="1" customWidth="1"/>
    <col min="12035" max="12035" width="18.109375" style="1" customWidth="1"/>
    <col min="12036" max="12036" width="18.33203125" style="1" bestFit="1" customWidth="1"/>
    <col min="12037" max="12037" width="18.33203125" style="1" customWidth="1"/>
    <col min="12038" max="12288" width="9.109375" style="1"/>
    <col min="12289" max="12289" width="6.33203125" style="1" customWidth="1"/>
    <col min="12290" max="12290" width="28.5546875" style="1" customWidth="1"/>
    <col min="12291" max="12291" width="18.109375" style="1" customWidth="1"/>
    <col min="12292" max="12292" width="18.33203125" style="1" bestFit="1" customWidth="1"/>
    <col min="12293" max="12293" width="18.33203125" style="1" customWidth="1"/>
    <col min="12294" max="12544" width="9.109375" style="1"/>
    <col min="12545" max="12545" width="6.33203125" style="1" customWidth="1"/>
    <col min="12546" max="12546" width="28.5546875" style="1" customWidth="1"/>
    <col min="12547" max="12547" width="18.109375" style="1" customWidth="1"/>
    <col min="12548" max="12548" width="18.33203125" style="1" bestFit="1" customWidth="1"/>
    <col min="12549" max="12549" width="18.33203125" style="1" customWidth="1"/>
    <col min="12550" max="12800" width="9.109375" style="1"/>
    <col min="12801" max="12801" width="6.33203125" style="1" customWidth="1"/>
    <col min="12802" max="12802" width="28.5546875" style="1" customWidth="1"/>
    <col min="12803" max="12803" width="18.109375" style="1" customWidth="1"/>
    <col min="12804" max="12804" width="18.33203125" style="1" bestFit="1" customWidth="1"/>
    <col min="12805" max="12805" width="18.33203125" style="1" customWidth="1"/>
    <col min="12806" max="13056" width="9.109375" style="1"/>
    <col min="13057" max="13057" width="6.33203125" style="1" customWidth="1"/>
    <col min="13058" max="13058" width="28.5546875" style="1" customWidth="1"/>
    <col min="13059" max="13059" width="18.109375" style="1" customWidth="1"/>
    <col min="13060" max="13060" width="18.33203125" style="1" bestFit="1" customWidth="1"/>
    <col min="13061" max="13061" width="18.33203125" style="1" customWidth="1"/>
    <col min="13062" max="13312" width="9.109375" style="1"/>
    <col min="13313" max="13313" width="6.33203125" style="1" customWidth="1"/>
    <col min="13314" max="13314" width="28.5546875" style="1" customWidth="1"/>
    <col min="13315" max="13315" width="18.109375" style="1" customWidth="1"/>
    <col min="13316" max="13316" width="18.33203125" style="1" bestFit="1" customWidth="1"/>
    <col min="13317" max="13317" width="18.33203125" style="1" customWidth="1"/>
    <col min="13318" max="13568" width="9.109375" style="1"/>
    <col min="13569" max="13569" width="6.33203125" style="1" customWidth="1"/>
    <col min="13570" max="13570" width="28.5546875" style="1" customWidth="1"/>
    <col min="13571" max="13571" width="18.109375" style="1" customWidth="1"/>
    <col min="13572" max="13572" width="18.33203125" style="1" bestFit="1" customWidth="1"/>
    <col min="13573" max="13573" width="18.33203125" style="1" customWidth="1"/>
    <col min="13574" max="13824" width="9.109375" style="1"/>
    <col min="13825" max="13825" width="6.33203125" style="1" customWidth="1"/>
    <col min="13826" max="13826" width="28.5546875" style="1" customWidth="1"/>
    <col min="13827" max="13827" width="18.109375" style="1" customWidth="1"/>
    <col min="13828" max="13828" width="18.33203125" style="1" bestFit="1" customWidth="1"/>
    <col min="13829" max="13829" width="18.33203125" style="1" customWidth="1"/>
    <col min="13830" max="14080" width="9.109375" style="1"/>
    <col min="14081" max="14081" width="6.33203125" style="1" customWidth="1"/>
    <col min="14082" max="14082" width="28.5546875" style="1" customWidth="1"/>
    <col min="14083" max="14083" width="18.109375" style="1" customWidth="1"/>
    <col min="14084" max="14084" width="18.33203125" style="1" bestFit="1" customWidth="1"/>
    <col min="14085" max="14085" width="18.33203125" style="1" customWidth="1"/>
    <col min="14086" max="14336" width="9.109375" style="1"/>
    <col min="14337" max="14337" width="6.33203125" style="1" customWidth="1"/>
    <col min="14338" max="14338" width="28.5546875" style="1" customWidth="1"/>
    <col min="14339" max="14339" width="18.109375" style="1" customWidth="1"/>
    <col min="14340" max="14340" width="18.33203125" style="1" bestFit="1" customWidth="1"/>
    <col min="14341" max="14341" width="18.33203125" style="1" customWidth="1"/>
    <col min="14342" max="14592" width="9.109375" style="1"/>
    <col min="14593" max="14593" width="6.33203125" style="1" customWidth="1"/>
    <col min="14594" max="14594" width="28.5546875" style="1" customWidth="1"/>
    <col min="14595" max="14595" width="18.109375" style="1" customWidth="1"/>
    <col min="14596" max="14596" width="18.33203125" style="1" bestFit="1" customWidth="1"/>
    <col min="14597" max="14597" width="18.33203125" style="1" customWidth="1"/>
    <col min="14598" max="14848" width="9.109375" style="1"/>
    <col min="14849" max="14849" width="6.33203125" style="1" customWidth="1"/>
    <col min="14850" max="14850" width="28.5546875" style="1" customWidth="1"/>
    <col min="14851" max="14851" width="18.109375" style="1" customWidth="1"/>
    <col min="14852" max="14852" width="18.33203125" style="1" bestFit="1" customWidth="1"/>
    <col min="14853" max="14853" width="18.33203125" style="1" customWidth="1"/>
    <col min="14854" max="15104" width="9.109375" style="1"/>
    <col min="15105" max="15105" width="6.33203125" style="1" customWidth="1"/>
    <col min="15106" max="15106" width="28.5546875" style="1" customWidth="1"/>
    <col min="15107" max="15107" width="18.109375" style="1" customWidth="1"/>
    <col min="15108" max="15108" width="18.33203125" style="1" bestFit="1" customWidth="1"/>
    <col min="15109" max="15109" width="18.33203125" style="1" customWidth="1"/>
    <col min="15110" max="15360" width="9.109375" style="1"/>
    <col min="15361" max="15361" width="6.33203125" style="1" customWidth="1"/>
    <col min="15362" max="15362" width="28.5546875" style="1" customWidth="1"/>
    <col min="15363" max="15363" width="18.109375" style="1" customWidth="1"/>
    <col min="15364" max="15364" width="18.33203125" style="1" bestFit="1" customWidth="1"/>
    <col min="15365" max="15365" width="18.33203125" style="1" customWidth="1"/>
    <col min="15366" max="15616" width="9.109375" style="1"/>
    <col min="15617" max="15617" width="6.33203125" style="1" customWidth="1"/>
    <col min="15618" max="15618" width="28.5546875" style="1" customWidth="1"/>
    <col min="15619" max="15619" width="18.109375" style="1" customWidth="1"/>
    <col min="15620" max="15620" width="18.33203125" style="1" bestFit="1" customWidth="1"/>
    <col min="15621" max="15621" width="18.33203125" style="1" customWidth="1"/>
    <col min="15622" max="15872" width="9.109375" style="1"/>
    <col min="15873" max="15873" width="6.33203125" style="1" customWidth="1"/>
    <col min="15874" max="15874" width="28.5546875" style="1" customWidth="1"/>
    <col min="15875" max="15875" width="18.109375" style="1" customWidth="1"/>
    <col min="15876" max="15876" width="18.33203125" style="1" bestFit="1" customWidth="1"/>
    <col min="15877" max="15877" width="18.33203125" style="1" customWidth="1"/>
    <col min="15878" max="16128" width="9.109375" style="1"/>
    <col min="16129" max="16129" width="6.33203125" style="1" customWidth="1"/>
    <col min="16130" max="16130" width="28.5546875" style="1" customWidth="1"/>
    <col min="16131" max="16131" width="18.109375" style="1" customWidth="1"/>
    <col min="16132" max="16132" width="18.33203125" style="1" bestFit="1" customWidth="1"/>
    <col min="16133" max="16133" width="18.33203125" style="1" customWidth="1"/>
    <col min="16134" max="16384" width="9.109375" style="1"/>
  </cols>
  <sheetData>
    <row r="1" spans="1:32" s="2" customFormat="1">
      <c r="B1" s="1477" t="s">
        <v>444</v>
      </c>
      <c r="C1" s="1477"/>
      <c r="D1" s="1477"/>
      <c r="E1" s="1477"/>
      <c r="F1" s="1477"/>
      <c r="G1" s="72"/>
      <c r="H1" s="72"/>
      <c r="I1" s="72"/>
      <c r="J1" s="72"/>
      <c r="K1" s="72"/>
      <c r="L1" s="72"/>
      <c r="M1" s="72"/>
      <c r="N1" s="72"/>
      <c r="O1" s="72"/>
      <c r="P1" s="72"/>
      <c r="Q1" s="72"/>
    </row>
    <row r="2" spans="1:32" s="2" customFormat="1">
      <c r="B2" s="1478" t="s">
        <v>395</v>
      </c>
      <c r="C2" s="1478"/>
      <c r="D2" s="1478"/>
      <c r="E2" s="1478"/>
      <c r="F2" s="1478"/>
      <c r="G2" s="72"/>
      <c r="H2" s="72"/>
      <c r="I2" s="72"/>
      <c r="J2" s="72"/>
      <c r="K2" s="72"/>
      <c r="L2" s="72"/>
      <c r="M2" s="72"/>
      <c r="N2" s="72"/>
      <c r="O2" s="72"/>
      <c r="P2" s="72"/>
      <c r="Q2" s="72"/>
    </row>
    <row r="3" spans="1:32" s="2" customFormat="1">
      <c r="B3" s="1478" t="str">
        <f>'3a-RTO - Dryer GHM DHM'!B3:J3</f>
        <v>Enviva Pellets Ahoskie, LLC</v>
      </c>
      <c r="C3" s="1478"/>
      <c r="D3" s="1478"/>
      <c r="E3" s="1478"/>
      <c r="F3" s="1478"/>
      <c r="G3" s="72"/>
      <c r="H3" s="72"/>
      <c r="I3" s="72"/>
      <c r="J3" s="72"/>
      <c r="K3" s="72"/>
      <c r="L3" s="72"/>
      <c r="M3" s="72"/>
      <c r="N3" s="72"/>
      <c r="O3" s="72"/>
      <c r="P3" s="72"/>
      <c r="Q3" s="72"/>
    </row>
    <row r="4" spans="1:32" ht="17.399999999999999">
      <c r="A4" s="71"/>
      <c r="B4" s="71"/>
      <c r="C4" s="71"/>
      <c r="D4" s="71"/>
      <c r="E4" s="71"/>
      <c r="F4" s="71"/>
      <c r="G4" s="73"/>
      <c r="H4" s="73"/>
      <c r="I4" s="73"/>
      <c r="J4" s="73"/>
      <c r="K4" s="73"/>
      <c r="L4" s="73"/>
      <c r="M4" s="73"/>
      <c r="N4" s="73"/>
    </row>
    <row r="5" spans="1:32" ht="13.8" thickBot="1">
      <c r="B5" s="74" t="s">
        <v>90</v>
      </c>
      <c r="C5" s="59"/>
      <c r="D5" s="59"/>
      <c r="E5" s="59"/>
      <c r="F5" s="59"/>
      <c r="G5" s="59"/>
    </row>
    <row r="6" spans="1:32" ht="13.8" thickTop="1">
      <c r="B6" s="434" t="s">
        <v>92</v>
      </c>
      <c r="C6" s="851">
        <v>91406.42857142858</v>
      </c>
      <c r="D6" s="435" t="s">
        <v>436</v>
      </c>
      <c r="E6" s="59"/>
      <c r="F6" s="59"/>
      <c r="G6" s="59"/>
    </row>
    <row r="7" spans="1:32">
      <c r="B7" s="436" t="s">
        <v>91</v>
      </c>
      <c r="C7" s="852">
        <v>10.43452380952381</v>
      </c>
      <c r="D7" s="437" t="s">
        <v>437</v>
      </c>
      <c r="E7" s="59"/>
      <c r="F7" s="59"/>
      <c r="G7" s="438"/>
    </row>
    <row r="8" spans="1:32" ht="13.8" thickBot="1">
      <c r="B8" s="439" t="s">
        <v>377</v>
      </c>
      <c r="C8" s="440">
        <v>0.5</v>
      </c>
      <c r="D8" s="441"/>
      <c r="E8" s="59"/>
      <c r="F8" s="59"/>
      <c r="G8" s="438"/>
    </row>
    <row r="9" spans="1:32" ht="14.4" thickTop="1" thickBot="1">
      <c r="B9" s="59"/>
      <c r="C9" s="442"/>
      <c r="D9" s="211"/>
      <c r="E9" s="59"/>
      <c r="F9" s="59"/>
      <c r="G9" s="59"/>
    </row>
    <row r="10" spans="1:32" ht="15.75" customHeight="1" thickTop="1">
      <c r="B10" s="1394" t="s">
        <v>22</v>
      </c>
      <c r="C10" s="1479" t="s">
        <v>37</v>
      </c>
      <c r="D10" s="1480"/>
      <c r="E10" s="426" t="s">
        <v>94</v>
      </c>
      <c r="F10" s="427"/>
      <c r="G10" s="59"/>
    </row>
    <row r="11" spans="1:32" ht="30" customHeight="1" thickBot="1">
      <c r="B11" s="1395"/>
      <c r="C11" s="1481"/>
      <c r="D11" s="1482"/>
      <c r="E11" s="383" t="s">
        <v>561</v>
      </c>
      <c r="F11" s="428" t="s">
        <v>323</v>
      </c>
      <c r="G11" s="59"/>
    </row>
    <row r="12" spans="1:32" ht="13.8" hidden="1" thickTop="1">
      <c r="B12" s="385" t="s">
        <v>378</v>
      </c>
      <c r="C12" s="386">
        <v>4.1000000000000003E-3</v>
      </c>
      <c r="D12" s="390" t="s">
        <v>33</v>
      </c>
      <c r="E12" s="429">
        <f>C7*C12</f>
        <v>4.2781547619047629E-2</v>
      </c>
      <c r="F12" s="430">
        <f>C12*$C$6/2000</f>
        <v>0.18738317857142861</v>
      </c>
      <c r="G12" s="59"/>
      <c r="H12" s="75"/>
    </row>
    <row r="13" spans="1:32" ht="15" customHeight="1" thickTop="1">
      <c r="B13" s="389" t="s">
        <v>637</v>
      </c>
      <c r="C13" s="393">
        <f>C12*1.22</f>
        <v>5.0020000000000004E-3</v>
      </c>
      <c r="D13" s="390" t="s">
        <v>33</v>
      </c>
      <c r="E13" s="443">
        <f>C13*C7</f>
        <v>5.2193488095238105E-2</v>
      </c>
      <c r="F13" s="147">
        <f>C13*$C$6/2000</f>
        <v>0.22860747785714289</v>
      </c>
      <c r="G13" s="59"/>
      <c r="H13" s="75"/>
    </row>
    <row r="14" spans="1:32" ht="15" customHeight="1">
      <c r="B14" s="389" t="s">
        <v>639</v>
      </c>
      <c r="C14" s="936">
        <v>0.02</v>
      </c>
      <c r="D14" s="390" t="s">
        <v>381</v>
      </c>
      <c r="E14" s="443">
        <f>C14*$C$7/(1-$C$8)</f>
        <v>0.41738095238095241</v>
      </c>
      <c r="F14" s="416">
        <f>C14*$C$6/(1-$C$8)/2000</f>
        <v>1.8281285714285715</v>
      </c>
      <c r="G14" s="59"/>
      <c r="H14" s="75"/>
      <c r="AF14" s="1" t="s">
        <v>74</v>
      </c>
    </row>
    <row r="15" spans="1:32" ht="15" customHeight="1">
      <c r="B15" s="444" t="s">
        <v>640</v>
      </c>
      <c r="C15" s="937">
        <v>1.0999999999999999E-2</v>
      </c>
      <c r="D15" s="445" t="s">
        <v>381</v>
      </c>
      <c r="E15" s="443">
        <f t="shared" ref="E15" si="0">C15*$C$7/(1-$C$8)</f>
        <v>0.22955952380952382</v>
      </c>
      <c r="F15" s="416">
        <f t="shared" ref="F15" si="1">C15*$C$6/(1-$C$8)/2000</f>
        <v>1.0054707142857142</v>
      </c>
      <c r="G15" s="59"/>
      <c r="H15" s="75"/>
    </row>
    <row r="16" spans="1:32" ht="15" customHeight="1" thickBot="1">
      <c r="B16" s="395" t="s">
        <v>638</v>
      </c>
      <c r="C16" s="755">
        <v>1E-3</v>
      </c>
      <c r="D16" s="431" t="s">
        <v>33</v>
      </c>
      <c r="E16" s="929">
        <f>$C$7*C16</f>
        <v>1.043452380952381E-2</v>
      </c>
      <c r="F16" s="417">
        <f>$C$6*C16/2000</f>
        <v>4.5703214285714291E-2</v>
      </c>
      <c r="G16" s="59"/>
      <c r="H16" s="75"/>
    </row>
    <row r="17" spans="1:7" ht="13.8" thickTop="1">
      <c r="A17" s="446" t="s">
        <v>196</v>
      </c>
      <c r="B17" s="298"/>
      <c r="C17" s="298"/>
      <c r="D17" s="298"/>
      <c r="E17" s="298"/>
      <c r="F17" s="298"/>
      <c r="G17" s="298"/>
    </row>
    <row r="18" spans="1:7" ht="23.25" customHeight="1">
      <c r="A18" s="413">
        <v>1</v>
      </c>
      <c r="B18" s="1416" t="s">
        <v>652</v>
      </c>
      <c r="C18" s="1416"/>
      <c r="D18" s="1416"/>
      <c r="E18" s="1416"/>
      <c r="F18" s="1416"/>
      <c r="G18" s="298"/>
    </row>
    <row r="19" spans="1:7">
      <c r="A19" s="413">
        <v>2</v>
      </c>
      <c r="B19" s="933" t="s">
        <v>379</v>
      </c>
      <c r="C19" s="964"/>
      <c r="D19" s="964"/>
      <c r="E19" s="964"/>
      <c r="F19" s="964"/>
      <c r="G19" s="298"/>
    </row>
    <row r="20" spans="1:7" ht="32.25" customHeight="1">
      <c r="A20" s="413">
        <v>3</v>
      </c>
      <c r="B20" s="1417" t="s">
        <v>641</v>
      </c>
      <c r="C20" s="1417"/>
      <c r="D20" s="1417"/>
      <c r="E20" s="1417"/>
      <c r="F20" s="1417"/>
      <c r="G20" s="298"/>
    </row>
    <row r="21" spans="1:7" ht="24" customHeight="1">
      <c r="A21" s="413">
        <v>4</v>
      </c>
      <c r="B21" s="1483" t="s">
        <v>559</v>
      </c>
      <c r="C21" s="1483"/>
      <c r="D21" s="1483"/>
      <c r="E21" s="1483"/>
      <c r="F21" s="1483"/>
      <c r="G21" s="298"/>
    </row>
    <row r="22" spans="1:7">
      <c r="A22" s="413"/>
      <c r="B22" s="966"/>
      <c r="C22" s="966"/>
      <c r="D22" s="966"/>
      <c r="E22" s="966"/>
      <c r="F22" s="966"/>
      <c r="G22" s="298"/>
    </row>
    <row r="23" spans="1:7">
      <c r="A23" s="274" t="s">
        <v>313</v>
      </c>
      <c r="B23" s="966"/>
      <c r="C23" s="966"/>
      <c r="D23" s="966"/>
      <c r="E23" s="966"/>
      <c r="F23" s="966"/>
      <c r="G23" s="298"/>
    </row>
    <row r="24" spans="1:7">
      <c r="A24" s="413"/>
      <c r="B24" s="1015" t="s">
        <v>644</v>
      </c>
      <c r="C24" s="966"/>
      <c r="D24" s="966"/>
      <c r="E24" s="966"/>
      <c r="F24" s="966"/>
      <c r="G24" s="298"/>
    </row>
    <row r="25" spans="1:7">
      <c r="A25" s="413"/>
      <c r="B25" s="1015" t="s">
        <v>643</v>
      </c>
      <c r="C25" s="966"/>
      <c r="D25" s="966"/>
      <c r="E25" s="966"/>
      <c r="F25" s="966"/>
      <c r="G25" s="298"/>
    </row>
    <row r="26" spans="1:7" ht="24.75" customHeight="1">
      <c r="A26" s="413"/>
      <c r="B26" s="1483" t="s">
        <v>642</v>
      </c>
      <c r="C26" s="1483"/>
      <c r="D26" s="1483"/>
      <c r="E26" s="1483"/>
      <c r="F26" s="1483"/>
      <c r="G26" s="298"/>
    </row>
    <row r="27" spans="1:7">
      <c r="A27" s="298"/>
      <c r="B27" s="447"/>
      <c r="C27" s="298"/>
      <c r="D27" s="298"/>
      <c r="E27" s="298"/>
      <c r="F27" s="298"/>
      <c r="G27" s="298"/>
    </row>
    <row r="28" spans="1:7">
      <c r="A28" s="1476" t="s">
        <v>301</v>
      </c>
      <c r="B28" s="1476"/>
    </row>
    <row r="29" spans="1:7">
      <c r="A29" s="922"/>
      <c r="B29" s="923" t="s">
        <v>104</v>
      </c>
    </row>
    <row r="30" spans="1:7">
      <c r="A30" s="922"/>
      <c r="B30" s="923" t="s">
        <v>106</v>
      </c>
    </row>
    <row r="31" spans="1:7">
      <c r="A31" s="922"/>
      <c r="B31" s="206" t="s">
        <v>624</v>
      </c>
    </row>
    <row r="32" spans="1:7">
      <c r="A32" s="205"/>
      <c r="B32" s="271" t="s">
        <v>105</v>
      </c>
    </row>
    <row r="33" spans="1:2">
      <c r="A33" s="797"/>
      <c r="B33" s="271" t="s">
        <v>107</v>
      </c>
    </row>
    <row r="34" spans="1:2">
      <c r="A34" s="205"/>
      <c r="B34" s="271" t="s">
        <v>109</v>
      </c>
    </row>
    <row r="35" spans="1:2">
      <c r="A35" s="796"/>
      <c r="B35" s="796"/>
    </row>
  </sheetData>
  <mergeCells count="10">
    <mergeCell ref="A28:B28"/>
    <mergeCell ref="B20:F20"/>
    <mergeCell ref="B1:F1"/>
    <mergeCell ref="B2:F2"/>
    <mergeCell ref="B3:F3"/>
    <mergeCell ref="B10:B11"/>
    <mergeCell ref="C10:D11"/>
    <mergeCell ref="B21:F21"/>
    <mergeCell ref="B18:F18"/>
    <mergeCell ref="B26:F26"/>
  </mergeCells>
  <phoneticPr fontId="72" type="noConversion"/>
  <pageMargins left="0.25" right="0.25" top="0.75" bottom="0.75" header="0.3" footer="0.3"/>
  <pageSetup fitToHeight="0" orientation="portrait" r:id="rId1"/>
  <headerFooter>
    <oddFooter>&amp;CPage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E004D-DA9E-4C9B-B7C9-4B941D8E5C00}">
  <sheetPr>
    <pageSetUpPr fitToPage="1"/>
  </sheetPr>
  <dimension ref="A1:M49"/>
  <sheetViews>
    <sheetView workbookViewId="0">
      <selection activeCell="C14" sqref="C14"/>
    </sheetView>
  </sheetViews>
  <sheetFormatPr defaultColWidth="9.109375" defaultRowHeight="11.4"/>
  <cols>
    <col min="1" max="1" width="2.6640625" style="5" customWidth="1"/>
    <col min="2" max="2" width="35.88671875" style="5" customWidth="1"/>
    <col min="3" max="3" width="15" style="5" customWidth="1"/>
    <col min="4" max="4" width="13.44140625" style="5" customWidth="1"/>
    <col min="5" max="5" width="12.5546875" style="5" customWidth="1"/>
    <col min="6" max="6" width="12.88671875" style="5" customWidth="1"/>
    <col min="7" max="7" width="13.109375" style="5" bestFit="1" customWidth="1"/>
    <col min="8" max="10" width="9.109375" style="5"/>
    <col min="11" max="11" width="14.44140625" style="5" customWidth="1"/>
    <col min="12" max="12" width="17.44140625" style="5" customWidth="1"/>
    <col min="13" max="13" width="20.33203125" style="5" customWidth="1"/>
    <col min="14" max="16384" width="9.109375" style="5"/>
  </cols>
  <sheetData>
    <row r="1" spans="1:13" ht="15" customHeight="1">
      <c r="B1" s="1438" t="s">
        <v>595</v>
      </c>
      <c r="C1" s="1438"/>
      <c r="D1" s="1438"/>
      <c r="E1" s="1438"/>
    </row>
    <row r="2" spans="1:13" ht="15" customHeight="1">
      <c r="B2" s="1438" t="s">
        <v>594</v>
      </c>
      <c r="C2" s="1438"/>
      <c r="D2" s="1438"/>
      <c r="E2" s="1438"/>
    </row>
    <row r="3" spans="1:13" ht="15" customHeight="1">
      <c r="B3" s="1438" t="str">
        <f>'3a-RTO - Dryer GHM DHM'!B3:J3</f>
        <v>Enviva Pellets Ahoskie, LLC</v>
      </c>
      <c r="C3" s="1438"/>
      <c r="D3" s="1438"/>
      <c r="E3" s="1438"/>
    </row>
    <row r="4" spans="1:13" ht="15" customHeight="1"/>
    <row r="5" spans="1:13" ht="15" customHeight="1" thickBot="1">
      <c r="B5" s="7" t="s">
        <v>90</v>
      </c>
      <c r="C5" s="8"/>
      <c r="D5" s="8"/>
      <c r="E5" s="8"/>
    </row>
    <row r="6" spans="1:13" ht="15" customHeight="1" thickTop="1">
      <c r="A6" s="19"/>
      <c r="B6" s="9" t="s">
        <v>342</v>
      </c>
      <c r="C6" s="40">
        <v>62.785388127853878</v>
      </c>
      <c r="D6" s="10" t="s">
        <v>27</v>
      </c>
      <c r="E6" s="11"/>
      <c r="H6" s="320"/>
      <c r="I6" s="321"/>
      <c r="J6" s="320"/>
    </row>
    <row r="7" spans="1:13" ht="15" customHeight="1" thickBot="1">
      <c r="A7" s="19"/>
      <c r="B7" s="69" t="s">
        <v>343</v>
      </c>
      <c r="C7" s="322">
        <v>550000</v>
      </c>
      <c r="D7" s="70" t="s">
        <v>87</v>
      </c>
      <c r="E7" s="323"/>
      <c r="H7" s="320"/>
      <c r="I7" s="321"/>
      <c r="J7" s="320"/>
    </row>
    <row r="8" spans="1:13" ht="11.25" customHeight="1" thickTop="1">
      <c r="A8" s="19"/>
      <c r="B8" s="19"/>
      <c r="C8" s="19"/>
      <c r="D8" s="19"/>
      <c r="E8" s="19"/>
    </row>
    <row r="9" spans="1:13" ht="11.25" customHeight="1" thickBot="1">
      <c r="A9" s="19"/>
      <c r="B9" s="31" t="s">
        <v>415</v>
      </c>
      <c r="C9" s="19"/>
      <c r="D9" s="19"/>
      <c r="E9" s="19"/>
    </row>
    <row r="10" spans="1:13" ht="23.25" customHeight="1" thickTop="1">
      <c r="A10" s="59"/>
      <c r="B10" s="1383" t="s">
        <v>22</v>
      </c>
      <c r="C10" s="1381" t="s">
        <v>526</v>
      </c>
      <c r="D10" s="1422" t="s">
        <v>94</v>
      </c>
      <c r="E10" s="1423"/>
      <c r="J10"/>
      <c r="K10"/>
      <c r="L10"/>
      <c r="M10"/>
    </row>
    <row r="11" spans="1:13" ht="23.4" thickBot="1">
      <c r="A11" s="59"/>
      <c r="B11" s="1384"/>
      <c r="C11" s="1382"/>
      <c r="D11" s="99" t="s">
        <v>571</v>
      </c>
      <c r="E11" s="497" t="s">
        <v>416</v>
      </c>
      <c r="G11" s="948"/>
      <c r="J11"/>
      <c r="K11"/>
      <c r="L11"/>
      <c r="M11"/>
    </row>
    <row r="12" spans="1:13" ht="15.75" customHeight="1" thickTop="1">
      <c r="A12" s="59"/>
      <c r="B12" s="853" t="s">
        <v>15</v>
      </c>
      <c r="C12" s="1343">
        <v>3.2006682249843983E-4</v>
      </c>
      <c r="D12" s="567">
        <f>C12*$C$6</f>
        <v>2.0095519677413458E-2</v>
      </c>
      <c r="E12" s="854">
        <f>C12*$C$7/2000</f>
        <v>8.8018376187070951E-2</v>
      </c>
      <c r="G12" s="950"/>
      <c r="H12" s="948"/>
      <c r="J12"/>
      <c r="K12"/>
      <c r="L12"/>
      <c r="M12"/>
    </row>
    <row r="13" spans="1:13" ht="15.75" customHeight="1">
      <c r="A13" s="59"/>
      <c r="B13" s="525" t="s">
        <v>19</v>
      </c>
      <c r="C13" s="1344">
        <v>1.1799410029498526E-4</v>
      </c>
      <c r="D13" s="221">
        <f>C13*$C$6</f>
        <v>7.4083053838175667E-3</v>
      </c>
      <c r="E13" s="552">
        <f>C13*$C$7/2000</f>
        <v>3.2448377581120944E-2</v>
      </c>
      <c r="G13" s="950"/>
      <c r="J13"/>
      <c r="K13"/>
      <c r="L13"/>
      <c r="M13"/>
    </row>
    <row r="14" spans="1:13" ht="15.75" customHeight="1">
      <c r="A14" s="59"/>
      <c r="B14" s="525" t="s">
        <v>16</v>
      </c>
      <c r="C14" s="1343">
        <v>6.8353845215009289E-4</v>
      </c>
      <c r="D14" s="123">
        <f>C14*$C$6</f>
        <v>4.2916227018556061E-2</v>
      </c>
      <c r="E14" s="147">
        <f>C14*$C$7/2000</f>
        <v>0.18797307434127555</v>
      </c>
      <c r="G14" s="950"/>
      <c r="H14" s="948"/>
      <c r="J14"/>
      <c r="K14"/>
      <c r="L14"/>
      <c r="M14"/>
    </row>
    <row r="15" spans="1:13" ht="15.75" customHeight="1" thickBot="1">
      <c r="A15" s="59"/>
      <c r="B15" s="957" t="s">
        <v>11</v>
      </c>
      <c r="C15" s="1345">
        <v>4.0298507462686569E-4</v>
      </c>
      <c r="D15" s="958">
        <f>C15*$C$6</f>
        <v>2.5301574320179921E-2</v>
      </c>
      <c r="E15" s="959">
        <f>C15*$C$7/2000</f>
        <v>0.11082089552238807</v>
      </c>
      <c r="G15" s="950"/>
      <c r="H15" s="948"/>
      <c r="J15"/>
      <c r="K15"/>
      <c r="L15"/>
      <c r="M15"/>
    </row>
    <row r="16" spans="1:13" ht="15.75" customHeight="1" thickTop="1" thickBot="1">
      <c r="A16" s="59"/>
      <c r="B16" s="1484" t="s">
        <v>97</v>
      </c>
      <c r="C16" s="1485"/>
      <c r="D16" s="571">
        <f>SUM(D12:D15)</f>
        <v>9.5721626399966994E-2</v>
      </c>
      <c r="E16" s="238">
        <f>SUM(E12:E15)</f>
        <v>0.41926072363185551</v>
      </c>
      <c r="J16"/>
      <c r="K16"/>
      <c r="L16"/>
      <c r="M16"/>
    </row>
    <row r="17" spans="1:13" ht="15" customHeight="1" thickTop="1" thickBot="1">
      <c r="A17" s="59"/>
      <c r="B17" s="214" t="s">
        <v>527</v>
      </c>
      <c r="C17" s="1346">
        <v>5.2513315652885931E-2</v>
      </c>
      <c r="D17" s="152">
        <f>C17*$C$6</f>
        <v>3.2970689051469475</v>
      </c>
      <c r="E17" s="855">
        <f>C17*$C$7/2000</f>
        <v>14.441161804543631</v>
      </c>
      <c r="G17" s="946"/>
      <c r="I17" s="321"/>
      <c r="J17"/>
      <c r="K17"/>
      <c r="L17"/>
      <c r="M17"/>
    </row>
    <row r="18" spans="1:13" ht="15" thickTop="1">
      <c r="A18" s="1424" t="s">
        <v>288</v>
      </c>
      <c r="B18" s="1424"/>
      <c r="C18" s="298"/>
      <c r="D18" s="298"/>
      <c r="E18" s="298"/>
      <c r="G18" s="947"/>
      <c r="H18" s="946"/>
      <c r="J18"/>
      <c r="K18"/>
      <c r="L18"/>
      <c r="M18"/>
    </row>
    <row r="19" spans="1:13" ht="12.75" customHeight="1">
      <c r="A19" s="264" t="s">
        <v>100</v>
      </c>
      <c r="B19" s="1483" t="s">
        <v>582</v>
      </c>
      <c r="C19" s="1483"/>
      <c r="D19" s="1483"/>
      <c r="E19" s="1483"/>
      <c r="F19" s="498"/>
      <c r="J19"/>
      <c r="K19"/>
      <c r="L19"/>
      <c r="M19"/>
    </row>
    <row r="20" spans="1:13" ht="24.75" customHeight="1">
      <c r="A20" s="264" t="s">
        <v>159</v>
      </c>
      <c r="B20" s="1483" t="s">
        <v>609</v>
      </c>
      <c r="C20" s="1483"/>
      <c r="D20" s="1483"/>
      <c r="E20" s="1483"/>
      <c r="F20" s="498"/>
      <c r="J20"/>
      <c r="K20"/>
      <c r="L20"/>
      <c r="M20"/>
    </row>
    <row r="21" spans="1:13" ht="11.25" customHeight="1">
      <c r="A21" s="499"/>
      <c r="B21" s="499"/>
      <c r="C21" s="499"/>
      <c r="D21" s="499"/>
      <c r="E21" s="499"/>
      <c r="G21" s="761"/>
      <c r="J21"/>
      <c r="K21"/>
      <c r="L21"/>
      <c r="M21"/>
    </row>
    <row r="22" spans="1:13" ht="11.25" customHeight="1">
      <c r="A22" s="1393" t="s">
        <v>301</v>
      </c>
      <c r="B22" s="1393"/>
      <c r="C22" s="19"/>
      <c r="D22" s="19"/>
      <c r="E22" s="19"/>
      <c r="G22" s="762"/>
      <c r="H22" s="948"/>
      <c r="J22"/>
      <c r="K22"/>
      <c r="L22"/>
      <c r="M22"/>
    </row>
    <row r="23" spans="1:13" ht="11.25" customHeight="1">
      <c r="A23" s="756"/>
      <c r="B23" s="271" t="s">
        <v>104</v>
      </c>
      <c r="C23" s="19"/>
      <c r="D23" s="20"/>
      <c r="E23" s="19"/>
      <c r="J23"/>
      <c r="K23"/>
      <c r="L23"/>
      <c r="M23"/>
    </row>
    <row r="24" spans="1:13" ht="11.25" customHeight="1">
      <c r="A24" s="756"/>
      <c r="B24" s="271" t="s">
        <v>106</v>
      </c>
      <c r="C24" s="53"/>
      <c r="D24" s="28"/>
      <c r="E24" s="19"/>
      <c r="J24"/>
      <c r="K24"/>
      <c r="L24"/>
      <c r="M24"/>
    </row>
    <row r="25" spans="1:13" ht="11.25" customHeight="1">
      <c r="A25" s="756"/>
      <c r="B25" s="206" t="s">
        <v>624</v>
      </c>
      <c r="C25" s="53"/>
      <c r="D25" s="28"/>
      <c r="E25" s="19"/>
      <c r="J25"/>
      <c r="K25"/>
      <c r="L25"/>
      <c r="M25"/>
    </row>
    <row r="26" spans="1:13">
      <c r="A26" s="273"/>
      <c r="B26" s="271" t="s">
        <v>105</v>
      </c>
      <c r="C26" s="53"/>
      <c r="D26" s="28"/>
      <c r="E26" s="19"/>
    </row>
    <row r="27" spans="1:13" s="18" customFormat="1" ht="11.25" customHeight="1">
      <c r="A27" s="527"/>
      <c r="B27" s="271" t="s">
        <v>107</v>
      </c>
      <c r="C27" s="500"/>
      <c r="D27" s="501"/>
    </row>
    <row r="28" spans="1:13">
      <c r="A28" s="273"/>
      <c r="B28" s="270" t="s">
        <v>109</v>
      </c>
      <c r="C28" s="53"/>
      <c r="E28" s="19"/>
    </row>
    <row r="29" spans="1:13">
      <c r="A29" s="18"/>
      <c r="C29" s="53"/>
      <c r="D29" s="20"/>
      <c r="E29" s="19"/>
    </row>
    <row r="30" spans="1:13" ht="12.75" customHeight="1">
      <c r="E30" s="20"/>
    </row>
    <row r="31" spans="1:13" ht="12.75" customHeight="1">
      <c r="E31" s="20"/>
    </row>
    <row r="32" spans="1:13" ht="12.75" customHeight="1">
      <c r="E32" s="20"/>
    </row>
    <row r="33" spans="1:5" ht="12.75" customHeight="1">
      <c r="E33" s="20"/>
    </row>
    <row r="34" spans="1:5" ht="12.75" customHeight="1">
      <c r="A34" s="18"/>
      <c r="E34" s="20"/>
    </row>
    <row r="35" spans="1:5" ht="12.75" customHeight="1">
      <c r="A35" s="18"/>
      <c r="E35" s="20"/>
    </row>
    <row r="36" spans="1:5" ht="12.75" customHeight="1">
      <c r="A36" s="18"/>
      <c r="E36" s="20"/>
    </row>
    <row r="37" spans="1:5" ht="12.75" customHeight="1">
      <c r="A37" s="18"/>
      <c r="E37" s="20"/>
    </row>
    <row r="38" spans="1:5" ht="12.75" customHeight="1">
      <c r="A38" s="18"/>
      <c r="E38" s="20"/>
    </row>
    <row r="39" spans="1:5" ht="12.75" customHeight="1">
      <c r="A39" s="18"/>
      <c r="E39" s="20"/>
    </row>
    <row r="40" spans="1:5" ht="12.75" customHeight="1">
      <c r="A40" s="18"/>
      <c r="E40" s="20"/>
    </row>
    <row r="41" spans="1:5" ht="12.75" customHeight="1">
      <c r="A41" s="18"/>
      <c r="E41" s="20"/>
    </row>
    <row r="42" spans="1:5">
      <c r="A42" s="18"/>
      <c r="E42" s="20"/>
    </row>
    <row r="43" spans="1:5">
      <c r="A43" s="18"/>
      <c r="E43" s="20"/>
    </row>
    <row r="44" spans="1:5">
      <c r="A44" s="18"/>
      <c r="E44" s="20"/>
    </row>
    <row r="45" spans="1:5">
      <c r="A45" s="18"/>
      <c r="E45" s="20"/>
    </row>
    <row r="46" spans="1:5">
      <c r="A46" s="18"/>
      <c r="E46" s="20"/>
    </row>
    <row r="47" spans="1:5" ht="11.25" customHeight="1">
      <c r="A47" s="18"/>
    </row>
    <row r="48" spans="1:5" ht="11.25" customHeight="1">
      <c r="C48" s="18"/>
      <c r="D48" s="18"/>
      <c r="E48" s="18"/>
    </row>
    <row r="49" spans="1:5">
      <c r="A49" s="18"/>
      <c r="B49" s="1427"/>
      <c r="C49" s="1427"/>
      <c r="D49" s="1427"/>
      <c r="E49" s="1427"/>
    </row>
  </sheetData>
  <mergeCells count="12">
    <mergeCell ref="B1:E1"/>
    <mergeCell ref="B2:E2"/>
    <mergeCell ref="B3:E3"/>
    <mergeCell ref="B10:B11"/>
    <mergeCell ref="C10:C11"/>
    <mergeCell ref="D10:E10"/>
    <mergeCell ref="B49:E49"/>
    <mergeCell ref="B16:C16"/>
    <mergeCell ref="A18:B18"/>
    <mergeCell ref="B19:E19"/>
    <mergeCell ref="B20:E20"/>
    <mergeCell ref="A22:B22"/>
  </mergeCells>
  <printOptions horizontalCentered="1"/>
  <pageMargins left="0.7" right="0.7" top="0.75" bottom="0.75" header="0.3" footer="0.3"/>
  <pageSetup fitToHeight="0" orientation="portrait" r:id="rId1"/>
  <headerFooter>
    <oddFooter>&amp;CPage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1-FW Summary</vt:lpstr>
      <vt:lpstr>2-FW HAP</vt:lpstr>
      <vt:lpstr>3a-RTO - Dryer GHM DHM</vt:lpstr>
      <vt:lpstr>3b-Dryer (Furnace Bypass)</vt:lpstr>
      <vt:lpstr>3c-Dryer (Furnace Idle)</vt:lpstr>
      <vt:lpstr>4-Dryer Duct Burners</vt:lpstr>
      <vt:lpstr>5-RCO - PC-PM-DSHM</vt:lpstr>
      <vt:lpstr>6 - Bark Hog</vt:lpstr>
      <vt:lpstr>7-Dried Wood Handling</vt:lpstr>
      <vt:lpstr>8 - Baghouses and Cyclones</vt:lpstr>
      <vt:lpstr>9 - Material Handling</vt:lpstr>
      <vt:lpstr>10 - Storage Piles</vt:lpstr>
      <vt:lpstr>11 - IES-GN, IES-FWP</vt:lpstr>
      <vt:lpstr>12 - Diesel Storage Tanks</vt:lpstr>
      <vt:lpstr>13a - Paved Roads</vt:lpstr>
      <vt:lpstr>13b - Unpaved Roads</vt:lpstr>
      <vt:lpstr>14 - Boilers</vt:lpstr>
      <vt:lpstr>'10 - Storage Piles'!Print_Area</vt:lpstr>
      <vt:lpstr>'11 - IES-GN, IES-FWP'!Print_Area</vt:lpstr>
      <vt:lpstr>'12 - Diesel Storage Tanks'!Print_Area</vt:lpstr>
      <vt:lpstr>'13a - Paved Roads'!Print_Area</vt:lpstr>
      <vt:lpstr>'13b - Unpaved Roads'!Print_Area</vt:lpstr>
      <vt:lpstr>'14 - Boilers'!Print_Area</vt:lpstr>
      <vt:lpstr>'1-FW Summary'!Print_Area</vt:lpstr>
      <vt:lpstr>'2-FW HAP'!Print_Area</vt:lpstr>
      <vt:lpstr>'3a-RTO - Dryer GHM DHM'!Print_Area</vt:lpstr>
      <vt:lpstr>'3b-Dryer (Furnace Bypass)'!Print_Area</vt:lpstr>
      <vt:lpstr>'3c-Dryer (Furnace Idle)'!Print_Area</vt:lpstr>
      <vt:lpstr>'4-Dryer Duct Burners'!Print_Area</vt:lpstr>
      <vt:lpstr>'5-RCO - PC-PM-DSHM'!Print_Area</vt:lpstr>
      <vt:lpstr>'6 - Bark Hog'!Print_Area</vt:lpstr>
      <vt:lpstr>'7-Dried Wood Handling'!Print_Area</vt:lpstr>
      <vt:lpstr>'8 - Baghouses and Cyclones'!Print_Area</vt:lpstr>
      <vt:lpstr>'9 - Material Handling'!Print_Area</vt:lpstr>
      <vt:lpstr>'11 - IES-GN, IES-FWP'!Print_Titles</vt:lpstr>
      <vt:lpstr>'12 - Diesel Storage Tanks'!Print_Titles</vt:lpstr>
      <vt:lpstr>'14 - Boilers'!Print_Titles</vt:lpstr>
      <vt:lpstr>'3a-RTO - Dryer GHM DHM'!Print_Titles</vt:lpstr>
      <vt:lpstr>'3b-Dryer (Furnace Bypass)'!Print_Titles</vt:lpstr>
      <vt:lpstr>'3c-Dryer (Furnace Idle)'!Print_Titles</vt:lpstr>
      <vt:lpstr>'4-Dryer Duct Burners'!Print_Titles</vt:lpstr>
      <vt:lpstr>'5-RCO - PC-PM-DSHM'!Print_Titles</vt:lpstr>
      <vt:lpstr>'8 - Baghouses and Cyclones'!Print_Titles</vt:lpstr>
    </vt:vector>
  </TitlesOfParts>
  <Company>Trinity Consultants,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 Menut</dc:creator>
  <cp:lastModifiedBy>Zachary Prejean</cp:lastModifiedBy>
  <cp:lastPrinted>2021-12-08T20:38:45Z</cp:lastPrinted>
  <dcterms:created xsi:type="dcterms:W3CDTF">2011-06-14T13:52:58Z</dcterms:created>
  <dcterms:modified xsi:type="dcterms:W3CDTF">2022-01-06T15:32:54Z</dcterms:modified>
</cp:coreProperties>
</file>