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19"/>
  <workbookPr saveExternalLinkValues="0"/>
  <mc:AlternateContent xmlns:mc="http://schemas.openxmlformats.org/markup-compatibility/2006">
    <mc:Choice Requires="x15">
      <x15ac:absPath xmlns:x15ac="http://schemas.microsoft.com/office/spreadsheetml/2010/11/ac" url="/Users/maryrose/Downloads/"/>
    </mc:Choice>
  </mc:AlternateContent>
  <xr:revisionPtr revIDLastSave="0" documentId="13_ncr:1_{7F8CC22E-816A-0D4C-8AEC-57C2F9BD4931}" xr6:coauthVersionLast="47" xr6:coauthVersionMax="47" xr10:uidLastSave="{00000000-0000-0000-0000-000000000000}"/>
  <bookViews>
    <workbookView xWindow="0" yWindow="500" windowWidth="28800" windowHeight="15820" tabRatio="897" firstSheet="1" activeTab="1" xr2:uid="{00000000-000D-0000-FFFF-FFFF00000000}"/>
  </bookViews>
  <sheets>
    <sheet name="README" sheetId="15" r:id="rId1"/>
    <sheet name="INPUT" sheetId="5" r:id="rId2"/>
    <sheet name="OUTPUT" sheetId="6" r:id="rId3"/>
    <sheet name="TOXIC Calculations" sheetId="10" r:id="rId4"/>
    <sheet name="AC heater" sheetId="12" r:id="rId5"/>
    <sheet name="RAP" sheetId="11" r:id="rId6"/>
    <sheet name="Silo and loadout calculations" sheetId="8" r:id="rId7"/>
    <sheet name="HAPTAP Factors" sheetId="3" r:id="rId8"/>
    <sheet name="Criteria Factors" sheetId="4" r:id="rId9"/>
    <sheet name="SO2 factors" sheetId="9" r:id="rId10"/>
    <sheet name="Standards" sheetId="1" r:id="rId11"/>
    <sheet name="Revisions" sheetId="13" r:id="rId12"/>
  </sheets>
  <definedNames>
    <definedName name="control">INPUT!$T$25</definedName>
    <definedName name="fuel">INPUT!$T$20</definedName>
    <definedName name="Meth5">INPUT!$T$42</definedName>
    <definedName name="NSPS">INPUT!$T$30</definedName>
    <definedName name="oR">'Silo and loadout calculations'!$S$12</definedName>
    <definedName name="_xlnm.Print_Area" localSheetId="7">'HAPTAP Factors'!$A$1:$Q$248</definedName>
    <definedName name="_xlnm.Print_Area" localSheetId="1">INPUT!$A$1:$O$154</definedName>
    <definedName name="_xlnm.Print_Area" localSheetId="3">'TOXIC Calculations'!$A$1:$Z$59</definedName>
    <definedName name="RAP">INPUT!$T$38</definedName>
    <definedName name="silofill">INPUT!$T$34</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opt" localSheetId="1" hidden="1">INPUT!$K$37</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type">INPUT!$T$16</definedName>
    <definedName name="V">'Silo and loadout calculations'!$S$10</definedName>
  </definedNames>
  <calcPr calcId="191028" iterate="1" iterateCount="20"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7" i="3" l="1"/>
  <c r="O67" i="3"/>
  <c r="E67" i="3"/>
  <c r="C14" i="11"/>
  <c r="D14" i="11"/>
  <c r="C13" i="11"/>
  <c r="D13" i="11"/>
  <c r="D19" i="11"/>
  <c r="D110" i="5" s="1"/>
  <c r="H110" i="5" s="1"/>
  <c r="H131" i="5" s="1"/>
  <c r="D12" i="11"/>
  <c r="C12" i="11"/>
  <c r="F56" i="6"/>
  <c r="A56" i="6"/>
  <c r="J39" i="10"/>
  <c r="R39" i="10" s="1"/>
  <c r="J38" i="10"/>
  <c r="K38" i="10" s="1"/>
  <c r="A99" i="6"/>
  <c r="A57" i="6"/>
  <c r="G38" i="8"/>
  <c r="N35" i="10" s="1"/>
  <c r="F38" i="8"/>
  <c r="L35" i="10" s="1"/>
  <c r="J35" i="10"/>
  <c r="C2" i="12"/>
  <c r="C3" i="12"/>
  <c r="H13" i="12" s="1"/>
  <c r="D120" i="5" s="1"/>
  <c r="H120" i="5" s="1"/>
  <c r="J120" i="5" s="1"/>
  <c r="H14" i="12"/>
  <c r="H15" i="12"/>
  <c r="H16" i="12"/>
  <c r="H17" i="12"/>
  <c r="H18" i="12"/>
  <c r="D19" i="12"/>
  <c r="H19" i="12"/>
  <c r="D118" i="5" s="1"/>
  <c r="H118" i="5" s="1"/>
  <c r="D20" i="12"/>
  <c r="H20" i="12"/>
  <c r="M1" i="4"/>
  <c r="M5" i="4"/>
  <c r="I9" i="4"/>
  <c r="I10" i="4"/>
  <c r="M10" i="4"/>
  <c r="F11" i="4"/>
  <c r="I11" i="4"/>
  <c r="K11" i="4"/>
  <c r="I19" i="4"/>
  <c r="I20" i="4"/>
  <c r="F21" i="4"/>
  <c r="I21" i="4"/>
  <c r="K21" i="4"/>
  <c r="H33" i="4"/>
  <c r="I28" i="3"/>
  <c r="J28" i="3"/>
  <c r="K28" i="3"/>
  <c r="F29" i="3"/>
  <c r="F241" i="3" s="1"/>
  <c r="G29" i="3"/>
  <c r="I29" i="3"/>
  <c r="J29" i="3"/>
  <c r="K29" i="3"/>
  <c r="F37" i="3"/>
  <c r="G37" i="3"/>
  <c r="I37" i="3"/>
  <c r="J37" i="3"/>
  <c r="K37" i="3"/>
  <c r="F38" i="3"/>
  <c r="G38" i="3"/>
  <c r="I38" i="3"/>
  <c r="J38" i="3"/>
  <c r="K38" i="3"/>
  <c r="F39" i="3"/>
  <c r="G39" i="3"/>
  <c r="I39" i="3"/>
  <c r="J39" i="3"/>
  <c r="K39" i="3"/>
  <c r="F40" i="3"/>
  <c r="G40" i="3"/>
  <c r="I40" i="3"/>
  <c r="J40" i="3"/>
  <c r="K40" i="3"/>
  <c r="F41" i="3"/>
  <c r="G41" i="3"/>
  <c r="I41" i="3"/>
  <c r="J41" i="3"/>
  <c r="K41" i="3"/>
  <c r="F42" i="3"/>
  <c r="G42" i="3"/>
  <c r="I42" i="3"/>
  <c r="J42" i="3"/>
  <c r="K42" i="3"/>
  <c r="F43" i="3"/>
  <c r="G43" i="3"/>
  <c r="I43" i="3"/>
  <c r="J43" i="3"/>
  <c r="K43" i="3"/>
  <c r="F44" i="3"/>
  <c r="G44" i="3"/>
  <c r="I44" i="3"/>
  <c r="J44" i="3"/>
  <c r="K44" i="3"/>
  <c r="F45" i="3"/>
  <c r="G45" i="3"/>
  <c r="I45" i="3"/>
  <c r="J45" i="3"/>
  <c r="K45" i="3"/>
  <c r="F46" i="3"/>
  <c r="G46" i="3"/>
  <c r="I46" i="3"/>
  <c r="J46" i="3"/>
  <c r="K46" i="3"/>
  <c r="F47" i="3"/>
  <c r="G47" i="3"/>
  <c r="I47" i="3"/>
  <c r="J47" i="3"/>
  <c r="K47" i="3"/>
  <c r="F48" i="3"/>
  <c r="G48" i="3"/>
  <c r="I48" i="3"/>
  <c r="J48" i="3"/>
  <c r="K48" i="3"/>
  <c r="F49" i="3"/>
  <c r="G49" i="3"/>
  <c r="I49" i="3"/>
  <c r="J49" i="3"/>
  <c r="K49" i="3"/>
  <c r="F50" i="3"/>
  <c r="G50" i="3"/>
  <c r="I50" i="3"/>
  <c r="J50" i="3"/>
  <c r="K50" i="3"/>
  <c r="F51" i="3"/>
  <c r="G51" i="3"/>
  <c r="I51" i="3"/>
  <c r="J51" i="3"/>
  <c r="K51" i="3"/>
  <c r="F52" i="3"/>
  <c r="G52" i="3"/>
  <c r="I52" i="3"/>
  <c r="J52" i="3"/>
  <c r="K52" i="3"/>
  <c r="F53" i="3"/>
  <c r="G53" i="3"/>
  <c r="I53" i="3"/>
  <c r="J53" i="3"/>
  <c r="K53" i="3"/>
  <c r="F54" i="3"/>
  <c r="G54" i="3"/>
  <c r="I54" i="3"/>
  <c r="J54" i="3"/>
  <c r="K54" i="3"/>
  <c r="F55" i="3"/>
  <c r="G55" i="3"/>
  <c r="I55" i="3"/>
  <c r="J55" i="3"/>
  <c r="K55" i="3"/>
  <c r="F56" i="3"/>
  <c r="G56" i="3"/>
  <c r="I56" i="3"/>
  <c r="J56" i="3"/>
  <c r="K56" i="3"/>
  <c r="F57" i="3"/>
  <c r="G57" i="3"/>
  <c r="I57" i="3"/>
  <c r="J57" i="3"/>
  <c r="K57" i="3"/>
  <c r="F58" i="3"/>
  <c r="G58" i="3"/>
  <c r="I58" i="3"/>
  <c r="J58" i="3"/>
  <c r="K58" i="3"/>
  <c r="F59" i="3"/>
  <c r="G59" i="3"/>
  <c r="I59" i="3"/>
  <c r="J59" i="3"/>
  <c r="K59" i="3"/>
  <c r="F60" i="3"/>
  <c r="G60" i="3"/>
  <c r="I60" i="3"/>
  <c r="J60" i="3"/>
  <c r="K60" i="3"/>
  <c r="F61" i="3"/>
  <c r="G61" i="3"/>
  <c r="I61" i="3"/>
  <c r="J61" i="3"/>
  <c r="K61" i="3"/>
  <c r="F62" i="3"/>
  <c r="G62" i="3"/>
  <c r="I62" i="3"/>
  <c r="J62" i="3"/>
  <c r="K62" i="3"/>
  <c r="F63" i="3"/>
  <c r="G63" i="3"/>
  <c r="I63" i="3"/>
  <c r="J63" i="3"/>
  <c r="K63" i="3"/>
  <c r="F64" i="3"/>
  <c r="G64" i="3"/>
  <c r="I64" i="3"/>
  <c r="J64" i="3"/>
  <c r="K64" i="3"/>
  <c r="F65" i="3"/>
  <c r="G65" i="3"/>
  <c r="I65" i="3"/>
  <c r="J65" i="3"/>
  <c r="K65" i="3"/>
  <c r="F66" i="3"/>
  <c r="G66" i="3"/>
  <c r="I66" i="3"/>
  <c r="J66" i="3"/>
  <c r="K66" i="3"/>
  <c r="F67" i="3"/>
  <c r="G67" i="3"/>
  <c r="I67" i="3"/>
  <c r="J67" i="3"/>
  <c r="K67" i="3"/>
  <c r="F68" i="3"/>
  <c r="G68" i="3"/>
  <c r="I68" i="3"/>
  <c r="J68" i="3"/>
  <c r="K68" i="3"/>
  <c r="F69" i="3"/>
  <c r="G69" i="3"/>
  <c r="I69" i="3"/>
  <c r="J69" i="3"/>
  <c r="K69" i="3"/>
  <c r="I70" i="3"/>
  <c r="J70" i="3"/>
  <c r="K70" i="3"/>
  <c r="I71" i="3"/>
  <c r="J71" i="3"/>
  <c r="K71" i="3"/>
  <c r="J132" i="3"/>
  <c r="K132" i="3"/>
  <c r="F146" i="3"/>
  <c r="G146" i="3"/>
  <c r="I146" i="3"/>
  <c r="J146" i="3"/>
  <c r="K146" i="3"/>
  <c r="F147" i="3"/>
  <c r="G147" i="3"/>
  <c r="I147" i="3"/>
  <c r="J147" i="3"/>
  <c r="F148" i="3"/>
  <c r="G148" i="3"/>
  <c r="I148" i="3"/>
  <c r="J148" i="3"/>
  <c r="F149" i="3"/>
  <c r="G149" i="3"/>
  <c r="I149" i="3"/>
  <c r="J149" i="3"/>
  <c r="K149" i="3"/>
  <c r="F150" i="3"/>
  <c r="G150" i="3"/>
  <c r="I150" i="3"/>
  <c r="J150" i="3"/>
  <c r="F151" i="3"/>
  <c r="G151" i="3"/>
  <c r="I151" i="3"/>
  <c r="J151" i="3"/>
  <c r="F152" i="3"/>
  <c r="G152" i="3"/>
  <c r="I152" i="3"/>
  <c r="J152" i="3"/>
  <c r="K152" i="3"/>
  <c r="F174" i="3"/>
  <c r="G174" i="3"/>
  <c r="I174" i="3"/>
  <c r="J174" i="3"/>
  <c r="K174" i="3"/>
  <c r="I175" i="3"/>
  <c r="J175" i="3"/>
  <c r="K175" i="3"/>
  <c r="I176" i="3"/>
  <c r="J176" i="3"/>
  <c r="K176" i="3"/>
  <c r="I177" i="3"/>
  <c r="J177" i="3"/>
  <c r="K177" i="3"/>
  <c r="I178" i="3"/>
  <c r="J178" i="3"/>
  <c r="K178" i="3"/>
  <c r="I179" i="3"/>
  <c r="J179" i="3"/>
  <c r="K179" i="3"/>
  <c r="I180" i="3"/>
  <c r="J180" i="3"/>
  <c r="K180" i="3"/>
  <c r="I181" i="3"/>
  <c r="J181" i="3"/>
  <c r="K181" i="3"/>
  <c r="I182" i="3"/>
  <c r="J182" i="3"/>
  <c r="K182" i="3"/>
  <c r="I183" i="3"/>
  <c r="J183" i="3"/>
  <c r="K183" i="3"/>
  <c r="I184" i="3"/>
  <c r="J184" i="3"/>
  <c r="K184" i="3"/>
  <c r="I185" i="3"/>
  <c r="J185" i="3"/>
  <c r="K185" i="3"/>
  <c r="I186" i="3"/>
  <c r="J186" i="3"/>
  <c r="K186" i="3"/>
  <c r="I187" i="3"/>
  <c r="J187" i="3"/>
  <c r="K187" i="3"/>
  <c r="I188" i="3"/>
  <c r="J188" i="3"/>
  <c r="K188" i="3"/>
  <c r="I189" i="3"/>
  <c r="J189" i="3"/>
  <c r="K189" i="3"/>
  <c r="I190" i="3"/>
  <c r="J190" i="3"/>
  <c r="K190" i="3"/>
  <c r="I191" i="3"/>
  <c r="J191" i="3"/>
  <c r="K191" i="3"/>
  <c r="I192" i="3"/>
  <c r="J192" i="3"/>
  <c r="K192" i="3"/>
  <c r="I193" i="3"/>
  <c r="J193" i="3"/>
  <c r="K193" i="3"/>
  <c r="I194" i="3"/>
  <c r="J194" i="3"/>
  <c r="K194" i="3"/>
  <c r="I195" i="3"/>
  <c r="J195" i="3"/>
  <c r="K195" i="3"/>
  <c r="F198" i="3"/>
  <c r="G198" i="3"/>
  <c r="I198" i="3"/>
  <c r="L198" i="3"/>
  <c r="M198" i="3"/>
  <c r="F208" i="3"/>
  <c r="G208" i="3"/>
  <c r="I208" i="3"/>
  <c r="J208" i="3"/>
  <c r="K208" i="3"/>
  <c r="J214" i="3"/>
  <c r="K214" i="3"/>
  <c r="G241" i="3"/>
  <c r="J246" i="3"/>
  <c r="K246" i="3"/>
  <c r="J247" i="3"/>
  <c r="K247" i="3"/>
  <c r="J248" i="3"/>
  <c r="J198" i="3"/>
  <c r="J44" i="10"/>
  <c r="R44" i="10"/>
  <c r="K248" i="3"/>
  <c r="K198" i="3"/>
  <c r="AA10" i="5"/>
  <c r="AA11" i="5"/>
  <c r="H25" i="5"/>
  <c r="I48" i="5"/>
  <c r="I49" i="5"/>
  <c r="E52" i="5"/>
  <c r="I53" i="5"/>
  <c r="T55" i="5"/>
  <c r="C31" i="6" s="1"/>
  <c r="T56" i="5"/>
  <c r="U66" i="5"/>
  <c r="E13" i="6" s="1"/>
  <c r="T57" i="5"/>
  <c r="T58" i="5"/>
  <c r="T59" i="5"/>
  <c r="T60" i="5"/>
  <c r="T61" i="5"/>
  <c r="H62" i="5"/>
  <c r="T62" i="5"/>
  <c r="H63" i="5"/>
  <c r="T64" i="5"/>
  <c r="T68" i="5"/>
  <c r="U70" i="5"/>
  <c r="A83" i="6" s="1"/>
  <c r="H69" i="5"/>
  <c r="J84" i="5"/>
  <c r="B74" i="5"/>
  <c r="N77" i="5"/>
  <c r="D81" i="5"/>
  <c r="F81" i="5"/>
  <c r="E81" i="5"/>
  <c r="H81" i="5" s="1"/>
  <c r="D82" i="5"/>
  <c r="F82" i="5"/>
  <c r="H67" i="5"/>
  <c r="E82" i="5"/>
  <c r="H82" i="5" s="1"/>
  <c r="D83" i="5"/>
  <c r="F83" i="5"/>
  <c r="E83" i="5"/>
  <c r="H83" i="5" s="1"/>
  <c r="D84" i="5"/>
  <c r="F84" i="5"/>
  <c r="H71" i="5"/>
  <c r="E84" i="5"/>
  <c r="H84" i="5"/>
  <c r="D85" i="5"/>
  <c r="F85" i="5"/>
  <c r="E85" i="5"/>
  <c r="H85" i="5"/>
  <c r="N85" i="5"/>
  <c r="D87" i="5"/>
  <c r="F87" i="5" s="1"/>
  <c r="D88" i="5"/>
  <c r="F88" i="5"/>
  <c r="J88" i="5"/>
  <c r="D89" i="5"/>
  <c r="E89" i="5" s="1"/>
  <c r="D94" i="5"/>
  <c r="N94" i="5"/>
  <c r="N105" i="5"/>
  <c r="N114" i="5"/>
  <c r="D119" i="5"/>
  <c r="H119" i="5"/>
  <c r="D121" i="5"/>
  <c r="H121" i="5"/>
  <c r="D122" i="5"/>
  <c r="H122" i="5"/>
  <c r="D123" i="5"/>
  <c r="H123" i="5"/>
  <c r="N126" i="5"/>
  <c r="C11" i="6"/>
  <c r="M11" i="6"/>
  <c r="M12" i="6"/>
  <c r="M13" i="6"/>
  <c r="M14" i="6"/>
  <c r="D15" i="6"/>
  <c r="I15" i="6"/>
  <c r="E17" i="6"/>
  <c r="A38" i="6"/>
  <c r="F38" i="6"/>
  <c r="A39" i="6"/>
  <c r="F39" i="6"/>
  <c r="A53" i="6"/>
  <c r="F53" i="6"/>
  <c r="A69" i="6"/>
  <c r="F69" i="6"/>
  <c r="A75" i="6"/>
  <c r="F75" i="6"/>
  <c r="A63" i="6"/>
  <c r="F63" i="6"/>
  <c r="A64" i="6"/>
  <c r="F64" i="6"/>
  <c r="A77" i="6"/>
  <c r="F77" i="6"/>
  <c r="A80" i="6"/>
  <c r="F80" i="6"/>
  <c r="A65" i="6"/>
  <c r="F65" i="6"/>
  <c r="A55" i="6"/>
  <c r="F55" i="6"/>
  <c r="A59" i="6"/>
  <c r="F59" i="6"/>
  <c r="A60" i="6"/>
  <c r="F60" i="6"/>
  <c r="A67" i="6"/>
  <c r="F67" i="6"/>
  <c r="A46" i="6"/>
  <c r="F46" i="6"/>
  <c r="A76" i="6"/>
  <c r="F76" i="6"/>
  <c r="A41" i="6"/>
  <c r="F41" i="6"/>
  <c r="A42" i="6"/>
  <c r="F42" i="6"/>
  <c r="A43" i="6"/>
  <c r="F43" i="6"/>
  <c r="A44" i="6"/>
  <c r="F44" i="6"/>
  <c r="A45" i="6"/>
  <c r="F45" i="6"/>
  <c r="A54" i="6"/>
  <c r="F54" i="6"/>
  <c r="A68" i="6"/>
  <c r="F68" i="6"/>
  <c r="A78" i="6"/>
  <c r="F78" i="6"/>
  <c r="A66" i="6"/>
  <c r="F66" i="6"/>
  <c r="A70" i="6"/>
  <c r="F70" i="6"/>
  <c r="A71" i="6"/>
  <c r="F71" i="6"/>
  <c r="A72" i="6"/>
  <c r="F72" i="6"/>
  <c r="A73" i="6"/>
  <c r="F73" i="6"/>
  <c r="A74" i="6"/>
  <c r="F74" i="6"/>
  <c r="A79" i="6"/>
  <c r="F79" i="6"/>
  <c r="A40" i="6"/>
  <c r="F40" i="6"/>
  <c r="A47" i="6"/>
  <c r="F47" i="6"/>
  <c r="A49" i="6"/>
  <c r="F49" i="6"/>
  <c r="A51" i="6"/>
  <c r="F51" i="6"/>
  <c r="A58" i="6"/>
  <c r="F58" i="6"/>
  <c r="A61" i="6"/>
  <c r="F61" i="6"/>
  <c r="A50" i="6"/>
  <c r="F50" i="6"/>
  <c r="A52" i="6"/>
  <c r="F52" i="6"/>
  <c r="A62" i="6"/>
  <c r="F62" i="6"/>
  <c r="A81" i="6"/>
  <c r="F81" i="6"/>
  <c r="A87" i="6"/>
  <c r="F87" i="6"/>
  <c r="A88" i="6"/>
  <c r="F88" i="6"/>
  <c r="A96" i="6"/>
  <c r="F96" i="6"/>
  <c r="A107" i="6"/>
  <c r="F107" i="6"/>
  <c r="A108" i="6"/>
  <c r="F108" i="6"/>
  <c r="A103" i="6"/>
  <c r="F103" i="6"/>
  <c r="A104" i="6"/>
  <c r="F104" i="6"/>
  <c r="A110" i="6"/>
  <c r="F110" i="6"/>
  <c r="A112" i="6"/>
  <c r="F112" i="6"/>
  <c r="A102" i="6"/>
  <c r="F102" i="6"/>
  <c r="A95" i="6"/>
  <c r="F95" i="6"/>
  <c r="A97" i="6"/>
  <c r="F97" i="6"/>
  <c r="A100" i="6"/>
  <c r="F100" i="6"/>
  <c r="A101" i="6"/>
  <c r="F101" i="6"/>
  <c r="A105" i="6"/>
  <c r="F105" i="6"/>
  <c r="A94" i="6"/>
  <c r="F94" i="6"/>
  <c r="A109" i="6"/>
  <c r="F109" i="6"/>
  <c r="A89" i="6"/>
  <c r="F89" i="6"/>
  <c r="A90" i="6"/>
  <c r="F90" i="6"/>
  <c r="A91" i="6"/>
  <c r="F91" i="6"/>
  <c r="A92" i="6"/>
  <c r="F92" i="6"/>
  <c r="A93" i="6"/>
  <c r="F93" i="6"/>
  <c r="A98" i="6"/>
  <c r="F98" i="6"/>
  <c r="A106" i="6"/>
  <c r="F106" i="6"/>
  <c r="A111" i="6"/>
  <c r="F111" i="6"/>
  <c r="C6" i="11"/>
  <c r="C7" i="11"/>
  <c r="T1" i="8"/>
  <c r="T2" i="8"/>
  <c r="T3" i="8"/>
  <c r="J6" i="8"/>
  <c r="B92" i="5"/>
  <c r="S10" i="8"/>
  <c r="S11" i="8"/>
  <c r="S12" i="8"/>
  <c r="T23" i="8" s="1"/>
  <c r="G11" i="8" s="1"/>
  <c r="I11" i="8" s="1"/>
  <c r="E5" i="9"/>
  <c r="E6" i="9"/>
  <c r="E7" i="9"/>
  <c r="R7" i="9"/>
  <c r="L22" i="9" s="1"/>
  <c r="N22" i="9" s="1"/>
  <c r="P22" i="9" s="1"/>
  <c r="R22" i="9" s="1"/>
  <c r="T22" i="9" s="1"/>
  <c r="V22" i="9" s="1"/>
  <c r="L26" i="9"/>
  <c r="N26" i="9" s="1"/>
  <c r="E11" i="9"/>
  <c r="N29" i="9"/>
  <c r="AC7" i="10"/>
  <c r="W10" i="10"/>
  <c r="J15" i="10"/>
  <c r="K15" i="10"/>
  <c r="J16" i="10"/>
  <c r="J17" i="10"/>
  <c r="K17" i="10"/>
  <c r="J20" i="10"/>
  <c r="K20" i="10" s="1"/>
  <c r="J21" i="10"/>
  <c r="K21" i="10"/>
  <c r="J22" i="10"/>
  <c r="K22" i="10" s="1"/>
  <c r="J23" i="10"/>
  <c r="K23" i="10"/>
  <c r="J25" i="10"/>
  <c r="J27" i="10"/>
  <c r="R27" i="10"/>
  <c r="S27" i="10" s="1"/>
  <c r="J28" i="10"/>
  <c r="J29" i="10"/>
  <c r="K29" i="10"/>
  <c r="J31" i="10"/>
  <c r="K31" i="10" s="1"/>
  <c r="J32" i="10"/>
  <c r="K32" i="10"/>
  <c r="J33" i="10"/>
  <c r="K33" i="10" s="1"/>
  <c r="J34" i="10"/>
  <c r="K34" i="10"/>
  <c r="J36" i="10"/>
  <c r="K36" i="10" s="1"/>
  <c r="J37" i="10"/>
  <c r="K37" i="10"/>
  <c r="J42" i="10"/>
  <c r="K42" i="10" s="1"/>
  <c r="J43" i="10"/>
  <c r="K43" i="10"/>
  <c r="J45" i="10"/>
  <c r="J46" i="10"/>
  <c r="R46" i="10"/>
  <c r="V46" i="10" s="1"/>
  <c r="M73" i="6"/>
  <c r="J47" i="10"/>
  <c r="R47" i="10" s="1"/>
  <c r="J48" i="10"/>
  <c r="J49" i="10"/>
  <c r="K49" i="10" s="1"/>
  <c r="R49" i="10"/>
  <c r="J50" i="10"/>
  <c r="R50" i="10"/>
  <c r="S50" i="10"/>
  <c r="T50" i="10" s="1"/>
  <c r="J51" i="10"/>
  <c r="J52" i="10"/>
  <c r="K52" i="10"/>
  <c r="J53" i="10"/>
  <c r="K53" i="10" s="1"/>
  <c r="J59" i="10"/>
  <c r="K59" i="10" s="1"/>
  <c r="E90" i="5"/>
  <c r="H90" i="5"/>
  <c r="R15" i="10"/>
  <c r="S15" i="10"/>
  <c r="K35" i="10"/>
  <c r="K39" i="10"/>
  <c r="E88" i="5"/>
  <c r="H88" i="5" s="1"/>
  <c r="C19" i="11"/>
  <c r="D109" i="5" s="1"/>
  <c r="H109" i="5"/>
  <c r="S39" i="10"/>
  <c r="U39" i="10" s="1"/>
  <c r="R29" i="10"/>
  <c r="R32" i="10"/>
  <c r="M41" i="6"/>
  <c r="K44" i="10"/>
  <c r="R43" i="10"/>
  <c r="M70" i="6" s="1"/>
  <c r="S43" i="10"/>
  <c r="G70" i="6" s="1"/>
  <c r="W46" i="10"/>
  <c r="S46" i="10"/>
  <c r="G73" i="6" s="1"/>
  <c r="V50" i="10"/>
  <c r="K47" i="10"/>
  <c r="R38" i="10"/>
  <c r="V38" i="10"/>
  <c r="H98" i="6"/>
  <c r="R37" i="10"/>
  <c r="S37" i="10"/>
  <c r="U37" i="10" s="1"/>
  <c r="G45" i="6"/>
  <c r="H45" i="6"/>
  <c r="L45" i="6" s="1"/>
  <c r="W50" i="10"/>
  <c r="M38" i="6"/>
  <c r="K50" i="10"/>
  <c r="W15" i="10"/>
  <c r="I87" i="6"/>
  <c r="M87" i="6"/>
  <c r="V15" i="10"/>
  <c r="H87" i="6"/>
  <c r="N18" i="9"/>
  <c r="N27" i="9"/>
  <c r="P27" i="9"/>
  <c r="R27" i="9" s="1"/>
  <c r="N19" i="9"/>
  <c r="N28" i="9"/>
  <c r="P28" i="9"/>
  <c r="N20" i="9"/>
  <c r="P20" i="9"/>
  <c r="R20" i="9" s="1"/>
  <c r="T20" i="9" s="1"/>
  <c r="V20" i="9" s="1"/>
  <c r="J38" i="8"/>
  <c r="P35" i="10"/>
  <c r="M93" i="6"/>
  <c r="U46" i="10"/>
  <c r="G93" i="6"/>
  <c r="V43" i="10"/>
  <c r="L32" i="9"/>
  <c r="N32" i="9"/>
  <c r="P32" i="9" s="1"/>
  <c r="R31" i="10"/>
  <c r="U43" i="10"/>
  <c r="H70" i="6"/>
  <c r="L70" i="6" s="1"/>
  <c r="V37" i="10"/>
  <c r="H93" i="6" s="1"/>
  <c r="J85" i="5"/>
  <c r="L85" i="5"/>
  <c r="W38" i="10"/>
  <c r="I98" i="6" s="1"/>
  <c r="W43" i="10"/>
  <c r="V32" i="10"/>
  <c r="H89" i="6"/>
  <c r="S32" i="10"/>
  <c r="I73" i="6"/>
  <c r="J73" i="6"/>
  <c r="M54" i="6"/>
  <c r="T46" i="10"/>
  <c r="R53" i="10"/>
  <c r="R36" i="10"/>
  <c r="K46" i="10"/>
  <c r="M98" i="6"/>
  <c r="T15" i="10"/>
  <c r="S38" i="10"/>
  <c r="K27" i="10"/>
  <c r="J90" i="5"/>
  <c r="L90" i="5" s="1"/>
  <c r="N90" i="5"/>
  <c r="J119" i="5"/>
  <c r="L119" i="5"/>
  <c r="N119" i="5"/>
  <c r="J118" i="5"/>
  <c r="L118" i="5" s="1"/>
  <c r="N118" i="5"/>
  <c r="L120" i="5"/>
  <c r="N120" i="5"/>
  <c r="N88" i="5"/>
  <c r="N134" i="5" s="1"/>
  <c r="N123" i="5"/>
  <c r="J123" i="5"/>
  <c r="L123" i="5" s="1"/>
  <c r="N122" i="5"/>
  <c r="J122" i="5"/>
  <c r="N84" i="5"/>
  <c r="H70" i="5"/>
  <c r="L84" i="5"/>
  <c r="M59" i="6"/>
  <c r="V27" i="10"/>
  <c r="H100" i="6" s="1"/>
  <c r="M74" i="6"/>
  <c r="J121" i="5"/>
  <c r="L121" i="5"/>
  <c r="N121" i="5"/>
  <c r="T43" i="10"/>
  <c r="W22" i="9"/>
  <c r="H89" i="5"/>
  <c r="F89" i="5"/>
  <c r="J89" i="5"/>
  <c r="M36" i="6"/>
  <c r="M85" i="6"/>
  <c r="W44" i="10"/>
  <c r="M71" i="6"/>
  <c r="S44" i="10"/>
  <c r="N110" i="5"/>
  <c r="J110" i="5"/>
  <c r="L110" i="5"/>
  <c r="G24" i="6"/>
  <c r="K45" i="6"/>
  <c r="I45" i="6"/>
  <c r="J45" i="6" s="1"/>
  <c r="W20" i="9"/>
  <c r="V44" i="10"/>
  <c r="W37" i="10"/>
  <c r="M45" i="6"/>
  <c r="V53" i="10"/>
  <c r="M67" i="6"/>
  <c r="I70" i="6"/>
  <c r="J70" i="6"/>
  <c r="X37" i="10"/>
  <c r="T37" i="10"/>
  <c r="M47" i="6"/>
  <c r="G47" i="6"/>
  <c r="V47" i="10"/>
  <c r="W27" i="10"/>
  <c r="I100" i="6"/>
  <c r="M100" i="6"/>
  <c r="K48" i="10"/>
  <c r="G12" i="11"/>
  <c r="F13" i="11"/>
  <c r="I13" i="11"/>
  <c r="G14" i="11"/>
  <c r="F14" i="11"/>
  <c r="I14" i="11" s="1"/>
  <c r="F12" i="11"/>
  <c r="F16" i="11" s="1"/>
  <c r="J87" i="5"/>
  <c r="E87" i="5"/>
  <c r="H87" i="5" s="1"/>
  <c r="G13" i="11"/>
  <c r="J13" i="11"/>
  <c r="P29" i="9"/>
  <c r="R29" i="9" s="1"/>
  <c r="P26" i="9"/>
  <c r="R26" i="9" s="1"/>
  <c r="T26" i="9" s="1"/>
  <c r="V26" i="9" s="1"/>
  <c r="R32" i="9"/>
  <c r="L35" i="9"/>
  <c r="N35" i="9" s="1"/>
  <c r="P35" i="9"/>
  <c r="R35" i="9" s="1"/>
  <c r="L34" i="9"/>
  <c r="N34" i="9"/>
  <c r="P34" i="9" s="1"/>
  <c r="R34" i="9" s="1"/>
  <c r="L31" i="9"/>
  <c r="N31" i="9"/>
  <c r="P31" i="9" s="1"/>
  <c r="R31" i="9" s="1"/>
  <c r="T31" i="9" s="1"/>
  <c r="V31" i="9" s="1"/>
  <c r="L30" i="9"/>
  <c r="N30" i="9" s="1"/>
  <c r="P30" i="9"/>
  <c r="R30" i="9" s="1"/>
  <c r="L21" i="9"/>
  <c r="N21" i="9" s="1"/>
  <c r="P21" i="9"/>
  <c r="R21" i="9" s="1"/>
  <c r="T32" i="10"/>
  <c r="G41" i="6"/>
  <c r="G89" i="6"/>
  <c r="U32" i="10"/>
  <c r="X32" i="10" s="1"/>
  <c r="K70" i="6"/>
  <c r="Y38" i="10"/>
  <c r="M44" i="6"/>
  <c r="W53" i="10"/>
  <c r="S53" i="10"/>
  <c r="M58" i="6"/>
  <c r="G59" i="6"/>
  <c r="U27" i="10"/>
  <c r="G100" i="6"/>
  <c r="T27" i="10"/>
  <c r="X27" i="10" s="1"/>
  <c r="Z27" i="10" s="1"/>
  <c r="Y27" i="10"/>
  <c r="J12" i="11"/>
  <c r="W31" i="9"/>
  <c r="T32" i="9"/>
  <c r="V32" i="9"/>
  <c r="W32" i="9" s="1"/>
  <c r="Y37" i="10"/>
  <c r="Z37" i="10" s="1"/>
  <c r="I93" i="6"/>
  <c r="L89" i="5"/>
  <c r="N89" i="5"/>
  <c r="T29" i="9"/>
  <c r="V29" i="9" s="1"/>
  <c r="W29" i="9"/>
  <c r="H47" i="6"/>
  <c r="L47" i="6"/>
  <c r="K47" i="6"/>
  <c r="I47" i="6"/>
  <c r="J47" i="6" s="1"/>
  <c r="T44" i="10"/>
  <c r="U44" i="10"/>
  <c r="G71" i="6"/>
  <c r="T30" i="9"/>
  <c r="V30" i="9" s="1"/>
  <c r="K41" i="6"/>
  <c r="H41" i="6"/>
  <c r="L41" i="6" s="1"/>
  <c r="I41" i="6"/>
  <c r="J41" i="6" s="1"/>
  <c r="G58" i="6"/>
  <c r="U53" i="10"/>
  <c r="T53" i="10"/>
  <c r="AC27" i="10"/>
  <c r="J100" i="6"/>
  <c r="F153" i="5"/>
  <c r="AC37" i="10"/>
  <c r="J93" i="6" s="1"/>
  <c r="F147" i="5"/>
  <c r="K59" i="6"/>
  <c r="H59" i="6"/>
  <c r="L59" i="6" s="1"/>
  <c r="I59" i="6"/>
  <c r="J59" i="6" s="1"/>
  <c r="H71" i="6"/>
  <c r="L71" i="6" s="1"/>
  <c r="I71" i="6"/>
  <c r="J71" i="6" s="1"/>
  <c r="K71" i="6"/>
  <c r="K58" i="6"/>
  <c r="T27" i="8" l="1"/>
  <c r="Y72" i="8" s="1"/>
  <c r="F33" i="8" s="1"/>
  <c r="I58" i="6"/>
  <c r="J58" i="6" s="1"/>
  <c r="H58" i="6"/>
  <c r="L58" i="6" s="1"/>
  <c r="J16" i="11"/>
  <c r="S31" i="10"/>
  <c r="M76" i="6"/>
  <c r="M109" i="6"/>
  <c r="W31" i="10"/>
  <c r="V31" i="10"/>
  <c r="H109" i="6" s="1"/>
  <c r="L87" i="5"/>
  <c r="N87" i="5"/>
  <c r="J14" i="11"/>
  <c r="G16" i="11"/>
  <c r="K28" i="10"/>
  <c r="R28" i="10"/>
  <c r="T35" i="9"/>
  <c r="V35" i="9" s="1"/>
  <c r="W35" i="9"/>
  <c r="W26" i="9"/>
  <c r="W21" i="9"/>
  <c r="V9" i="9" s="1"/>
  <c r="T21" i="9"/>
  <c r="V21" i="9" s="1"/>
  <c r="H27" i="6"/>
  <c r="L27" i="6"/>
  <c r="N109" i="5"/>
  <c r="J109" i="5"/>
  <c r="L109" i="5" s="1"/>
  <c r="H130" i="5"/>
  <c r="G23" i="6" s="1"/>
  <c r="W30" i="9"/>
  <c r="T34" i="9"/>
  <c r="V34" i="9" s="1"/>
  <c r="W34" i="9" s="1"/>
  <c r="X15" i="10"/>
  <c r="Z15" i="10" s="1"/>
  <c r="G38" i="6"/>
  <c r="U15" i="10"/>
  <c r="G87" i="6"/>
  <c r="K51" i="10"/>
  <c r="R51" i="10"/>
  <c r="V49" i="10"/>
  <c r="W49" i="10"/>
  <c r="M40" i="6"/>
  <c r="T20" i="8"/>
  <c r="G10" i="8" s="1"/>
  <c r="T26" i="8"/>
  <c r="T21" i="8"/>
  <c r="T28" i="8"/>
  <c r="F11" i="8" s="1"/>
  <c r="T25" i="8"/>
  <c r="F10" i="8" s="1"/>
  <c r="T22" i="8"/>
  <c r="I12" i="11"/>
  <c r="I16" i="11" s="1"/>
  <c r="J134" i="5"/>
  <c r="J27" i="6" s="1"/>
  <c r="L122" i="5"/>
  <c r="S49" i="10"/>
  <c r="G98" i="6"/>
  <c r="T38" i="10"/>
  <c r="U38" i="10"/>
  <c r="X38" i="10" s="1"/>
  <c r="Z38" i="10" s="1"/>
  <c r="G54" i="6"/>
  <c r="M92" i="6"/>
  <c r="V36" i="10"/>
  <c r="H92" i="6" s="1"/>
  <c r="S36" i="10"/>
  <c r="W36" i="10"/>
  <c r="V29" i="10"/>
  <c r="M105" i="6"/>
  <c r="S29" i="10"/>
  <c r="W29" i="10"/>
  <c r="I105" i="6" s="1"/>
  <c r="L88" i="5"/>
  <c r="L134" i="5" s="1"/>
  <c r="H134" i="5"/>
  <c r="G27" i="6" s="1"/>
  <c r="R16" i="10"/>
  <c r="K16" i="10"/>
  <c r="R35" i="10"/>
  <c r="Q35" i="10"/>
  <c r="T27" i="9"/>
  <c r="V27" i="9" s="1"/>
  <c r="W27" i="9"/>
  <c r="K45" i="10"/>
  <c r="R45" i="10"/>
  <c r="X39" i="10"/>
  <c r="Z39" i="10" s="1"/>
  <c r="AC39" i="10" s="1"/>
  <c r="T39" i="10"/>
  <c r="G56" i="6"/>
  <c r="K25" i="10"/>
  <c r="R25" i="10"/>
  <c r="V39" i="10"/>
  <c r="M56" i="6"/>
  <c r="W39" i="10"/>
  <c r="I38" i="8"/>
  <c r="O35" i="10" s="1"/>
  <c r="H38" i="8"/>
  <c r="M35" i="10" s="1"/>
  <c r="R28" i="9"/>
  <c r="U50" i="10"/>
  <c r="I10" i="8"/>
  <c r="K73" i="6"/>
  <c r="H73" i="6"/>
  <c r="L73" i="6" s="1"/>
  <c r="M89" i="6"/>
  <c r="W32" i="10"/>
  <c r="W47" i="10"/>
  <c r="S47" i="10"/>
  <c r="P18" i="9"/>
  <c r="R18" i="9" s="1"/>
  <c r="P19" i="9"/>
  <c r="R19" i="9" s="1"/>
  <c r="L25" i="9"/>
  <c r="N25" i="9" s="1"/>
  <c r="P25" i="9" s="1"/>
  <c r="R25" i="9" s="1"/>
  <c r="L23" i="9"/>
  <c r="N23" i="9" s="1"/>
  <c r="P23" i="9" s="1"/>
  <c r="R23" i="9" s="1"/>
  <c r="L33" i="9"/>
  <c r="N33" i="9" s="1"/>
  <c r="P33" i="9" s="1"/>
  <c r="R33" i="9" s="1"/>
  <c r="L24" i="9"/>
  <c r="N24" i="9" s="1"/>
  <c r="P24" i="9" s="1"/>
  <c r="R24" i="9" s="1"/>
  <c r="Y57" i="8" l="1"/>
  <c r="F12" i="8" s="1"/>
  <c r="H12" i="8" s="1"/>
  <c r="Y69" i="8"/>
  <c r="F30" i="8" s="1"/>
  <c r="L24" i="10" s="1"/>
  <c r="Y64" i="8"/>
  <c r="F25" i="8" s="1"/>
  <c r="H25" i="8" s="1"/>
  <c r="M56" i="10" s="1"/>
  <c r="Y76" i="8"/>
  <c r="F36" i="8" s="1"/>
  <c r="L23" i="10" s="1"/>
  <c r="Y70" i="8"/>
  <c r="F31" i="8" s="1"/>
  <c r="H31" i="8" s="1"/>
  <c r="M40" i="10" s="1"/>
  <c r="Y78" i="8"/>
  <c r="F14" i="8" s="1"/>
  <c r="H14" i="8" s="1"/>
  <c r="Y73" i="8"/>
  <c r="F34" i="8" s="1"/>
  <c r="Y74" i="8"/>
  <c r="Y66" i="8"/>
  <c r="F27" i="8" s="1"/>
  <c r="Y58" i="8"/>
  <c r="F19" i="8" s="1"/>
  <c r="Y61" i="8"/>
  <c r="F22" i="8" s="1"/>
  <c r="Y60" i="8"/>
  <c r="F21" i="8" s="1"/>
  <c r="Y77" i="8"/>
  <c r="F37" i="8" s="1"/>
  <c r="Y71" i="8"/>
  <c r="F32" i="8" s="1"/>
  <c r="Y59" i="8"/>
  <c r="F20" i="8" s="1"/>
  <c r="L54" i="10" s="1"/>
  <c r="Y75" i="8"/>
  <c r="F35" i="8" s="1"/>
  <c r="H35" i="8" s="1"/>
  <c r="M48" i="10" s="1"/>
  <c r="Y68" i="8"/>
  <c r="F29" i="8" s="1"/>
  <c r="H29" i="8" s="1"/>
  <c r="M20" i="10" s="1"/>
  <c r="Y63" i="8"/>
  <c r="F24" i="8" s="1"/>
  <c r="Y65" i="8"/>
  <c r="F26" i="8" s="1"/>
  <c r="L17" i="10" s="1"/>
  <c r="Y67" i="8"/>
  <c r="F28" i="8" s="1"/>
  <c r="L57" i="10" s="1"/>
  <c r="Y62" i="8"/>
  <c r="F23" i="8" s="1"/>
  <c r="H23" i="8" s="1"/>
  <c r="M55" i="10" s="1"/>
  <c r="T18" i="9"/>
  <c r="V18" i="9" s="1"/>
  <c r="W18" i="9" s="1"/>
  <c r="V8" i="9" s="1"/>
  <c r="D86" i="5" s="1"/>
  <c r="T23" i="9"/>
  <c r="V23" i="9" s="1"/>
  <c r="W23" i="9"/>
  <c r="T28" i="9"/>
  <c r="V28" i="9" s="1"/>
  <c r="W28" i="9" s="1"/>
  <c r="W25" i="10"/>
  <c r="I95" i="6" s="1"/>
  <c r="M95" i="6"/>
  <c r="S25" i="10"/>
  <c r="V25" i="10"/>
  <c r="M48" i="6"/>
  <c r="M39" i="6"/>
  <c r="S16" i="10"/>
  <c r="M88" i="6"/>
  <c r="V16" i="10"/>
  <c r="H88" i="6" s="1"/>
  <c r="W16" i="10"/>
  <c r="I88" i="6" s="1"/>
  <c r="G105" i="6"/>
  <c r="G67" i="6"/>
  <c r="T29" i="10"/>
  <c r="X29" i="10" s="1"/>
  <c r="U29" i="10"/>
  <c r="U36" i="10"/>
  <c r="X36" i="10" s="1"/>
  <c r="Z36" i="10" s="1"/>
  <c r="G92" i="6"/>
  <c r="G44" i="6"/>
  <c r="T36" i="10"/>
  <c r="AC38" i="10"/>
  <c r="J98" i="6" s="1"/>
  <c r="F150" i="5"/>
  <c r="W67" i="8"/>
  <c r="G28" i="8" s="1"/>
  <c r="W66" i="8"/>
  <c r="G27" i="8" s="1"/>
  <c r="W71" i="8"/>
  <c r="G32" i="8" s="1"/>
  <c r="W73" i="8"/>
  <c r="G34" i="8" s="1"/>
  <c r="W72" i="8"/>
  <c r="G33" i="8" s="1"/>
  <c r="W64" i="8"/>
  <c r="G25" i="8" s="1"/>
  <c r="W74" i="8"/>
  <c r="W77" i="8"/>
  <c r="G37" i="8" s="1"/>
  <c r="W62" i="8"/>
  <c r="G23" i="8" s="1"/>
  <c r="W63" i="8"/>
  <c r="G24" i="8" s="1"/>
  <c r="W68" i="8"/>
  <c r="G29" i="8" s="1"/>
  <c r="W75" i="8"/>
  <c r="G35" i="8" s="1"/>
  <c r="W61" i="8"/>
  <c r="G22" i="8" s="1"/>
  <c r="W58" i="8"/>
  <c r="G19" i="8" s="1"/>
  <c r="W65" i="8"/>
  <c r="G26" i="8" s="1"/>
  <c r="W57" i="8"/>
  <c r="G12" i="8" s="1"/>
  <c r="I12" i="8" s="1"/>
  <c r="W69" i="8"/>
  <c r="G30" i="8" s="1"/>
  <c r="W70" i="8"/>
  <c r="G31" i="8" s="1"/>
  <c r="W76" i="8"/>
  <c r="G36" i="8" s="1"/>
  <c r="J36" i="8" s="1"/>
  <c r="P23" i="10" s="1"/>
  <c r="W60" i="8"/>
  <c r="G21" i="8" s="1"/>
  <c r="W78" i="8"/>
  <c r="G14" i="8" s="1"/>
  <c r="W59" i="8"/>
  <c r="G20" i="8" s="1"/>
  <c r="Y44" i="8"/>
  <c r="F18" i="8" s="1"/>
  <c r="Y41" i="8"/>
  <c r="F16" i="8" s="1"/>
  <c r="Y42" i="8"/>
  <c r="F17" i="8" s="1"/>
  <c r="Y43" i="8"/>
  <c r="F13" i="8" s="1"/>
  <c r="J30" i="8"/>
  <c r="P24" i="10" s="1"/>
  <c r="Y36" i="10"/>
  <c r="I92" i="6"/>
  <c r="G40" i="6"/>
  <c r="T49" i="10"/>
  <c r="U49" i="10"/>
  <c r="J28" i="8"/>
  <c r="P57" i="10" s="1"/>
  <c r="H28" i="8"/>
  <c r="M57" i="10" s="1"/>
  <c r="Y31" i="10"/>
  <c r="I109" i="6"/>
  <c r="T25" i="9"/>
  <c r="V25" i="9" s="1"/>
  <c r="W25" i="9" s="1"/>
  <c r="W45" i="10"/>
  <c r="V45" i="10"/>
  <c r="S45" i="10"/>
  <c r="M72" i="6"/>
  <c r="J10" i="8"/>
  <c r="D98" i="5" s="1"/>
  <c r="H98" i="5" s="1"/>
  <c r="H10" i="8"/>
  <c r="S51" i="10"/>
  <c r="M49" i="6"/>
  <c r="W51" i="10"/>
  <c r="V51" i="10"/>
  <c r="I38" i="6"/>
  <c r="J38" i="6" s="1"/>
  <c r="H38" i="6"/>
  <c r="L38" i="6" s="1"/>
  <c r="K38" i="6"/>
  <c r="L48" i="10"/>
  <c r="T33" i="9"/>
  <c r="V33" i="9" s="1"/>
  <c r="W33" i="9" s="1"/>
  <c r="I54" i="6"/>
  <c r="J54" i="6" s="1"/>
  <c r="K54" i="6"/>
  <c r="H54" i="6"/>
  <c r="L54" i="6" s="1"/>
  <c r="W42" i="8"/>
  <c r="G17" i="8" s="1"/>
  <c r="W43" i="8"/>
  <c r="G13" i="8" s="1"/>
  <c r="W44" i="8"/>
  <c r="G18" i="8" s="1"/>
  <c r="W41" i="8"/>
  <c r="G16" i="8" s="1"/>
  <c r="G74" i="6"/>
  <c r="U47" i="10"/>
  <c r="T47" i="10"/>
  <c r="T24" i="9"/>
  <c r="V24" i="9" s="1"/>
  <c r="W24" i="9" s="1"/>
  <c r="V10" i="9" s="1"/>
  <c r="T19" i="9"/>
  <c r="V19" i="9" s="1"/>
  <c r="W19" i="9"/>
  <c r="I89" i="6"/>
  <c r="Y32" i="10"/>
  <c r="Z32" i="10" s="1"/>
  <c r="H56" i="6"/>
  <c r="L56" i="6" s="1"/>
  <c r="I56" i="6"/>
  <c r="J56" i="6" s="1"/>
  <c r="K56" i="6"/>
  <c r="M99" i="6"/>
  <c r="V35" i="10"/>
  <c r="W35" i="10"/>
  <c r="I99" i="6" s="1"/>
  <c r="S35" i="10"/>
  <c r="M57" i="6"/>
  <c r="H105" i="6"/>
  <c r="Y29" i="10"/>
  <c r="H11" i="8"/>
  <c r="J11" i="8"/>
  <c r="D99" i="5" s="1"/>
  <c r="H99" i="5" s="1"/>
  <c r="AC15" i="10"/>
  <c r="J87" i="6" s="1"/>
  <c r="F141" i="5"/>
  <c r="L40" i="10"/>
  <c r="H33" i="8"/>
  <c r="M22" i="10" s="1"/>
  <c r="L22" i="10"/>
  <c r="J33" i="8"/>
  <c r="P22" i="10" s="1"/>
  <c r="V28" i="10"/>
  <c r="M60" i="6"/>
  <c r="S28" i="10"/>
  <c r="W28" i="10"/>
  <c r="I101" i="6" s="1"/>
  <c r="M101" i="6"/>
  <c r="T31" i="10"/>
  <c r="G76" i="6"/>
  <c r="U31" i="10"/>
  <c r="X31" i="10" s="1"/>
  <c r="Z31" i="10" s="1"/>
  <c r="G109" i="6"/>
  <c r="J23" i="8" l="1"/>
  <c r="P55" i="10" s="1"/>
  <c r="J26" i="8"/>
  <c r="P17" i="10" s="1"/>
  <c r="H36" i="8"/>
  <c r="M23" i="10" s="1"/>
  <c r="J35" i="8"/>
  <c r="P48" i="10" s="1"/>
  <c r="R48" i="10" s="1"/>
  <c r="J31" i="8"/>
  <c r="P40" i="10" s="1"/>
  <c r="Q40" i="10" s="1"/>
  <c r="L55" i="10"/>
  <c r="L20" i="10"/>
  <c r="H20" i="8"/>
  <c r="M54" i="10" s="1"/>
  <c r="J24" i="8"/>
  <c r="P52" i="10" s="1"/>
  <c r="R52" i="10" s="1"/>
  <c r="L52" i="10"/>
  <c r="H30" i="8"/>
  <c r="M24" i="10" s="1"/>
  <c r="H24" i="8"/>
  <c r="M52" i="10" s="1"/>
  <c r="L56" i="10"/>
  <c r="H34" i="8"/>
  <c r="M41" i="10" s="1"/>
  <c r="L41" i="10"/>
  <c r="H26" i="8"/>
  <c r="M17" i="10" s="1"/>
  <c r="J12" i="8"/>
  <c r="D100" i="5" s="1"/>
  <c r="H100" i="5" s="1"/>
  <c r="H135" i="5" s="1"/>
  <c r="G29" i="6" s="1"/>
  <c r="J25" i="8"/>
  <c r="P56" i="10" s="1"/>
  <c r="Q56" i="10" s="1"/>
  <c r="L58" i="10"/>
  <c r="H37" i="8"/>
  <c r="M58" i="10" s="1"/>
  <c r="L26" i="10"/>
  <c r="H27" i="8"/>
  <c r="M26" i="10" s="1"/>
  <c r="L30" i="10"/>
  <c r="H22" i="8"/>
  <c r="M30" i="10" s="1"/>
  <c r="H32" i="8"/>
  <c r="M19" i="10" s="1"/>
  <c r="L19" i="10"/>
  <c r="H19" i="8"/>
  <c r="M33" i="10" s="1"/>
  <c r="L33" i="10"/>
  <c r="H21" i="8"/>
  <c r="M21" i="10" s="1"/>
  <c r="L21" i="10"/>
  <c r="E86" i="5"/>
  <c r="H86" i="5" s="1"/>
  <c r="F51" i="5"/>
  <c r="I52" i="5" s="1"/>
  <c r="F86" i="5"/>
  <c r="J86" i="5" s="1"/>
  <c r="J132" i="5" s="1"/>
  <c r="J26" i="6" s="1"/>
  <c r="I13" i="8"/>
  <c r="G15" i="8"/>
  <c r="K40" i="6"/>
  <c r="I40" i="6"/>
  <c r="J40" i="6" s="1"/>
  <c r="H40" i="6"/>
  <c r="L40" i="6" s="1"/>
  <c r="I36" i="8"/>
  <c r="O23" i="10" s="1"/>
  <c r="N23" i="10"/>
  <c r="I26" i="8"/>
  <c r="O17" i="10" s="1"/>
  <c r="N17" i="10"/>
  <c r="N20" i="10"/>
  <c r="I29" i="8"/>
  <c r="O20" i="10" s="1"/>
  <c r="J32" i="8"/>
  <c r="P19" i="10" s="1"/>
  <c r="N19" i="10"/>
  <c r="I32" i="8"/>
  <c r="O19" i="10" s="1"/>
  <c r="G60" i="6"/>
  <c r="T28" i="10"/>
  <c r="X28" i="10" s="1"/>
  <c r="Z28" i="10" s="1"/>
  <c r="U28" i="10"/>
  <c r="G101" i="6"/>
  <c r="Y35" i="10"/>
  <c r="H99" i="6"/>
  <c r="I17" i="8"/>
  <c r="O42" i="10" s="1"/>
  <c r="N42" i="10"/>
  <c r="N98" i="5"/>
  <c r="J98" i="5"/>
  <c r="R56" i="10"/>
  <c r="F15" i="8"/>
  <c r="J13" i="8"/>
  <c r="H13" i="8"/>
  <c r="N54" i="10"/>
  <c r="I20" i="8"/>
  <c r="O54" i="10" s="1"/>
  <c r="N40" i="10"/>
  <c r="I31" i="8"/>
  <c r="O40" i="10" s="1"/>
  <c r="I19" i="8"/>
  <c r="O33" i="10" s="1"/>
  <c r="J19" i="8"/>
  <c r="P33" i="10" s="1"/>
  <c r="N33" i="10"/>
  <c r="N52" i="10"/>
  <c r="I24" i="8"/>
  <c r="O52" i="10" s="1"/>
  <c r="I25" i="8"/>
  <c r="O56" i="10" s="1"/>
  <c r="N56" i="10"/>
  <c r="N26" i="10"/>
  <c r="I27" i="8"/>
  <c r="O26" i="10" s="1"/>
  <c r="J27" i="8"/>
  <c r="K44" i="6"/>
  <c r="H44" i="6"/>
  <c r="L44" i="6" s="1"/>
  <c r="I44" i="6"/>
  <c r="J44" i="6" s="1"/>
  <c r="Z29" i="10"/>
  <c r="F143" i="5"/>
  <c r="AC32" i="10"/>
  <c r="J89" i="6" s="1"/>
  <c r="I74" i="6"/>
  <c r="J74" i="6" s="1"/>
  <c r="H74" i="6"/>
  <c r="L74" i="6" s="1"/>
  <c r="K74" i="6"/>
  <c r="Q55" i="10"/>
  <c r="R55" i="10"/>
  <c r="N34" i="10"/>
  <c r="I16" i="8"/>
  <c r="O34" i="10" s="1"/>
  <c r="G72" i="6"/>
  <c r="T45" i="10"/>
  <c r="U45" i="10"/>
  <c r="L42" i="10"/>
  <c r="H17" i="8"/>
  <c r="M42" i="10" s="1"/>
  <c r="J17" i="8"/>
  <c r="P42" i="10" s="1"/>
  <c r="I14" i="8"/>
  <c r="J14" i="8"/>
  <c r="I30" i="8"/>
  <c r="O24" i="10" s="1"/>
  <c r="N24" i="10"/>
  <c r="N30" i="10"/>
  <c r="J22" i="8"/>
  <c r="P30" i="10" s="1"/>
  <c r="I22" i="8"/>
  <c r="O30" i="10" s="1"/>
  <c r="I23" i="8"/>
  <c r="O55" i="10" s="1"/>
  <c r="N55" i="10"/>
  <c r="N22" i="10"/>
  <c r="I33" i="8"/>
  <c r="O22" i="10" s="1"/>
  <c r="N57" i="10"/>
  <c r="I28" i="8"/>
  <c r="O57" i="10" s="1"/>
  <c r="I67" i="6"/>
  <c r="J67" i="6" s="1"/>
  <c r="K67" i="6"/>
  <c r="H67" i="6"/>
  <c r="L67" i="6" s="1"/>
  <c r="H95" i="6"/>
  <c r="Y25" i="10"/>
  <c r="I76" i="6"/>
  <c r="J76" i="6" s="1"/>
  <c r="H76" i="6"/>
  <c r="L76" i="6" s="1"/>
  <c r="K76" i="6"/>
  <c r="Q22" i="10"/>
  <c r="R22" i="10"/>
  <c r="R17" i="10"/>
  <c r="Q17" i="10"/>
  <c r="R23" i="10"/>
  <c r="Q23" i="10"/>
  <c r="L18" i="10"/>
  <c r="J18" i="8"/>
  <c r="P18" i="10" s="1"/>
  <c r="H18" i="8"/>
  <c r="M18" i="10" s="1"/>
  <c r="AC31" i="10"/>
  <c r="J109" i="6" s="1"/>
  <c r="L149" i="5"/>
  <c r="Y28" i="10"/>
  <c r="H101" i="6"/>
  <c r="J99" i="5"/>
  <c r="H133" i="5"/>
  <c r="G28" i="6" s="1"/>
  <c r="N99" i="5"/>
  <c r="N133" i="5" s="1"/>
  <c r="G99" i="6"/>
  <c r="T35" i="10"/>
  <c r="X35" i="10" s="1"/>
  <c r="Z35" i="10" s="1"/>
  <c r="G57" i="6"/>
  <c r="U35" i="10"/>
  <c r="I18" i="8"/>
  <c r="O18" i="10" s="1"/>
  <c r="N18" i="10"/>
  <c r="J29" i="8"/>
  <c r="P20" i="10" s="1"/>
  <c r="Q48" i="10"/>
  <c r="U51" i="10"/>
  <c r="T51" i="10"/>
  <c r="G49" i="6"/>
  <c r="Q57" i="10"/>
  <c r="R57" i="10"/>
  <c r="Q24" i="10"/>
  <c r="R24" i="10"/>
  <c r="L34" i="10"/>
  <c r="H16" i="8"/>
  <c r="M34" i="10" s="1"/>
  <c r="J16" i="8"/>
  <c r="P34" i="10" s="1"/>
  <c r="N21" i="10"/>
  <c r="I21" i="8"/>
  <c r="O21" i="10" s="1"/>
  <c r="J21" i="8"/>
  <c r="P21" i="10" s="1"/>
  <c r="I35" i="8"/>
  <c r="O48" i="10" s="1"/>
  <c r="N48" i="10"/>
  <c r="N58" i="10"/>
  <c r="I37" i="8"/>
  <c r="O58" i="10" s="1"/>
  <c r="J37" i="8"/>
  <c r="P58" i="10" s="1"/>
  <c r="N41" i="10"/>
  <c r="I34" i="8"/>
  <c r="O41" i="10" s="1"/>
  <c r="J34" i="8"/>
  <c r="P41" i="10" s="1"/>
  <c r="J20" i="8"/>
  <c r="P54" i="10" s="1"/>
  <c r="F146" i="5"/>
  <c r="AC36" i="10"/>
  <c r="J92" i="6" s="1"/>
  <c r="U16" i="10"/>
  <c r="G39" i="6"/>
  <c r="X16" i="10"/>
  <c r="Z16" i="10" s="1"/>
  <c r="G88" i="6"/>
  <c r="T16" i="10"/>
  <c r="G95" i="6"/>
  <c r="U25" i="10"/>
  <c r="T25" i="10"/>
  <c r="X25" i="10" s="1"/>
  <c r="Z25" i="10" s="1"/>
  <c r="G48" i="6"/>
  <c r="Q52" i="10" l="1"/>
  <c r="R40" i="10"/>
  <c r="N100" i="5"/>
  <c r="N135" i="5" s="1"/>
  <c r="L29" i="6" s="1"/>
  <c r="J100" i="5"/>
  <c r="L100" i="5" s="1"/>
  <c r="L135" i="5" s="1"/>
  <c r="H39" i="6"/>
  <c r="L39" i="6" s="1"/>
  <c r="I39" i="6"/>
  <c r="J39" i="6" s="1"/>
  <c r="K39" i="6"/>
  <c r="R30" i="10"/>
  <c r="Q30" i="10"/>
  <c r="N131" i="5"/>
  <c r="N130" i="5"/>
  <c r="Q54" i="10"/>
  <c r="R54" i="10"/>
  <c r="R34" i="10"/>
  <c r="Q34" i="10"/>
  <c r="V17" i="10"/>
  <c r="H96" i="6" s="1"/>
  <c r="M96" i="6"/>
  <c r="W17" i="10"/>
  <c r="I96" i="6" s="1"/>
  <c r="S17" i="10"/>
  <c r="M53" i="6"/>
  <c r="H48" i="6"/>
  <c r="L48" i="6" s="1"/>
  <c r="K48" i="6"/>
  <c r="I48" i="6"/>
  <c r="J48" i="6" s="1"/>
  <c r="Q41" i="10"/>
  <c r="R41" i="10"/>
  <c r="Q21" i="10"/>
  <c r="R21" i="10"/>
  <c r="W57" i="10"/>
  <c r="V57" i="10"/>
  <c r="S57" i="10"/>
  <c r="M62" i="6"/>
  <c r="F152" i="5"/>
  <c r="AC35" i="10"/>
  <c r="J99" i="6" s="1"/>
  <c r="J133" i="5"/>
  <c r="J28" i="6" s="1"/>
  <c r="L99" i="5"/>
  <c r="L133" i="5" s="1"/>
  <c r="L144" i="5"/>
  <c r="AC29" i="10"/>
  <c r="J105" i="6" s="1"/>
  <c r="P26" i="10"/>
  <c r="Q26" i="10" s="1"/>
  <c r="J26" i="10"/>
  <c r="Q33" i="10"/>
  <c r="R33" i="10"/>
  <c r="H15" i="8"/>
  <c r="M59" i="10" s="1"/>
  <c r="J15" i="8"/>
  <c r="L59" i="10"/>
  <c r="L141" i="5"/>
  <c r="AC28" i="10"/>
  <c r="J101" i="6" s="1"/>
  <c r="R19" i="10"/>
  <c r="Q19" i="10"/>
  <c r="S23" i="10"/>
  <c r="W23" i="10"/>
  <c r="I112" i="6" s="1"/>
  <c r="M80" i="6"/>
  <c r="M112" i="6"/>
  <c r="V23" i="10"/>
  <c r="H112" i="6" s="1"/>
  <c r="M106" i="6"/>
  <c r="M68" i="6"/>
  <c r="V40" i="10"/>
  <c r="H106" i="6" s="1"/>
  <c r="S40" i="10"/>
  <c r="W40" i="10"/>
  <c r="Q42" i="10"/>
  <c r="R42" i="10"/>
  <c r="S55" i="10"/>
  <c r="V55" i="10"/>
  <c r="M50" i="6"/>
  <c r="W55" i="10"/>
  <c r="S56" i="10"/>
  <c r="M52" i="6"/>
  <c r="V56" i="10"/>
  <c r="W56" i="10"/>
  <c r="V52" i="10"/>
  <c r="M51" i="6"/>
  <c r="S52" i="10"/>
  <c r="W52" i="10"/>
  <c r="K60" i="6"/>
  <c r="H60" i="6"/>
  <c r="L60" i="6" s="1"/>
  <c r="I60" i="6"/>
  <c r="J60" i="6" s="1"/>
  <c r="R58" i="10"/>
  <c r="Q58" i="10"/>
  <c r="Q20" i="10"/>
  <c r="R20" i="10"/>
  <c r="K57" i="6"/>
  <c r="I57" i="6"/>
  <c r="J57" i="6" s="1"/>
  <c r="H57" i="6"/>
  <c r="L57" i="6" s="1"/>
  <c r="L147" i="5"/>
  <c r="AC25" i="10"/>
  <c r="J95" i="6" s="1"/>
  <c r="F142" i="5"/>
  <c r="AC16" i="10"/>
  <c r="J88" i="6" s="1"/>
  <c r="V24" i="10"/>
  <c r="H102" i="6" s="1"/>
  <c r="S24" i="10"/>
  <c r="W24" i="10"/>
  <c r="I102" i="6" s="1"/>
  <c r="M102" i="6"/>
  <c r="M65" i="6"/>
  <c r="I49" i="6"/>
  <c r="J49" i="6" s="1"/>
  <c r="H49" i="6"/>
  <c r="L49" i="6" s="1"/>
  <c r="K49" i="6"/>
  <c r="W48" i="10"/>
  <c r="V48" i="10"/>
  <c r="M79" i="6"/>
  <c r="S48" i="10"/>
  <c r="H28" i="6"/>
  <c r="L28" i="6"/>
  <c r="R18" i="10"/>
  <c r="Q18" i="10"/>
  <c r="M77" i="6"/>
  <c r="M110" i="6"/>
  <c r="V22" i="10"/>
  <c r="H110" i="6" s="1"/>
  <c r="W22" i="10"/>
  <c r="I110" i="6" s="1"/>
  <c r="S22" i="10"/>
  <c r="K72" i="6"/>
  <c r="I72" i="6"/>
  <c r="J72" i="6" s="1"/>
  <c r="H72" i="6"/>
  <c r="L72" i="6" s="1"/>
  <c r="L98" i="5"/>
  <c r="J130" i="5"/>
  <c r="J23" i="6" s="1"/>
  <c r="J131" i="5"/>
  <c r="J24" i="6" s="1"/>
  <c r="N59" i="10"/>
  <c r="I15" i="8"/>
  <c r="O59" i="10" s="1"/>
  <c r="N86" i="5"/>
  <c r="N132" i="5" s="1"/>
  <c r="H132" i="5"/>
  <c r="G26" i="6" s="1"/>
  <c r="L86" i="5"/>
  <c r="L132" i="5" s="1"/>
  <c r="H29" i="6" l="1"/>
  <c r="J135" i="5"/>
  <c r="J29" i="6" s="1"/>
  <c r="W20" i="10"/>
  <c r="I103" i="6" s="1"/>
  <c r="M103" i="6"/>
  <c r="V20" i="10"/>
  <c r="H103" i="6" s="1"/>
  <c r="S20" i="10"/>
  <c r="M63" i="6"/>
  <c r="G51" i="6"/>
  <c r="T52" i="10"/>
  <c r="U52" i="10"/>
  <c r="U56" i="10"/>
  <c r="G52" i="6"/>
  <c r="T56" i="10"/>
  <c r="T55" i="10"/>
  <c r="G50" i="6"/>
  <c r="U55" i="10"/>
  <c r="U40" i="10"/>
  <c r="X40" i="10" s="1"/>
  <c r="Z40" i="10" s="1"/>
  <c r="G68" i="6"/>
  <c r="G106" i="6"/>
  <c r="T40" i="10"/>
  <c r="G112" i="6"/>
  <c r="Y23" i="10"/>
  <c r="G80" i="6"/>
  <c r="T23" i="10"/>
  <c r="X23" i="10" s="1"/>
  <c r="Z23" i="10" s="1"/>
  <c r="AC23" i="10" s="1"/>
  <c r="J112" i="6" s="1"/>
  <c r="U23" i="10"/>
  <c r="P59" i="10"/>
  <c r="D101" i="5"/>
  <c r="H101" i="5" s="1"/>
  <c r="K26" i="10"/>
  <c r="R26" i="10"/>
  <c r="M64" i="6"/>
  <c r="W21" i="10"/>
  <c r="I104" i="6" s="1"/>
  <c r="V21" i="10"/>
  <c r="H104" i="6" s="1"/>
  <c r="S21" i="10"/>
  <c r="M104" i="6"/>
  <c r="U17" i="10"/>
  <c r="G53" i="6"/>
  <c r="G96" i="6"/>
  <c r="X17" i="10"/>
  <c r="Z17" i="10" s="1"/>
  <c r="T17" i="10"/>
  <c r="H23" i="6"/>
  <c r="L23" i="6"/>
  <c r="Y40" i="10"/>
  <c r="I106" i="6"/>
  <c r="W30" i="10"/>
  <c r="I94" i="6" s="1"/>
  <c r="M94" i="6"/>
  <c r="S30" i="10"/>
  <c r="V30" i="10"/>
  <c r="M46" i="6"/>
  <c r="H26" i="6"/>
  <c r="L26" i="6"/>
  <c r="Y24" i="10"/>
  <c r="U24" i="10"/>
  <c r="X24" i="10" s="1"/>
  <c r="Z24" i="10" s="1"/>
  <c r="G102" i="6"/>
  <c r="T24" i="10"/>
  <c r="G65" i="6"/>
  <c r="L130" i="5"/>
  <c r="L131" i="5"/>
  <c r="G110" i="6"/>
  <c r="Y22" i="10"/>
  <c r="G77" i="6"/>
  <c r="U22" i="10"/>
  <c r="T22" i="10"/>
  <c r="X22" i="10" s="1"/>
  <c r="Z22" i="10" s="1"/>
  <c r="V42" i="10"/>
  <c r="M66" i="6"/>
  <c r="S42" i="10"/>
  <c r="W42" i="10"/>
  <c r="T57" i="10"/>
  <c r="U57" i="10"/>
  <c r="G62" i="6"/>
  <c r="S34" i="10"/>
  <c r="W34" i="10"/>
  <c r="M43" i="6"/>
  <c r="M91" i="6"/>
  <c r="V34" i="10"/>
  <c r="H91" i="6" s="1"/>
  <c r="H24" i="6"/>
  <c r="L24" i="6"/>
  <c r="V18" i="10"/>
  <c r="H107" i="6" s="1"/>
  <c r="S18" i="10"/>
  <c r="W18" i="10"/>
  <c r="I107" i="6" s="1"/>
  <c r="M69" i="6"/>
  <c r="M107" i="6"/>
  <c r="M81" i="6"/>
  <c r="S58" i="10"/>
  <c r="V58" i="10"/>
  <c r="W58" i="10"/>
  <c r="U48" i="10"/>
  <c r="G79" i="6"/>
  <c r="T48" i="10"/>
  <c r="S19" i="10"/>
  <c r="W19" i="10"/>
  <c r="I108" i="6" s="1"/>
  <c r="V19" i="10"/>
  <c r="H108" i="6" s="1"/>
  <c r="M75" i="6"/>
  <c r="M108" i="6"/>
  <c r="V33" i="10"/>
  <c r="H90" i="6" s="1"/>
  <c r="M90" i="6"/>
  <c r="M42" i="6"/>
  <c r="S33" i="10"/>
  <c r="W33" i="10"/>
  <c r="M78" i="6"/>
  <c r="W41" i="10"/>
  <c r="M111" i="6"/>
  <c r="V41" i="10"/>
  <c r="H111" i="6" s="1"/>
  <c r="S41" i="10"/>
  <c r="W54" i="10"/>
  <c r="M61" i="6"/>
  <c r="S54" i="10"/>
  <c r="V54" i="10"/>
  <c r="AC24" i="10" l="1"/>
  <c r="J102" i="6" s="1"/>
  <c r="L143" i="5"/>
  <c r="G78" i="6"/>
  <c r="G111" i="6"/>
  <c r="T41" i="10"/>
  <c r="U41" i="10"/>
  <c r="X41" i="10" s="1"/>
  <c r="Z41" i="10" s="1"/>
  <c r="K79" i="6"/>
  <c r="I79" i="6"/>
  <c r="J79" i="6" s="1"/>
  <c r="H79" i="6"/>
  <c r="L79" i="6" s="1"/>
  <c r="T58" i="10"/>
  <c r="G81" i="6"/>
  <c r="U58" i="10"/>
  <c r="Y34" i="10"/>
  <c r="I91" i="6"/>
  <c r="M97" i="6"/>
  <c r="W26" i="10"/>
  <c r="I97" i="6" s="1"/>
  <c r="V26" i="10"/>
  <c r="S26" i="10"/>
  <c r="M55" i="6"/>
  <c r="T18" i="10"/>
  <c r="U18" i="10"/>
  <c r="X18" i="10"/>
  <c r="Z18" i="10" s="1"/>
  <c r="G107" i="6"/>
  <c r="G69" i="6"/>
  <c r="G91" i="6"/>
  <c r="G43" i="6"/>
  <c r="T34" i="10"/>
  <c r="U34" i="10"/>
  <c r="X34" i="10" s="1"/>
  <c r="Z34" i="10" s="1"/>
  <c r="H65" i="6"/>
  <c r="L65" i="6" s="1"/>
  <c r="K65" i="6"/>
  <c r="I65" i="6"/>
  <c r="J65" i="6" s="1"/>
  <c r="K53" i="6"/>
  <c r="G31" i="6"/>
  <c r="I53" i="6"/>
  <c r="J53" i="6" s="1"/>
  <c r="S37" i="6" s="1"/>
  <c r="J31" i="6" s="1"/>
  <c r="H53" i="6"/>
  <c r="L145" i="5"/>
  <c r="AC40" i="10"/>
  <c r="J106" i="6" s="1"/>
  <c r="L152" i="5"/>
  <c r="L150" i="5"/>
  <c r="AC22" i="10"/>
  <c r="J110" i="6" s="1"/>
  <c r="T21" i="10"/>
  <c r="X21" i="10" s="1"/>
  <c r="Z21" i="10" s="1"/>
  <c r="G104" i="6"/>
  <c r="Y21" i="10"/>
  <c r="G64" i="6"/>
  <c r="U21" i="10"/>
  <c r="I68" i="6"/>
  <c r="J68" i="6" s="1"/>
  <c r="K68" i="6"/>
  <c r="H68" i="6"/>
  <c r="L68" i="6" s="1"/>
  <c r="G90" i="6"/>
  <c r="G42" i="6"/>
  <c r="U33" i="10"/>
  <c r="X33" i="10" s="1"/>
  <c r="T33" i="10"/>
  <c r="G75" i="6"/>
  <c r="T19" i="10"/>
  <c r="X19" i="10"/>
  <c r="Z19" i="10" s="1"/>
  <c r="U19" i="10"/>
  <c r="G108" i="6"/>
  <c r="H62" i="6"/>
  <c r="L62" i="6" s="1"/>
  <c r="K62" i="6"/>
  <c r="I62" i="6"/>
  <c r="J62" i="6" s="1"/>
  <c r="G66" i="6"/>
  <c r="U42" i="10"/>
  <c r="T42" i="10"/>
  <c r="Y30" i="10"/>
  <c r="H94" i="6"/>
  <c r="H136" i="5"/>
  <c r="G30" i="6" s="1"/>
  <c r="J101" i="5"/>
  <c r="N101" i="5"/>
  <c r="N136" i="5" s="1"/>
  <c r="H80" i="6"/>
  <c r="K80" i="6"/>
  <c r="I80" i="6"/>
  <c r="J80" i="6" s="1"/>
  <c r="R37" i="6" s="1"/>
  <c r="I52" i="6"/>
  <c r="J52" i="6" s="1"/>
  <c r="K52" i="6"/>
  <c r="H52" i="6"/>
  <c r="L52" i="6" s="1"/>
  <c r="I51" i="6"/>
  <c r="J51" i="6" s="1"/>
  <c r="K51" i="6"/>
  <c r="H51" i="6"/>
  <c r="L51" i="6" s="1"/>
  <c r="Y20" i="10"/>
  <c r="G103" i="6"/>
  <c r="U20" i="10"/>
  <c r="T20" i="10"/>
  <c r="X20" i="10" s="1"/>
  <c r="Z20" i="10" s="1"/>
  <c r="G63" i="6"/>
  <c r="G61" i="6"/>
  <c r="T54" i="10"/>
  <c r="U54" i="10"/>
  <c r="Y33" i="10"/>
  <c r="I90" i="6"/>
  <c r="Y41" i="10"/>
  <c r="I111" i="6"/>
  <c r="I77" i="6"/>
  <c r="J77" i="6" s="1"/>
  <c r="H77" i="6"/>
  <c r="L77" i="6" s="1"/>
  <c r="K77" i="6"/>
  <c r="T30" i="10"/>
  <c r="X30" i="10" s="1"/>
  <c r="Z30" i="10" s="1"/>
  <c r="G94" i="6"/>
  <c r="U30" i="10"/>
  <c r="G46" i="6"/>
  <c r="AC17" i="10"/>
  <c r="J96" i="6" s="1"/>
  <c r="F149" i="5"/>
  <c r="Q59" i="10"/>
  <c r="R59" i="10"/>
  <c r="I50" i="6"/>
  <c r="J50" i="6" s="1"/>
  <c r="K50" i="6"/>
  <c r="H50" i="6"/>
  <c r="L50" i="6" s="1"/>
  <c r="L101" i="5" l="1"/>
  <c r="L136" i="5" s="1"/>
  <c r="J136" i="5"/>
  <c r="J30" i="6" s="1"/>
  <c r="F148" i="5"/>
  <c r="AC30" i="10"/>
  <c r="J94" i="6" s="1"/>
  <c r="H42" i="6"/>
  <c r="L42" i="6" s="1"/>
  <c r="K42" i="6"/>
  <c r="I42" i="6"/>
  <c r="J42" i="6" s="1"/>
  <c r="S31" i="6"/>
  <c r="H31" i="6" s="1"/>
  <c r="L53" i="6"/>
  <c r="S41" i="6" s="1"/>
  <c r="L31" i="6" s="1"/>
  <c r="K81" i="6"/>
  <c r="H81" i="6"/>
  <c r="L81" i="6" s="1"/>
  <c r="I81" i="6"/>
  <c r="J81" i="6" s="1"/>
  <c r="K78" i="6"/>
  <c r="H78" i="6"/>
  <c r="L78" i="6" s="1"/>
  <c r="I78" i="6"/>
  <c r="J78" i="6" s="1"/>
  <c r="Z33" i="10"/>
  <c r="AC34" i="10"/>
  <c r="J91" i="6" s="1"/>
  <c r="F145" i="5"/>
  <c r="I46" i="6"/>
  <c r="J46" i="6" s="1"/>
  <c r="H46" i="6"/>
  <c r="L46" i="6" s="1"/>
  <c r="K46" i="6"/>
  <c r="R31" i="6"/>
  <c r="L80" i="6"/>
  <c r="R41" i="6" s="1"/>
  <c r="I66" i="6"/>
  <c r="J66" i="6" s="1"/>
  <c r="K66" i="6"/>
  <c r="H66" i="6"/>
  <c r="L66" i="6" s="1"/>
  <c r="I75" i="6"/>
  <c r="J75" i="6" s="1"/>
  <c r="H75" i="6"/>
  <c r="L75" i="6" s="1"/>
  <c r="K75" i="6"/>
  <c r="L142" i="5"/>
  <c r="AC21" i="10"/>
  <c r="J104" i="6" s="1"/>
  <c r="I43" i="6"/>
  <c r="J43" i="6" s="1"/>
  <c r="K43" i="6"/>
  <c r="H43" i="6"/>
  <c r="L43" i="6" s="1"/>
  <c r="L146" i="5"/>
  <c r="AC18" i="10"/>
  <c r="J107" i="6" s="1"/>
  <c r="U26" i="10"/>
  <c r="G97" i="6"/>
  <c r="G55" i="6"/>
  <c r="T26" i="10"/>
  <c r="X26" i="10" s="1"/>
  <c r="Z26" i="10" s="1"/>
  <c r="AG8" i="10" s="1"/>
  <c r="L151" i="5"/>
  <c r="AC41" i="10"/>
  <c r="J111" i="6" s="1"/>
  <c r="I63" i="6"/>
  <c r="J63" i="6" s="1"/>
  <c r="K63" i="6"/>
  <c r="H63" i="6"/>
  <c r="L63" i="6" s="1"/>
  <c r="L148" i="5"/>
  <c r="AC19" i="10"/>
  <c r="J108" i="6" s="1"/>
  <c r="K69" i="6"/>
  <c r="I69" i="6"/>
  <c r="J69" i="6" s="1"/>
  <c r="H69" i="6"/>
  <c r="L69" i="6" s="1"/>
  <c r="W59" i="10"/>
  <c r="V59" i="10"/>
  <c r="S59" i="10"/>
  <c r="H61" i="6"/>
  <c r="L61" i="6" s="1"/>
  <c r="I61" i="6"/>
  <c r="J61" i="6" s="1"/>
  <c r="K61" i="6"/>
  <c r="AC20" i="10"/>
  <c r="J103" i="6" s="1"/>
  <c r="F154" i="5"/>
  <c r="L30" i="6"/>
  <c r="H30" i="6"/>
  <c r="I64" i="6"/>
  <c r="J64" i="6" s="1"/>
  <c r="H64" i="6"/>
  <c r="L64" i="6" s="1"/>
  <c r="K64" i="6"/>
  <c r="H97" i="6"/>
  <c r="Y26" i="10"/>
  <c r="AG7" i="10" l="1"/>
  <c r="T59" i="10"/>
  <c r="U59" i="10"/>
  <c r="F151" i="5"/>
  <c r="AC26" i="10"/>
  <c r="J97" i="6" s="1"/>
  <c r="AC33" i="10"/>
  <c r="J90" i="6" s="1"/>
  <c r="F144" i="5"/>
  <c r="H55" i="6"/>
  <c r="L55" i="6" s="1"/>
  <c r="I55" i="6"/>
  <c r="J55" i="6" s="1"/>
  <c r="K55" i="6"/>
  <c r="AG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Voelker</author>
    <author>Jay_Evans</author>
  </authors>
  <commentList>
    <comment ref="F25" authorId="0" shapeId="0" xr:uid="{00000000-0006-0000-0100-000001000000}">
      <text>
        <r>
          <rPr>
            <sz val="10"/>
            <color indexed="81"/>
            <rFont val="Arial"/>
            <family val="2"/>
          </rPr>
          <t>Default value is 0.5 % sulfur for fuel oil combustion. Sulfur content less than this value will be addressed in the air permit as an operating restriction.</t>
        </r>
      </text>
    </comment>
    <comment ref="F33" authorId="1" shapeId="0" xr:uid="{00000000-0006-0000-0100-000002000000}">
      <text>
        <r>
          <rPr>
            <sz val="8"/>
            <color rgb="FF000000"/>
            <rFont val="Tahoma"/>
            <family val="2"/>
          </rPr>
          <t>Use site-specific data when known. Otherwise use default value of 325 degrees F.</t>
        </r>
      </text>
    </comment>
    <comment ref="F34" authorId="1" shapeId="0" xr:uid="{00000000-0006-0000-0100-000003000000}">
      <text>
        <r>
          <rPr>
            <sz val="8"/>
            <color rgb="FF000000"/>
            <rFont val="Tahoma"/>
            <family val="2"/>
          </rPr>
          <t xml:space="preserve">V = asphalt volatility, as determined by ASTM Method D2872-88 “Effects of Heat and Air on a Moving Film of Asphalt (Rolling Thin Film Oven Test - RTFOT),” where a 0.5 percent loss-on-heating is expressed as “-0.5.” Regional- or sitespecific data for asphalt volatility should be used, whenever possible; otherwise, a default value of -0.5 should be used for V.
</t>
        </r>
      </text>
    </comment>
    <comment ref="D42" authorId="0" shapeId="0" xr:uid="{00000000-0006-0000-0100-000004000000}">
      <text>
        <r>
          <rPr>
            <sz val="10"/>
            <color indexed="81"/>
            <rFont val="Tahoma"/>
            <family val="2"/>
          </rPr>
          <t>Default value is 8760 hours per year. Justify hours of operation if using less hours of operation.</t>
        </r>
      </text>
    </comment>
    <comment ref="F47" authorId="0" shapeId="0" xr:uid="{00000000-0006-0000-0100-000005000000}">
      <text>
        <r>
          <rPr>
            <sz val="10"/>
            <color indexed="81"/>
            <rFont val="Tahoma"/>
            <family val="2"/>
          </rPr>
          <t>Insert total heat input of all AC heaters. For example, if two 0.75 mmBtu/hr heaters, please input 2*(0.75)=1/5 mmBtu/hr.</t>
        </r>
      </text>
    </comment>
    <comment ref="F48" authorId="0" shapeId="0" xr:uid="{00000000-0006-0000-0100-000006000000}">
      <text>
        <r>
          <rPr>
            <sz val="10"/>
            <color indexed="81"/>
            <rFont val="Arial"/>
            <family val="2"/>
          </rPr>
          <t>Default value is 0.5 % sulfur. Sulfur content less than this value will be adressed in the air permit as an operating restriction.</t>
        </r>
      </text>
    </comment>
    <comment ref="F49" authorId="0" shapeId="0" xr:uid="{00000000-0006-0000-0100-000007000000}">
      <text>
        <r>
          <rPr>
            <sz val="10"/>
            <color indexed="81"/>
            <rFont val="Tahoma"/>
            <family val="2"/>
          </rPr>
          <t>Default value is 8760 hours of operation per year, regardless of synthetic minor operating restrictions. If the default value results in an excessive synthetic minor restriction this value may be reduced. This reduced value must be greater than the number of hours necessary to produce the requested production limits. Please justify a reduced hours of operation value in the supporting documentation. This reduced number of operating hours will become a permit limitation.</t>
        </r>
      </text>
    </comment>
    <comment ref="F51" authorId="0" shapeId="0" xr:uid="{00000000-0006-0000-0100-000008000000}">
      <text>
        <r>
          <rPr>
            <sz val="10"/>
            <color indexed="81"/>
            <rFont val="Arial"/>
            <family val="2"/>
          </rPr>
          <t>This value represents a maximum production rate that results in an emission rate of 99 tons per year.</t>
        </r>
      </text>
    </comment>
    <comment ref="F52" authorId="0" shapeId="0" xr:uid="{00000000-0006-0000-0100-000009000000}">
      <text>
        <r>
          <rPr>
            <sz val="9"/>
            <color indexed="81"/>
            <rFont val="Arial"/>
            <family val="2"/>
          </rPr>
          <t xml:space="preserve">Default value equals 8760 hours/year times the maximum production capacity in tons per hour unless a production limit for synthetic minor purposes is desired. Such a limit will be placed in the air permit as an operating restriction.
</t>
        </r>
        <r>
          <rPr>
            <b/>
            <sz val="9"/>
            <color indexed="81"/>
            <rFont val="Arial"/>
            <family val="2"/>
          </rPr>
          <t>If this sheet is used for Emissions Inventory purposes</t>
        </r>
        <r>
          <rPr>
            <sz val="9"/>
            <color indexed="81"/>
            <rFont val="Arial"/>
            <family val="2"/>
          </rPr>
          <t>, input the total tons of asphalt produced.</t>
        </r>
      </text>
    </comment>
    <comment ref="F53" authorId="0" shapeId="0" xr:uid="{00000000-0006-0000-0100-00000A000000}">
      <text>
        <r>
          <rPr>
            <sz val="10"/>
            <color indexed="81"/>
            <rFont val="Tahoma"/>
            <family val="2"/>
          </rPr>
          <t xml:space="preserve">Default value equals 24 hours per day times the maximum production capacity in tons per hour.  A daily production limit is only necessary in some situations for TAP permitting issues. This limit will be placed in the air permit as an operating restriction.
</t>
        </r>
      </text>
    </comment>
    <comment ref="H66" authorId="0" shapeId="0" xr:uid="{00000000-0006-0000-0100-00000B000000}">
      <text>
        <r>
          <rPr>
            <b/>
            <sz val="8"/>
            <color indexed="81"/>
            <rFont val="Tahoma"/>
          </rPr>
          <t>If data exists, input it here.</t>
        </r>
        <r>
          <rPr>
            <sz val="8"/>
            <color indexed="81"/>
            <rFont val="Tahoma"/>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Voelker</author>
  </authors>
  <commentList>
    <comment ref="F11" authorId="0" shapeId="0" xr:uid="{00000000-0006-0000-0800-000001000000}">
      <text>
        <r>
          <rPr>
            <b/>
            <sz val="8"/>
            <color indexed="81"/>
            <rFont val="Tahoma"/>
          </rPr>
          <t>Joe Voelker:</t>
        </r>
        <r>
          <rPr>
            <sz val="8"/>
            <color indexed="81"/>
            <rFont val="Tahoma"/>
          </rPr>
          <t xml:space="preserve">
set equal to PM value due to lack of data.</t>
        </r>
      </text>
    </comment>
  </commentList>
</comments>
</file>

<file path=xl/sharedStrings.xml><?xml version="1.0" encoding="utf-8"?>
<sst xmlns="http://schemas.openxmlformats.org/spreadsheetml/2006/main" count="2913" uniqueCount="950">
  <si>
    <t>ASPHALT EMISSIONS CALCULATOR REVISION G 08/30/2019 INPUT SCREEN</t>
  </si>
  <si>
    <t>NOTICE: This spreadsheet is for your use only and should be used with caution. DENR does not guarantee the accuracy of the information contained.  This spreadsheet is subject to continual revision and updating.  It is your responsibility to be aware of the most current information available.  DENR is not responsible for errors or omissions that may be contained herein.</t>
  </si>
  <si>
    <r>
      <t>Instructions:</t>
    </r>
    <r>
      <rPr>
        <b/>
        <sz val="10"/>
        <color indexed="12"/>
        <rFont val="Arial"/>
        <family val="2"/>
      </rPr>
      <t xml:space="preserve"> </t>
    </r>
    <r>
      <rPr>
        <b/>
        <sz val="10"/>
        <rFont val="Arial"/>
        <family val="2"/>
      </rPr>
      <t xml:space="preserve">     1. Fill in all </t>
    </r>
    <r>
      <rPr>
        <b/>
        <sz val="10"/>
        <color indexed="12"/>
        <rFont val="Arial"/>
        <family val="2"/>
      </rPr>
      <t>BLUE</t>
    </r>
    <r>
      <rPr>
        <b/>
        <sz val="10"/>
        <rFont val="Arial"/>
        <family val="2"/>
      </rPr>
      <t xml:space="preserve"> cells. </t>
    </r>
  </si>
  <si>
    <r>
      <t xml:space="preserve">2.Ensure all pull down boxes and </t>
    </r>
    <r>
      <rPr>
        <b/>
        <sz val="10"/>
        <color indexed="12"/>
        <rFont val="Arial"/>
        <family val="2"/>
      </rPr>
      <t>BLUE</t>
    </r>
    <r>
      <rPr>
        <b/>
        <sz val="10"/>
        <rFont val="Arial"/>
        <family val="2"/>
      </rPr>
      <t xml:space="preserve"> cells reflect correct conditions.</t>
    </r>
  </si>
  <si>
    <t>3. Read the README sheet.</t>
  </si>
  <si>
    <t>Potential Hours of Operation:</t>
  </si>
  <si>
    <t>hours/day,</t>
  </si>
  <si>
    <t>hours/year</t>
  </si>
  <si>
    <r>
      <t xml:space="preserve">4. Use the mouse pointer to read the tips in the </t>
    </r>
    <r>
      <rPr>
        <b/>
        <sz val="10"/>
        <color indexed="10"/>
        <rFont val="Arial"/>
        <family val="2"/>
      </rPr>
      <t>"red cornered"</t>
    </r>
    <r>
      <rPr>
        <b/>
        <sz val="10"/>
        <rFont val="Arial"/>
        <family val="2"/>
      </rPr>
      <t xml:space="preserve"> input cells. </t>
    </r>
  </si>
  <si>
    <t>(See Tools-&gt;Options-&gt;Comments if these are not displayed.</t>
  </si>
  <si>
    <t>AC Heater minimum hours of operation:</t>
  </si>
  <si>
    <t>Default Daily Production Limit:</t>
  </si>
  <si>
    <t>tons per day</t>
  </si>
  <si>
    <t>Company Name:</t>
  </si>
  <si>
    <t>ABC</t>
  </si>
  <si>
    <t>emission inventory?</t>
  </si>
  <si>
    <t>Facility ID No.:</t>
  </si>
  <si>
    <t>1. YES</t>
  </si>
  <si>
    <t>Permit No.:</t>
  </si>
  <si>
    <t>2. NO</t>
  </si>
  <si>
    <t>Facility City:</t>
  </si>
  <si>
    <t>Metropolis</t>
  </si>
  <si>
    <t>Facility County:</t>
  </si>
  <si>
    <t>Wake</t>
  </si>
  <si>
    <t>plant types</t>
  </si>
  <si>
    <t>Spreadsheet Prepared by:</t>
  </si>
  <si>
    <t>J.Q. Engineer</t>
  </si>
  <si>
    <t>Batch mix</t>
  </si>
  <si>
    <t>Drum mix</t>
  </si>
  <si>
    <t>Is this spreadsheet being used for emissions inventory purposes?</t>
  </si>
  <si>
    <t>plant description</t>
  </si>
  <si>
    <t>SCCs</t>
  </si>
  <si>
    <t>fuel type</t>
  </si>
  <si>
    <t>Plant type:</t>
  </si>
  <si>
    <t>Natural gas-fired</t>
  </si>
  <si>
    <t>1. Batch mix, natural gas-fired, no controls</t>
  </si>
  <si>
    <t>No.2 fuel oil-fired</t>
  </si>
  <si>
    <t>2. Batch mix, natrual gas-fired, fabric filter controls</t>
  </si>
  <si>
    <t>3-05-002-45</t>
  </si>
  <si>
    <t>Fuel type:</t>
  </si>
  <si>
    <t>Waste, No.4 or No.6 fuel oil-fired</t>
  </si>
  <si>
    <t>3. Batch mix, natrual gas-fired, venturi or wet scrubber controls</t>
  </si>
  <si>
    <t>4. Batch mix, No.2 fuel oil-fired, no controls</t>
  </si>
  <si>
    <t>Fuel Sulfur Content:</t>
  </si>
  <si>
    <t>%</t>
  </si>
  <si>
    <t>controls</t>
  </si>
  <si>
    <t>5. Batch mix, No.2 fuel oil-fired, fabric filter controls</t>
  </si>
  <si>
    <t>3-05-002-46</t>
  </si>
  <si>
    <t>Controls:</t>
  </si>
  <si>
    <t>Uncontrolled</t>
  </si>
  <si>
    <t>6. Batch mix, No.2 fuel oil-fired, venturi or wet scrubber controls</t>
  </si>
  <si>
    <t>Fabric filter controls</t>
  </si>
  <si>
    <t>7. Batch mix, waste or No.6 fuel oil-fired, no controls</t>
  </si>
  <si>
    <t>Venturi or wet scrubber controls</t>
  </si>
  <si>
    <t>8. Batch mix, waste or No.6 fuel oil-fired, fabric filter controls</t>
  </si>
  <si>
    <t>3-05-002-47</t>
  </si>
  <si>
    <t>Dryer heat input:</t>
  </si>
  <si>
    <t>million Btu per hour</t>
  </si>
  <si>
    <t>9. Batch mix, waste or No.6 fuel oil-fired, venturi or wet scrubber controls</t>
  </si>
  <si>
    <t>Plant maximum production capacity:</t>
  </si>
  <si>
    <t>tons per hour</t>
  </si>
  <si>
    <t>NSPS ?</t>
  </si>
  <si>
    <t>10. Drum mix, natural gas-fired, no controls</t>
  </si>
  <si>
    <t>YES</t>
  </si>
  <si>
    <t>11. Drum mix, natrual gas-fired, fabric filter controls</t>
  </si>
  <si>
    <t>3-05-002-55, -56, -57</t>
  </si>
  <si>
    <t>Asphalt Properties</t>
  </si>
  <si>
    <t>NO</t>
  </si>
  <si>
    <t>12. Drum mix, natrual gas-fired, venturi or wet scrubber controls</t>
  </si>
  <si>
    <t>Asphalt temperature:</t>
  </si>
  <si>
    <t>degrees F</t>
  </si>
  <si>
    <t>(default value of 325 degrees F)</t>
  </si>
  <si>
    <t>13. Drum mix, No.2 fuel oil-fired, no controls</t>
  </si>
  <si>
    <t>Volatility loss (V):</t>
  </si>
  <si>
    <t>(default value of -0.5 %)</t>
  </si>
  <si>
    <t>silo fill ?</t>
  </si>
  <si>
    <t>14. Drum mix, No.2 fuel oil-fired, fabric filter controls</t>
  </si>
  <si>
    <t>3-05-002-58, -59, -60</t>
  </si>
  <si>
    <t>15. Drum mix, No.2 fuel oil-fired, venturi or wet scrubber controls</t>
  </si>
  <si>
    <t>Silo Filling?</t>
  </si>
  <si>
    <t>16. Drum mix, waste or No.6 fuel oil-fired, no controls</t>
  </si>
  <si>
    <t>17. Drum mix, waste or No.6 fuel oil-fired, fabric filter controls</t>
  </si>
  <si>
    <t>3-05-002-61, -62, -63</t>
  </si>
  <si>
    <t>RAP crusher?</t>
  </si>
  <si>
    <t>18. Drum mix, waste or No.6 fuel oil-fired, venturi or wet scrubber controls</t>
  </si>
  <si>
    <r>
      <t>RAP</t>
    </r>
    <r>
      <rPr>
        <sz val="10"/>
        <color indexed="12"/>
        <rFont val="Arial"/>
        <family val="2"/>
      </rPr>
      <t xml:space="preserve"> crushing on site?</t>
    </r>
  </si>
  <si>
    <t>Crushing Capacity?</t>
  </si>
  <si>
    <t>No. of crushers:</t>
  </si>
  <si>
    <t>Hours  of operation:</t>
  </si>
  <si>
    <t>hours per year</t>
  </si>
  <si>
    <t>No. of screens:</t>
  </si>
  <si>
    <t>NSPS data exist?</t>
  </si>
  <si>
    <t>No. of conveyors:</t>
  </si>
  <si>
    <t>Asphalt Cement Heater</t>
  </si>
  <si>
    <t>AC heater heat input:</t>
  </si>
  <si>
    <t>(No.2  or diesel fuel oil -fired assumed)</t>
  </si>
  <si>
    <t>Hours of operation:</t>
  </si>
  <si>
    <t>description</t>
  </si>
  <si>
    <t>Calculated Annual Production Limit:</t>
  </si>
  <si>
    <t>tons per year</t>
  </si>
  <si>
    <t>Requested Daily Production Limit:</t>
  </si>
  <si>
    <t>asphalt plant</t>
  </si>
  <si>
    <t>Is this plant NSPS Subpart I affected?</t>
  </si>
  <si>
    <t>affected</t>
  </si>
  <si>
    <t>Stack gas flow rate :</t>
  </si>
  <si>
    <t>ACFM</t>
  </si>
  <si>
    <t>Stack gas temperature :</t>
  </si>
  <si>
    <t>oF</t>
  </si>
  <si>
    <t>mmBtu/hr heat input</t>
  </si>
  <si>
    <t>Stack % moisture:</t>
  </si>
  <si>
    <t>tph</t>
  </si>
  <si>
    <t>Allowable emission rate under NSPS Subpart I:</t>
  </si>
  <si>
    <t>lb/hr</t>
  </si>
  <si>
    <t>Control efficiency required:</t>
  </si>
  <si>
    <t>sulfur=</t>
  </si>
  <si>
    <t>Does Method 5 data already exist?:</t>
  </si>
  <si>
    <t>Method 5 determined emission rate:</t>
  </si>
  <si>
    <t>Control efficiency based on test data:</t>
  </si>
  <si>
    <t>and a daily production limit of</t>
  </si>
  <si>
    <t>Allowable emission rate under 2 D .0506:</t>
  </si>
  <si>
    <t>Does this plant emit less than this limit ?:</t>
  </si>
  <si>
    <t>(based on emission factors)</t>
  </si>
  <si>
    <t>Criteria Pollutants</t>
  </si>
  <si>
    <t>Uncontrolled Emission Factor (lb/ton)</t>
  </si>
  <si>
    <t>Controlled Emission Factor (lb/ton)</t>
  </si>
  <si>
    <t>Title V, Potential Emissions (tpy) (no controls, 8760 hours per year operation)</t>
  </si>
  <si>
    <t>PSD, Potential Emissions, (tpy) (with controls, 8760 hours per year operation)</t>
  </si>
  <si>
    <t>uncontrolled emission rate (lb/hr)</t>
  </si>
  <si>
    <t>controlled emission rate (lb/hr)</t>
  </si>
  <si>
    <t>Pollutant</t>
  </si>
  <si>
    <r>
      <t>Condensible PM (or PM</t>
    </r>
    <r>
      <rPr>
        <vertAlign val="subscript"/>
        <sz val="8"/>
        <rFont val="Arial"/>
        <family val="2"/>
      </rPr>
      <t>10</t>
    </r>
    <r>
      <rPr>
        <sz val="8"/>
        <rFont val="Arial"/>
        <family val="2"/>
      </rPr>
      <t>)</t>
    </r>
  </si>
  <si>
    <t>Filterable PM</t>
  </si>
  <si>
    <t>Filterable PM10</t>
  </si>
  <si>
    <t>Total PM</t>
  </si>
  <si>
    <t>Total PM10</t>
  </si>
  <si>
    <t>SO2</t>
  </si>
  <si>
    <t>CO</t>
  </si>
  <si>
    <t>NOx</t>
  </si>
  <si>
    <t>VOC</t>
  </si>
  <si>
    <t>HAPs, TOTAL</t>
  </si>
  <si>
    <t>PSD, Potential Emissions, (tpy) (8760 hours per year operation)</t>
  </si>
  <si>
    <t>emission rate (lb/hr)</t>
  </si>
  <si>
    <t>Rap Crusher Emissions</t>
  </si>
  <si>
    <t>Emission Factor, all sources combined (lb/ton)</t>
  </si>
  <si>
    <t>Asphalt Cement Heater Emissions</t>
  </si>
  <si>
    <t>Uncontrolled Emission Factor (lb/MMBtu)</t>
  </si>
  <si>
    <t>Facility-wide Criteria Pollutant Emissions Summary</t>
  </si>
  <si>
    <t>Controlled Emission Rate, lb/hr</t>
  </si>
  <si>
    <t>Facility-wide Toxic Air Pollutants Summary</t>
  </si>
  <si>
    <t>TAP</t>
  </si>
  <si>
    <t>CAS No.</t>
  </si>
  <si>
    <t>Action</t>
  </si>
  <si>
    <t>Acetaldehyde (TH)</t>
  </si>
  <si>
    <t>75070</t>
  </si>
  <si>
    <t>Mercury, vapor (TH)</t>
  </si>
  <si>
    <t>NOTE 1: Include TAP in TPER stipulation.</t>
  </si>
  <si>
    <t>Acrolein (TH)</t>
  </si>
  <si>
    <t>107028</t>
  </si>
  <si>
    <t>Methyl ethyl ketone (TH)</t>
  </si>
  <si>
    <t>78933</t>
  </si>
  <si>
    <t>Arsenic unlisted cmpds (comp. of ASC)  (TH)</t>
  </si>
  <si>
    <t xml:space="preserve">ASC-other </t>
  </si>
  <si>
    <t>Methylene chloride (TH)</t>
  </si>
  <si>
    <t>75092</t>
  </si>
  <si>
    <t>NOTE 2: Include TAP in TPER stipulation with operation restrictions.</t>
  </si>
  <si>
    <t>Benzene (TH)</t>
  </si>
  <si>
    <t>71432</t>
  </si>
  <si>
    <t>Nickel metal (TH)</t>
  </si>
  <si>
    <t>Benzo(a)pyrene  (T)</t>
  </si>
  <si>
    <t>50328</t>
  </si>
  <si>
    <t>Perchloroethylene (tetrachloroethylene) (TH)</t>
  </si>
  <si>
    <t>127184</t>
  </si>
  <si>
    <t>Beryllium metal (unreacted) (TH)</t>
  </si>
  <si>
    <t>Phenol (TH)</t>
  </si>
  <si>
    <t>108952</t>
  </si>
  <si>
    <t>NOTE 3: Modeling Required. See "Toxic calculations" worksheet.</t>
  </si>
  <si>
    <t>Cadmium metal (elemental unreacted) (TH)</t>
  </si>
  <si>
    <t>Soluble Chromate Compounds as Chrome VI (TH)</t>
  </si>
  <si>
    <t>Carbon disulfide (TH)</t>
  </si>
  <si>
    <t>75150</t>
  </si>
  <si>
    <t>Styrene (TH)</t>
  </si>
  <si>
    <t>100425</t>
  </si>
  <si>
    <t>Formaldehyde (TH)</t>
  </si>
  <si>
    <t>50000</t>
  </si>
  <si>
    <t>Tetrachlorodibenzo-p-dioxin, 2,3,7,8-  (TH)</t>
  </si>
  <si>
    <t>1746016</t>
  </si>
  <si>
    <t>Hexachlorodibenzo-p-dioxin 1,2,3,6,7,8 (TH)</t>
  </si>
  <si>
    <t>57653857</t>
  </si>
  <si>
    <t>Toluene (TH)</t>
  </si>
  <si>
    <t>108883</t>
  </si>
  <si>
    <t>Hexane, n- (TH)</t>
  </si>
  <si>
    <t>110543</t>
  </si>
  <si>
    <t>Trichloroethylene (TH)</t>
  </si>
  <si>
    <t>79016</t>
  </si>
  <si>
    <t>Hydrogen Sulfide (T)</t>
  </si>
  <si>
    <t>Xylene (TH)</t>
  </si>
  <si>
    <t>1330207</t>
  </si>
  <si>
    <t>Manganese unlisted compounds (T)</t>
  </si>
  <si>
    <t xml:space="preserve">MNC-other  </t>
  </si>
  <si>
    <t>Methyl chloroform (TH)</t>
  </si>
  <si>
    <t>71556</t>
  </si>
  <si>
    <t>ASPHALT EMISSIONS CALCULATOR REVISION G 08/30/2019 OUTPUT SCREEN</t>
  </si>
  <si>
    <t>Instructions:  Enter emission source / facility data on the "INPUT" tab/screen.  The air emission results and summary of input data are viewed / printed on the "OUTPUT" tab/screen.  The different tabs are on the bottom of this screen.</t>
  </si>
  <si>
    <t>This spreadsheet is for your use only and should be used with caution. DENR does not guarantee the accuracy of the information contained.  This spreadsheet is subject to continual revision and updating.  It is your responsibility to be aware of the most current information available.  DENR is not responsible for errors or omissions that may be contained herein.</t>
  </si>
  <si>
    <t>SOURCE / FACILITY / USER INPUT SUMMARY (FROM INPUT SCREEN)</t>
  </si>
  <si>
    <t>COMPANY:</t>
  </si>
  <si>
    <t>FACILITY ID NO.:</t>
  </si>
  <si>
    <t>PERMIT NUMBER:</t>
  </si>
  <si>
    <t>EMISSION SOURCE DESCRIPTION:</t>
  </si>
  <si>
    <t>FACILITY CITY:</t>
  </si>
  <si>
    <t>FACILITY COUNTY:</t>
  </si>
  <si>
    <t>Annual Production Limit:</t>
  </si>
  <si>
    <t>ton/year</t>
  </si>
  <si>
    <t>Daily Production Limit:</t>
  </si>
  <si>
    <t>ton/day</t>
  </si>
  <si>
    <t>SPREADSHEET PREPARED BY:</t>
  </si>
  <si>
    <t xml:space="preserve">CRITERIA AIR POLLUTANT EMISSIONS INFORMATION </t>
  </si>
  <si>
    <t>AIR POLLUTANT EMITTED</t>
  </si>
  <si>
    <t>ACTUAL EMISSIONS</t>
  </si>
  <si>
    <t>POTENTIAL EMISSIONS</t>
  </si>
  <si>
    <t xml:space="preserve">(AFTER CONTROLS / LIMITS) </t>
  </si>
  <si>
    <t xml:space="preserve">(BEFORE CONTROLS / LIMITS) </t>
  </si>
  <si>
    <t>tons/yr</t>
  </si>
  <si>
    <t>PARTICULATE MATTER (PM)</t>
  </si>
  <si>
    <r>
      <t>PARTICULATE MATTER&lt;10 MICRONS (PM</t>
    </r>
    <r>
      <rPr>
        <vertAlign val="subscript"/>
        <sz val="10"/>
        <rFont val="Arial"/>
        <family val="2"/>
      </rPr>
      <t>10</t>
    </r>
    <r>
      <rPr>
        <sz val="10"/>
        <rFont val="Arial"/>
        <family val="2"/>
      </rPr>
      <t>)</t>
    </r>
  </si>
  <si>
    <r>
      <t>PARTICULATE MATTER&lt;2.5 MICRONS (PM</t>
    </r>
    <r>
      <rPr>
        <vertAlign val="subscript"/>
        <sz val="10"/>
        <rFont val="Arial"/>
        <family val="2"/>
      </rPr>
      <t>2.5</t>
    </r>
    <r>
      <rPr>
        <sz val="10"/>
        <rFont val="Arial"/>
        <family val="2"/>
      </rPr>
      <t>)</t>
    </r>
  </si>
  <si>
    <t>SULFUR DIOXIDE (SO2)</t>
  </si>
  <si>
    <t>NITROGEN OXIDES (NOx)</t>
  </si>
  <si>
    <t>CARBON MONOXIDE (CO)</t>
  </si>
  <si>
    <t xml:space="preserve">Largest HAP calcs - </t>
  </si>
  <si>
    <t>VOLATILE ORGANIC COMPOUNDS (VOC)</t>
  </si>
  <si>
    <t>actual emissions</t>
  </si>
  <si>
    <t>TOTAL HAP</t>
  </si>
  <si>
    <t>xylene (tons/year)</t>
  </si>
  <si>
    <t>formaldehyde (tons per year)</t>
  </si>
  <si>
    <t>LARGEST HAP</t>
  </si>
  <si>
    <t>Attach INPUT worksheet</t>
  </si>
  <si>
    <t xml:space="preserve">TOXIC / HAZARDOUS AIR POLLUTANT EMISSIONS INFORMATION </t>
  </si>
  <si>
    <t>EMISSION FACTOR</t>
  </si>
  <si>
    <t>potential emissions</t>
  </si>
  <si>
    <t xml:space="preserve">TOXIC / HAZARDOUS AIR POLLUTANT </t>
  </si>
  <si>
    <t>CAS Number</t>
  </si>
  <si>
    <t>(lb/ton asphalt produced,</t>
  </si>
  <si>
    <t>before controls (tons/yr)</t>
  </si>
  <si>
    <t>xylene</t>
  </si>
  <si>
    <t>formaldehyge</t>
  </si>
  <si>
    <t>lb/yr</t>
  </si>
  <si>
    <t>after controls (tons /yr)</t>
  </si>
  <si>
    <t>formaldehyde</t>
  </si>
  <si>
    <t>Chromic acid (VI) (component of solCR6 and CRC) (TH)</t>
  </si>
  <si>
    <t xml:space="preserve"> TOXIC AIR POLLUTANT EMISSIONS INFORMATION (FOR PERMITTING PURPOSES) </t>
  </si>
  <si>
    <t xml:space="preserve">TOXIC AIR POLLUTANT </t>
  </si>
  <si>
    <t>CAS Num.</t>
  </si>
  <si>
    <t>lb/day</t>
  </si>
  <si>
    <t>Modeling Required?</t>
  </si>
  <si>
    <t>Toxic Air Pollutant (TAP) emission rate calculations page</t>
  </si>
  <si>
    <t>This sheet presents the emission rate calculations that are necessary for modeling determinations.</t>
  </si>
  <si>
    <t>dryer</t>
  </si>
  <si>
    <t>Silo Filling</t>
  </si>
  <si>
    <t>Loadout</t>
  </si>
  <si>
    <t>total handling</t>
  </si>
  <si>
    <t>total</t>
  </si>
  <si>
    <t>Controlled Emission Rate (lb/hour)</t>
  </si>
  <si>
    <t>Emission factor (lb/ton)</t>
  </si>
  <si>
    <t>Emission Rate     (lb/hr)</t>
  </si>
  <si>
    <t>Emission Rate      (lb/hr)</t>
  </si>
  <si>
    <t>Emission Factor (lb/ton)</t>
  </si>
  <si>
    <t>Emission Rate (lb/hour)</t>
  </si>
  <si>
    <t>Controlled Emission Rate (lb/day)</t>
  </si>
  <si>
    <t>Controlled Emission Rate (lb/year)</t>
  </si>
  <si>
    <t>Controlled w/Limitations Emission Rate (lb/day)</t>
  </si>
  <si>
    <t>Controlled ER greater than TPER ?</t>
  </si>
  <si>
    <t>Controlled w/Limitations ER greater than TPER ?</t>
  </si>
  <si>
    <t>Comments</t>
  </si>
  <si>
    <t>NOTE 1</t>
  </si>
  <si>
    <t>NO. Based on facility-wide potential.</t>
  </si>
  <si>
    <t>emissions</t>
  </si>
  <si>
    <t>NOTE 2</t>
  </si>
  <si>
    <t>NO. Because of operating restriction</t>
  </si>
  <si>
    <t>from</t>
  </si>
  <si>
    <t xml:space="preserve">from </t>
  </si>
  <si>
    <t>NOTE 3</t>
  </si>
  <si>
    <t>YES. Modeling required</t>
  </si>
  <si>
    <t>handling</t>
  </si>
  <si>
    <t>TPER</t>
  </si>
  <si>
    <t>Units</t>
  </si>
  <si>
    <t>yes</t>
  </si>
  <si>
    <t>no</t>
  </si>
  <si>
    <t xml:space="preserve"> lb/hr</t>
  </si>
  <si>
    <t xml:space="preserve"> </t>
  </si>
  <si>
    <t xml:space="preserve"> lb/day</t>
  </si>
  <si>
    <t>lb/year</t>
  </si>
  <si>
    <t>Soluble Chromate compounds as Chrome (VI) (TH)</t>
  </si>
  <si>
    <t>SOLCR6</t>
  </si>
  <si>
    <t xml:space="preserve">  lb/day</t>
  </si>
  <si>
    <t>Mercury, vapor  (TH)</t>
  </si>
  <si>
    <t xml:space="preserve"> lb/yr</t>
  </si>
  <si>
    <t>Arsenic unlisted cmpds (comp. of ASC) (TH)</t>
  </si>
  <si>
    <t xml:space="preserve">ASC-other  </t>
  </si>
  <si>
    <t>Hydrogen Chloride (hydrochloric acid) (TH)</t>
  </si>
  <si>
    <t>7647010</t>
  </si>
  <si>
    <t>Napthalene  (H)</t>
  </si>
  <si>
    <t>91203</t>
  </si>
  <si>
    <t>Phosphorus Metal, Yellow or White (H)</t>
  </si>
  <si>
    <t>7723140</t>
  </si>
  <si>
    <t>Polycyclic Organic Matter  (H)</t>
  </si>
  <si>
    <t>POM</t>
  </si>
  <si>
    <t>Propionaldehyde (H)</t>
  </si>
  <si>
    <t>123386</t>
  </si>
  <si>
    <t>Quinone (H)</t>
  </si>
  <si>
    <t>106514</t>
  </si>
  <si>
    <t>Selenium compounds (H)</t>
  </si>
  <si>
    <t>SEC</t>
  </si>
  <si>
    <t>Trimethylpentane, 2,2,4- (H)</t>
  </si>
  <si>
    <t>540841</t>
  </si>
  <si>
    <t>Antimony unlisted compounds  (H)</t>
  </si>
  <si>
    <t>SBC-other</t>
  </si>
  <si>
    <t>Chromium unlisted cmpds (add w/chrom acid to get CRC) (H)</t>
  </si>
  <si>
    <t>CRC-other</t>
  </si>
  <si>
    <t>Cobalt unlisted compounds (H)</t>
  </si>
  <si>
    <t xml:space="preserve">COC-other </t>
  </si>
  <si>
    <t>Ethyl benzene (H)</t>
  </si>
  <si>
    <t>100414</t>
  </si>
  <si>
    <t>Lead unlisted compounds (H)</t>
  </si>
  <si>
    <t xml:space="preserve">PBC-other  </t>
  </si>
  <si>
    <t>Methyl bromide (H)</t>
  </si>
  <si>
    <t>74839</t>
  </si>
  <si>
    <t>Cumene (H)</t>
  </si>
  <si>
    <t>98828</t>
  </si>
  <si>
    <t>Ethyl chloride (chloroethane) (H)</t>
  </si>
  <si>
    <t>75003</t>
  </si>
  <si>
    <t>Methyl chloride (H)</t>
  </si>
  <si>
    <t>74873</t>
  </si>
  <si>
    <t>Xylene, o- (H)</t>
  </si>
  <si>
    <t>95476</t>
  </si>
  <si>
    <t>Asphalt cement heater</t>
  </si>
  <si>
    <t>heat input</t>
  </si>
  <si>
    <t>MMBtu/hr</t>
  </si>
  <si>
    <t>sulfur content</t>
  </si>
  <si>
    <t>%S</t>
  </si>
  <si>
    <t>Assumptions:</t>
  </si>
  <si>
    <t>Fired with distillate oil ( No.2 or diesel)</t>
  </si>
  <si>
    <t>Emission factors taken from AP-42 section 1.3  Fuel Oil Combustion</t>
  </si>
  <si>
    <t>Heating value</t>
  </si>
  <si>
    <t>MMBtu/ 1000 gallons</t>
  </si>
  <si>
    <t>factors</t>
  </si>
  <si>
    <t>(lb/1000 gallon)</t>
  </si>
  <si>
    <t>lb/MMBtu</t>
  </si>
  <si>
    <t>S</t>
  </si>
  <si>
    <t>where S = % sulfur</t>
  </si>
  <si>
    <t>VOC (NMTOC)</t>
  </si>
  <si>
    <t>filterable PM</t>
  </si>
  <si>
    <t>condensible PM</t>
  </si>
  <si>
    <t>total PM</t>
  </si>
  <si>
    <t>total PM10</t>
  </si>
  <si>
    <t>Emission factors taken from AP-42,Table  11.19.2-2, 8/04, Crushed Stone Processing and Pulverized Mineral Processing</t>
  </si>
  <si>
    <t>RAP crusher</t>
  </si>
  <si>
    <t>maximum capacity</t>
  </si>
  <si>
    <t>hours of operation</t>
  </si>
  <si>
    <t>hours</t>
  </si>
  <si>
    <t>emission factors (dry)</t>
  </si>
  <si>
    <t>(lb/ton)</t>
  </si>
  <si>
    <t>(lb/hr)</t>
  </si>
  <si>
    <t>ton/yr</t>
  </si>
  <si>
    <t>TSP</t>
  </si>
  <si>
    <t>PM-10</t>
  </si>
  <si>
    <t>primary crusher</t>
  </si>
  <si>
    <t>screening</t>
  </si>
  <si>
    <t>conveyor transfer point</t>
  </si>
  <si>
    <t>combined EF</t>
  </si>
  <si>
    <t>Emissions summary from Silo Filling and Loadout operations</t>
  </si>
  <si>
    <t>Requested Annual Production Limit:</t>
  </si>
  <si>
    <t>Emission Factors (lb/ton)</t>
  </si>
  <si>
    <t>Potential Emissions lb/hr</t>
  </si>
  <si>
    <t>Emission factors</t>
  </si>
  <si>
    <t>Silo Filling SCC-3-05-002-13</t>
  </si>
  <si>
    <t>Load out SCC-3-05-002-14</t>
  </si>
  <si>
    <t xml:space="preserve">CAS </t>
  </si>
  <si>
    <t>Nos.</t>
  </si>
  <si>
    <t>V</t>
  </si>
  <si>
    <t>t</t>
  </si>
  <si>
    <t>oR</t>
  </si>
  <si>
    <t>PAH HAPs TOTAL</t>
  </si>
  <si>
    <t>Table 11.1-14</t>
  </si>
  <si>
    <t>Volatile organic HAPs, TOTAL</t>
  </si>
  <si>
    <t>Predictive Emission Factor Equations for Load-out and silo Filling Operations</t>
  </si>
  <si>
    <t>source</t>
  </si>
  <si>
    <t>pollutant</t>
  </si>
  <si>
    <t>EF (lb/ton)</t>
  </si>
  <si>
    <t>Organic PM</t>
  </si>
  <si>
    <t>TOC</t>
  </si>
  <si>
    <t>Table 11.1-15</t>
  </si>
  <si>
    <t>Speciation Profiles for Load-out, Silo Filling and Asphalt Storage Emissions - Organic PM based Compounds</t>
  </si>
  <si>
    <t>Spec. profile for Load-out and yard emissions</t>
  </si>
  <si>
    <t>Spec. profile for Silo filling and asphalt storage tank emissions</t>
  </si>
  <si>
    <t>Hydrgen Sulfide (T)</t>
  </si>
  <si>
    <t>% Compound / Organic PM</t>
  </si>
  <si>
    <t>loadout emission factors (lb/ton)</t>
  </si>
  <si>
    <t>Silo filling emission factors (lb/ton)</t>
  </si>
  <si>
    <t>Table 11.1-16</t>
  </si>
  <si>
    <t>Speciation Profiles for Load-out, Silo Filling and Asphalt Storage Emissions - Organic Volatile based Compounds</t>
  </si>
  <si>
    <t>% Compound / TOC</t>
  </si>
  <si>
    <t>Trichlorofluoromethane (CFC 111) (T)</t>
  </si>
  <si>
    <t>75694</t>
  </si>
  <si>
    <t>Hydrogen Sulfide</t>
  </si>
  <si>
    <t>*** These emissions factors were taken from the October 12, 2005 letter from Keith Overcash stating the emissions factors resulting from testing</t>
  </si>
  <si>
    <t xml:space="preserve">at Mangum Asphalt Services, Knightdale, Wake County, and at S.T. Wooten Asphalt Services, Sanford, Lee County. </t>
  </si>
  <si>
    <t>Emission factors current as of</t>
  </si>
  <si>
    <t>BATCH</t>
  </si>
  <si>
    <t>DRUM</t>
  </si>
  <si>
    <t>KEY:</t>
  </si>
  <si>
    <t>Metals in Red</t>
  </si>
  <si>
    <t>Dryer, hot screens and mixer (with fabric filter)</t>
  </si>
  <si>
    <t>Natural gas or No.2 fuel oil-fired dryer, hot screens and mixer with fabric filter</t>
  </si>
  <si>
    <t>Waste oil-,drain oil- or No.6 fuel oil-fired dryer, hot screens and mixer with fabric filter</t>
  </si>
  <si>
    <t>Natural gas-fired dryer with fabric filter</t>
  </si>
  <si>
    <t>No.2 fuel oil-fired dryer with fabric filter</t>
  </si>
  <si>
    <t>Waste oil-fired dryer with fabric filter</t>
  </si>
  <si>
    <t>Fuel oil or waste oil-fired dryer with fabric filter</t>
  </si>
  <si>
    <t>Fuel oil or waste oil-fired dryer uncontrolled</t>
  </si>
  <si>
    <t>Fuel oil-fired dryer uncontrolled</t>
  </si>
  <si>
    <t>Natural gas or propane-fired dryer with fabric filter</t>
  </si>
  <si>
    <t>No.2 fuel oil, waste oil, drain oil No.6 fuel oil -fired dryer with fabric filter</t>
  </si>
  <si>
    <t>Dioxins in Green</t>
  </si>
  <si>
    <t>METALS</t>
  </si>
  <si>
    <t>All blue cells on this sheet are linked to other cells. Correct original cell</t>
  </si>
  <si>
    <t>All black cells are original cells</t>
  </si>
  <si>
    <t>SCC 3-05-002-45, -46, -47</t>
  </si>
  <si>
    <t>SCC 3-05-002-45, -46</t>
  </si>
  <si>
    <t>SCC 3-05-002-47</t>
  </si>
  <si>
    <t>SCC 3-05-002-55, -56, -57</t>
  </si>
  <si>
    <t>SCC 3-05-002-58, -59, -60</t>
  </si>
  <si>
    <t>SCC 3-05-002-61, -62, -63</t>
  </si>
  <si>
    <t>SCC 3-05-002-58, -59, -60, -61, -62, -63</t>
  </si>
  <si>
    <t>Table 11.1-11</t>
  </si>
  <si>
    <t>Table 11.1-9</t>
  </si>
  <si>
    <t>Table 11.1-10</t>
  </si>
  <si>
    <t>Table 11.1-12</t>
  </si>
  <si>
    <t>DIOXINS</t>
  </si>
  <si>
    <t>T</t>
  </si>
  <si>
    <t>H</t>
  </si>
  <si>
    <t/>
  </si>
  <si>
    <t>Acetamide (H)</t>
  </si>
  <si>
    <t>60355</t>
  </si>
  <si>
    <t>Acetic acid (T)</t>
  </si>
  <si>
    <t>64197</t>
  </si>
  <si>
    <t>Acetonitrile (H)</t>
  </si>
  <si>
    <t>75058</t>
  </si>
  <si>
    <t>Acetophenone (H)</t>
  </si>
  <si>
    <t>98862</t>
  </si>
  <si>
    <t>Acetylaminofluorene, 2-  (H)</t>
  </si>
  <si>
    <t>53963</t>
  </si>
  <si>
    <t>Acrylamide (H)</t>
  </si>
  <si>
    <t>79061</t>
  </si>
  <si>
    <t>Acrylic acid (H)</t>
  </si>
  <si>
    <t>79107</t>
  </si>
  <si>
    <t>Acrylonitrile (TH)</t>
  </si>
  <si>
    <t>107131</t>
  </si>
  <si>
    <t>Allyl chloride (H)</t>
  </si>
  <si>
    <t>107051</t>
  </si>
  <si>
    <t>Aminobiphenyl, 4-  (H)</t>
  </si>
  <si>
    <t>92671</t>
  </si>
  <si>
    <t>Ammonia (as NH3) (T)</t>
  </si>
  <si>
    <t>7664417</t>
  </si>
  <si>
    <t>Ammonium chromate  (T)</t>
  </si>
  <si>
    <t>7788989</t>
  </si>
  <si>
    <t>Ammonium dichromate  (T)</t>
  </si>
  <si>
    <t>7789095</t>
  </si>
  <si>
    <t>Aniline (TH)</t>
  </si>
  <si>
    <t>62533</t>
  </si>
  <si>
    <t>Anisidine, o- (H)</t>
  </si>
  <si>
    <t>90040</t>
  </si>
  <si>
    <t>Arsenic unlisted compounds (component of ASC) (TH)</t>
  </si>
  <si>
    <t>Asbestos (TH)</t>
  </si>
  <si>
    <t>1332214</t>
  </si>
  <si>
    <t>Aziridine (TH)</t>
  </si>
  <si>
    <t>151564</t>
  </si>
  <si>
    <t>Benzidene &amp; salts  (TH)</t>
  </si>
  <si>
    <t>92875</t>
  </si>
  <si>
    <t>should also be HAP</t>
  </si>
  <si>
    <t>Benzotrichloride (H)</t>
  </si>
  <si>
    <t>98077</t>
  </si>
  <si>
    <t>Benzyl chloride (TH)</t>
  </si>
  <si>
    <t>100447</t>
  </si>
  <si>
    <t>Beryllium metal (unreacted)  (TH)</t>
  </si>
  <si>
    <t>Beryllium chloride   (T)</t>
  </si>
  <si>
    <t>7787475</t>
  </si>
  <si>
    <t>Beryllium fluoride   (T)</t>
  </si>
  <si>
    <t>7787497</t>
  </si>
  <si>
    <t>Beryllium metal  (T)</t>
  </si>
  <si>
    <t>Beryllium nitrate   (T)</t>
  </si>
  <si>
    <t>13597994</t>
  </si>
  <si>
    <t>Biphenyl  (H)</t>
  </si>
  <si>
    <t>92524</t>
  </si>
  <si>
    <t>Bis-chloromethyl ether (TH)</t>
  </si>
  <si>
    <t>542881</t>
  </si>
  <si>
    <t>Bromine (T)</t>
  </si>
  <si>
    <t>7726956</t>
  </si>
  <si>
    <t>Bromoform (H)</t>
  </si>
  <si>
    <t>75252</t>
  </si>
  <si>
    <t>Butadiene, 1,3- (TH)</t>
  </si>
  <si>
    <t>106990</t>
  </si>
  <si>
    <t>Cadmium acetate  (T)</t>
  </si>
  <si>
    <t>543908</t>
  </si>
  <si>
    <t>Cadmium bromide  (T)</t>
  </si>
  <si>
    <t>7789426</t>
  </si>
  <si>
    <t>Calcium cyanamide (H)</t>
  </si>
  <si>
    <t>156627</t>
  </si>
  <si>
    <t>Captan (H)</t>
  </si>
  <si>
    <t>133062</t>
  </si>
  <si>
    <t>Carbaryl (H)</t>
  </si>
  <si>
    <t>63252</t>
  </si>
  <si>
    <t>Carbon tetrachloride (TH)</t>
  </si>
  <si>
    <t>56235</t>
  </si>
  <si>
    <t>Carbonyl sulfide (H)</t>
  </si>
  <si>
    <t>463581</t>
  </si>
  <si>
    <t>Catechol (H)</t>
  </si>
  <si>
    <t>120809</t>
  </si>
  <si>
    <t>Chloramben (H)</t>
  </si>
  <si>
    <t>133904</t>
  </si>
  <si>
    <t>Chlordane (H)</t>
  </si>
  <si>
    <t>57749</t>
  </si>
  <si>
    <t>Chlorine (TH)</t>
  </si>
  <si>
    <t>7782505</t>
  </si>
  <si>
    <t>Chloroacetic acid (H)</t>
  </si>
  <si>
    <t>79118</t>
  </si>
  <si>
    <t>Chloroacetophenone, 2- (H)</t>
  </si>
  <si>
    <t>532274</t>
  </si>
  <si>
    <t>Chlorobenzene (TH)</t>
  </si>
  <si>
    <t>108907</t>
  </si>
  <si>
    <t>Chlorobenzilate  (H)</t>
  </si>
  <si>
    <t>510156</t>
  </si>
  <si>
    <t>Chloroform (TH)</t>
  </si>
  <si>
    <t>67663</t>
  </si>
  <si>
    <t>Chloromethyl methyl ether (H)</t>
  </si>
  <si>
    <t>107302</t>
  </si>
  <si>
    <t>Chloroprene (TH)</t>
  </si>
  <si>
    <t>126998</t>
  </si>
  <si>
    <t>Bioavailable Chromate (VI) Pigments as a Group  (T)</t>
  </si>
  <si>
    <t>BioCR6</t>
  </si>
  <si>
    <t>Chromic Acid (VI) (component of SolCR6 and CRC) (TH)</t>
  </si>
  <si>
    <t>Non-Specific Chromium (VI) Compounds, as Chrom(VI)  (T)</t>
  </si>
  <si>
    <t>NSCR6</t>
  </si>
  <si>
    <t>COC-other</t>
  </si>
  <si>
    <t>Cresol (mixed isomers) (TH)</t>
  </si>
  <si>
    <t>1319773</t>
  </si>
  <si>
    <t>Cresol, m- (H)</t>
  </si>
  <si>
    <t>108394</t>
  </si>
  <si>
    <t>Cresol, o- (H)</t>
  </si>
  <si>
    <t>95487</t>
  </si>
  <si>
    <t>Cresol, p- (H)</t>
  </si>
  <si>
    <t>106445</t>
  </si>
  <si>
    <t>Cyanide compounds  (H)</t>
  </si>
  <si>
    <t xml:space="preserve">CNC  </t>
  </si>
  <si>
    <t>D, 2,4 (salts &amp; esters) (H)</t>
  </si>
  <si>
    <t>94757</t>
  </si>
  <si>
    <t>DDE   (H)</t>
  </si>
  <si>
    <t>72559</t>
  </si>
  <si>
    <t>Di(2-ethylhexyl)phthalate (DEHP) (TH)</t>
  </si>
  <si>
    <t>117817</t>
  </si>
  <si>
    <t>Diazomethane (H)</t>
  </si>
  <si>
    <t>334883</t>
  </si>
  <si>
    <t>Dibenzofurans    (H)</t>
  </si>
  <si>
    <t>132649</t>
  </si>
  <si>
    <t>Dibromo-3-chloropropane, 1,2- (H)</t>
  </si>
  <si>
    <t>96128</t>
  </si>
  <si>
    <t>Dibutylphthalate (H)</t>
  </si>
  <si>
    <t>84742</t>
  </si>
  <si>
    <t>Dichlorobenzene(p), 1,4- (TH)</t>
  </si>
  <si>
    <t>106467</t>
  </si>
  <si>
    <t>Dichlorobenzidene, 3,3-  (H)</t>
  </si>
  <si>
    <t>91941</t>
  </si>
  <si>
    <t>Dichlorodifluoromethane (CFC-12) (T)</t>
  </si>
  <si>
    <t>75718</t>
  </si>
  <si>
    <t>Dichloroethyl ether (H)</t>
  </si>
  <si>
    <t>111444</t>
  </si>
  <si>
    <t>Dichlorofluoromethane (T)</t>
  </si>
  <si>
    <t>75434</t>
  </si>
  <si>
    <t>Dichloropropene, 1,3- (H)</t>
  </si>
  <si>
    <t>542756</t>
  </si>
  <si>
    <t>Dichlorvos (H)</t>
  </si>
  <si>
    <t>62737</t>
  </si>
  <si>
    <t>Diethanolamine (H)</t>
  </si>
  <si>
    <t>111422</t>
  </si>
  <si>
    <t>Diethyl aniline, N,N- (H)</t>
  </si>
  <si>
    <t>121697</t>
  </si>
  <si>
    <t>Diethyl sulfate (H)</t>
  </si>
  <si>
    <t>64675</t>
  </si>
  <si>
    <t>Dimethoxybenzidine, 3,3-   (H)</t>
  </si>
  <si>
    <t>119904</t>
  </si>
  <si>
    <t>Dimethyl aminoazobenzene (H)</t>
  </si>
  <si>
    <t>60117</t>
  </si>
  <si>
    <t>Dimethyl benzidine, 3,3-   (H)</t>
  </si>
  <si>
    <t>119937</t>
  </si>
  <si>
    <t>Dimethyl carbamoyl chloride (H)</t>
  </si>
  <si>
    <t>79447</t>
  </si>
  <si>
    <t>Dimethyl formamide (H)</t>
  </si>
  <si>
    <t>68122</t>
  </si>
  <si>
    <t>Dimethyl hydrazine, 1,1- (H)</t>
  </si>
  <si>
    <t>57147</t>
  </si>
  <si>
    <t>Dimethyl phthalate (H)</t>
  </si>
  <si>
    <t>131113</t>
  </si>
  <si>
    <t>Dimethyl sulfate (TH)</t>
  </si>
  <si>
    <t>77781</t>
  </si>
  <si>
    <t>Dinitro-o-cresol, 4,6- (&amp; salts) (H)</t>
  </si>
  <si>
    <t>534521</t>
  </si>
  <si>
    <t>Dinitrophenol, 2,4- (H)</t>
  </si>
  <si>
    <t>51285</t>
  </si>
  <si>
    <t>Dinitrotoluene, 2,4- (H)</t>
  </si>
  <si>
    <t>121142</t>
  </si>
  <si>
    <t>Dioxane, 1,4- (TH)</t>
  </si>
  <si>
    <t>123911</t>
  </si>
  <si>
    <t>Diphenylhydrazine, 1,2- (H)</t>
  </si>
  <si>
    <t>122667</t>
  </si>
  <si>
    <t>Epichlorohydrin (TH)</t>
  </si>
  <si>
    <t>106898</t>
  </si>
  <si>
    <t>Epoxybutane, 1,2- (H)</t>
  </si>
  <si>
    <t>106887</t>
  </si>
  <si>
    <t>Ethyl acetate (T)</t>
  </si>
  <si>
    <t>141786</t>
  </si>
  <si>
    <t>Ethyl acrylate (H)</t>
  </si>
  <si>
    <t>140885</t>
  </si>
  <si>
    <t>Ethyl carbamate (urethane) (H)</t>
  </si>
  <si>
    <t>51796</t>
  </si>
  <si>
    <t>Ethyl mercaptan (T)</t>
  </si>
  <si>
    <t>75081</t>
  </si>
  <si>
    <t>Ethylene dibromide (TH)</t>
  </si>
  <si>
    <t>106934</t>
  </si>
  <si>
    <t>Ethylene dichloride (1,2-dichloroethane) (TH)</t>
  </si>
  <si>
    <t>107062</t>
  </si>
  <si>
    <t>Ethylene glycol (H)</t>
  </si>
  <si>
    <t>107211</t>
  </si>
  <si>
    <t>Ethylene glycol monoethyl ether  (T)</t>
  </si>
  <si>
    <t>110805</t>
  </si>
  <si>
    <t>Ethylene oxide (TH)</t>
  </si>
  <si>
    <t>75218</t>
  </si>
  <si>
    <t>Ethylene thiourea (H)</t>
  </si>
  <si>
    <t>96457</t>
  </si>
  <si>
    <t>Ethylenediamine (T)</t>
  </si>
  <si>
    <t>107153</t>
  </si>
  <si>
    <t>Ethylidene dichloride (1,1-dichloroethane) (H)</t>
  </si>
  <si>
    <t>75343</t>
  </si>
  <si>
    <t>Fine mineral fibers (H)</t>
  </si>
  <si>
    <t xml:space="preserve">FMF </t>
  </si>
  <si>
    <t>Fluorides (sum fluoride compounds) (T)</t>
  </si>
  <si>
    <t>16984488</t>
  </si>
  <si>
    <t>Glycol ethers  (H)</t>
  </si>
  <si>
    <t>GLYET</t>
  </si>
  <si>
    <t>Heptachlor (H)</t>
  </si>
  <si>
    <t>76448</t>
  </si>
  <si>
    <t>Hexachlorobenzene (H)</t>
  </si>
  <si>
    <t>118741</t>
  </si>
  <si>
    <t>Hexachlorobutadiene (H)</t>
  </si>
  <si>
    <t>87683</t>
  </si>
  <si>
    <t>Hexachlorocyclopentadiene (TH)</t>
  </si>
  <si>
    <t>77474</t>
  </si>
  <si>
    <t>Hexachloroethane (H)</t>
  </si>
  <si>
    <t>67721</t>
  </si>
  <si>
    <t>Hexamethylene-1,6-diisocyanate (H)</t>
  </si>
  <si>
    <t>822060</t>
  </si>
  <si>
    <t>Hexamethylphosphoramide (H)</t>
  </si>
  <si>
    <t>680319</t>
  </si>
  <si>
    <t>Hexane (isomers, except n-hexane) (T)</t>
  </si>
  <si>
    <t>HEXANEISO</t>
  </si>
  <si>
    <t>Hydrazine (TH)</t>
  </si>
  <si>
    <t>302012</t>
  </si>
  <si>
    <t>Hydrogen chloride (hydrochloric acid) (TH)</t>
  </si>
  <si>
    <t>Hydrogen cyanide (as HCN) (T)</t>
  </si>
  <si>
    <t>Hydrogen fluoride (hydrofluoric acid)  (TH)</t>
  </si>
  <si>
    <t>7664393</t>
  </si>
  <si>
    <t>Hydrogen sulfide (T)</t>
  </si>
  <si>
    <t>7783064</t>
  </si>
  <si>
    <t>Hydroquinone (H)</t>
  </si>
  <si>
    <t>123319</t>
  </si>
  <si>
    <t>Isophorone (H)</t>
  </si>
  <si>
    <t>78591</t>
  </si>
  <si>
    <t xml:space="preserve">PBC-other </t>
  </si>
  <si>
    <t>Lindane (all isomers) (H)</t>
  </si>
  <si>
    <t>58899</t>
  </si>
  <si>
    <t>Maleic anhydride (TH)</t>
  </si>
  <si>
    <t>108316</t>
  </si>
  <si>
    <t xml:space="preserve">MNC-other </t>
  </si>
  <si>
    <t>Manganese cyclopentadienyl tricarbonyl (T)</t>
  </si>
  <si>
    <t>12079651</t>
  </si>
  <si>
    <t>Manganese tetroxide  (T)</t>
  </si>
  <si>
    <t>1317357</t>
  </si>
  <si>
    <t>Mercury - Alkyl compounds, total mass (T)</t>
  </si>
  <si>
    <t xml:space="preserve">MERCALKYL </t>
  </si>
  <si>
    <t>Mercury, aryl and inorganic compounds (T)</t>
  </si>
  <si>
    <t>MERCARYL</t>
  </si>
  <si>
    <t>Mercury, vapor (T)</t>
  </si>
  <si>
    <t>7439976</t>
  </si>
  <si>
    <t>Methanol (H)</t>
  </si>
  <si>
    <t>67561</t>
  </si>
  <si>
    <t>Methoxychlor (H)</t>
  </si>
  <si>
    <t>72435</t>
  </si>
  <si>
    <t>Methyl hydrazine (H)</t>
  </si>
  <si>
    <t>60344</t>
  </si>
  <si>
    <t>Methyl iodide (H)</t>
  </si>
  <si>
    <t>74884</t>
  </si>
  <si>
    <t>Methyl isobutyl ketone (TH)</t>
  </si>
  <si>
    <t>108101</t>
  </si>
  <si>
    <t>Methyl isocyanate (H)</t>
  </si>
  <si>
    <t>624839</t>
  </si>
  <si>
    <t>Methyl mercaptan (T)</t>
  </si>
  <si>
    <t>74931</t>
  </si>
  <si>
    <t>Methyl methacrylate (H)</t>
  </si>
  <si>
    <t>80626</t>
  </si>
  <si>
    <t>Methyl tertiary butyl ether (H)</t>
  </si>
  <si>
    <t>1634044</t>
  </si>
  <si>
    <t>Methylene bis(2-chloroaniline), 4,4-  (H)</t>
  </si>
  <si>
    <t>101144</t>
  </si>
  <si>
    <t>Methylene diphenyl diisocyanate (MDI)  (H)</t>
  </si>
  <si>
    <t>101688</t>
  </si>
  <si>
    <t>Methylenedianiline, 4,4- (H)</t>
  </si>
  <si>
    <t>101779</t>
  </si>
  <si>
    <t>Nickel carbonyl  (T)</t>
  </si>
  <si>
    <t>13463393</t>
  </si>
  <si>
    <t>Nickel metal  (T)</t>
  </si>
  <si>
    <t>7440020</t>
  </si>
  <si>
    <t>Nickel subsulfide  (T)</t>
  </si>
  <si>
    <t>12035722</t>
  </si>
  <si>
    <t>Nickel, soluble compounds as nickel (T)</t>
  </si>
  <si>
    <t>NICKSOLCP</t>
  </si>
  <si>
    <t>Nitric acid (T)</t>
  </si>
  <si>
    <t>7697372</t>
  </si>
  <si>
    <t>Nitrobenzene (TH)</t>
  </si>
  <si>
    <t>98953</t>
  </si>
  <si>
    <t>Nitrobiphenyl, 4-  (H)</t>
  </si>
  <si>
    <t>92933</t>
  </si>
  <si>
    <t>Nitrophenol, 4- (H)</t>
  </si>
  <si>
    <t>100027</t>
  </si>
  <si>
    <t>Nitropropane, 2- (H)</t>
  </si>
  <si>
    <t>79469</t>
  </si>
  <si>
    <t>Nitroso-N-methylurea, N- (H)</t>
  </si>
  <si>
    <t>684935</t>
  </si>
  <si>
    <t>Nitrosodimethylamine, N- (TH)</t>
  </si>
  <si>
    <t>62759</t>
  </si>
  <si>
    <t>Nitrosomorpholine, N- (H)</t>
  </si>
  <si>
    <t>59892</t>
  </si>
  <si>
    <t>Parathion (H)</t>
  </si>
  <si>
    <t>56382</t>
  </si>
  <si>
    <t>Pentachloronitrobenzene (H)</t>
  </si>
  <si>
    <t>82688</t>
  </si>
  <si>
    <t>Pentachlorophenol (TH)</t>
  </si>
  <si>
    <t>87865</t>
  </si>
  <si>
    <t>Phenylenediamine, p- (H)</t>
  </si>
  <si>
    <t>106503</t>
  </si>
  <si>
    <t>Phosgene (TH)</t>
  </si>
  <si>
    <t>75445</t>
  </si>
  <si>
    <t>Phosphine (TH)</t>
  </si>
  <si>
    <t>7803512</t>
  </si>
  <si>
    <t>Phthalic anhydride (H)</t>
  </si>
  <si>
    <t>85449</t>
  </si>
  <si>
    <t>Polychlorinated biphenyls  (TH)</t>
  </si>
  <si>
    <t>1336363</t>
  </si>
  <si>
    <t>Propane sultone, 1,3- (H)</t>
  </si>
  <si>
    <t>1120714</t>
  </si>
  <si>
    <t>Propiolactone, beta (H)</t>
  </si>
  <si>
    <t>57578</t>
  </si>
  <si>
    <t>Propoxur (baygon) (H)</t>
  </si>
  <si>
    <t>114261</t>
  </si>
  <si>
    <t>Propylene dichloride (H)</t>
  </si>
  <si>
    <t>78875</t>
  </si>
  <si>
    <t>Propylene oxide (H)</t>
  </si>
  <si>
    <t>75569</t>
  </si>
  <si>
    <t>Propylenimine, 1,2- (H)</t>
  </si>
  <si>
    <t>75558</t>
  </si>
  <si>
    <t>Quinoline  (H)</t>
  </si>
  <si>
    <t>91225</t>
  </si>
  <si>
    <t>Styrene oxide (H)</t>
  </si>
  <si>
    <t>96093</t>
  </si>
  <si>
    <t>Sulfuric acid (T)</t>
  </si>
  <si>
    <t>7664939</t>
  </si>
  <si>
    <t>Tetrachloro-1,2-difluoroethane, 1,1,2,2- (CFC 112) (T)</t>
  </si>
  <si>
    <t>76120</t>
  </si>
  <si>
    <t>Tetrachloro-2,2-difluoroethane, 1,1,1,2- (CFC 112a) (T)</t>
  </si>
  <si>
    <t>76119</t>
  </si>
  <si>
    <t>Tetrachloroethane, 1,1,2,2- (TH)</t>
  </si>
  <si>
    <t>79345</t>
  </si>
  <si>
    <t>Titanium tetrachloride (H)</t>
  </si>
  <si>
    <t>7550450</t>
  </si>
  <si>
    <t>Toluene diamine, 2,4- (H)</t>
  </si>
  <si>
    <t>95807</t>
  </si>
  <si>
    <t>Toluene diisocyanate, 2,4- and 2,6- isomers (TH)</t>
  </si>
  <si>
    <t>584849</t>
  </si>
  <si>
    <t>Toluidine, o- (H)</t>
  </si>
  <si>
    <t>95534</t>
  </si>
  <si>
    <t>Toxaphene (H)</t>
  </si>
  <si>
    <t>8001352</t>
  </si>
  <si>
    <t>Trichloro-1,2,2-trifluoroethane, 1,1,2- (CFC-113) (T)</t>
  </si>
  <si>
    <t>76131</t>
  </si>
  <si>
    <t>Trichlorobenzene, 1,2,4- (H)</t>
  </si>
  <si>
    <t>120821</t>
  </si>
  <si>
    <t>Trichloroethane, 1,1,2- (H)</t>
  </si>
  <si>
    <t>79005</t>
  </si>
  <si>
    <t>Trichlorophenol, 2,4,5- (H)</t>
  </si>
  <si>
    <t>95954</t>
  </si>
  <si>
    <t>Trichlorophenol, 2,4,6- (H)</t>
  </si>
  <si>
    <t>88062</t>
  </si>
  <si>
    <t>Triethylamine (H)</t>
  </si>
  <si>
    <t>121448</t>
  </si>
  <si>
    <t>Trifluralin (H)</t>
  </si>
  <si>
    <t>1582098</t>
  </si>
  <si>
    <t>Vinyl acetate (H)</t>
  </si>
  <si>
    <t>108054</t>
  </si>
  <si>
    <t>Vinyl bromide (H)</t>
  </si>
  <si>
    <t>593602</t>
  </si>
  <si>
    <t>Vinyl chloride (TH)</t>
  </si>
  <si>
    <t>75014</t>
  </si>
  <si>
    <t>Vinylidene chloride (TH)</t>
  </si>
  <si>
    <t>75354</t>
  </si>
  <si>
    <t>Xylene, m- (H)</t>
  </si>
  <si>
    <t>108383</t>
  </si>
  <si>
    <t>Xylene, p- (H)</t>
  </si>
  <si>
    <t>106423</t>
  </si>
  <si>
    <t>sums</t>
  </si>
  <si>
    <t>Non- PAH HAPs, TOTAL</t>
  </si>
  <si>
    <t>PAH HAPs, TOTAL</t>
  </si>
  <si>
    <t>Total PCDD</t>
  </si>
  <si>
    <t>Total PCDF</t>
  </si>
  <si>
    <t>toal PCDD/PCDF</t>
  </si>
  <si>
    <t>PLANT TYPE</t>
  </si>
  <si>
    <t>2 and 5</t>
  </si>
  <si>
    <t>1. Batch mix</t>
  </si>
  <si>
    <t>Table 11.1-1</t>
  </si>
  <si>
    <t>2. Drum mix</t>
  </si>
  <si>
    <t>PM Emission Factors for Batch Mix HMAPs</t>
  </si>
  <si>
    <t>inorganic</t>
  </si>
  <si>
    <t>organic</t>
  </si>
  <si>
    <t>TOTAL</t>
  </si>
  <si>
    <t>dryer, hot screens, mixer</t>
  </si>
  <si>
    <t>filterable</t>
  </si>
  <si>
    <t>condensible</t>
  </si>
  <si>
    <t>1.Natural gas-fired</t>
  </si>
  <si>
    <t>PM</t>
  </si>
  <si>
    <t>PM10</t>
  </si>
  <si>
    <t>2. No.2 fuel oil-fired</t>
  </si>
  <si>
    <t>3. Waste or No.6 fuel oil-fired</t>
  </si>
  <si>
    <t>uncontrolled</t>
  </si>
  <si>
    <t>fabric filter</t>
  </si>
  <si>
    <t>venturi or wet scrubber</t>
  </si>
  <si>
    <t>1. uncontrolled</t>
  </si>
  <si>
    <t>2. Fabric filter controls</t>
  </si>
  <si>
    <t>Table 11.1-3</t>
  </si>
  <si>
    <t>3. Venturi or wet scrubber controls</t>
  </si>
  <si>
    <t>PM Emission Factors for Drum Mix HMAPs</t>
  </si>
  <si>
    <t>SCC 3-05-002-05, -55 to -63</t>
  </si>
  <si>
    <t>Table 11.1-5 and 6</t>
  </si>
  <si>
    <t>Emission Factors for CO, CO2, Nox and SO2 from Batch Mix HMAPs</t>
  </si>
  <si>
    <t>CO2</t>
  </si>
  <si>
    <t>Natural gas fired dryer, hot screens and mixer</t>
  </si>
  <si>
    <t>SCC 3-05-002-45</t>
  </si>
  <si>
    <t>No.2 fuel oil-fired dryer, hot screens and mixer</t>
  </si>
  <si>
    <t>SCC 3-05-002-46</t>
  </si>
  <si>
    <t>Waste oil-fired dryer, hot screens and mixer</t>
  </si>
  <si>
    <t>Coal-fired dryer, hot screens and mixer</t>
  </si>
  <si>
    <t>ND</t>
  </si>
  <si>
    <t>SCC 3-05-002-98</t>
  </si>
  <si>
    <t>No.6 fuel oil-fired dryer, hot screens and mixer</t>
  </si>
  <si>
    <t>Table 11.1-7 and 8</t>
  </si>
  <si>
    <t>Emission Factors for CO, CO2, Nox and SO2 from Drum Mix HMAPs</t>
  </si>
  <si>
    <t>HCL</t>
  </si>
  <si>
    <t>Natural gas fired dryer</t>
  </si>
  <si>
    <t>No.2 fuel oil-fired dryer</t>
  </si>
  <si>
    <t>Waste oil-fired dryer</t>
  </si>
  <si>
    <t>Coal-fired dryer,</t>
  </si>
  <si>
    <t>from Chapter 1.3 , AP-42, Fuel Oil Combustion, revised 09/98, Table 1.3.1</t>
  </si>
  <si>
    <t>over 100 mmBtu/hr</t>
  </si>
  <si>
    <t>under 100 mmBtu/hr</t>
  </si>
  <si>
    <t>No.6, No.5</t>
  </si>
  <si>
    <t>no.2</t>
  </si>
  <si>
    <t>natural gas HV</t>
  </si>
  <si>
    <t>mmBtu/million scf</t>
  </si>
  <si>
    <t>No. 2 HV</t>
  </si>
  <si>
    <t>mmBtu/1000 gallons</t>
  </si>
  <si>
    <t>emissionNG combustion EF</t>
  </si>
  <si>
    <t>lb SO2/ million scf</t>
  </si>
  <si>
    <t>No. 6 HV</t>
  </si>
  <si>
    <t>lb SO2/ mmBtu</t>
  </si>
  <si>
    <t>Note : 50% of the fuel bound sulfur up to a maximum (as SO2) of 0.1 lb/ton of product is expected to be retained in product.</t>
  </si>
  <si>
    <t>lb SO2 retained / ton of product</t>
  </si>
  <si>
    <t>Corrected SO emission rate (lb/ton asphalt produced)</t>
  </si>
  <si>
    <t>SO emission factor (lb/1000 gallons)/ %S</t>
  </si>
  <si>
    <t>SO emission factor (lb/mmBtu)</t>
  </si>
  <si>
    <t>SO emission rate (lb/hr)</t>
  </si>
  <si>
    <t>SO emission rate (lb/ton asphalt produced)</t>
  </si>
  <si>
    <t>50% of fuel bound sulfur (as SO2, lb/ton)</t>
  </si>
  <si>
    <t>less than 0.1 lb/ton?</t>
  </si>
  <si>
    <t>Antimony &amp; compounds (H)</t>
  </si>
  <si>
    <t xml:space="preserve">SBC </t>
  </si>
  <si>
    <t xml:space="preserve">SBC-other </t>
  </si>
  <si>
    <t>Arsenic &amp; compounds  (TH)</t>
  </si>
  <si>
    <t xml:space="preserve">ASC </t>
  </si>
  <si>
    <t>Beryllium &amp; compounds  (H)</t>
  </si>
  <si>
    <t xml:space="preserve">BEC  </t>
  </si>
  <si>
    <t>Beryllium metal  (unreacted) (T)</t>
  </si>
  <si>
    <t>Cadmium &amp; compounds  (TH)</t>
  </si>
  <si>
    <t>CDC</t>
  </si>
  <si>
    <t>Chromium - All/Total  (H)</t>
  </si>
  <si>
    <t>CRC</t>
  </si>
  <si>
    <t>Soluble Chromate Compounds, as Chromium (VI) (T)</t>
  </si>
  <si>
    <t>SolCR6</t>
  </si>
  <si>
    <t>Chromium unlisted compounds (H)</t>
  </si>
  <si>
    <t>Chromic acid (VI) (TH)</t>
  </si>
  <si>
    <t>Cobalt &amp; compounds (H)</t>
  </si>
  <si>
    <t xml:space="preserve">COC </t>
  </si>
  <si>
    <t>Hexachlorodibenzo-p-dioxin 1,2,3,6,7,8 (T)</t>
  </si>
  <si>
    <t>Lead &amp; lead compounds (H)</t>
  </si>
  <si>
    <t xml:space="preserve">PBC </t>
  </si>
  <si>
    <t>Manganese &amp; compounds (TH)</t>
  </si>
  <si>
    <t>MNC</t>
  </si>
  <si>
    <t>Manganese unlisted compounds (TH)</t>
  </si>
  <si>
    <t>Mercury  &amp; Compounds  (H)</t>
  </si>
  <si>
    <t xml:space="preserve">HGC </t>
  </si>
  <si>
    <t>Nickel &amp; Compounds (H)</t>
  </si>
  <si>
    <t xml:space="preserve">NIC  </t>
  </si>
  <si>
    <t>ASPHALT EMISSIONS CALCULATOR REVISION G 08/30/2019 REVISIONS SCREEN</t>
  </si>
  <si>
    <r>
      <t xml:space="preserve">4. Use the mouse pointer to read the tips in the </t>
    </r>
    <r>
      <rPr>
        <b/>
        <sz val="10"/>
        <color indexed="10"/>
        <rFont val="Arial"/>
        <family val="2"/>
      </rPr>
      <t>"red cornered"</t>
    </r>
    <r>
      <rPr>
        <b/>
        <sz val="10"/>
        <rFont val="Arial"/>
        <family val="2"/>
      </rPr>
      <t xml:space="preserve"> input cells.</t>
    </r>
  </si>
  <si>
    <t>Version</t>
  </si>
  <si>
    <t>Date</t>
  </si>
  <si>
    <t>Author</t>
  </si>
  <si>
    <t>Revisions</t>
  </si>
  <si>
    <t>Revision B</t>
  </si>
  <si>
    <t xml:space="preserve"> Joe Voelker</t>
  </si>
  <si>
    <t>Overall update to reflect new spreadsheet template format</t>
  </si>
  <si>
    <t>Changed TV PTE calculation as described on README page.</t>
  </si>
  <si>
    <t>Added functionality on input page to input number and type of RAP crushing equipment</t>
  </si>
  <si>
    <t>Added functionality on NSPS input section to include method 5 test results from which TV calculations can be based.</t>
  </si>
  <si>
    <t>Added 4 columns on Toxic Calculations page detailing the emission factor and rates from the silo filling and load out individually</t>
  </si>
  <si>
    <t>Revision C</t>
  </si>
  <si>
    <t>Joe Voelker</t>
  </si>
  <si>
    <t>On Output sheet, the CO and NOx hourly and annual emission rates were corrected by referencing to the correct cells on the input sheet.</t>
  </si>
  <si>
    <t>Revision D</t>
  </si>
  <si>
    <t>Lori Phillips</t>
  </si>
  <si>
    <t>Corrected toluene emission factor for use with No. 2 fuel oil-fired dryer</t>
  </si>
  <si>
    <t>Added H2S emission factors to workbook</t>
  </si>
  <si>
    <t>Updated Pollutant names and CAS numbers for Toxic Air Pollutant list throughout workbook</t>
  </si>
  <si>
    <t>Revision E</t>
  </si>
  <si>
    <t xml:space="preserve">Added HCl emissions from waste oil for drum mix facilities. </t>
  </si>
  <si>
    <t>Alphabetized HAP/TAP lists on the output worksheet.</t>
  </si>
  <si>
    <t>Added Total HAP and High HAP to the output worksheet.</t>
  </si>
  <si>
    <t>Revision F</t>
  </si>
  <si>
    <t>Dena Pittman</t>
  </si>
  <si>
    <t>Minor changes to metal toxics description and CAS# in input, output, toxic calculations and HAP TAP Factors tabs.</t>
  </si>
  <si>
    <t xml:space="preserve">Revised the Total Chromium and Chromium VI emissions calculations.     </t>
  </si>
  <si>
    <t>Revised the RAP emission factors with AP-42 Table 11.19-2.2 emissions factors dated 3/04.</t>
  </si>
  <si>
    <t>Revision G</t>
  </si>
  <si>
    <t>Removed trichlorofluoromethane.</t>
  </si>
  <si>
    <t>Designated haxachlorodibenzo-p-diozin as a 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</si>
</sst>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E+00"/>
    <numFmt numFmtId="169" formatCode="0.000E+00"/>
    <numFmt numFmtId="170" formatCode="#,##0.0"/>
  </numFmts>
  <fonts count="37">
    <font>
      <sz val="10"/>
      <name val="Arial"/>
    </font>
    <font>
      <sz val="10"/>
      <name val="Arial"/>
    </font>
    <font>
      <sz val="8"/>
      <name val="Arial"/>
      <family val="2"/>
    </font>
    <font>
      <b/>
      <sz val="8"/>
      <color indexed="10"/>
      <name val="Arial"/>
      <family val="2"/>
    </font>
    <font>
      <b/>
      <sz val="8"/>
      <color indexed="12"/>
      <name val="Arial"/>
      <family val="2"/>
    </font>
    <font>
      <b/>
      <sz val="10"/>
      <color indexed="10"/>
      <name val="Arial"/>
      <family val="2"/>
    </font>
    <font>
      <b/>
      <sz val="8"/>
      <name val="Arial"/>
      <family val="2"/>
    </font>
    <font>
      <b/>
      <sz val="10"/>
      <color indexed="12"/>
      <name val="Arial"/>
      <family val="2"/>
    </font>
    <font>
      <b/>
      <i/>
      <sz val="10"/>
      <name val="Arial"/>
      <family val="2"/>
    </font>
    <font>
      <sz val="10"/>
      <name val="Arial"/>
      <family val="2"/>
    </font>
    <font>
      <b/>
      <sz val="14"/>
      <color indexed="12"/>
      <name val="Arial"/>
      <family val="2"/>
    </font>
    <font>
      <sz val="10"/>
      <color indexed="12"/>
      <name val="Arial"/>
      <family val="2"/>
    </font>
    <font>
      <sz val="6"/>
      <name val="Arial"/>
      <family val="2"/>
    </font>
    <font>
      <b/>
      <sz val="10"/>
      <name val="Arial"/>
      <family val="2"/>
    </font>
    <font>
      <vertAlign val="subscript"/>
      <sz val="10"/>
      <name val="Arial"/>
      <family val="2"/>
    </font>
    <font>
      <sz val="9"/>
      <name val="Arial"/>
      <family val="2"/>
    </font>
    <font>
      <sz val="8"/>
      <color indexed="10"/>
      <name val="Arial"/>
      <family val="2"/>
    </font>
    <font>
      <sz val="8"/>
      <color indexed="11"/>
      <name val="Arial"/>
      <family val="2"/>
    </font>
    <font>
      <sz val="8"/>
      <color indexed="12"/>
      <name val="Arial"/>
      <family val="2"/>
    </font>
    <font>
      <sz val="8"/>
      <color indexed="50"/>
      <name val="Arial"/>
      <family val="2"/>
    </font>
    <font>
      <vertAlign val="subscript"/>
      <sz val="8"/>
      <name val="Arial"/>
      <family val="2"/>
    </font>
    <font>
      <i/>
      <sz val="10"/>
      <name val="Arial"/>
      <family val="2"/>
    </font>
    <font>
      <b/>
      <u/>
      <sz val="10"/>
      <name val="Arial"/>
      <family val="2"/>
    </font>
    <font>
      <i/>
      <sz val="8"/>
      <name val="Arial"/>
      <family val="2"/>
    </font>
    <font>
      <sz val="10"/>
      <color indexed="10"/>
      <name val="Arial"/>
      <family val="2"/>
    </font>
    <font>
      <sz val="8"/>
      <color indexed="81"/>
      <name val="Tahoma"/>
    </font>
    <font>
      <b/>
      <sz val="8"/>
      <color indexed="81"/>
      <name val="Tahoma"/>
    </font>
    <font>
      <sz val="9"/>
      <color indexed="81"/>
      <name val="Arial"/>
      <family val="2"/>
    </font>
    <font>
      <sz val="10"/>
      <color indexed="81"/>
      <name val="Tahoma"/>
      <family val="2"/>
    </font>
    <font>
      <sz val="10"/>
      <color indexed="81"/>
      <name val="Arial"/>
      <family val="2"/>
    </font>
    <font>
      <b/>
      <sz val="9"/>
      <color indexed="81"/>
      <name val="Arial"/>
      <family val="2"/>
    </font>
    <font>
      <sz val="12"/>
      <name val="Arial"/>
      <family val="2"/>
    </font>
    <font>
      <b/>
      <sz val="12"/>
      <name val="Arial"/>
      <family val="2"/>
    </font>
    <font>
      <u/>
      <sz val="10"/>
      <name val="Arial"/>
      <family val="2"/>
    </font>
    <font>
      <sz val="8"/>
      <color theme="1"/>
      <name val="Arial"/>
      <family val="2"/>
    </font>
    <font>
      <sz val="8"/>
      <color rgb="FFFF0000"/>
      <name val="Arial"/>
      <family val="2"/>
    </font>
    <font>
      <sz val="8"/>
      <color rgb="FF000000"/>
      <name val="Tahoma"/>
      <family val="2"/>
    </font>
  </fonts>
  <fills count="13">
    <fill>
      <patternFill patternType="none"/>
    </fill>
    <fill>
      <patternFill patternType="gray125"/>
    </fill>
    <fill>
      <patternFill patternType="solid">
        <fgColor indexed="13"/>
        <bgColor indexed="64"/>
      </patternFill>
    </fill>
    <fill>
      <patternFill patternType="solid">
        <fgColor indexed="53"/>
        <bgColor indexed="64"/>
      </patternFill>
    </fill>
    <fill>
      <patternFill patternType="solid">
        <fgColor indexed="11"/>
        <bgColor indexed="64"/>
      </patternFill>
    </fill>
    <fill>
      <patternFill patternType="solid">
        <fgColor indexed="43"/>
        <bgColor indexed="64"/>
      </patternFill>
    </fill>
    <fill>
      <patternFill patternType="solid">
        <fgColor indexed="8"/>
        <bgColor indexed="64"/>
      </patternFill>
    </fill>
    <fill>
      <patternFill patternType="lightDown"/>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960">
    <xf numFmtId="0" fontId="0" fillId="0" borderId="0" xfId="0"/>
    <xf numFmtId="0" fontId="2" fillId="0" borderId="0" xfId="0" applyFont="1" applyAlignment="1">
      <alignment horizontal="left"/>
    </xf>
    <xf numFmtId="0" fontId="2" fillId="2" borderId="0" xfId="0" applyFont="1" applyFill="1" applyAlignment="1">
      <alignment horizontal="left"/>
    </xf>
    <xf numFmtId="0" fontId="2" fillId="0" borderId="0" xfId="0" applyFont="1" applyFill="1" applyAlignment="1">
      <alignment horizontal="left"/>
    </xf>
    <xf numFmtId="0" fontId="2" fillId="0" borderId="1" xfId="0" applyFont="1" applyBorder="1" applyAlignment="1">
      <alignment horizontal="center"/>
    </xf>
    <xf numFmtId="0" fontId="2" fillId="2" borderId="0" xfId="0" quotePrefix="1" applyFont="1" applyFill="1" applyAlignment="1">
      <alignment horizontal="left"/>
    </xf>
    <xf numFmtId="0" fontId="2" fillId="0" borderId="2" xfId="0" applyFont="1" applyBorder="1" applyAlignment="1">
      <alignment horizontal="center"/>
    </xf>
    <xf numFmtId="0" fontId="2" fillId="2" borderId="2" xfId="0" applyFont="1" applyFill="1" applyBorder="1" applyAlignment="1">
      <alignment horizontal="center"/>
    </xf>
    <xf numFmtId="0" fontId="2" fillId="0" borderId="0" xfId="0" applyFont="1" applyAlignment="1">
      <alignment horizontal="right"/>
    </xf>
    <xf numFmtId="0" fontId="0" fillId="0" borderId="3" xfId="0" applyBorder="1"/>
    <xf numFmtId="0" fontId="0" fillId="0" borderId="4" xfId="0" applyBorder="1"/>
    <xf numFmtId="0" fontId="0" fillId="0" borderId="5" xfId="0" applyBorder="1"/>
    <xf numFmtId="0" fontId="0" fillId="0" borderId="6" xfId="0" applyBorder="1"/>
    <xf numFmtId="0" fontId="0" fillId="0" borderId="2" xfId="0" applyBorder="1"/>
    <xf numFmtId="0" fontId="0" fillId="0" borderId="7" xfId="0" applyBorder="1"/>
    <xf numFmtId="0" fontId="0" fillId="0" borderId="8" xfId="0" applyBorder="1"/>
    <xf numFmtId="0" fontId="0" fillId="0" borderId="2" xfId="0" applyBorder="1" applyAlignment="1">
      <alignment horizontal="right"/>
    </xf>
    <xf numFmtId="0" fontId="0" fillId="0" borderId="0" xfId="0" applyBorder="1" applyAlignment="1">
      <alignment horizontal="center"/>
    </xf>
    <xf numFmtId="0" fontId="0" fillId="0" borderId="9" xfId="0" applyBorder="1" applyAlignment="1">
      <alignment horizontal="right"/>
    </xf>
    <xf numFmtId="0" fontId="0" fillId="0" borderId="3" xfId="0" applyBorder="1" applyAlignment="1">
      <alignment horizontal="center"/>
    </xf>
    <xf numFmtId="0" fontId="0" fillId="0" borderId="0" xfId="0" applyBorder="1" applyAlignment="1">
      <alignment horizontal="right"/>
    </xf>
    <xf numFmtId="0" fontId="0" fillId="0" borderId="9" xfId="0" applyBorder="1"/>
    <xf numFmtId="0" fontId="0" fillId="0" borderId="0" xfId="0" applyFill="1" applyBorder="1" applyAlignment="1">
      <alignment horizontal="center"/>
    </xf>
    <xf numFmtId="0" fontId="7" fillId="0" borderId="10" xfId="0" applyFont="1" applyBorder="1" applyAlignment="1">
      <alignment horizontal="left"/>
    </xf>
    <xf numFmtId="0" fontId="7" fillId="0" borderId="0" xfId="0" applyFont="1" applyBorder="1" applyAlignment="1">
      <alignment horizontal="center"/>
    </xf>
    <xf numFmtId="0" fontId="7" fillId="0" borderId="7" xfId="0" applyFont="1" applyBorder="1" applyAlignment="1">
      <alignment horizontal="center"/>
    </xf>
    <xf numFmtId="0" fontId="7" fillId="0" borderId="10"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11" xfId="0" applyFont="1" applyBorder="1" applyAlignment="1">
      <alignment horizontal="left" vertical="top" wrapText="1"/>
    </xf>
    <xf numFmtId="0" fontId="2" fillId="0" borderId="0" xfId="0" applyFont="1" applyBorder="1"/>
    <xf numFmtId="0" fontId="2" fillId="0" borderId="0" xfId="0" applyFont="1" applyBorder="1" applyAlignment="1">
      <alignment horizontal="center"/>
    </xf>
    <xf numFmtId="0" fontId="2" fillId="0" borderId="0" xfId="0" applyFont="1" applyFill="1" applyBorder="1" applyAlignment="1">
      <alignment horizontal="center"/>
    </xf>
    <xf numFmtId="0" fontId="0" fillId="0" borderId="12" xfId="0" applyBorder="1"/>
    <xf numFmtId="0" fontId="2" fillId="0" borderId="0" xfId="0" applyFont="1"/>
    <xf numFmtId="0" fontId="9" fillId="0" borderId="0" xfId="0" applyFont="1" applyBorder="1" applyAlignment="1">
      <alignment horizontal="right"/>
    </xf>
    <xf numFmtId="0" fontId="9" fillId="0" borderId="0" xfId="0" applyFont="1" applyBorder="1" applyAlignment="1"/>
    <xf numFmtId="0" fontId="0" fillId="2" borderId="0" xfId="0" applyFill="1"/>
    <xf numFmtId="0" fontId="0" fillId="0" borderId="0" xfId="0" applyFill="1"/>
    <xf numFmtId="0" fontId="2" fillId="0" borderId="0" xfId="0" applyFont="1" applyFill="1" applyBorder="1" applyAlignment="1">
      <alignment horizontal="right"/>
    </xf>
    <xf numFmtId="0" fontId="2" fillId="0" borderId="0" xfId="0" applyFont="1" applyBorder="1" applyAlignment="1">
      <alignment horizontal="right"/>
    </xf>
    <xf numFmtId="0" fontId="0" fillId="0" borderId="13" xfId="0" applyBorder="1"/>
    <xf numFmtId="0" fontId="0" fillId="0" borderId="16" xfId="0" applyBorder="1" applyAlignment="1">
      <alignment horizontal="center"/>
    </xf>
    <xf numFmtId="0" fontId="0" fillId="0" borderId="10" xfId="0" applyFill="1" applyBorder="1"/>
    <xf numFmtId="0" fontId="0" fillId="0" borderId="16" xfId="0" applyFill="1" applyBorder="1" applyAlignment="1">
      <alignment horizontal="center"/>
    </xf>
    <xf numFmtId="0" fontId="2" fillId="0" borderId="18" xfId="0" applyFont="1" applyFill="1" applyBorder="1" applyAlignment="1">
      <alignment horizontal="right"/>
    </xf>
    <xf numFmtId="0" fontId="0" fillId="0" borderId="18" xfId="0" applyBorder="1" applyAlignment="1">
      <alignment horizontal="center"/>
    </xf>
    <xf numFmtId="0" fontId="0" fillId="0" borderId="19" xfId="0" applyFill="1" applyBorder="1" applyAlignment="1">
      <alignment horizontal="center"/>
    </xf>
    <xf numFmtId="0" fontId="9" fillId="0" borderId="18" xfId="0" applyFont="1" applyBorder="1" applyAlignment="1">
      <alignment horizontal="right"/>
    </xf>
    <xf numFmtId="0" fontId="0" fillId="0" borderId="19" xfId="0" applyBorder="1" applyAlignment="1">
      <alignment horizontal="center"/>
    </xf>
    <xf numFmtId="0" fontId="0" fillId="0" borderId="14" xfId="0" quotePrefix="1" applyBorder="1"/>
    <xf numFmtId="0" fontId="0" fillId="0" borderId="18" xfId="0" applyBorder="1" applyAlignment="1">
      <alignment horizontal="right"/>
    </xf>
    <xf numFmtId="0" fontId="0" fillId="2" borderId="0" xfId="0" applyFill="1" applyBorder="1"/>
    <xf numFmtId="0" fontId="9" fillId="0" borderId="0" xfId="0" applyFont="1" applyBorder="1" applyAlignment="1">
      <alignment horizontal="center"/>
    </xf>
    <xf numFmtId="0" fontId="9" fillId="0" borderId="18" xfId="0" applyFont="1" applyBorder="1" applyAlignment="1">
      <alignment horizontal="center"/>
    </xf>
    <xf numFmtId="0" fontId="2" fillId="3" borderId="0" xfId="0" applyFont="1" applyFill="1" applyAlignment="1">
      <alignment horizontal="left"/>
    </xf>
    <xf numFmtId="0" fontId="2" fillId="4" borderId="0" xfId="0" applyFont="1" applyFill="1" applyAlignment="1">
      <alignment horizontal="left"/>
    </xf>
    <xf numFmtId="0" fontId="2" fillId="4" borderId="2" xfId="0" applyFont="1" applyFill="1" applyBorder="1" applyAlignment="1">
      <alignment horizontal="center"/>
    </xf>
    <xf numFmtId="0" fontId="2" fillId="0" borderId="2" xfId="0" applyFont="1" applyFill="1" applyBorder="1" applyAlignment="1">
      <alignment horizontal="center"/>
    </xf>
    <xf numFmtId="11" fontId="2" fillId="0" borderId="2" xfId="0" applyNumberFormat="1" applyFont="1" applyFill="1" applyBorder="1" applyAlignment="1">
      <alignment horizontal="center"/>
    </xf>
    <xf numFmtId="167" fontId="2" fillId="0" borderId="2" xfId="0" applyNumberFormat="1" applyFont="1" applyFill="1" applyBorder="1" applyAlignment="1">
      <alignment horizontal="center"/>
    </xf>
    <xf numFmtId="0" fontId="16" fillId="0" borderId="0" xfId="0" applyFont="1" applyFill="1" applyAlignment="1">
      <alignment horizontal="left"/>
    </xf>
    <xf numFmtId="0" fontId="16" fillId="0" borderId="2" xfId="0" applyFont="1" applyFill="1" applyBorder="1" applyAlignment="1">
      <alignment horizontal="center"/>
    </xf>
    <xf numFmtId="0" fontId="16" fillId="4" borderId="0" xfId="0" applyFont="1" applyFill="1" applyAlignment="1">
      <alignment horizontal="left"/>
    </xf>
    <xf numFmtId="0" fontId="16" fillId="4" borderId="2" xfId="0" applyFont="1" applyFill="1" applyBorder="1" applyAlignment="1">
      <alignment horizontal="center"/>
    </xf>
    <xf numFmtId="0" fontId="16" fillId="0" borderId="1" xfId="0" applyFont="1" applyBorder="1" applyAlignment="1">
      <alignment horizontal="center"/>
    </xf>
    <xf numFmtId="0" fontId="16" fillId="0" borderId="2" xfId="0" applyFont="1" applyBorder="1" applyAlignment="1">
      <alignment horizontal="center"/>
    </xf>
    <xf numFmtId="0" fontId="16" fillId="2" borderId="2" xfId="0" applyFont="1" applyFill="1" applyBorder="1" applyAlignment="1">
      <alignment horizontal="center"/>
    </xf>
    <xf numFmtId="11" fontId="16" fillId="0" borderId="2" xfId="0" applyNumberFormat="1" applyFont="1" applyFill="1" applyBorder="1" applyAlignment="1">
      <alignment horizontal="center"/>
    </xf>
    <xf numFmtId="167" fontId="16" fillId="0" borderId="2" xfId="0" applyNumberFormat="1" applyFont="1" applyFill="1" applyBorder="1" applyAlignment="1">
      <alignment horizontal="center"/>
    </xf>
    <xf numFmtId="0" fontId="18" fillId="0" borderId="2" xfId="0" applyFont="1" applyFill="1" applyBorder="1" applyAlignment="1">
      <alignment horizontal="center"/>
    </xf>
    <xf numFmtId="11" fontId="2" fillId="2" borderId="0" xfId="0" applyNumberFormat="1" applyFont="1" applyFill="1" applyAlignment="1">
      <alignment horizontal="left"/>
    </xf>
    <xf numFmtId="167" fontId="2" fillId="2" borderId="2" xfId="0" applyNumberFormat="1" applyFont="1" applyFill="1" applyBorder="1" applyAlignment="1">
      <alignment horizontal="center"/>
    </xf>
    <xf numFmtId="11" fontId="18" fillId="0" borderId="2" xfId="0" applyNumberFormat="1" applyFont="1" applyBorder="1" applyAlignment="1">
      <alignment horizontal="center"/>
    </xf>
    <xf numFmtId="0" fontId="19" fillId="0" borderId="1" xfId="0" applyFont="1" applyBorder="1" applyAlignment="1">
      <alignment horizontal="center"/>
    </xf>
    <xf numFmtId="0" fontId="19" fillId="0" borderId="2" xfId="0" applyFont="1" applyBorder="1" applyAlignment="1">
      <alignment horizontal="center"/>
    </xf>
    <xf numFmtId="0" fontId="19" fillId="2" borderId="2" xfId="0" applyFont="1" applyFill="1" applyBorder="1" applyAlignment="1">
      <alignment horizontal="center"/>
    </xf>
    <xf numFmtId="0" fontId="19" fillId="0" borderId="2" xfId="0" applyFont="1" applyFill="1" applyBorder="1" applyAlignment="1">
      <alignment horizontal="center"/>
    </xf>
    <xf numFmtId="0" fontId="19" fillId="4" borderId="2" xfId="0" applyFont="1" applyFill="1" applyBorder="1" applyAlignment="1">
      <alignment horizontal="center"/>
    </xf>
    <xf numFmtId="11" fontId="19" fillId="0" borderId="2" xfId="0" applyNumberFormat="1" applyFont="1" applyFill="1" applyBorder="1" applyAlignment="1">
      <alignment horizontal="center"/>
    </xf>
    <xf numFmtId="169" fontId="19" fillId="0" borderId="2" xfId="0" applyNumberFormat="1" applyFont="1" applyFill="1" applyBorder="1" applyAlignment="1">
      <alignment horizontal="center"/>
    </xf>
    <xf numFmtId="11" fontId="19" fillId="0" borderId="2" xfId="0" applyNumberFormat="1" applyFont="1" applyBorder="1" applyAlignment="1">
      <alignment horizontal="center"/>
    </xf>
    <xf numFmtId="0" fontId="18" fillId="4" borderId="2" xfId="0" applyFont="1" applyFill="1" applyBorder="1" applyAlignment="1">
      <alignment horizontal="center"/>
    </xf>
    <xf numFmtId="0" fontId="18"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6" fillId="0" borderId="0" xfId="0" applyFont="1" applyAlignment="1">
      <alignment horizontal="left"/>
    </xf>
    <xf numFmtId="0" fontId="6" fillId="0" borderId="0" xfId="0" applyFont="1" applyAlignment="1">
      <alignment horizontal="right"/>
    </xf>
    <xf numFmtId="0" fontId="0" fillId="0" borderId="0" xfId="0" applyAlignment="1">
      <alignment horizontal="right"/>
    </xf>
    <xf numFmtId="0" fontId="0" fillId="3" borderId="0" xfId="0" applyFill="1"/>
    <xf numFmtId="0" fontId="13" fillId="0" borderId="0" xfId="0" applyFont="1"/>
    <xf numFmtId="0" fontId="0" fillId="0" borderId="14" xfId="0" applyBorder="1" applyAlignment="1">
      <alignment horizontal="right"/>
    </xf>
    <xf numFmtId="0" fontId="9" fillId="0" borderId="14" xfId="0" applyFont="1" applyBorder="1" applyAlignment="1">
      <alignment horizontal="center"/>
    </xf>
    <xf numFmtId="0" fontId="0" fillId="0" borderId="0" xfId="0" applyAlignment="1">
      <alignment horizontal="center"/>
    </xf>
    <xf numFmtId="0" fontId="2" fillId="0" borderId="0" xfId="0" applyFont="1" applyFill="1" applyAlignment="1">
      <alignment horizontal="right"/>
    </xf>
    <xf numFmtId="0" fontId="2" fillId="4" borderId="0" xfId="0" applyFont="1" applyFill="1" applyAlignment="1">
      <alignment horizontal="right"/>
    </xf>
    <xf numFmtId="0" fontId="16" fillId="0" borderId="0" xfId="0" applyFont="1" applyFill="1" applyAlignment="1">
      <alignment horizontal="right"/>
    </xf>
    <xf numFmtId="0" fontId="16" fillId="4" borderId="0" xfId="0" applyFont="1" applyFill="1" applyAlignment="1">
      <alignment horizontal="right"/>
    </xf>
    <xf numFmtId="0" fontId="2" fillId="0" borderId="0" xfId="0" applyFont="1" applyFill="1" applyAlignment="1">
      <alignment horizontal="center"/>
    </xf>
    <xf numFmtId="0" fontId="2" fillId="4" borderId="0" xfId="0" applyFont="1" applyFill="1" applyAlignment="1">
      <alignment horizontal="center"/>
    </xf>
    <xf numFmtId="0" fontId="16" fillId="0" borderId="0" xfId="0" applyFont="1" applyFill="1" applyAlignment="1">
      <alignment horizontal="center"/>
    </xf>
    <xf numFmtId="0" fontId="16" fillId="4" borderId="0" xfId="0" applyFont="1" applyFill="1" applyAlignment="1">
      <alignment horizontal="center"/>
    </xf>
    <xf numFmtId="0" fontId="0" fillId="0" borderId="3" xfId="0" applyFill="1" applyBorder="1" applyAlignment="1">
      <alignment horizontal="center"/>
    </xf>
    <xf numFmtId="0" fontId="0" fillId="0" borderId="8" xfId="0" applyFill="1" applyBorder="1" applyAlignment="1">
      <alignment horizontal="center"/>
    </xf>
    <xf numFmtId="0" fontId="0" fillId="0" borderId="0" xfId="0" applyBorder="1" applyAlignment="1">
      <alignment vertical="center"/>
    </xf>
    <xf numFmtId="0" fontId="0" fillId="3" borderId="0" xfId="0" applyFill="1" applyBorder="1"/>
    <xf numFmtId="0" fontId="0" fillId="0" borderId="7"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2" xfId="0" applyFill="1" applyBorder="1" applyAlignment="1">
      <alignment horizontal="center"/>
    </xf>
    <xf numFmtId="0" fontId="0" fillId="0" borderId="9" xfId="0" applyFill="1" applyBorder="1" applyAlignment="1">
      <alignment horizontal="center"/>
    </xf>
    <xf numFmtId="170" fontId="9" fillId="0" borderId="18" xfId="0" applyNumberFormat="1" applyFont="1" applyBorder="1" applyAlignment="1">
      <alignment horizontal="center"/>
    </xf>
    <xf numFmtId="0" fontId="0" fillId="0" borderId="18" xfId="0" applyFill="1" applyBorder="1"/>
    <xf numFmtId="0" fontId="13" fillId="0" borderId="4" xfId="0" applyFont="1" applyFill="1" applyBorder="1" applyAlignment="1">
      <alignment horizontal="center"/>
    </xf>
    <xf numFmtId="0" fontId="13" fillId="0" borderId="10" xfId="0" applyFont="1" applyFill="1" applyBorder="1" applyAlignment="1">
      <alignment horizontal="center"/>
    </xf>
    <xf numFmtId="0" fontId="0" fillId="0" borderId="17" xfId="0" applyBorder="1" applyAlignment="1">
      <alignment horizontal="center"/>
    </xf>
    <xf numFmtId="0" fontId="0" fillId="0" borderId="18" xfId="0" applyBorder="1" applyAlignment="1">
      <alignment vertical="center"/>
    </xf>
    <xf numFmtId="166" fontId="0" fillId="0" borderId="16" xfId="0" applyNumberFormat="1" applyBorder="1" applyAlignment="1">
      <alignment horizontal="center"/>
    </xf>
    <xf numFmtId="166" fontId="0" fillId="0" borderId="19" xfId="0" applyNumberFormat="1" applyBorder="1" applyAlignment="1">
      <alignment horizontal="center"/>
    </xf>
    <xf numFmtId="0" fontId="0" fillId="0" borderId="20" xfId="0" applyBorder="1"/>
    <xf numFmtId="0" fontId="0" fillId="0" borderId="21" xfId="0" applyBorder="1"/>
    <xf numFmtId="0" fontId="0" fillId="5" borderId="5" xfId="0" applyFill="1" applyBorder="1"/>
    <xf numFmtId="0" fontId="0" fillId="5" borderId="0" xfId="0" applyFill="1" applyBorder="1"/>
    <xf numFmtId="0" fontId="0" fillId="5" borderId="12" xfId="0" applyFill="1" applyBorder="1"/>
    <xf numFmtId="0" fontId="0" fillId="5" borderId="9" xfId="0" applyFill="1" applyBorder="1"/>
    <xf numFmtId="0" fontId="0" fillId="0" borderId="0" xfId="0" applyFill="1" applyAlignment="1">
      <alignment horizontal="center"/>
    </xf>
    <xf numFmtId="0" fontId="0" fillId="0" borderId="0" xfId="0" applyFill="1" applyBorder="1" applyAlignment="1">
      <alignment vertical="center"/>
    </xf>
    <xf numFmtId="0" fontId="2" fillId="6" borderId="0" xfId="0" applyFont="1" applyFill="1" applyBorder="1" applyAlignment="1"/>
    <xf numFmtId="0" fontId="0" fillId="6" borderId="0" xfId="0" applyFill="1"/>
    <xf numFmtId="0" fontId="2" fillId="6" borderId="0" xfId="0" applyFont="1" applyFill="1"/>
    <xf numFmtId="0" fontId="2" fillId="6" borderId="18" xfId="0" applyFont="1" applyFill="1" applyBorder="1"/>
    <xf numFmtId="0" fontId="0" fillId="6" borderId="0" xfId="0" applyFill="1" applyBorder="1"/>
    <xf numFmtId="11" fontId="0" fillId="0" borderId="0" xfId="0" applyNumberFormat="1" applyAlignment="1">
      <alignment horizontal="center"/>
    </xf>
    <xf numFmtId="0" fontId="6" fillId="0" borderId="18" xfId="0" applyFont="1" applyFill="1" applyBorder="1" applyAlignment="1">
      <alignment horizontal="right"/>
    </xf>
    <xf numFmtId="0" fontId="0" fillId="6" borderId="18" xfId="0" applyFill="1" applyBorder="1"/>
    <xf numFmtId="11" fontId="0" fillId="0" borderId="18" xfId="0" applyNumberFormat="1" applyBorder="1" applyAlignment="1">
      <alignment horizontal="center"/>
    </xf>
    <xf numFmtId="0" fontId="2" fillId="0" borderId="0" xfId="0" applyFont="1" applyFill="1" applyBorder="1"/>
    <xf numFmtId="0" fontId="0" fillId="0" borderId="3" xfId="0" applyFill="1" applyBorder="1"/>
    <xf numFmtId="0" fontId="0" fillId="5" borderId="0" xfId="0" applyFill="1" applyBorder="1" applyAlignment="1">
      <alignment horizontal="center"/>
    </xf>
    <xf numFmtId="0" fontId="0" fillId="5" borderId="3" xfId="0" applyFill="1" applyBorder="1" applyAlignment="1">
      <alignment horizontal="center"/>
    </xf>
    <xf numFmtId="0" fontId="0" fillId="5" borderId="7" xfId="0" applyFill="1" applyBorder="1" applyAlignment="1">
      <alignment horizontal="center"/>
    </xf>
    <xf numFmtId="0" fontId="0" fillId="5" borderId="3" xfId="0" applyFill="1" applyBorder="1"/>
    <xf numFmtId="2" fontId="13" fillId="0" borderId="0" xfId="0" applyNumberFormat="1" applyFont="1" applyBorder="1" applyAlignment="1">
      <alignment horizontal="center"/>
    </xf>
    <xf numFmtId="3" fontId="9" fillId="0" borderId="0" xfId="0" applyNumberFormat="1" applyFont="1" applyBorder="1" applyAlignment="1">
      <alignment horizontal="center"/>
    </xf>
    <xf numFmtId="0" fontId="0" fillId="0" borderId="16" xfId="0" applyFill="1" applyBorder="1"/>
    <xf numFmtId="3" fontId="7" fillId="0" borderId="18" xfId="0" applyNumberFormat="1" applyFont="1" applyBorder="1" applyAlignment="1">
      <alignment horizontal="center"/>
    </xf>
    <xf numFmtId="0" fontId="2" fillId="0" borderId="0" xfId="0" applyFont="1" applyAlignment="1">
      <alignment horizontal="center"/>
    </xf>
    <xf numFmtId="168" fontId="2" fillId="0" borderId="0" xfId="0" applyNumberFormat="1" applyFont="1" applyFill="1" applyBorder="1" applyAlignment="1">
      <alignment horizontal="center"/>
    </xf>
    <xf numFmtId="11" fontId="0" fillId="0" borderId="23" xfId="0" applyNumberFormat="1" applyBorder="1" applyAlignment="1">
      <alignment horizontal="center"/>
    </xf>
    <xf numFmtId="0" fontId="13" fillId="0" borderId="10" xfId="0" applyFont="1" applyBorder="1"/>
    <xf numFmtId="0" fontId="0" fillId="6" borderId="0" xfId="0" applyFill="1" applyBorder="1" applyAlignment="1">
      <alignment horizontal="center"/>
    </xf>
    <xf numFmtId="0" fontId="13" fillId="0" borderId="0" xfId="0" applyFont="1" applyBorder="1"/>
    <xf numFmtId="0" fontId="13" fillId="0" borderId="0" xfId="0" applyFont="1" applyBorder="1" applyAlignment="1">
      <alignment horizontal="center"/>
    </xf>
    <xf numFmtId="0" fontId="13" fillId="6" borderId="0" xfId="0" applyFont="1" applyFill="1" applyBorder="1" applyAlignment="1">
      <alignment horizontal="center"/>
    </xf>
    <xf numFmtId="2" fontId="0" fillId="0" borderId="0" xfId="0" applyNumberFormat="1" applyBorder="1" applyAlignment="1">
      <alignment horizontal="center"/>
    </xf>
    <xf numFmtId="0" fontId="13" fillId="6" borderId="0" xfId="0" applyFont="1" applyFill="1" applyBorder="1"/>
    <xf numFmtId="0" fontId="9" fillId="0" borderId="24" xfId="0" applyFont="1" applyFill="1" applyBorder="1" applyAlignment="1">
      <alignment horizontal="center"/>
    </xf>
    <xf numFmtId="166" fontId="0" fillId="0" borderId="0" xfId="0" applyNumberFormat="1" applyAlignment="1">
      <alignment horizontal="center"/>
    </xf>
    <xf numFmtId="0" fontId="2" fillId="0" borderId="18" xfId="0" applyFont="1" applyFill="1" applyBorder="1" applyAlignment="1">
      <alignment horizontal="center"/>
    </xf>
    <xf numFmtId="0" fontId="2" fillId="0" borderId="0" xfId="0" applyFont="1" applyFill="1"/>
    <xf numFmtId="0" fontId="2" fillId="0" borderId="18" xfId="0" applyFont="1" applyFill="1" applyBorder="1"/>
    <xf numFmtId="0" fontId="0" fillId="0" borderId="1" xfId="0" applyBorder="1"/>
    <xf numFmtId="0" fontId="0" fillId="7" borderId="0" xfId="0" applyFill="1" applyBorder="1"/>
    <xf numFmtId="0" fontId="0" fillId="7" borderId="14" xfId="0" applyFill="1" applyBorder="1" applyAlignment="1">
      <alignment horizontal="center" vertical="center"/>
    </xf>
    <xf numFmtId="0" fontId="0" fillId="7" borderId="18" xfId="0" applyFill="1" applyBorder="1"/>
    <xf numFmtId="0" fontId="0" fillId="7" borderId="1" xfId="0" applyFill="1" applyBorder="1"/>
    <xf numFmtId="0" fontId="0" fillId="0" borderId="23" xfId="0" applyBorder="1"/>
    <xf numFmtId="0" fontId="0" fillId="7" borderId="23" xfId="0" applyFill="1" applyBorder="1"/>
    <xf numFmtId="0" fontId="2" fillId="0" borderId="25" xfId="0" applyFont="1" applyFill="1" applyBorder="1"/>
    <xf numFmtId="0" fontId="2" fillId="0" borderId="11" xfId="0" applyFont="1" applyFill="1" applyBorder="1" applyAlignment="1">
      <alignment horizontal="right"/>
    </xf>
    <xf numFmtId="0" fontId="2" fillId="0" borderId="11" xfId="0" applyFont="1" applyFill="1" applyBorder="1" applyAlignment="1">
      <alignment horizontal="center"/>
    </xf>
    <xf numFmtId="0" fontId="2" fillId="0" borderId="26" xfId="0" applyFont="1" applyFill="1" applyBorder="1" applyAlignment="1">
      <alignment horizontal="center"/>
    </xf>
    <xf numFmtId="0" fontId="2" fillId="0" borderId="13" xfId="0" applyFont="1" applyFill="1" applyBorder="1"/>
    <xf numFmtId="0" fontId="2" fillId="0" borderId="14" xfId="0" applyFont="1" applyFill="1" applyBorder="1" applyAlignment="1">
      <alignment horizontal="right"/>
    </xf>
    <xf numFmtId="0" fontId="2" fillId="0" borderId="14" xfId="0" applyFont="1" applyFill="1" applyBorder="1" applyAlignment="1">
      <alignment horizontal="center"/>
    </xf>
    <xf numFmtId="0" fontId="2" fillId="0" borderId="14" xfId="0" applyFont="1" applyFill="1" applyBorder="1"/>
    <xf numFmtId="0" fontId="2" fillId="0" borderId="15" xfId="0" applyFont="1" applyFill="1" applyBorder="1" applyAlignment="1">
      <alignment horizontal="center"/>
    </xf>
    <xf numFmtId="0" fontId="2" fillId="0" borderId="10" xfId="0" applyFont="1" applyFill="1" applyBorder="1"/>
    <xf numFmtId="0" fontId="2" fillId="0" borderId="16" xfId="0" applyFont="1" applyFill="1" applyBorder="1" applyAlignment="1">
      <alignment horizontal="center"/>
    </xf>
    <xf numFmtId="0" fontId="2" fillId="0" borderId="17" xfId="0" applyFont="1" applyFill="1" applyBorder="1"/>
    <xf numFmtId="0" fontId="2" fillId="0" borderId="19" xfId="0" applyFont="1" applyFill="1" applyBorder="1" applyAlignment="1">
      <alignment horizontal="center"/>
    </xf>
    <xf numFmtId="0" fontId="2" fillId="0" borderId="15" xfId="0" applyFont="1" applyFill="1" applyBorder="1"/>
    <xf numFmtId="0" fontId="2" fillId="0" borderId="16" xfId="0" applyFont="1" applyFill="1" applyBorder="1"/>
    <xf numFmtId="0" fontId="2" fillId="0" borderId="19" xfId="0" applyFont="1" applyFill="1" applyBorder="1"/>
    <xf numFmtId="11" fontId="2" fillId="0" borderId="13" xfId="0" applyNumberFormat="1" applyFont="1" applyFill="1" applyBorder="1"/>
    <xf numFmtId="11" fontId="2" fillId="0" borderId="17" xfId="0" applyNumberFormat="1" applyFont="1" applyFill="1" applyBorder="1"/>
    <xf numFmtId="0" fontId="2" fillId="7" borderId="14" xfId="0" applyFont="1" applyFill="1" applyBorder="1" applyAlignment="1">
      <alignment horizontal="center"/>
    </xf>
    <xf numFmtId="0" fontId="2" fillId="7" borderId="15" xfId="0" applyFont="1" applyFill="1" applyBorder="1" applyAlignment="1">
      <alignment horizontal="center"/>
    </xf>
    <xf numFmtId="0" fontId="2" fillId="7" borderId="0" xfId="0" applyFont="1" applyFill="1" applyBorder="1" applyAlignment="1">
      <alignment horizontal="center"/>
    </xf>
    <xf numFmtId="0" fontId="2" fillId="7" borderId="16"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7" borderId="0" xfId="0" applyFont="1" applyFill="1" applyBorder="1"/>
    <xf numFmtId="0" fontId="2" fillId="7" borderId="16" xfId="0" applyFont="1" applyFill="1" applyBorder="1"/>
    <xf numFmtId="0" fontId="6" fillId="0" borderId="11" xfId="0" applyFont="1" applyFill="1" applyBorder="1" applyAlignment="1">
      <alignment horizontal="right"/>
    </xf>
    <xf numFmtId="0" fontId="2" fillId="0" borderId="11" xfId="0" applyFont="1" applyFill="1" applyBorder="1" applyAlignment="1">
      <alignment horizontal="left"/>
    </xf>
    <xf numFmtId="11" fontId="2" fillId="0" borderId="25" xfId="0" applyNumberFormat="1" applyFont="1" applyFill="1" applyBorder="1"/>
    <xf numFmtId="0" fontId="2" fillId="0" borderId="11" xfId="0" applyFont="1" applyFill="1" applyBorder="1"/>
    <xf numFmtId="0" fontId="2" fillId="7" borderId="18" xfId="0" applyFont="1" applyFill="1" applyBorder="1"/>
    <xf numFmtId="0" fontId="2" fillId="7" borderId="19" xfId="0" applyFont="1" applyFill="1" applyBorder="1"/>
    <xf numFmtId="15" fontId="0" fillId="0" borderId="0" xfId="0" applyNumberFormat="1"/>
    <xf numFmtId="0" fontId="2" fillId="7" borderId="23" xfId="0" applyFont="1" applyFill="1" applyBorder="1" applyAlignment="1">
      <alignment horizontal="center" vertical="center"/>
    </xf>
    <xf numFmtId="0" fontId="24" fillId="0" borderId="14" xfId="0" applyFont="1" applyBorder="1"/>
    <xf numFmtId="0" fontId="24" fillId="0" borderId="0" xfId="0" applyFont="1" applyBorder="1"/>
    <xf numFmtId="0" fontId="1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4" fontId="0" fillId="0" borderId="0" xfId="0" applyNumberFormat="1"/>
    <xf numFmtId="0" fontId="0" fillId="8" borderId="4" xfId="0" applyFill="1" applyBorder="1"/>
    <xf numFmtId="0" fontId="0" fillId="8" borderId="5" xfId="0" applyFill="1" applyBorder="1"/>
    <xf numFmtId="0" fontId="9" fillId="8" borderId="5" xfId="0" applyFont="1" applyFill="1" applyBorder="1" applyAlignment="1">
      <alignment horizontal="right"/>
    </xf>
    <xf numFmtId="0" fontId="9" fillId="8" borderId="5" xfId="0" applyFont="1" applyFill="1" applyBorder="1"/>
    <xf numFmtId="0" fontId="0" fillId="8" borderId="9" xfId="0" applyFill="1" applyBorder="1"/>
    <xf numFmtId="0" fontId="0" fillId="8" borderId="3" xfId="0" applyFill="1" applyBorder="1"/>
    <xf numFmtId="0" fontId="9" fillId="8" borderId="3" xfId="0" applyFont="1" applyFill="1" applyBorder="1" applyAlignment="1">
      <alignment horizontal="right"/>
    </xf>
    <xf numFmtId="0" fontId="9" fillId="8" borderId="3" xfId="0" applyFont="1" applyFill="1" applyBorder="1"/>
    <xf numFmtId="0" fontId="4" fillId="8" borderId="1" xfId="0" applyFont="1" applyFill="1" applyBorder="1" applyAlignment="1" applyProtection="1">
      <alignment horizontal="center"/>
      <protection locked="0"/>
    </xf>
    <xf numFmtId="3" fontId="4" fillId="8" borderId="1" xfId="0" applyNumberFormat="1" applyFont="1" applyFill="1" applyBorder="1" applyAlignment="1" applyProtection="1">
      <alignment horizontal="center"/>
      <protection locked="0"/>
    </xf>
    <xf numFmtId="0" fontId="0" fillId="8" borderId="0" xfId="0" applyFill="1" applyBorder="1" applyAlignment="1">
      <alignment vertical="center" wrapText="1"/>
    </xf>
    <xf numFmtId="0" fontId="4" fillId="8" borderId="0" xfId="0" applyFont="1" applyFill="1" applyBorder="1" applyAlignment="1" applyProtection="1">
      <alignment horizontal="center" vertical="center"/>
      <protection locked="0"/>
    </xf>
    <xf numFmtId="0" fontId="0" fillId="8" borderId="0" xfId="0" applyFill="1" applyBorder="1"/>
    <xf numFmtId="0" fontId="0" fillId="8" borderId="8" xfId="0" applyFill="1" applyBorder="1"/>
    <xf numFmtId="0" fontId="0" fillId="8" borderId="20" xfId="0" applyFill="1" applyBorder="1" applyAlignment="1">
      <alignment vertical="center" wrapText="1"/>
    </xf>
    <xf numFmtId="0" fontId="9" fillId="8" borderId="12" xfId="0" applyFont="1" applyFill="1" applyBorder="1" applyAlignment="1">
      <alignment horizontal="right"/>
    </xf>
    <xf numFmtId="0" fontId="9" fillId="8" borderId="21" xfId="0" applyFont="1" applyFill="1" applyBorder="1"/>
    <xf numFmtId="0" fontId="0" fillId="8" borderId="10" xfId="0" applyFill="1" applyBorder="1"/>
    <xf numFmtId="0" fontId="0" fillId="8" borderId="16" xfId="0" applyFill="1" applyBorder="1"/>
    <xf numFmtId="0" fontId="13" fillId="8" borderId="0" xfId="1" applyFont="1" applyFill="1" applyBorder="1" applyAlignment="1">
      <alignment horizontal="right"/>
    </xf>
    <xf numFmtId="0" fontId="5"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8" borderId="0" xfId="0" applyFill="1" applyBorder="1" applyAlignment="1">
      <alignment horizontal="center" vertical="center"/>
    </xf>
    <xf numFmtId="0" fontId="0" fillId="8" borderId="0" xfId="0" applyFill="1" applyBorder="1" applyAlignment="1">
      <alignment vertical="center"/>
    </xf>
    <xf numFmtId="0" fontId="21" fillId="8" borderId="0" xfId="0" applyFont="1" applyFill="1" applyBorder="1" applyAlignment="1"/>
    <xf numFmtId="0" fontId="0" fillId="8" borderId="5" xfId="0" applyFill="1" applyBorder="1" applyAlignment="1">
      <alignment horizontal="right"/>
    </xf>
    <xf numFmtId="0" fontId="7" fillId="8" borderId="1" xfId="0" applyFont="1" applyFill="1" applyBorder="1" applyAlignment="1" applyProtection="1">
      <alignment horizontal="center" vertical="center" wrapText="1"/>
      <protection locked="0"/>
    </xf>
    <xf numFmtId="0" fontId="0" fillId="8" borderId="5" xfId="0" applyFill="1" applyBorder="1" applyAlignment="1">
      <alignment horizontal="left" vertical="center"/>
    </xf>
    <xf numFmtId="0" fontId="0" fillId="8" borderId="10" xfId="0" applyFill="1" applyBorder="1" applyAlignment="1"/>
    <xf numFmtId="0" fontId="0" fillId="8" borderId="0" xfId="0" applyFill="1" applyBorder="1" applyAlignment="1"/>
    <xf numFmtId="0" fontId="0" fillId="8" borderId="9" xfId="0" applyFill="1" applyBorder="1" applyAlignment="1">
      <alignment horizontal="right"/>
    </xf>
    <xf numFmtId="0" fontId="0" fillId="8" borderId="3" xfId="0" applyFill="1" applyBorder="1" applyAlignment="1">
      <alignment horizontal="right"/>
    </xf>
    <xf numFmtId="0" fontId="7" fillId="8" borderId="1" xfId="0" applyFont="1" applyFill="1" applyBorder="1" applyAlignment="1" applyProtection="1">
      <alignment horizontal="center" vertical="center"/>
      <protection locked="0"/>
    </xf>
    <xf numFmtId="0" fontId="0" fillId="8" borderId="3" xfId="0" applyFill="1" applyBorder="1" applyAlignment="1">
      <alignment vertical="center"/>
    </xf>
    <xf numFmtId="0" fontId="0" fillId="8" borderId="8" xfId="0" applyFill="1" applyBorder="1" applyAlignment="1"/>
    <xf numFmtId="0" fontId="0" fillId="8" borderId="16" xfId="0" applyFill="1" applyBorder="1" applyAlignment="1"/>
    <xf numFmtId="0" fontId="0" fillId="8" borderId="0" xfId="0" applyFill="1" applyBorder="1" applyAlignment="1">
      <alignment horizontal="right"/>
    </xf>
    <xf numFmtId="0" fontId="0" fillId="8" borderId="0" xfId="0" applyFill="1" applyBorder="1" applyAlignment="1">
      <alignment horizontal="right" vertical="center"/>
    </xf>
    <xf numFmtId="0" fontId="7" fillId="8" borderId="0" xfId="0" applyFont="1" applyFill="1" applyBorder="1" applyAlignment="1" applyProtection="1">
      <alignment horizontal="center" vertical="center"/>
      <protection locked="0"/>
    </xf>
    <xf numFmtId="0" fontId="13" fillId="8" borderId="4" xfId="0" applyFont="1" applyFill="1" applyBorder="1"/>
    <xf numFmtId="0" fontId="9" fillId="8" borderId="0" xfId="0" applyFont="1" applyFill="1" applyBorder="1" applyAlignment="1">
      <alignment horizontal="right"/>
    </xf>
    <xf numFmtId="0" fontId="9" fillId="8" borderId="0" xfId="0" applyFont="1" applyFill="1" applyBorder="1"/>
    <xf numFmtId="4" fontId="4" fillId="8" borderId="1" xfId="0" applyNumberFormat="1" applyFont="1" applyFill="1" applyBorder="1" applyAlignment="1" applyProtection="1">
      <alignment horizontal="center"/>
      <protection locked="0"/>
    </xf>
    <xf numFmtId="0" fontId="9" fillId="8" borderId="3" xfId="0" applyFont="1" applyFill="1" applyBorder="1" applyAlignment="1">
      <alignment horizontal="right" vertical="center"/>
    </xf>
    <xf numFmtId="0" fontId="4" fillId="8" borderId="1" xfId="0" applyFont="1" applyFill="1" applyBorder="1" applyAlignment="1" applyProtection="1">
      <alignment horizontal="center" vertical="center"/>
      <protection locked="0"/>
    </xf>
    <xf numFmtId="0" fontId="9" fillId="8" borderId="3" xfId="0" applyFont="1" applyFill="1" applyBorder="1" applyAlignment="1">
      <alignment vertical="center"/>
    </xf>
    <xf numFmtId="0" fontId="23" fillId="8" borderId="0" xfId="0" applyFont="1" applyFill="1" applyBorder="1"/>
    <xf numFmtId="0" fontId="13" fillId="8" borderId="0" xfId="0" applyFont="1" applyFill="1" applyBorder="1"/>
    <xf numFmtId="0" fontId="2" fillId="8" borderId="0" xfId="0" applyFont="1" applyFill="1" applyBorder="1" applyAlignment="1">
      <alignment horizontal="right"/>
    </xf>
    <xf numFmtId="0" fontId="0" fillId="8" borderId="18" xfId="0" applyFill="1" applyBorder="1"/>
    <xf numFmtId="0" fontId="0" fillId="8" borderId="13" xfId="0" applyFill="1" applyBorder="1"/>
    <xf numFmtId="0" fontId="13" fillId="8" borderId="14" xfId="0" applyFont="1" applyFill="1" applyBorder="1"/>
    <xf numFmtId="0" fontId="0" fillId="8" borderId="14" xfId="0" applyFill="1" applyBorder="1"/>
    <xf numFmtId="0" fontId="0" fillId="8" borderId="15" xfId="0" applyFill="1" applyBorder="1"/>
    <xf numFmtId="0" fontId="2" fillId="8" borderId="0" xfId="0" applyFont="1" applyFill="1" applyBorder="1" applyAlignment="1">
      <alignment horizontal="center" vertical="center"/>
    </xf>
    <xf numFmtId="0" fontId="0" fillId="8" borderId="18" xfId="0" applyFill="1" applyBorder="1" applyAlignment="1"/>
    <xf numFmtId="0" fontId="0" fillId="8" borderId="17" xfId="0" applyFill="1" applyBorder="1"/>
    <xf numFmtId="0" fontId="0" fillId="8" borderId="19" xfId="0" applyFill="1" applyBorder="1"/>
    <xf numFmtId="0" fontId="2" fillId="8" borderId="0" xfId="0" applyFont="1" applyFill="1" applyBorder="1"/>
    <xf numFmtId="0" fontId="0" fillId="8" borderId="16" xfId="0" applyFill="1" applyBorder="1" applyAlignment="1">
      <alignment horizontal="center" vertical="center"/>
    </xf>
    <xf numFmtId="0" fontId="2" fillId="8" borderId="18" xfId="0" applyFont="1" applyFill="1" applyBorder="1" applyAlignment="1">
      <alignment horizontal="right"/>
    </xf>
    <xf numFmtId="0" fontId="2" fillId="8" borderId="27" xfId="0" applyFont="1" applyFill="1" applyBorder="1" applyAlignment="1">
      <alignment horizontal="center"/>
    </xf>
    <xf numFmtId="0" fontId="0" fillId="8" borderId="27" xfId="0" applyFill="1" applyBorder="1" applyAlignment="1">
      <alignment horizontal="center" vertical="center"/>
    </xf>
    <xf numFmtId="0" fontId="0" fillId="8" borderId="0" xfId="0" applyFill="1" applyBorder="1" applyAlignment="1">
      <alignment horizontal="center"/>
    </xf>
    <xf numFmtId="0" fontId="2" fillId="8" borderId="0" xfId="0" applyFont="1" applyFill="1" applyBorder="1" applyAlignment="1">
      <alignment horizontal="center"/>
    </xf>
    <xf numFmtId="0" fontId="0" fillId="8" borderId="28" xfId="0" applyFill="1" applyBorder="1" applyAlignment="1">
      <alignment horizontal="center" vertical="center"/>
    </xf>
    <xf numFmtId="0" fontId="0" fillId="8" borderId="16" xfId="0" applyFill="1" applyBorder="1" applyAlignment="1">
      <alignment horizontal="center"/>
    </xf>
    <xf numFmtId="0" fontId="0" fillId="8" borderId="18" xfId="0" applyFill="1" applyBorder="1" applyAlignment="1">
      <alignment horizontal="center"/>
    </xf>
    <xf numFmtId="0" fontId="2" fillId="8" borderId="18" xfId="0" applyFont="1" applyFill="1" applyBorder="1" applyAlignment="1">
      <alignment horizontal="center"/>
    </xf>
    <xf numFmtId="0" fontId="0" fillId="8" borderId="18" xfId="0" applyFill="1" applyBorder="1" applyAlignment="1">
      <alignment horizontal="right"/>
    </xf>
    <xf numFmtId="0" fontId="0" fillId="8" borderId="23" xfId="0" applyFill="1" applyBorder="1" applyAlignment="1">
      <alignment horizontal="center"/>
    </xf>
    <xf numFmtId="0" fontId="0" fillId="8" borderId="23" xfId="0" applyNumberFormat="1" applyFill="1" applyBorder="1" applyAlignment="1">
      <alignment horizontal="center"/>
    </xf>
    <xf numFmtId="166" fontId="0" fillId="8" borderId="1" xfId="0" applyNumberFormat="1" applyFill="1" applyBorder="1" applyAlignment="1">
      <alignment horizontal="center"/>
    </xf>
    <xf numFmtId="165" fontId="0" fillId="8" borderId="1" xfId="0" applyNumberFormat="1" applyFill="1" applyBorder="1" applyAlignment="1">
      <alignment horizontal="center"/>
    </xf>
    <xf numFmtId="164" fontId="0" fillId="8" borderId="0" xfId="0" applyNumberFormat="1" applyFill="1" applyBorder="1" applyAlignment="1">
      <alignment vertical="center" wrapText="1"/>
    </xf>
    <xf numFmtId="0" fontId="0" fillId="8" borderId="0" xfId="0" applyNumberFormat="1" applyFill="1" applyBorder="1" applyAlignment="1">
      <alignment vertical="center" wrapText="1"/>
    </xf>
    <xf numFmtId="0" fontId="0" fillId="8" borderId="0" xfId="0" applyNumberFormat="1" applyFill="1" applyBorder="1"/>
    <xf numFmtId="0" fontId="9" fillId="8" borderId="0" xfId="0" applyFont="1" applyFill="1" applyBorder="1" applyAlignment="1">
      <alignment horizontal="right" vertical="center"/>
    </xf>
    <xf numFmtId="0" fontId="9" fillId="8" borderId="0" xfId="0" applyFont="1" applyFill="1" applyBorder="1" applyAlignment="1">
      <alignment vertical="center"/>
    </xf>
    <xf numFmtId="1" fontId="2" fillId="8" borderId="0" xfId="0" applyNumberFormat="1" applyFont="1" applyFill="1" applyBorder="1" applyAlignment="1">
      <alignment vertical="center" wrapText="1"/>
    </xf>
    <xf numFmtId="164" fontId="2" fillId="8" borderId="0" xfId="0" applyNumberFormat="1" applyFont="1" applyFill="1" applyBorder="1" applyAlignment="1">
      <alignment vertical="center" wrapText="1"/>
    </xf>
    <xf numFmtId="0" fontId="0" fillId="8" borderId="20" xfId="0" applyFill="1" applyBorder="1" applyAlignment="1"/>
    <xf numFmtId="0" fontId="0" fillId="8" borderId="12" xfId="0" applyFill="1" applyBorder="1" applyAlignment="1">
      <alignment horizontal="right"/>
    </xf>
    <xf numFmtId="0" fontId="9" fillId="8" borderId="12" xfId="0" applyFont="1" applyFill="1" applyBorder="1"/>
    <xf numFmtId="0" fontId="0" fillId="8" borderId="21" xfId="0" applyFill="1" applyBorder="1" applyAlignment="1"/>
    <xf numFmtId="3" fontId="9" fillId="0" borderId="14" xfId="0" applyNumberFormat="1" applyFont="1" applyBorder="1" applyAlignment="1">
      <alignment horizontal="center"/>
    </xf>
    <xf numFmtId="0" fontId="0" fillId="0" borderId="10" xfId="0" applyBorder="1" applyAlignment="1">
      <alignment horizontal="right"/>
    </xf>
    <xf numFmtId="11" fontId="2" fillId="0" borderId="13" xfId="0" applyNumberFormat="1" applyFont="1" applyFill="1" applyBorder="1" applyAlignment="1">
      <alignment horizontal="center"/>
    </xf>
    <xf numFmtId="11" fontId="2" fillId="0" borderId="15" xfId="0" applyNumberFormat="1" applyFont="1" applyFill="1" applyBorder="1" applyAlignment="1">
      <alignment horizontal="center"/>
    </xf>
    <xf numFmtId="11" fontId="2" fillId="7" borderId="13" xfId="0" applyNumberFormat="1" applyFont="1" applyFill="1" applyBorder="1"/>
    <xf numFmtId="11" fontId="2" fillId="7" borderId="15" xfId="0" applyNumberFormat="1" applyFont="1" applyFill="1" applyBorder="1" applyAlignment="1">
      <alignment horizontal="center"/>
    </xf>
    <xf numFmtId="11" fontId="2" fillId="0" borderId="14" xfId="0" applyNumberFormat="1" applyFont="1" applyFill="1" applyBorder="1" applyAlignment="1">
      <alignment horizontal="center"/>
    </xf>
    <xf numFmtId="11" fontId="2" fillId="0" borderId="10" xfId="0" applyNumberFormat="1" applyFont="1" applyFill="1" applyBorder="1" applyAlignment="1">
      <alignment horizontal="center"/>
    </xf>
    <xf numFmtId="11" fontId="2" fillId="0" borderId="16" xfId="0" applyNumberFormat="1" applyFont="1" applyFill="1" applyBorder="1" applyAlignment="1">
      <alignment horizontal="center"/>
    </xf>
    <xf numFmtId="11" fontId="2" fillId="7" borderId="10" xfId="0" applyNumberFormat="1" applyFont="1" applyFill="1" applyBorder="1"/>
    <xf numFmtId="11" fontId="2" fillId="7" borderId="16" xfId="0" applyNumberFormat="1" applyFont="1" applyFill="1" applyBorder="1" applyAlignment="1">
      <alignment horizontal="center"/>
    </xf>
    <xf numFmtId="11" fontId="2" fillId="0" borderId="0" xfId="0" applyNumberFormat="1" applyFont="1" applyFill="1" applyBorder="1" applyAlignment="1">
      <alignment horizontal="center"/>
    </xf>
    <xf numFmtId="11" fontId="2" fillId="7" borderId="10" xfId="0" applyNumberFormat="1" applyFont="1" applyFill="1" applyBorder="1" applyAlignment="1">
      <alignment horizontal="center"/>
    </xf>
    <xf numFmtId="11" fontId="2" fillId="7" borderId="17" xfId="0" applyNumberFormat="1" applyFont="1" applyFill="1" applyBorder="1" applyAlignment="1">
      <alignment horizontal="center"/>
    </xf>
    <xf numFmtId="11" fontId="2" fillId="0" borderId="17" xfId="0" applyNumberFormat="1" applyFont="1" applyFill="1" applyBorder="1" applyAlignment="1">
      <alignment horizontal="center"/>
    </xf>
    <xf numFmtId="11" fontId="2" fillId="0" borderId="19" xfId="0" applyNumberFormat="1" applyFont="1" applyFill="1" applyBorder="1" applyAlignment="1">
      <alignment horizontal="center"/>
    </xf>
    <xf numFmtId="11" fontId="2" fillId="0" borderId="18" xfId="0" applyNumberFormat="1" applyFont="1" applyFill="1" applyBorder="1" applyAlignment="1">
      <alignment horizontal="center"/>
    </xf>
    <xf numFmtId="11" fontId="2" fillId="7" borderId="25" xfId="0" applyNumberFormat="1" applyFont="1" applyFill="1" applyBorder="1" applyAlignment="1">
      <alignment horizontal="center"/>
    </xf>
    <xf numFmtId="11" fontId="2" fillId="0" borderId="25" xfId="0" applyNumberFormat="1" applyFont="1" applyFill="1" applyBorder="1" applyAlignment="1">
      <alignment horizontal="center"/>
    </xf>
    <xf numFmtId="11" fontId="2" fillId="0" borderId="26" xfId="0" applyNumberFormat="1" applyFont="1" applyFill="1" applyBorder="1" applyAlignment="1">
      <alignment horizontal="center"/>
    </xf>
    <xf numFmtId="11" fontId="2" fillId="0" borderId="11" xfId="0" applyNumberFormat="1" applyFont="1" applyFill="1" applyBorder="1" applyAlignment="1">
      <alignment horizontal="center"/>
    </xf>
    <xf numFmtId="11" fontId="2" fillId="7" borderId="0" xfId="0" applyNumberFormat="1" applyFont="1" applyFill="1" applyBorder="1"/>
    <xf numFmtId="14" fontId="0" fillId="0" borderId="0" xfId="0" applyNumberFormat="1"/>
    <xf numFmtId="0" fontId="0" fillId="8" borderId="29" xfId="0" applyFill="1" applyBorder="1" applyAlignment="1">
      <alignment horizontal="center"/>
    </xf>
    <xf numFmtId="0" fontId="0" fillId="8" borderId="29" xfId="0" applyNumberFormat="1" applyFill="1" applyBorder="1" applyAlignment="1">
      <alignment horizontal="center"/>
    </xf>
    <xf numFmtId="166" fontId="0" fillId="8" borderId="23" xfId="0" applyNumberFormat="1" applyFill="1" applyBorder="1" applyAlignment="1">
      <alignment horizontal="center"/>
    </xf>
    <xf numFmtId="0" fontId="0" fillId="8" borderId="30" xfId="0" applyFill="1" applyBorder="1" applyAlignment="1">
      <alignment horizontal="center"/>
    </xf>
    <xf numFmtId="0" fontId="0" fillId="8" borderId="27" xfId="0" applyNumberFormat="1" applyFill="1" applyBorder="1" applyAlignment="1">
      <alignment horizontal="center"/>
    </xf>
    <xf numFmtId="0" fontId="0" fillId="8" borderId="2" xfId="0" applyFill="1" applyBorder="1" applyAlignment="1"/>
    <xf numFmtId="0" fontId="0" fillId="8" borderId="9" xfId="0" applyFill="1" applyBorder="1" applyAlignment="1"/>
    <xf numFmtId="0" fontId="7" fillId="8" borderId="3" xfId="0" applyFont="1" applyFill="1" applyBorder="1" applyAlignment="1" applyProtection="1">
      <alignment horizontal="center" vertical="center"/>
      <protection locked="0"/>
    </xf>
    <xf numFmtId="11" fontId="2" fillId="7" borderId="0" xfId="0" applyNumberFormat="1" applyFont="1" applyFill="1" applyBorder="1" applyAlignment="1">
      <alignment horizontal="center"/>
    </xf>
    <xf numFmtId="11" fontId="2" fillId="7" borderId="18" xfId="0" applyNumberFormat="1" applyFont="1" applyFill="1" applyBorder="1" applyAlignment="1">
      <alignment horizontal="center"/>
    </xf>
    <xf numFmtId="11" fontId="2" fillId="7" borderId="11" xfId="0" applyNumberFormat="1" applyFont="1" applyFill="1" applyBorder="1" applyAlignment="1">
      <alignment horizontal="center"/>
    </xf>
    <xf numFmtId="0" fontId="0" fillId="0" borderId="0" xfId="0" applyAlignment="1">
      <alignment wrapText="1"/>
    </xf>
    <xf numFmtId="11" fontId="2" fillId="7" borderId="14" xfId="0" applyNumberFormat="1" applyFont="1" applyFill="1" applyBorder="1"/>
    <xf numFmtId="11" fontId="2" fillId="0" borderId="0" xfId="0" applyNumberFormat="1" applyFont="1" applyFill="1" applyBorder="1"/>
    <xf numFmtId="11" fontId="2" fillId="0" borderId="14" xfId="0" applyNumberFormat="1" applyFont="1" applyFill="1" applyBorder="1"/>
    <xf numFmtId="11" fontId="2" fillId="0" borderId="18" xfId="0" applyNumberFormat="1" applyFont="1" applyFill="1" applyBorder="1"/>
    <xf numFmtId="11" fontId="2" fillId="7" borderId="15" xfId="0" applyNumberFormat="1" applyFont="1" applyFill="1" applyBorder="1"/>
    <xf numFmtId="11" fontId="2" fillId="7" borderId="16" xfId="0" applyNumberFormat="1" applyFont="1" applyFill="1" applyBorder="1"/>
    <xf numFmtId="169" fontId="2" fillId="0" borderId="13" xfId="0" applyNumberFormat="1" applyFont="1" applyFill="1" applyBorder="1"/>
    <xf numFmtId="3" fontId="7" fillId="8" borderId="1" xfId="0" applyNumberFormat="1"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2" fontId="13" fillId="8" borderId="1" xfId="0" applyNumberFormat="1" applyFont="1" applyFill="1" applyBorder="1" applyAlignment="1">
      <alignment horizontal="center"/>
    </xf>
    <xf numFmtId="165" fontId="13" fillId="8" borderId="1" xfId="0" applyNumberFormat="1" applyFont="1" applyFill="1" applyBorder="1" applyAlignment="1">
      <alignment horizontal="center"/>
    </xf>
    <xf numFmtId="0" fontId="22" fillId="8" borderId="1" xfId="0" applyFont="1" applyFill="1" applyBorder="1" applyAlignment="1">
      <alignment horizontal="center"/>
    </xf>
    <xf numFmtId="0" fontId="0" fillId="0" borderId="31" xfId="0" applyFill="1" applyBorder="1" applyAlignment="1">
      <alignment horizontal="center"/>
    </xf>
    <xf numFmtId="0" fontId="0" fillId="0" borderId="32" xfId="0" applyNumberFormat="1" applyFill="1" applyBorder="1" applyAlignment="1">
      <alignment horizontal="center"/>
    </xf>
    <xf numFmtId="0" fontId="2" fillId="7" borderId="33" xfId="0" applyFont="1" applyFill="1" applyBorder="1" applyAlignment="1">
      <alignment horizontal="center"/>
    </xf>
    <xf numFmtId="0" fontId="2" fillId="7" borderId="34" xfId="0" applyFont="1" applyFill="1" applyBorder="1" applyAlignment="1">
      <alignment horizontal="center"/>
    </xf>
    <xf numFmtId="0" fontId="2" fillId="7" borderId="13" xfId="0" applyFont="1" applyFill="1" applyBorder="1" applyAlignment="1">
      <alignment horizontal="center"/>
    </xf>
    <xf numFmtId="0" fontId="2" fillId="7" borderId="10" xfId="0" applyFont="1" applyFill="1" applyBorder="1" applyAlignment="1">
      <alignment horizontal="center"/>
    </xf>
    <xf numFmtId="0" fontId="2" fillId="7" borderId="17" xfId="0" applyFont="1" applyFill="1" applyBorder="1" applyAlignment="1">
      <alignment horizontal="center"/>
    </xf>
    <xf numFmtId="0" fontId="2" fillId="7" borderId="10" xfId="0" applyFont="1" applyFill="1" applyBorder="1"/>
    <xf numFmtId="0" fontId="2" fillId="7" borderId="17" xfId="0" applyFont="1" applyFill="1" applyBorder="1"/>
    <xf numFmtId="0" fontId="2" fillId="0" borderId="4" xfId="0" applyFont="1" applyBorder="1" applyAlignment="1">
      <alignment horizontal="center"/>
    </xf>
    <xf numFmtId="0" fontId="2" fillId="0" borderId="17" xfId="0" applyFont="1" applyFill="1" applyBorder="1" applyAlignment="1">
      <alignment horizontal="center"/>
    </xf>
    <xf numFmtId="0" fontId="2" fillId="0" borderId="18" xfId="0" applyFont="1" applyBorder="1"/>
    <xf numFmtId="0" fontId="9" fillId="0" borderId="35" xfId="0" applyFont="1" applyBorder="1" applyAlignment="1">
      <alignment horizontal="center"/>
    </xf>
    <xf numFmtId="0" fontId="9" fillId="0" borderId="15"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left"/>
    </xf>
    <xf numFmtId="11" fontId="2" fillId="0" borderId="27" xfId="0" applyNumberFormat="1" applyFont="1" applyBorder="1" applyAlignment="1">
      <alignment horizontal="center" vertical="center"/>
    </xf>
    <xf numFmtId="11" fontId="2" fillId="0" borderId="1" xfId="0" applyNumberFormat="1" applyFont="1" applyBorder="1" applyAlignment="1">
      <alignment horizontal="center" vertical="center"/>
    </xf>
    <xf numFmtId="11" fontId="2" fillId="0" borderId="32" xfId="0" applyNumberFormat="1" applyFont="1" applyBorder="1" applyAlignment="1">
      <alignment horizontal="center" vertical="center"/>
    </xf>
    <xf numFmtId="11" fontId="2" fillId="0" borderId="27" xfId="0" applyNumberFormat="1" applyFont="1" applyBorder="1" applyAlignment="1">
      <alignment horizontal="center"/>
    </xf>
    <xf numFmtId="11" fontId="2" fillId="0" borderId="27" xfId="0" applyNumberFormat="1" applyFont="1" applyBorder="1" applyAlignment="1"/>
    <xf numFmtId="2" fontId="2" fillId="0" borderId="27" xfId="0" applyNumberFormat="1" applyFont="1" applyBorder="1" applyAlignment="1">
      <alignment horizontal="center"/>
    </xf>
    <xf numFmtId="11" fontId="2" fillId="0" borderId="1" xfId="0" applyNumberFormat="1" applyFont="1" applyBorder="1" applyAlignment="1">
      <alignment horizontal="center"/>
    </xf>
    <xf numFmtId="11" fontId="2" fillId="0" borderId="1" xfId="0" applyNumberFormat="1" applyFont="1" applyBorder="1" applyAlignment="1"/>
    <xf numFmtId="2" fontId="2" fillId="0" borderId="1" xfId="0" applyNumberFormat="1" applyFont="1" applyBorder="1" applyAlignment="1">
      <alignment horizontal="center"/>
    </xf>
    <xf numFmtId="11" fontId="2" fillId="0" borderId="32" xfId="0" applyNumberFormat="1" applyFont="1" applyBorder="1" applyAlignment="1">
      <alignment horizontal="center"/>
    </xf>
    <xf numFmtId="11" fontId="2" fillId="0" borderId="32" xfId="0" applyNumberFormat="1" applyFont="1" applyBorder="1" applyAlignment="1"/>
    <xf numFmtId="2" fontId="2" fillId="0" borderId="32" xfId="0" applyNumberFormat="1" applyFont="1" applyBorder="1" applyAlignment="1">
      <alignment horizontal="center"/>
    </xf>
    <xf numFmtId="0" fontId="6" fillId="8" borderId="0" xfId="0" applyFont="1" applyFill="1" applyBorder="1" applyAlignment="1">
      <alignment horizontal="center" vertical="center"/>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6" fillId="8" borderId="18"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5" fillId="8" borderId="13" xfId="0" applyFont="1" applyFill="1" applyBorder="1" applyAlignment="1">
      <alignment horizontal="left" vertical="center"/>
    </xf>
    <xf numFmtId="0" fontId="13" fillId="8" borderId="10" xfId="0" applyFont="1" applyFill="1" applyBorder="1" applyAlignment="1">
      <alignment horizontal="left" vertical="center"/>
    </xf>
    <xf numFmtId="0" fontId="13" fillId="8" borderId="17" xfId="0" applyFont="1" applyFill="1" applyBorder="1" applyAlignment="1">
      <alignment horizontal="left" vertical="center"/>
    </xf>
    <xf numFmtId="0" fontId="0" fillId="0" borderId="25" xfId="0" applyBorder="1" applyAlignment="1">
      <alignment horizontal="center"/>
    </xf>
    <xf numFmtId="0" fontId="3" fillId="0" borderId="26" xfId="0" applyFont="1" applyBorder="1" applyAlignment="1">
      <alignment horizontal="left" vertical="top" wrapText="1"/>
    </xf>
    <xf numFmtId="0" fontId="9" fillId="0" borderId="30" xfId="0" applyFont="1" applyBorder="1" applyAlignment="1" applyProtection="1">
      <alignment vertical="center"/>
    </xf>
    <xf numFmtId="0" fontId="9" fillId="0" borderId="39" xfId="0" applyFont="1" applyBorder="1" applyAlignment="1" applyProtection="1">
      <alignment horizontal="center" vertical="center"/>
    </xf>
    <xf numFmtId="0" fontId="9" fillId="0" borderId="38" xfId="0" applyFont="1" applyBorder="1" applyAlignment="1" applyProtection="1">
      <alignment vertical="top"/>
    </xf>
    <xf numFmtId="0" fontId="9" fillId="0" borderId="20" xfId="0" applyFont="1" applyBorder="1" applyAlignment="1" applyProtection="1">
      <alignment horizontal="center" vertical="top"/>
    </xf>
    <xf numFmtId="0" fontId="9" fillId="0" borderId="20" xfId="0" applyFont="1" applyBorder="1" applyAlignment="1" applyProtection="1">
      <alignment horizontal="center"/>
    </xf>
    <xf numFmtId="0" fontId="9" fillId="0" borderId="31" xfId="0" applyFont="1" applyFill="1" applyBorder="1" applyProtection="1"/>
    <xf numFmtId="0" fontId="0" fillId="0" borderId="40" xfId="0" applyFill="1" applyBorder="1" applyAlignment="1" applyProtection="1">
      <alignment horizontal="center"/>
    </xf>
    <xf numFmtId="0" fontId="9" fillId="0" borderId="14" xfId="0" applyFont="1" applyFill="1" applyBorder="1" applyProtection="1"/>
    <xf numFmtId="0" fontId="9" fillId="0" borderId="15" xfId="0" applyFont="1" applyFill="1" applyBorder="1" applyProtection="1"/>
    <xf numFmtId="0" fontId="9" fillId="0" borderId="0" xfId="0" applyFont="1" applyFill="1" applyBorder="1" applyProtection="1"/>
    <xf numFmtId="0" fontId="9" fillId="0" borderId="16" xfId="0" applyFont="1" applyFill="1" applyBorder="1" applyProtection="1"/>
    <xf numFmtId="0" fontId="9" fillId="0" borderId="10" xfId="0" applyFont="1" applyFill="1" applyBorder="1" applyProtection="1"/>
    <xf numFmtId="0" fontId="9" fillId="0" borderId="17" xfId="0" applyFont="1" applyFill="1" applyBorder="1" applyProtection="1"/>
    <xf numFmtId="0" fontId="9" fillId="0" borderId="18" xfId="0" applyFont="1" applyFill="1" applyBorder="1" applyProtection="1"/>
    <xf numFmtId="0" fontId="9" fillId="0" borderId="19" xfId="0" applyFont="1" applyFill="1" applyBorder="1" applyProtection="1"/>
    <xf numFmtId="0" fontId="9" fillId="0" borderId="31" xfId="0" applyFont="1" applyBorder="1" applyAlignment="1" applyProtection="1">
      <alignment horizontal="center"/>
    </xf>
    <xf numFmtId="0" fontId="9" fillId="0" borderId="41" xfId="0" applyFont="1" applyBorder="1" applyAlignment="1" applyProtection="1">
      <alignment horizontal="center"/>
    </xf>
    <xf numFmtId="0" fontId="9" fillId="0" borderId="42" xfId="0" applyFont="1" applyBorder="1" applyAlignment="1" applyProtection="1">
      <alignment horizontal="center"/>
    </xf>
    <xf numFmtId="0" fontId="9" fillId="0" borderId="26" xfId="0" applyFont="1" applyBorder="1" applyAlignment="1" applyProtection="1">
      <alignment horizontal="center"/>
    </xf>
    <xf numFmtId="0" fontId="9" fillId="0" borderId="43" xfId="0" applyFont="1" applyBorder="1" applyAlignment="1" applyProtection="1">
      <alignment horizontal="center"/>
    </xf>
    <xf numFmtId="0" fontId="2" fillId="7" borderId="10" xfId="0" applyFont="1" applyFill="1" applyBorder="1" applyProtection="1"/>
    <xf numFmtId="0" fontId="2" fillId="7" borderId="16" xfId="0" applyFont="1" applyFill="1" applyBorder="1" applyProtection="1"/>
    <xf numFmtId="0" fontId="9" fillId="0" borderId="44" xfId="0" applyFont="1" applyBorder="1" applyProtection="1"/>
    <xf numFmtId="0" fontId="9" fillId="0" borderId="23" xfId="0" applyFont="1" applyBorder="1" applyProtection="1"/>
    <xf numFmtId="0" fontId="9" fillId="0" borderId="9" xfId="0" applyFont="1" applyBorder="1" applyProtection="1"/>
    <xf numFmtId="0" fontId="9" fillId="0" borderId="3" xfId="0" applyFont="1" applyBorder="1" applyProtection="1"/>
    <xf numFmtId="2" fontId="9" fillId="0" borderId="44" xfId="0" applyNumberFormat="1" applyFont="1" applyFill="1" applyBorder="1" applyAlignment="1" applyProtection="1">
      <alignment horizontal="center"/>
    </xf>
    <xf numFmtId="2" fontId="9" fillId="0" borderId="45" xfId="0" applyNumberFormat="1" applyFont="1" applyFill="1" applyBorder="1" applyAlignment="1" applyProtection="1">
      <alignment horizontal="center"/>
    </xf>
    <xf numFmtId="2" fontId="9" fillId="7" borderId="44" xfId="0" applyNumberFormat="1" applyFont="1" applyFill="1" applyBorder="1" applyAlignment="1" applyProtection="1">
      <alignment horizontal="center"/>
    </xf>
    <xf numFmtId="2" fontId="9" fillId="0" borderId="45" xfId="0" applyNumberFormat="1" applyFont="1" applyBorder="1" applyAlignment="1" applyProtection="1">
      <alignment horizontal="center"/>
    </xf>
    <xf numFmtId="2" fontId="9" fillId="0" borderId="46" xfId="0" applyNumberFormat="1" applyFont="1" applyBorder="1" applyAlignment="1" applyProtection="1">
      <alignment horizontal="center"/>
    </xf>
    <xf numFmtId="165" fontId="9" fillId="7" borderId="10" xfId="0" applyNumberFormat="1" applyFont="1" applyFill="1" applyBorder="1" applyAlignment="1" applyProtection="1">
      <alignment horizontal="right"/>
    </xf>
    <xf numFmtId="165" fontId="9" fillId="7" borderId="16" xfId="0" applyNumberFormat="1" applyFont="1" applyFill="1" applyBorder="1" applyAlignment="1" applyProtection="1">
      <alignment horizontal="right"/>
    </xf>
    <xf numFmtId="0" fontId="9" fillId="0" borderId="38" xfId="0" applyFont="1" applyBorder="1" applyProtection="1"/>
    <xf numFmtId="0" fontId="9" fillId="0" borderId="1" xfId="0" applyFont="1" applyBorder="1" applyProtection="1"/>
    <xf numFmtId="0" fontId="9" fillId="0" borderId="20" xfId="0" applyFont="1" applyBorder="1" applyProtection="1"/>
    <xf numFmtId="0" fontId="9" fillId="0" borderId="12" xfId="0" applyFont="1" applyBorder="1" applyProtection="1"/>
    <xf numFmtId="2" fontId="9" fillId="0" borderId="38" xfId="0" applyNumberFormat="1" applyFont="1" applyFill="1" applyBorder="1" applyAlignment="1" applyProtection="1">
      <alignment horizontal="center"/>
    </xf>
    <xf numFmtId="2" fontId="9" fillId="0" borderId="47" xfId="0" applyNumberFormat="1" applyFont="1" applyFill="1" applyBorder="1" applyAlignment="1" applyProtection="1">
      <alignment horizontal="center"/>
    </xf>
    <xf numFmtId="2" fontId="9" fillId="7" borderId="38" xfId="0" applyNumberFormat="1" applyFont="1" applyFill="1" applyBorder="1" applyAlignment="1" applyProtection="1">
      <alignment horizontal="center"/>
    </xf>
    <xf numFmtId="2" fontId="9" fillId="0" borderId="47" xfId="0" applyNumberFormat="1" applyFont="1" applyBorder="1" applyAlignment="1" applyProtection="1">
      <alignment horizontal="center"/>
    </xf>
    <xf numFmtId="2" fontId="9" fillId="0" borderId="48" xfId="0" applyNumberFormat="1" applyFont="1" applyBorder="1" applyAlignment="1" applyProtection="1">
      <alignment horizontal="center"/>
    </xf>
    <xf numFmtId="2" fontId="9" fillId="7" borderId="1" xfId="0" applyNumberFormat="1" applyFont="1" applyFill="1" applyBorder="1" applyAlignment="1" applyProtection="1">
      <alignment horizontal="center"/>
    </xf>
    <xf numFmtId="2" fontId="9" fillId="7" borderId="47" xfId="0" applyNumberFormat="1" applyFont="1" applyFill="1" applyBorder="1" applyAlignment="1" applyProtection="1">
      <alignment horizontal="center"/>
    </xf>
    <xf numFmtId="2" fontId="9" fillId="7" borderId="48" xfId="0" applyNumberFormat="1" applyFont="1" applyFill="1" applyBorder="1" applyAlignment="1" applyProtection="1">
      <alignment horizontal="center"/>
    </xf>
    <xf numFmtId="165" fontId="0" fillId="7" borderId="10" xfId="0" applyNumberFormat="1" applyFill="1" applyBorder="1" applyAlignment="1" applyProtection="1">
      <alignment horizontal="right"/>
    </xf>
    <xf numFmtId="2" fontId="9" fillId="0" borderId="23" xfId="0" applyNumberFormat="1" applyFont="1" applyBorder="1" applyAlignment="1" applyProtection="1">
      <alignment horizontal="center"/>
    </xf>
    <xf numFmtId="165" fontId="9" fillId="7" borderId="19" xfId="0" applyNumberFormat="1" applyFont="1" applyFill="1" applyBorder="1" applyAlignment="1" applyProtection="1">
      <alignment horizontal="right"/>
    </xf>
    <xf numFmtId="2" fontId="7" fillId="8" borderId="1" xfId="0" applyNumberFormat="1" applyFont="1" applyFill="1" applyBorder="1" applyAlignment="1" applyProtection="1">
      <alignment horizontal="center"/>
      <protection locked="0"/>
    </xf>
    <xf numFmtId="0" fontId="0" fillId="8" borderId="10" xfId="0" applyFill="1" applyBorder="1" applyProtection="1"/>
    <xf numFmtId="0" fontId="0" fillId="8" borderId="9" xfId="0" applyFill="1" applyBorder="1" applyProtection="1"/>
    <xf numFmtId="0" fontId="0" fillId="8" borderId="3" xfId="0" applyFill="1" applyBorder="1" applyProtection="1"/>
    <xf numFmtId="0" fontId="9" fillId="8" borderId="3" xfId="0" applyFont="1" applyFill="1" applyBorder="1" applyAlignment="1" applyProtection="1">
      <alignment horizontal="right"/>
    </xf>
    <xf numFmtId="0" fontId="9" fillId="8" borderId="3" xfId="0" applyFont="1" applyFill="1" applyBorder="1" applyProtection="1"/>
    <xf numFmtId="0" fontId="7" fillId="8" borderId="8" xfId="0" applyFont="1" applyFill="1" applyBorder="1" applyAlignment="1" applyProtection="1">
      <alignment horizontal="center"/>
    </xf>
    <xf numFmtId="0" fontId="0" fillId="8" borderId="0" xfId="0" applyFill="1" applyBorder="1" applyProtection="1"/>
    <xf numFmtId="0" fontId="9" fillId="8" borderId="0" xfId="0" applyFont="1" applyFill="1" applyBorder="1" applyAlignment="1" applyProtection="1">
      <alignment horizontal="right"/>
    </xf>
    <xf numFmtId="3" fontId="4" fillId="8" borderId="0" xfId="0" applyNumberFormat="1" applyFont="1" applyFill="1" applyBorder="1" applyAlignment="1" applyProtection="1">
      <alignment horizontal="center"/>
    </xf>
    <xf numFmtId="0" fontId="9" fillId="8" borderId="0" xfId="0" applyFont="1" applyFill="1" applyBorder="1" applyProtection="1"/>
    <xf numFmtId="0" fontId="7" fillId="8" borderId="0" xfId="0" applyFont="1" applyFill="1" applyBorder="1" applyAlignment="1" applyProtection="1">
      <alignment horizontal="center"/>
    </xf>
    <xf numFmtId="0" fontId="0" fillId="0" borderId="0" xfId="0" applyBorder="1" applyAlignment="1" applyProtection="1">
      <alignment vertical="top"/>
    </xf>
    <xf numFmtId="0" fontId="0" fillId="8" borderId="0" xfId="0" applyFill="1" applyBorder="1" applyAlignment="1" applyProtection="1"/>
    <xf numFmtId="0" fontId="0" fillId="8" borderId="4" xfId="0" applyFill="1" applyBorder="1" applyProtection="1"/>
    <xf numFmtId="0" fontId="6" fillId="8" borderId="0" xfId="1" applyFont="1" applyFill="1" applyBorder="1" applyAlignment="1" applyProtection="1">
      <alignment horizontal="right"/>
    </xf>
    <xf numFmtId="0" fontId="4" fillId="8" borderId="0" xfId="0"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0" fontId="0" fillId="8" borderId="0" xfId="0" applyFill="1" applyBorder="1" applyAlignment="1" applyProtection="1">
      <alignment horizontal="center" vertical="center"/>
    </xf>
    <xf numFmtId="0" fontId="0" fillId="8" borderId="16" xfId="0" applyFill="1" applyBorder="1" applyProtection="1"/>
    <xf numFmtId="0" fontId="4" fillId="8" borderId="5" xfId="0" applyFont="1" applyFill="1" applyBorder="1" applyAlignment="1" applyProtection="1">
      <alignment horizontal="center" vertical="center"/>
    </xf>
    <xf numFmtId="0" fontId="0" fillId="8" borderId="6" xfId="0" applyFill="1" applyBorder="1" applyProtection="1"/>
    <xf numFmtId="0" fontId="4" fillId="8" borderId="3" xfId="0" applyFont="1" applyFill="1" applyBorder="1" applyAlignment="1" applyProtection="1">
      <alignment horizontal="center" vertical="center"/>
    </xf>
    <xf numFmtId="0" fontId="0" fillId="8" borderId="8" xfId="0" applyFill="1" applyBorder="1" applyProtection="1"/>
    <xf numFmtId="0" fontId="0" fillId="8" borderId="0" xfId="0" applyFill="1" applyBorder="1" applyAlignment="1" applyProtection="1">
      <alignment vertical="center"/>
    </xf>
    <xf numFmtId="0" fontId="0" fillId="0" borderId="0" xfId="0" applyFill="1" applyProtection="1"/>
    <xf numFmtId="0" fontId="0" fillId="0" borderId="0" xfId="0" applyProtection="1"/>
    <xf numFmtId="0" fontId="0" fillId="0" borderId="0" xfId="0" applyBorder="1" applyProtection="1"/>
    <xf numFmtId="0" fontId="0" fillId="8" borderId="0" xfId="0" applyFill="1" applyBorder="1" applyProtection="1">
      <protection locked="0"/>
    </xf>
    <xf numFmtId="0" fontId="0" fillId="8" borderId="0" xfId="0" applyFill="1" applyBorder="1" applyAlignment="1" applyProtection="1">
      <alignment horizontal="right"/>
      <protection locked="0"/>
    </xf>
    <xf numFmtId="165" fontId="13" fillId="8" borderId="0" xfId="0" applyNumberFormat="1" applyFont="1" applyFill="1" applyBorder="1" applyAlignment="1" applyProtection="1">
      <alignment horizontal="center"/>
      <protection locked="0"/>
    </xf>
    <xf numFmtId="165" fontId="7" fillId="8" borderId="0" xfId="0" applyNumberFormat="1" applyFont="1" applyFill="1" applyBorder="1" applyAlignment="1" applyProtection="1">
      <alignment horizontal="center"/>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0" xfId="0" applyBorder="1" applyProtection="1">
      <protection locked="0"/>
    </xf>
    <xf numFmtId="0" fontId="0" fillId="0" borderId="0" xfId="0" applyBorder="1" applyProtection="1">
      <protection locked="0"/>
    </xf>
    <xf numFmtId="0" fontId="0" fillId="0" borderId="16" xfId="0" applyBorder="1" applyProtection="1">
      <protection locked="0"/>
    </xf>
    <xf numFmtId="0" fontId="0" fillId="0" borderId="0" xfId="0" applyBorder="1" applyAlignment="1" applyProtection="1">
      <alignment horizontal="right"/>
      <protection locked="0"/>
    </xf>
    <xf numFmtId="0" fontId="7" fillId="0" borderId="0" xfId="0" applyFont="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Alignment="1" applyProtection="1">
      <alignment horizontal="center"/>
      <protection locked="0"/>
    </xf>
    <xf numFmtId="0" fontId="9" fillId="0" borderId="0" xfId="0" applyFont="1" applyBorder="1" applyAlignment="1" applyProtection="1">
      <alignment horizontal="center"/>
      <protection locked="0"/>
    </xf>
    <xf numFmtId="0" fontId="0" fillId="3" borderId="0" xfId="0" applyFill="1" applyBorder="1" applyProtection="1">
      <protection locked="0"/>
    </xf>
    <xf numFmtId="0" fontId="0" fillId="3" borderId="1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Fill="1"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0" xfId="0" applyProtection="1">
      <protection locked="0"/>
    </xf>
    <xf numFmtId="3" fontId="0" fillId="0" borderId="0" xfId="0" applyNumberFormat="1" applyBorder="1" applyProtection="1">
      <protection locked="0"/>
    </xf>
    <xf numFmtId="4" fontId="0" fillId="0" borderId="0" xfId="0" applyNumberFormat="1" applyBorder="1" applyProtection="1">
      <protection locked="0"/>
    </xf>
    <xf numFmtId="0" fontId="0" fillId="0" borderId="10" xfId="0" applyFill="1" applyBorder="1" applyProtection="1">
      <protection locked="0"/>
    </xf>
    <xf numFmtId="0" fontId="0" fillId="0" borderId="0" xfId="0" applyFill="1" applyBorder="1" applyProtection="1">
      <protection locked="0"/>
    </xf>
    <xf numFmtId="0" fontId="0" fillId="0" borderId="16" xfId="0" applyFill="1" applyBorder="1" applyProtection="1">
      <protection locked="0"/>
    </xf>
    <xf numFmtId="0" fontId="0" fillId="0" borderId="0" xfId="0" applyFill="1" applyProtection="1">
      <protection locked="0"/>
    </xf>
    <xf numFmtId="0" fontId="7" fillId="8" borderId="0" xfId="0" applyFont="1" applyFill="1" applyBorder="1" applyAlignment="1" applyProtection="1">
      <alignment horizontal="right" vertical="center"/>
      <protection locked="0"/>
    </xf>
    <xf numFmtId="3" fontId="6" fillId="8" borderId="1" xfId="0" applyNumberFormat="1" applyFont="1" applyFill="1" applyBorder="1" applyAlignment="1" applyProtection="1">
      <alignment horizontal="center" vertical="center"/>
    </xf>
    <xf numFmtId="0" fontId="24" fillId="8" borderId="0" xfId="0" applyFont="1" applyFill="1" applyBorder="1" applyAlignment="1"/>
    <xf numFmtId="0" fontId="24" fillId="8" borderId="0" xfId="0" applyFont="1" applyFill="1" applyBorder="1"/>
    <xf numFmtId="0" fontId="33" fillId="0" borderId="0" xfId="0" applyFont="1" applyBorder="1"/>
    <xf numFmtId="0" fontId="33" fillId="0" borderId="0" xfId="0" applyFont="1" applyBorder="1" applyAlignment="1">
      <alignment horizontal="left"/>
    </xf>
    <xf numFmtId="14" fontId="0" fillId="0" borderId="0" xfId="0" applyNumberFormat="1" applyAlignment="1">
      <alignment horizontal="center"/>
    </xf>
    <xf numFmtId="0" fontId="33" fillId="0" borderId="0" xfId="0" applyFont="1" applyBorder="1" applyAlignment="1"/>
    <xf numFmtId="0" fontId="9" fillId="8" borderId="0" xfId="0" applyFont="1" applyFill="1" applyBorder="1" applyAlignment="1">
      <alignment horizontal="center" vertical="center"/>
    </xf>
    <xf numFmtId="0" fontId="6" fillId="8" borderId="18" xfId="0" applyFont="1" applyFill="1" applyBorder="1" applyAlignment="1">
      <alignment horizontal="left" vertical="center"/>
    </xf>
    <xf numFmtId="0" fontId="9" fillId="0" borderId="0" xfId="0" applyFont="1"/>
    <xf numFmtId="0" fontId="9" fillId="0" borderId="0" xfId="0" applyFont="1" applyAlignment="1">
      <alignment horizontal="center"/>
    </xf>
    <xf numFmtId="0" fontId="34" fillId="10" borderId="0" xfId="0" applyFont="1" applyFill="1" applyAlignment="1">
      <alignment horizontal="left"/>
    </xf>
    <xf numFmtId="0" fontId="34" fillId="10" borderId="0" xfId="0" applyFont="1" applyFill="1" applyAlignment="1">
      <alignment horizontal="right"/>
    </xf>
    <xf numFmtId="0" fontId="34" fillId="10" borderId="0" xfId="0" applyFont="1" applyFill="1" applyAlignment="1">
      <alignment horizontal="center"/>
    </xf>
    <xf numFmtId="0" fontId="34" fillId="10" borderId="2" xfId="0" applyFont="1" applyFill="1" applyBorder="1" applyAlignment="1">
      <alignment horizontal="center"/>
    </xf>
    <xf numFmtId="0" fontId="2" fillId="11" borderId="0" xfId="0" applyFont="1" applyFill="1" applyAlignment="1">
      <alignment horizontal="left"/>
    </xf>
    <xf numFmtId="0" fontId="34" fillId="11" borderId="0" xfId="0" applyFont="1" applyFill="1" applyAlignment="1">
      <alignment horizontal="left"/>
    </xf>
    <xf numFmtId="0" fontId="34" fillId="12" borderId="0" xfId="0" applyFont="1" applyFill="1" applyAlignment="1">
      <alignment horizontal="left"/>
    </xf>
    <xf numFmtId="0" fontId="9" fillId="0" borderId="0" xfId="0" applyFont="1" applyBorder="1"/>
    <xf numFmtId="0" fontId="9" fillId="0" borderId="10" xfId="0" applyFont="1" applyBorder="1" applyAlignment="1" applyProtection="1">
      <alignment horizontal="left"/>
    </xf>
    <xf numFmtId="0" fontId="9" fillId="0" borderId="0" xfId="0" applyFont="1" applyBorder="1" applyAlignment="1" applyProtection="1">
      <alignment horizontal="left"/>
    </xf>
    <xf numFmtId="0" fontId="9" fillId="0" borderId="0" xfId="0" applyFont="1" applyBorder="1" applyProtection="1"/>
    <xf numFmtId="2" fontId="9" fillId="0" borderId="0" xfId="0" applyNumberFormat="1" applyFont="1" applyBorder="1" applyAlignment="1" applyProtection="1">
      <alignment horizontal="center"/>
    </xf>
    <xf numFmtId="165" fontId="9" fillId="7" borderId="18" xfId="0" applyNumberFormat="1" applyFont="1" applyFill="1" applyBorder="1" applyAlignment="1" applyProtection="1">
      <alignment horizontal="right"/>
    </xf>
    <xf numFmtId="165" fontId="9" fillId="7" borderId="0" xfId="0" applyNumberFormat="1" applyFont="1" applyFill="1" applyBorder="1" applyAlignment="1" applyProtection="1">
      <alignment horizontal="right"/>
    </xf>
    <xf numFmtId="0" fontId="9" fillId="0" borderId="49" xfId="0" applyFont="1" applyBorder="1" applyAlignment="1" applyProtection="1">
      <alignment horizontal="left"/>
    </xf>
    <xf numFmtId="0" fontId="9" fillId="0" borderId="12" xfId="0" applyFont="1" applyBorder="1" applyAlignment="1" applyProtection="1">
      <alignment horizontal="left"/>
    </xf>
    <xf numFmtId="0" fontId="9" fillId="0" borderId="48" xfId="0" applyFont="1" applyBorder="1" applyProtection="1"/>
    <xf numFmtId="2" fontId="9" fillId="0" borderId="12" xfId="0" applyNumberFormat="1" applyFont="1" applyFill="1" applyBorder="1" applyAlignment="1" applyProtection="1">
      <alignment horizontal="center"/>
    </xf>
    <xf numFmtId="2" fontId="9" fillId="0" borderId="12" xfId="0" applyNumberFormat="1" applyFont="1" applyBorder="1" applyAlignment="1" applyProtection="1">
      <alignment horizontal="center"/>
    </xf>
    <xf numFmtId="2" fontId="9" fillId="0" borderId="17" xfId="0" applyNumberFormat="1" applyFont="1" applyFill="1" applyBorder="1" applyAlignment="1" applyProtection="1">
      <alignment horizontal="center"/>
    </xf>
    <xf numFmtId="11" fontId="0" fillId="0" borderId="0" xfId="0" applyNumberFormat="1"/>
    <xf numFmtId="165" fontId="0" fillId="0" borderId="0" xfId="0" applyNumberFormat="1"/>
    <xf numFmtId="2" fontId="9" fillId="7" borderId="31" xfId="0" applyNumberFormat="1" applyFont="1" applyFill="1" applyBorder="1" applyAlignment="1" applyProtection="1">
      <alignment horizontal="center"/>
    </xf>
    <xf numFmtId="2" fontId="9" fillId="0" borderId="50" xfId="0" applyNumberFormat="1" applyFont="1" applyBorder="1" applyAlignment="1" applyProtection="1">
      <alignment horizontal="center"/>
    </xf>
    <xf numFmtId="2" fontId="9" fillId="0" borderId="50" xfId="0" applyNumberFormat="1" applyFont="1" applyFill="1" applyBorder="1" applyAlignment="1" applyProtection="1">
      <alignment horizontal="center"/>
    </xf>
    <xf numFmtId="0" fontId="2" fillId="7" borderId="24" xfId="0" applyFont="1" applyFill="1" applyBorder="1" applyAlignment="1">
      <alignment horizontal="center"/>
    </xf>
    <xf numFmtId="0" fontId="35" fillId="0" borderId="0" xfId="0" applyFont="1" applyFill="1" applyBorder="1" applyAlignment="1">
      <alignment horizontal="right"/>
    </xf>
    <xf numFmtId="14" fontId="9" fillId="0" borderId="0" xfId="0" applyNumberFormat="1" applyFont="1"/>
    <xf numFmtId="0" fontId="0" fillId="8" borderId="6" xfId="0" applyFill="1" applyBorder="1"/>
    <xf numFmtId="0" fontId="0" fillId="8" borderId="2" xfId="0" applyFill="1" applyBorder="1"/>
    <xf numFmtId="0" fontId="0" fillId="8" borderId="7" xfId="0" applyFill="1" applyBorder="1"/>
    <xf numFmtId="0" fontId="0" fillId="8" borderId="22" xfId="0" applyFill="1" applyBorder="1"/>
    <xf numFmtId="0" fontId="0" fillId="8" borderId="0" xfId="0" applyFill="1" applyBorder="1" applyAlignment="1" applyProtection="1">
      <alignment vertical="center" wrapText="1"/>
    </xf>
    <xf numFmtId="0" fontId="0" fillId="8" borderId="5" xfId="0" applyFill="1" applyBorder="1" applyAlignment="1">
      <alignment vertical="center" wrapText="1"/>
    </xf>
    <xf numFmtId="0" fontId="0" fillId="8" borderId="6" xfId="0" applyFill="1" applyBorder="1" applyAlignment="1">
      <alignment vertical="center" wrapText="1"/>
    </xf>
    <xf numFmtId="0" fontId="0" fillId="8" borderId="3" xfId="0" applyFill="1" applyBorder="1" applyAlignment="1">
      <alignment vertical="center" wrapText="1"/>
    </xf>
    <xf numFmtId="0" fontId="0" fillId="8" borderId="8" xfId="0" applyFill="1" applyBorder="1" applyAlignment="1">
      <alignment vertical="center" wrapText="1"/>
    </xf>
    <xf numFmtId="0" fontId="0" fillId="0" borderId="14" xfId="0" applyBorder="1"/>
    <xf numFmtId="0" fontId="0" fillId="0" borderId="15" xfId="0" applyBorder="1"/>
    <xf numFmtId="0" fontId="0" fillId="0" borderId="10" xfId="0" applyBorder="1"/>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2" xfId="0" applyBorder="1" applyAlignment="1">
      <alignment horizontal="center"/>
    </xf>
    <xf numFmtId="0" fontId="0" fillId="0" borderId="0" xfId="0" applyBorder="1" applyAlignment="1">
      <alignment vertical="center" wrapText="1"/>
    </xf>
    <xf numFmtId="0" fontId="0" fillId="0" borderId="0" xfId="0" applyBorder="1" applyAlignment="1">
      <alignment horizontal="center" vertical="center" wrapText="1"/>
    </xf>
    <xf numFmtId="11" fontId="0" fillId="0" borderId="0" xfId="0" applyNumberFormat="1" applyAlignment="1">
      <alignment horizontal="center" vertical="center" wrapText="1"/>
    </xf>
    <xf numFmtId="0" fontId="0" fillId="5" borderId="0" xfId="0" applyFill="1" applyBorder="1" applyAlignment="1">
      <alignment horizontal="center" vertical="center" wrapText="1"/>
    </xf>
    <xf numFmtId="0" fontId="0" fillId="0" borderId="0" xfId="0" applyAlignment="1">
      <alignment horizontal="center" vertical="center" wrapText="1"/>
    </xf>
    <xf numFmtId="0" fontId="7" fillId="0"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8" borderId="23" xfId="0" applyFont="1" applyFill="1" applyBorder="1" applyAlignment="1">
      <alignment horizontal="center" vertical="center" wrapText="1"/>
    </xf>
    <xf numFmtId="170" fontId="9" fillId="8" borderId="23" xfId="0" applyNumberFormat="1" applyFont="1" applyFill="1" applyBorder="1" applyAlignment="1">
      <alignment horizontal="center" vertical="center" wrapText="1"/>
    </xf>
    <xf numFmtId="0" fontId="2" fillId="8" borderId="0" xfId="0" applyFont="1" applyFill="1" applyBorder="1" applyAlignment="1">
      <alignment horizontal="center" vertical="center" wrapText="1"/>
    </xf>
    <xf numFmtId="0" fontId="0" fillId="8" borderId="0" xfId="0" applyFill="1" applyBorder="1" applyAlignment="1">
      <alignment wrapText="1"/>
    </xf>
    <xf numFmtId="0" fontId="0" fillId="8" borderId="18" xfId="0" applyFill="1" applyBorder="1" applyAlignment="1">
      <alignment wrapText="1"/>
    </xf>
    <xf numFmtId="11" fontId="9" fillId="8" borderId="23" xfId="0" applyNumberFormat="1" applyFont="1" applyFill="1" applyBorder="1" applyAlignment="1">
      <alignment horizontal="center" vertical="center" wrapText="1"/>
    </xf>
    <xf numFmtId="0" fontId="2" fillId="8" borderId="4" xfId="0" applyFont="1" applyFill="1" applyBorder="1" applyAlignment="1">
      <alignment vertical="center" wrapText="1"/>
    </xf>
    <xf numFmtId="0" fontId="32" fillId="0" borderId="13" xfId="0" applyFont="1" applyBorder="1" applyAlignment="1">
      <alignment horizontal="center" vertical="center" wrapText="1"/>
    </xf>
    <xf numFmtId="0" fontId="31" fillId="0" borderId="14" xfId="0" applyFont="1" applyBorder="1" applyAlignment="1">
      <alignment wrapText="1"/>
    </xf>
    <xf numFmtId="0" fontId="31" fillId="0" borderId="36" xfId="0" applyFont="1" applyBorder="1" applyAlignment="1">
      <alignment wrapText="1"/>
    </xf>
    <xf numFmtId="0" fontId="31" fillId="0" borderId="15" xfId="0" applyFont="1" applyBorder="1" applyAlignment="1">
      <alignment wrapText="1"/>
    </xf>
    <xf numFmtId="0" fontId="31" fillId="0" borderId="17" xfId="0" applyFont="1" applyBorder="1" applyAlignment="1">
      <alignment wrapText="1"/>
    </xf>
    <xf numFmtId="0" fontId="31" fillId="0" borderId="18" xfId="0" applyFont="1" applyBorder="1" applyAlignment="1">
      <alignment wrapText="1"/>
    </xf>
    <xf numFmtId="0" fontId="31" fillId="0" borderId="22" xfId="0" applyFont="1" applyBorder="1" applyAlignment="1">
      <alignment wrapText="1"/>
    </xf>
    <xf numFmtId="0" fontId="31" fillId="0" borderId="19" xfId="0" applyFont="1" applyBorder="1" applyAlignment="1">
      <alignment wrapText="1"/>
    </xf>
    <xf numFmtId="0" fontId="5" fillId="0" borderId="10" xfId="0" applyFont="1" applyBorder="1" applyAlignment="1">
      <alignment vertical="center" wrapText="1"/>
    </xf>
    <xf numFmtId="0" fontId="5" fillId="0" borderId="0" xfId="0" applyFont="1" applyBorder="1" applyAlignment="1">
      <alignment vertical="center" wrapText="1"/>
    </xf>
    <xf numFmtId="0" fontId="5" fillId="0" borderId="16" xfId="0" applyFont="1" applyBorder="1" applyAlignment="1">
      <alignment vertical="center" wrapText="1"/>
    </xf>
    <xf numFmtId="0" fontId="4" fillId="8" borderId="25"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11" fillId="8" borderId="53" xfId="0" applyFont="1" applyFill="1" applyBorder="1" applyAlignment="1" applyProtection="1">
      <alignment vertical="center" wrapText="1"/>
    </xf>
    <xf numFmtId="0" fontId="11" fillId="8" borderId="23" xfId="0" applyFont="1" applyFill="1" applyBorder="1" applyAlignment="1" applyProtection="1">
      <alignment vertical="center" wrapText="1"/>
    </xf>
    <xf numFmtId="0" fontId="0" fillId="8" borderId="2" xfId="0" applyFill="1" applyBorder="1" applyAlignment="1" applyProtection="1">
      <alignment vertical="center" wrapText="1"/>
    </xf>
    <xf numFmtId="0" fontId="0" fillId="8" borderId="0" xfId="0" applyFill="1" applyBorder="1" applyAlignment="1" applyProtection="1">
      <alignment vertical="center" wrapText="1"/>
    </xf>
    <xf numFmtId="0" fontId="0" fillId="8" borderId="7" xfId="0" applyFill="1" applyBorder="1" applyAlignment="1" applyProtection="1">
      <alignment vertical="center" wrapText="1"/>
    </xf>
    <xf numFmtId="0" fontId="0" fillId="8" borderId="9" xfId="0" applyFill="1" applyBorder="1" applyAlignment="1" applyProtection="1">
      <alignment vertical="center" wrapText="1"/>
    </xf>
    <xf numFmtId="0" fontId="0" fillId="8" borderId="3" xfId="0" applyFill="1" applyBorder="1" applyAlignment="1" applyProtection="1">
      <alignment vertical="center" wrapText="1"/>
    </xf>
    <xf numFmtId="0" fontId="0" fillId="8" borderId="8" xfId="0" applyFill="1" applyBorder="1" applyAlignment="1" applyProtection="1">
      <alignment vertic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170" fontId="9" fillId="0" borderId="23" xfId="0" applyNumberFormat="1" applyFont="1" applyBorder="1" applyAlignment="1">
      <alignment horizontal="center" vertical="center" wrapText="1"/>
    </xf>
    <xf numFmtId="11" fontId="9" fillId="0" borderId="23" xfId="0" applyNumberFormat="1" applyFont="1" applyBorder="1" applyAlignment="1">
      <alignment horizontal="center" vertical="center" wrapText="1"/>
    </xf>
    <xf numFmtId="0" fontId="9" fillId="0" borderId="23" xfId="0" applyFont="1" applyBorder="1" applyAlignment="1">
      <alignment horizontal="center" vertical="center" wrapText="1"/>
    </xf>
    <xf numFmtId="0" fontId="2" fillId="8" borderId="29" xfId="0" applyFont="1" applyFill="1" applyBorder="1" applyAlignment="1">
      <alignment horizontal="center" vertical="center" wrapText="1"/>
    </xf>
    <xf numFmtId="0" fontId="0" fillId="0" borderId="53" xfId="0" applyBorder="1" applyAlignment="1">
      <alignment wrapText="1"/>
    </xf>
    <xf numFmtId="0" fontId="0" fillId="0" borderId="23" xfId="0" applyBorder="1" applyAlignment="1">
      <alignment wrapText="1"/>
    </xf>
    <xf numFmtId="0" fontId="0" fillId="8" borderId="18" xfId="0" applyFill="1" applyBorder="1" applyAlignment="1">
      <alignment horizontal="center" vertical="center" wrapText="1"/>
    </xf>
    <xf numFmtId="0" fontId="11" fillId="8" borderId="29" xfId="0" applyFont="1" applyFill="1" applyBorder="1" applyAlignment="1" applyProtection="1">
      <alignment vertical="center" wrapText="1"/>
    </xf>
    <xf numFmtId="0" fontId="7" fillId="8" borderId="5" xfId="0" applyFont="1" applyFill="1" applyBorder="1" applyAlignment="1" applyProtection="1">
      <alignment vertical="center" wrapText="1"/>
      <protection locked="0"/>
    </xf>
    <xf numFmtId="0" fontId="7" fillId="8" borderId="6" xfId="0" applyFont="1" applyFill="1" applyBorder="1" applyAlignment="1" applyProtection="1">
      <alignment vertical="center" wrapText="1"/>
      <protection locked="0"/>
    </xf>
    <xf numFmtId="0" fontId="7" fillId="8" borderId="3" xfId="0" applyFont="1" applyFill="1" applyBorder="1" applyAlignment="1" applyProtection="1">
      <alignment vertical="center" wrapText="1"/>
      <protection locked="0"/>
    </xf>
    <xf numFmtId="0" fontId="7" fillId="8" borderId="8" xfId="0" applyFont="1" applyFill="1" applyBorder="1" applyAlignment="1" applyProtection="1">
      <alignment vertical="center" wrapText="1"/>
      <protection locked="0"/>
    </xf>
    <xf numFmtId="0" fontId="0" fillId="8" borderId="53" xfId="0" applyFill="1" applyBorder="1" applyAlignment="1">
      <alignment horizontal="center" vertical="center" wrapText="1"/>
    </xf>
    <xf numFmtId="0" fontId="0" fillId="8" borderId="55" xfId="0" applyFill="1" applyBorder="1" applyAlignment="1"/>
    <xf numFmtId="0" fontId="9" fillId="7" borderId="2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0" fillId="8" borderId="4" xfId="0" applyFill="1" applyBorder="1" applyAlignment="1" applyProtection="1">
      <alignment vertical="center" wrapText="1"/>
    </xf>
    <xf numFmtId="0" fontId="0" fillId="8" borderId="5" xfId="0" applyFill="1" applyBorder="1" applyAlignment="1" applyProtection="1">
      <alignment vertical="center" wrapText="1"/>
    </xf>
    <xf numFmtId="0" fontId="0" fillId="8" borderId="6" xfId="0" applyFill="1" applyBorder="1" applyAlignment="1" applyProtection="1">
      <alignment vertical="center" wrapText="1"/>
    </xf>
    <xf numFmtId="0" fontId="11" fillId="8" borderId="29" xfId="0" applyFont="1" applyFill="1" applyBorder="1" applyAlignment="1" applyProtection="1">
      <alignment vertical="center" wrapText="1"/>
      <protection locked="0"/>
    </xf>
    <xf numFmtId="0" fontId="11" fillId="8" borderId="23" xfId="0" applyFont="1" applyFill="1" applyBorder="1" applyAlignment="1" applyProtection="1">
      <alignment vertical="center" wrapText="1"/>
      <protection locked="0"/>
    </xf>
    <xf numFmtId="0" fontId="0" fillId="8" borderId="5" xfId="0" applyFill="1" applyBorder="1" applyAlignment="1" applyProtection="1">
      <alignment vertical="center" wrapText="1"/>
      <protection locked="0"/>
    </xf>
    <xf numFmtId="0" fontId="0" fillId="8" borderId="0" xfId="0" applyFill="1" applyBorder="1" applyAlignment="1" applyProtection="1">
      <alignment vertical="center" wrapText="1"/>
      <protection locked="0"/>
    </xf>
    <xf numFmtId="0" fontId="7" fillId="8" borderId="5"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wrapText="1"/>
      <protection locked="0"/>
    </xf>
    <xf numFmtId="0" fontId="11" fillId="8" borderId="0" xfId="0" applyFont="1" applyFill="1" applyBorder="1" applyAlignment="1" applyProtection="1">
      <alignment horizontal="center" vertical="center" wrapText="1"/>
      <protection locked="0"/>
    </xf>
    <xf numFmtId="0" fontId="11" fillId="8" borderId="0" xfId="0" applyFont="1" applyFill="1" applyBorder="1" applyAlignment="1" applyProtection="1">
      <alignment horizontal="center" wrapText="1"/>
      <protection locked="0"/>
    </xf>
    <xf numFmtId="0" fontId="0" fillId="8" borderId="22" xfId="0" applyFill="1" applyBorder="1" applyAlignment="1">
      <alignment horizontal="center" vertical="center" wrapText="1"/>
    </xf>
    <xf numFmtId="0" fontId="11" fillId="8" borderId="29" xfId="0" applyFont="1" applyFill="1" applyBorder="1" applyAlignment="1">
      <alignment vertical="center" wrapText="1"/>
    </xf>
    <xf numFmtId="0" fontId="11" fillId="8" borderId="23" xfId="0" applyFont="1" applyFill="1" applyBorder="1" applyAlignment="1">
      <alignment vertical="center" wrapText="1"/>
    </xf>
    <xf numFmtId="0" fontId="0" fillId="8" borderId="4" xfId="0" applyFill="1" applyBorder="1" applyAlignment="1">
      <alignment vertical="center" wrapText="1"/>
    </xf>
    <xf numFmtId="0" fontId="0" fillId="8" borderId="5" xfId="0" applyFill="1" applyBorder="1" applyAlignment="1">
      <alignment vertical="center" wrapText="1"/>
    </xf>
    <xf numFmtId="0" fontId="0" fillId="8" borderId="6" xfId="0" applyFill="1" applyBorder="1" applyAlignment="1">
      <alignment vertical="center" wrapText="1"/>
    </xf>
    <xf numFmtId="0" fontId="0" fillId="8" borderId="9" xfId="0" applyFill="1" applyBorder="1" applyAlignment="1">
      <alignment vertical="center" wrapText="1"/>
    </xf>
    <xf numFmtId="0" fontId="0" fillId="8" borderId="3" xfId="0" applyFill="1" applyBorder="1" applyAlignment="1">
      <alignment vertical="center" wrapText="1"/>
    </xf>
    <xf numFmtId="0" fontId="0" fillId="8" borderId="8" xfId="0" applyFill="1" applyBorder="1" applyAlignment="1">
      <alignment vertical="center" wrapText="1"/>
    </xf>
    <xf numFmtId="0" fontId="0" fillId="8" borderId="4" xfId="0" applyFill="1"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0" fontId="0" fillId="8" borderId="3" xfId="0" applyFill="1" applyBorder="1" applyAlignment="1" applyProtection="1">
      <alignment vertical="center" wrapText="1"/>
      <protection locked="0"/>
    </xf>
    <xf numFmtId="0" fontId="0" fillId="8" borderId="8" xfId="0" applyFill="1" applyBorder="1" applyAlignment="1" applyProtection="1">
      <alignment vertical="center" wrapText="1"/>
      <protection locked="0"/>
    </xf>
    <xf numFmtId="170" fontId="9" fillId="8" borderId="1" xfId="0" applyNumberFormat="1"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0" fillId="8" borderId="51" xfId="0" applyFill="1" applyBorder="1" applyAlignment="1">
      <alignment horizontal="center" wrapText="1"/>
    </xf>
    <xf numFmtId="0" fontId="0" fillId="8" borderId="19" xfId="0" applyFill="1" applyBorder="1" applyAlignment="1">
      <alignment horizontal="center" wrapText="1"/>
    </xf>
    <xf numFmtId="0" fontId="13" fillId="8" borderId="20" xfId="0" applyFont="1" applyFill="1" applyBorder="1" applyAlignment="1">
      <alignment horizontal="center"/>
    </xf>
    <xf numFmtId="0" fontId="0" fillId="0" borderId="12" xfId="0" applyBorder="1" applyAlignment="1">
      <alignment horizontal="center"/>
    </xf>
    <xf numFmtId="0" fontId="0" fillId="0" borderId="21" xfId="0" applyBorder="1" applyAlignment="1">
      <alignment horizontal="center"/>
    </xf>
    <xf numFmtId="0" fontId="24" fillId="8" borderId="0" xfId="0" applyFont="1" applyFill="1" applyBorder="1" applyAlignment="1" applyProtection="1">
      <alignment vertical="top" wrapText="1"/>
    </xf>
    <xf numFmtId="0" fontId="24" fillId="0" borderId="0" xfId="0" applyFont="1" applyBorder="1" applyAlignment="1" applyProtection="1">
      <alignment wrapText="1"/>
    </xf>
    <xf numFmtId="0" fontId="9" fillId="7" borderId="53"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8" borderId="53" xfId="0" applyFont="1" applyFill="1" applyBorder="1" applyAlignment="1">
      <alignment horizontal="center" vertical="center" wrapText="1"/>
    </xf>
    <xf numFmtId="0" fontId="9" fillId="8" borderId="27" xfId="0" applyFont="1" applyFill="1" applyBorder="1" applyAlignment="1">
      <alignment horizontal="center" vertical="center" wrapText="1"/>
    </xf>
    <xf numFmtId="170" fontId="9" fillId="8" borderId="45" xfId="0" applyNumberFormat="1" applyFont="1" applyFill="1" applyBorder="1" applyAlignment="1">
      <alignment horizontal="center" vertical="center" wrapText="1"/>
    </xf>
    <xf numFmtId="170" fontId="9" fillId="0" borderId="45" xfId="0" applyNumberFormat="1" applyFont="1" applyBorder="1" applyAlignment="1">
      <alignment horizontal="center" vertical="center" wrapText="1"/>
    </xf>
    <xf numFmtId="2" fontId="9" fillId="8" borderId="23" xfId="0" applyNumberFormat="1" applyFont="1" applyFill="1" applyBorder="1" applyAlignment="1">
      <alignment horizontal="center" vertical="center" wrapText="1"/>
    </xf>
    <xf numFmtId="0" fontId="9" fillId="0" borderId="55" xfId="0" applyFont="1" applyFill="1" applyBorder="1" applyAlignment="1">
      <alignment horizontal="center" vertical="center" wrapText="1"/>
    </xf>
    <xf numFmtId="4" fontId="9" fillId="8" borderId="23" xfId="0" applyNumberFormat="1" applyFont="1" applyFill="1" applyBorder="1" applyAlignment="1">
      <alignment horizontal="center" vertical="center" wrapText="1"/>
    </xf>
    <xf numFmtId="0" fontId="0" fillId="8" borderId="22" xfId="0" applyFill="1" applyBorder="1" applyAlignment="1">
      <alignment horizontal="center" wrapText="1"/>
    </xf>
    <xf numFmtId="170" fontId="9" fillId="8" borderId="27" xfId="0" applyNumberFormat="1" applyFont="1" applyFill="1" applyBorder="1" applyAlignment="1">
      <alignment horizontal="center" vertical="center" wrapText="1"/>
    </xf>
    <xf numFmtId="170" fontId="9" fillId="0" borderId="55" xfId="0" applyNumberFormat="1" applyFont="1" applyFill="1" applyBorder="1" applyAlignment="1">
      <alignment horizontal="center" vertical="center" wrapText="1"/>
    </xf>
    <xf numFmtId="170" fontId="9" fillId="0" borderId="32" xfId="0" applyNumberFormat="1" applyFont="1" applyFill="1" applyBorder="1" applyAlignment="1">
      <alignment horizontal="center"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0" xfId="0" applyFont="1" applyBorder="1" applyAlignment="1">
      <alignment vertical="center" wrapText="1"/>
    </xf>
    <xf numFmtId="0" fontId="11" fillId="0" borderId="0"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9" fillId="7" borderId="45" xfId="0" applyFont="1" applyFill="1" applyBorder="1" applyAlignment="1">
      <alignment horizontal="center" vertical="center" wrapText="1"/>
    </xf>
    <xf numFmtId="0" fontId="0" fillId="0" borderId="0" xfId="0" applyBorder="1" applyAlignment="1" applyProtection="1">
      <alignment vertical="center" wrapText="1"/>
      <protection locked="0"/>
    </xf>
    <xf numFmtId="0" fontId="24" fillId="0" borderId="13"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4" fillId="0" borderId="19" xfId="0" applyFont="1" applyBorder="1" applyAlignment="1">
      <alignment vertical="center" wrapText="1"/>
    </xf>
    <xf numFmtId="0" fontId="9" fillId="7" borderId="54" xfId="0" applyFont="1" applyFill="1" applyBorder="1" applyAlignment="1">
      <alignment horizontal="center" vertical="center" wrapText="1"/>
    </xf>
    <xf numFmtId="170" fontId="9" fillId="8" borderId="28" xfId="0" applyNumberFormat="1" applyFont="1" applyFill="1" applyBorder="1" applyAlignment="1">
      <alignment horizontal="center" vertical="center" wrapText="1"/>
    </xf>
    <xf numFmtId="170" fontId="9" fillId="0" borderId="56" xfId="0" applyNumberFormat="1" applyFont="1" applyFill="1" applyBorder="1" applyAlignment="1">
      <alignment horizontal="center" vertical="center" wrapText="1"/>
    </xf>
    <xf numFmtId="4" fontId="9" fillId="8" borderId="45" xfId="0" applyNumberFormat="1" applyFont="1"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0" fillId="8" borderId="32" xfId="0" applyFill="1" applyBorder="1" applyAlignment="1">
      <alignment horizontal="center" wrapText="1"/>
    </xf>
    <xf numFmtId="0" fontId="0" fillId="8" borderId="6" xfId="0" applyFill="1" applyBorder="1" applyAlignment="1">
      <alignment horizontal="center"/>
    </xf>
    <xf numFmtId="0" fontId="0" fillId="8" borderId="2" xfId="0" applyFill="1" applyBorder="1" applyAlignment="1">
      <alignment horizontal="center"/>
    </xf>
    <xf numFmtId="0" fontId="0" fillId="8" borderId="7" xfId="0" applyFill="1" applyBorder="1" applyAlignment="1">
      <alignment horizontal="center"/>
    </xf>
    <xf numFmtId="0" fontId="0" fillId="8" borderId="51" xfId="0" applyFill="1" applyBorder="1" applyAlignment="1">
      <alignment horizontal="center"/>
    </xf>
    <xf numFmtId="0" fontId="0" fillId="8" borderId="22" xfId="0" applyFill="1" applyBorder="1" applyAlignment="1">
      <alignment horizontal="center"/>
    </xf>
    <xf numFmtId="0" fontId="2" fillId="8" borderId="30" xfId="0" applyFont="1" applyFill="1" applyBorder="1" applyAlignment="1">
      <alignment horizontal="center" vertical="center" wrapText="1"/>
    </xf>
    <xf numFmtId="0" fontId="0" fillId="8" borderId="27" xfId="0" applyFill="1" applyBorder="1" applyAlignment="1">
      <alignment vertical="center" wrapText="1"/>
    </xf>
    <xf numFmtId="0" fontId="2" fillId="8" borderId="27" xfId="0" applyFont="1" applyFill="1" applyBorder="1" applyAlignment="1">
      <alignment horizontal="center" vertical="center" wrapText="1"/>
    </xf>
    <xf numFmtId="0" fontId="32" fillId="0" borderId="25" xfId="0" applyFont="1" applyBorder="1" applyAlignment="1">
      <alignment horizontal="center"/>
    </xf>
    <xf numFmtId="0" fontId="32" fillId="0" borderId="11" xfId="0" applyFont="1" applyBorder="1" applyAlignment="1">
      <alignment horizontal="center"/>
    </xf>
    <xf numFmtId="0" fontId="32" fillId="0" borderId="26" xfId="0" applyFont="1" applyBorder="1" applyAlignment="1">
      <alignment horizontal="center"/>
    </xf>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52"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9" fillId="0" borderId="59" xfId="0" applyFont="1" applyFill="1" applyBorder="1" applyAlignment="1" applyProtection="1">
      <alignment horizontal="center"/>
    </xf>
    <xf numFmtId="0" fontId="9" fillId="0" borderId="41" xfId="0" applyFont="1" applyFill="1" applyBorder="1" applyAlignment="1" applyProtection="1">
      <alignment horizontal="center"/>
    </xf>
    <xf numFmtId="0" fontId="8" fillId="9" borderId="10"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16" xfId="0" applyFont="1" applyFill="1" applyBorder="1" applyAlignment="1">
      <alignment horizontal="center" vertical="center"/>
    </xf>
    <xf numFmtId="0" fontId="9" fillId="0" borderId="64" xfId="0" applyFont="1" applyBorder="1" applyAlignment="1" applyProtection="1">
      <alignment vertical="center" wrapText="1"/>
    </xf>
    <xf numFmtId="0" fontId="9" fillId="0" borderId="14" xfId="0" applyFont="1" applyBorder="1" applyAlignment="1" applyProtection="1">
      <alignment vertical="center" wrapText="1"/>
    </xf>
    <xf numFmtId="0" fontId="9" fillId="0" borderId="15" xfId="0" applyFont="1" applyBorder="1" applyAlignment="1" applyProtection="1">
      <alignment vertical="center" wrapText="1"/>
    </xf>
    <xf numFmtId="0" fontId="0" fillId="0" borderId="51" xfId="0" applyBorder="1" applyAlignment="1" applyProtection="1">
      <alignment vertical="center" wrapText="1"/>
    </xf>
    <xf numFmtId="0" fontId="0" fillId="0" borderId="18" xfId="0" applyBorder="1" applyAlignment="1" applyProtection="1">
      <alignment vertical="center" wrapText="1"/>
    </xf>
    <xf numFmtId="0" fontId="0" fillId="0" borderId="19" xfId="0" applyBorder="1" applyAlignment="1" applyProtection="1">
      <alignment vertical="center" wrapText="1"/>
    </xf>
    <xf numFmtId="0" fontId="13" fillId="0" borderId="13"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9" fillId="0" borderId="12" xfId="0" applyFont="1" applyBorder="1" applyAlignment="1" applyProtection="1">
      <alignment horizontal="center" vertical="top"/>
    </xf>
    <xf numFmtId="0" fontId="9" fillId="0" borderId="48" xfId="0" applyFont="1" applyBorder="1" applyAlignment="1" applyProtection="1">
      <alignment horizontal="center" vertical="top"/>
    </xf>
    <xf numFmtId="0" fontId="9" fillId="0" borderId="12" xfId="0" applyFont="1" applyBorder="1" applyAlignment="1" applyProtection="1">
      <alignment horizontal="center"/>
    </xf>
    <xf numFmtId="0" fontId="9" fillId="0" borderId="48" xfId="0" applyFont="1" applyBorder="1" applyAlignment="1" applyProtection="1">
      <alignment horizontal="center"/>
    </xf>
    <xf numFmtId="0" fontId="13"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22" xfId="0" applyBorder="1" applyAlignment="1" applyProtection="1">
      <alignment horizontal="center" vertical="center" wrapText="1"/>
    </xf>
    <xf numFmtId="0" fontId="6" fillId="0" borderId="13" xfId="0" applyFont="1" applyFill="1" applyBorder="1" applyAlignment="1" applyProtection="1">
      <alignment horizontal="center"/>
    </xf>
    <xf numFmtId="0" fontId="6" fillId="0" borderId="15" xfId="0" applyFont="1" applyFill="1" applyBorder="1" applyAlignment="1" applyProtection="1">
      <alignment horizontal="center"/>
    </xf>
    <xf numFmtId="0" fontId="6" fillId="0" borderId="13" xfId="0" applyFont="1" applyBorder="1" applyAlignment="1" applyProtection="1">
      <alignment horizontal="center"/>
    </xf>
    <xf numFmtId="0" fontId="0" fillId="0" borderId="14" xfId="0" applyBorder="1" applyAlignment="1" applyProtection="1"/>
    <xf numFmtId="0" fontId="0" fillId="0" borderId="15" xfId="0" applyBorder="1" applyAlignment="1" applyProtection="1"/>
    <xf numFmtId="0" fontId="6"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0" borderId="13" xfId="0" applyFont="1" applyBorder="1" applyAlignment="1">
      <alignment horizontal="center"/>
    </xf>
    <xf numFmtId="0" fontId="6" fillId="0" borderId="15" xfId="0" applyFont="1" applyBorder="1" applyAlignment="1">
      <alignment horizontal="center"/>
    </xf>
    <xf numFmtId="0" fontId="5" fillId="0" borderId="2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6" xfId="0" applyFont="1" applyBorder="1" applyAlignment="1">
      <alignment horizontal="center" vertical="center" wrapText="1"/>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3" xfId="0" applyFont="1" applyBorder="1" applyAlignment="1" applyProtection="1">
      <alignment horizontal="center" vertical="center"/>
    </xf>
    <xf numFmtId="0" fontId="32" fillId="8" borderId="25"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32" fillId="0" borderId="11" xfId="0" applyFont="1" applyBorder="1" applyAlignment="1">
      <alignment horizontal="center" vertical="center" wrapText="1"/>
    </xf>
    <xf numFmtId="0" fontId="31" fillId="0" borderId="11" xfId="0" applyFont="1" applyBorder="1" applyAlignment="1">
      <alignment vertical="center" wrapText="1"/>
    </xf>
    <xf numFmtId="0" fontId="31" fillId="0" borderId="26" xfId="0" applyFont="1" applyBorder="1" applyAlignment="1">
      <alignment vertical="center" wrapText="1"/>
    </xf>
    <xf numFmtId="0" fontId="13" fillId="0" borderId="13" xfId="0" applyFont="1" applyBorder="1" applyAlignment="1" applyProtection="1">
      <alignment vertical="center" wrapText="1"/>
    </xf>
    <xf numFmtId="0" fontId="0" fillId="0" borderId="14" xfId="0" applyBorder="1" applyAlignment="1" applyProtection="1">
      <alignment vertical="center" wrapText="1"/>
    </xf>
    <xf numFmtId="0" fontId="0" fillId="0" borderId="15" xfId="0" applyBorder="1" applyAlignment="1" applyProtection="1">
      <alignment vertical="center" wrapText="1"/>
    </xf>
    <xf numFmtId="0" fontId="0" fillId="0" borderId="10" xfId="0" applyBorder="1" applyAlignment="1" applyProtection="1">
      <alignment vertical="center" wrapText="1"/>
    </xf>
    <xf numFmtId="0" fontId="0" fillId="0" borderId="0" xfId="0" applyBorder="1" applyAlignment="1" applyProtection="1">
      <alignment vertical="center" wrapText="1"/>
    </xf>
    <xf numFmtId="0" fontId="0" fillId="0" borderId="16" xfId="0" applyBorder="1" applyAlignment="1" applyProtection="1">
      <alignment vertical="center" wrapText="1"/>
    </xf>
    <xf numFmtId="0" fontId="0" fillId="0" borderId="17" xfId="0" applyBorder="1" applyAlignment="1" applyProtection="1">
      <alignment vertical="center" wrapText="1"/>
    </xf>
    <xf numFmtId="0" fontId="0" fillId="0" borderId="13" xfId="0" applyFill="1" applyBorder="1" applyAlignment="1" applyProtection="1">
      <alignment vertical="center" wrapText="1"/>
    </xf>
    <xf numFmtId="0" fontId="12" fillId="0" borderId="17" xfId="0" applyFont="1" applyBorder="1" applyAlignment="1">
      <alignment horizontal="center"/>
    </xf>
    <xf numFmtId="0" fontId="0" fillId="0" borderId="19" xfId="0" applyBorder="1" applyAlignment="1"/>
    <xf numFmtId="0" fontId="0" fillId="0" borderId="22" xfId="0" applyBorder="1" applyAlignment="1">
      <alignment horizontal="center"/>
    </xf>
    <xf numFmtId="0" fontId="6" fillId="7" borderId="13" xfId="0" applyFont="1" applyFill="1" applyBorder="1" applyAlignment="1" applyProtection="1">
      <alignment horizontal="center"/>
    </xf>
    <xf numFmtId="0" fontId="6" fillId="7" borderId="15" xfId="0" applyFont="1" applyFill="1" applyBorder="1" applyAlignment="1" applyProtection="1">
      <alignment horizontal="center"/>
    </xf>
    <xf numFmtId="0" fontId="9" fillId="0" borderId="16" xfId="0" applyFont="1" applyFill="1" applyBorder="1" applyAlignment="1" applyProtection="1">
      <alignment vertical="center" wrapText="1"/>
    </xf>
    <xf numFmtId="0" fontId="2" fillId="0" borderId="49" xfId="0" applyFont="1" applyBorder="1" applyAlignment="1">
      <alignment horizontal="right" vertical="center" wrapText="1"/>
    </xf>
    <xf numFmtId="0" fontId="2" fillId="0" borderId="12" xfId="0" applyFont="1" applyBorder="1" applyAlignment="1">
      <alignment horizontal="right" vertical="center" wrapText="1"/>
    </xf>
    <xf numFmtId="0" fontId="2" fillId="0" borderId="12" xfId="0" applyFont="1" applyBorder="1" applyAlignment="1">
      <alignment horizontal="right" wrapText="1"/>
    </xf>
    <xf numFmtId="168" fontId="2" fillId="0" borderId="1" xfId="0" applyNumberFormat="1" applyFont="1" applyBorder="1" applyAlignment="1">
      <alignment horizontal="center" vertical="center" wrapText="1"/>
    </xf>
    <xf numFmtId="0" fontId="2" fillId="0" borderId="47" xfId="0" applyFont="1" applyBorder="1" applyAlignment="1">
      <alignment horizontal="center" vertical="center" wrapText="1"/>
    </xf>
    <xf numFmtId="0" fontId="8" fillId="9" borderId="10" xfId="0" applyFont="1" applyFill="1" applyBorder="1" applyAlignment="1" applyProtection="1">
      <alignment horizontal="center"/>
    </xf>
    <xf numFmtId="0" fontId="8" fillId="9" borderId="0" xfId="0" applyFont="1" applyFill="1" applyBorder="1" applyAlignment="1" applyProtection="1">
      <alignment horizontal="center"/>
    </xf>
    <xf numFmtId="0" fontId="8" fillId="9" borderId="16" xfId="0" applyFont="1" applyFill="1" applyBorder="1" applyAlignment="1" applyProtection="1">
      <alignment horizontal="center"/>
    </xf>
    <xf numFmtId="0" fontId="13" fillId="0" borderId="10" xfId="0" applyFont="1" applyFill="1"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7" xfId="0" applyBorder="1" applyAlignment="1" applyProtection="1">
      <alignment horizontal="right" vertical="center" wrapText="1"/>
    </xf>
    <xf numFmtId="0" fontId="0" fillId="0" borderId="18" xfId="0" applyBorder="1" applyAlignment="1" applyProtection="1">
      <alignment horizontal="right" vertical="center" wrapText="1"/>
    </xf>
    <xf numFmtId="0" fontId="13" fillId="0" borderId="13" xfId="0" applyFont="1" applyFill="1" applyBorder="1" applyAlignment="1" applyProtection="1">
      <alignment horizontal="right" vertical="center" wrapText="1"/>
    </xf>
    <xf numFmtId="0" fontId="0" fillId="0" borderId="14" xfId="0" applyBorder="1" applyAlignment="1" applyProtection="1">
      <alignment horizontal="right" vertical="center" wrapText="1"/>
    </xf>
    <xf numFmtId="3" fontId="5" fillId="0" borderId="0" xfId="0" applyNumberFormat="1" applyFont="1" applyFill="1" applyBorder="1" applyAlignment="1" applyProtection="1">
      <alignment horizontal="center" vertical="center" wrapText="1"/>
    </xf>
    <xf numFmtId="0" fontId="9" fillId="0" borderId="15" xfId="0" applyFont="1" applyFill="1" applyBorder="1" applyAlignment="1" applyProtection="1">
      <alignment vertical="center" wrapText="1"/>
    </xf>
    <xf numFmtId="3" fontId="5" fillId="0" borderId="14" xfId="0" applyNumberFormat="1" applyFont="1" applyFill="1" applyBorder="1" applyAlignment="1" applyProtection="1">
      <alignment horizontal="center" vertical="center" wrapText="1"/>
    </xf>
    <xf numFmtId="0" fontId="9" fillId="0" borderId="14" xfId="0" applyFont="1" applyFill="1" applyBorder="1" applyAlignment="1" applyProtection="1">
      <alignment horizontal="left" vertical="center" wrapText="1"/>
    </xf>
    <xf numFmtId="0" fontId="12" fillId="0" borderId="10" xfId="0" applyFont="1" applyBorder="1" applyAlignment="1" applyProtection="1">
      <alignment horizontal="center"/>
    </xf>
    <xf numFmtId="0" fontId="0" fillId="0" borderId="16" xfId="0" applyBorder="1" applyAlignment="1" applyProtection="1"/>
    <xf numFmtId="0" fontId="12" fillId="0" borderId="17" xfId="0" applyFont="1" applyBorder="1" applyAlignment="1" applyProtection="1">
      <alignment horizontal="center"/>
    </xf>
    <xf numFmtId="0" fontId="0" fillId="0" borderId="22" xfId="0" applyBorder="1" applyAlignment="1" applyProtection="1">
      <alignment horizontal="center"/>
    </xf>
    <xf numFmtId="0" fontId="12" fillId="0" borderId="51" xfId="0" applyFont="1" applyBorder="1" applyAlignment="1" applyProtection="1">
      <alignment horizontal="center"/>
    </xf>
    <xf numFmtId="0" fontId="0" fillId="0" borderId="19" xfId="0" applyBorder="1" applyAlignment="1" applyProtection="1"/>
    <xf numFmtId="0" fontId="2" fillId="7" borderId="10" xfId="0" applyFont="1" applyFill="1" applyBorder="1" applyAlignment="1" applyProtection="1">
      <alignment horizontal="center"/>
    </xf>
    <xf numFmtId="0" fontId="2" fillId="7" borderId="16" xfId="0" applyFont="1" applyFill="1" applyBorder="1" applyAlignment="1" applyProtection="1">
      <alignment horizontal="center"/>
    </xf>
    <xf numFmtId="0" fontId="6" fillId="0" borderId="13" xfId="0" applyFont="1" applyBorder="1" applyAlignment="1">
      <alignment horizontal="center" vertical="center" wrapText="1"/>
    </xf>
    <xf numFmtId="0" fontId="2" fillId="0" borderId="10"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xf numFmtId="0" fontId="12" fillId="0" borderId="51" xfId="0" applyFont="1" applyBorder="1" applyAlignment="1">
      <alignment horizontal="center"/>
    </xf>
    <xf numFmtId="0" fontId="0" fillId="0" borderId="18" xfId="0" applyBorder="1" applyAlignment="1"/>
    <xf numFmtId="168" fontId="2" fillId="0" borderId="27" xfId="0" applyNumberFormat="1" applyFont="1" applyBorder="1" applyAlignment="1">
      <alignment horizontal="center" vertical="center" wrapText="1"/>
    </xf>
    <xf numFmtId="0" fontId="2" fillId="0" borderId="28" xfId="0" applyFont="1" applyBorder="1" applyAlignment="1">
      <alignment horizontal="center" vertical="center" wrapText="1"/>
    </xf>
    <xf numFmtId="168" fontId="2" fillId="0" borderId="20" xfId="0" applyNumberFormat="1" applyFont="1" applyBorder="1" applyAlignment="1">
      <alignment horizontal="center" vertical="center" wrapText="1"/>
    </xf>
    <xf numFmtId="168" fontId="2" fillId="0" borderId="48" xfId="0" applyNumberFormat="1" applyFont="1" applyBorder="1" applyAlignment="1">
      <alignment horizontal="center" vertical="center" wrapText="1"/>
    </xf>
    <xf numFmtId="0" fontId="2" fillId="0" borderId="48" xfId="0" applyFont="1" applyBorder="1" applyAlignment="1">
      <alignment horizontal="right" vertical="center" wrapText="1"/>
    </xf>
    <xf numFmtId="11" fontId="2" fillId="0" borderId="57" xfId="0" applyNumberFormat="1" applyFont="1" applyBorder="1" applyAlignment="1">
      <alignment horizontal="center" vertical="center" wrapText="1"/>
    </xf>
    <xf numFmtId="0" fontId="2" fillId="0" borderId="58" xfId="0" applyFont="1" applyBorder="1" applyAlignment="1">
      <alignment horizontal="center" vertical="center" wrapText="1"/>
    </xf>
    <xf numFmtId="0" fontId="2"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49" xfId="0" applyFont="1" applyBorder="1" applyAlignment="1">
      <alignment horizontal="center" vertical="center" wrapTex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61" xfId="0" applyFont="1" applyBorder="1" applyAlignment="1">
      <alignment vertical="center" wrapText="1"/>
    </xf>
    <xf numFmtId="0" fontId="9" fillId="0" borderId="3" xfId="0" applyFont="1" applyBorder="1" applyAlignment="1">
      <alignment vertical="center" wrapText="1"/>
    </xf>
    <xf numFmtId="0" fontId="9" fillId="0" borderId="46" xfId="0" applyFont="1" applyBorder="1" applyAlignment="1">
      <alignment vertical="center" wrapText="1"/>
    </xf>
    <xf numFmtId="0" fontId="2" fillId="0" borderId="27" xfId="0" applyFont="1" applyBorder="1" applyAlignment="1">
      <alignment horizontal="center" vertical="center" wrapText="1"/>
    </xf>
    <xf numFmtId="0" fontId="2" fillId="0" borderId="60" xfId="0" applyFont="1" applyBorder="1" applyAlignment="1">
      <alignment horizontal="right" vertical="center" wrapText="1"/>
    </xf>
    <xf numFmtId="0" fontId="2" fillId="0" borderId="59" xfId="0" applyFont="1" applyBorder="1" applyAlignment="1">
      <alignment horizontal="right" vertical="center" wrapText="1"/>
    </xf>
    <xf numFmtId="0" fontId="2" fillId="0" borderId="59" xfId="0" applyFont="1" applyBorder="1" applyAlignment="1">
      <alignment horizontal="right" wrapText="1"/>
    </xf>
    <xf numFmtId="168" fontId="2" fillId="0" borderId="32" xfId="0" applyNumberFormat="1" applyFont="1" applyBorder="1" applyAlignment="1">
      <alignment horizontal="center" vertical="center" wrapText="1"/>
    </xf>
    <xf numFmtId="0" fontId="2" fillId="0" borderId="5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8" xfId="0"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48" xfId="0" applyNumberFormat="1" applyFont="1" applyBorder="1" applyAlignment="1">
      <alignment horizontal="center" vertical="center" wrapText="1"/>
    </xf>
    <xf numFmtId="11" fontId="2" fillId="0" borderId="59"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2" fillId="0" borderId="32" xfId="0" applyFont="1" applyBorder="1" applyAlignment="1">
      <alignment horizontal="center" vertical="center" wrapText="1"/>
    </xf>
    <xf numFmtId="11" fontId="2" fillId="0" borderId="12" xfId="0" applyNumberFormat="1" applyFont="1" applyBorder="1" applyAlignment="1">
      <alignment horizontal="center" vertical="center" wrapText="1"/>
    </xf>
    <xf numFmtId="0" fontId="13" fillId="0" borderId="10" xfId="0" applyFont="1" applyBorder="1" applyAlignment="1">
      <alignment vertical="center" wrapText="1"/>
    </xf>
    <xf numFmtId="0" fontId="13" fillId="0" borderId="0"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4" xfId="0" applyFont="1" applyBorder="1" applyAlignment="1">
      <alignment wrapText="1"/>
    </xf>
    <xf numFmtId="0" fontId="0" fillId="0" borderId="15" xfId="0" applyBorder="1" applyAlignment="1">
      <alignment wrapText="1"/>
    </xf>
    <xf numFmtId="0" fontId="13" fillId="0" borderId="0" xfId="0" applyFont="1" applyBorder="1" applyAlignment="1">
      <alignment wrapText="1"/>
    </xf>
    <xf numFmtId="0" fontId="0" fillId="0" borderId="16" xfId="0" applyBorder="1" applyAlignment="1">
      <alignment wrapText="1"/>
    </xf>
    <xf numFmtId="0" fontId="13" fillId="0" borderId="10" xfId="0" applyFont="1" applyBorder="1" applyAlignment="1">
      <alignment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8" xfId="0" applyFont="1" applyFill="1" applyBorder="1" applyAlignment="1"/>
    <xf numFmtId="0" fontId="2" fillId="0" borderId="6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8" xfId="0" applyFont="1" applyFill="1" applyBorder="1" applyAlignment="1">
      <alignment wrapText="1"/>
    </xf>
    <xf numFmtId="0" fontId="0" fillId="0" borderId="18" xfId="0" applyFill="1" applyBorder="1" applyAlignment="1">
      <alignment wrapText="1"/>
    </xf>
    <xf numFmtId="0" fontId="0" fillId="0" borderId="0" xfId="0" applyBorder="1" applyAlignment="1">
      <alignment vertical="center" wrapText="1"/>
    </xf>
    <xf numFmtId="0" fontId="0" fillId="0" borderId="3" xfId="0" applyBorder="1" applyAlignment="1">
      <alignment vertical="center" wrapText="1"/>
    </xf>
    <xf numFmtId="0" fontId="0" fillId="0" borderId="5" xfId="0" applyBorder="1" applyAlignment="1">
      <alignment horizontal="center"/>
    </xf>
    <xf numFmtId="11" fontId="0" fillId="0" borderId="0" xfId="0" applyNumberFormat="1" applyAlignment="1">
      <alignment horizontal="center" vertical="center" wrapText="1"/>
    </xf>
    <xf numFmtId="0" fontId="0" fillId="0" borderId="0" xfId="0" applyBorder="1" applyAlignment="1">
      <alignment horizontal="center" vertical="center" wrapText="1"/>
    </xf>
    <xf numFmtId="0" fontId="0" fillId="0" borderId="61" xfId="0" applyBorder="1" applyAlignment="1">
      <alignment vertical="center" wrapText="1"/>
    </xf>
    <xf numFmtId="0" fontId="0" fillId="0" borderId="46" xfId="0" applyBorder="1" applyAlignment="1">
      <alignmen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10" xfId="0" applyBorder="1" applyAlignment="1">
      <alignment vertical="center" wrapText="1"/>
    </xf>
    <xf numFmtId="0" fontId="0" fillId="0" borderId="16" xfId="0" applyBorder="1" applyAlignment="1">
      <alignment vertical="center" wrapText="1"/>
    </xf>
    <xf numFmtId="0" fontId="0" fillId="0" borderId="49" xfId="0" applyBorder="1" applyAlignment="1">
      <alignment horizontal="center" vertical="center" wrapText="1"/>
    </xf>
    <xf numFmtId="0" fontId="0" fillId="0" borderId="60" xfId="0" applyBorder="1" applyAlignment="1">
      <alignment horizontal="center" vertical="center" wrapText="1"/>
    </xf>
    <xf numFmtId="0" fontId="0" fillId="0" borderId="59" xfId="0" applyBorder="1" applyAlignment="1">
      <alignment horizontal="center" vertical="center" wrapText="1"/>
    </xf>
    <xf numFmtId="0" fontId="0" fillId="0" borderId="5" xfId="0" applyBorder="1" applyAlignment="1">
      <alignment horizontal="center" vertical="center"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15" fillId="0" borderId="16" xfId="0" applyFont="1" applyBorder="1" applyAlignment="1">
      <alignment vertical="center" wrapText="1"/>
    </xf>
    <xf numFmtId="0" fontId="15" fillId="0" borderId="16" xfId="0" applyFont="1" applyBorder="1" applyAlignment="1">
      <alignment wrapText="1"/>
    </xf>
    <xf numFmtId="0" fontId="15" fillId="0" borderId="0" xfId="0" applyFont="1" applyBorder="1" applyAlignment="1">
      <alignment vertical="center" wrapText="1"/>
    </xf>
    <xf numFmtId="0" fontId="15" fillId="0" borderId="0" xfId="0" applyFont="1" applyBorder="1" applyAlignment="1">
      <alignment wrapText="1"/>
    </xf>
    <xf numFmtId="0" fontId="2" fillId="0" borderId="2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3"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53"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23" xfId="0" applyFont="1" applyBorder="1" applyAlignment="1">
      <alignment horizontal="center" vertical="center" wrapText="1"/>
    </xf>
    <xf numFmtId="0" fontId="0" fillId="5" borderId="7" xfId="0" applyFill="1" applyBorder="1" applyAlignment="1">
      <alignment horizontal="center" vertical="center" wrapText="1"/>
    </xf>
    <xf numFmtId="0" fontId="0" fillId="5" borderId="0" xfId="0" applyFill="1" applyBorder="1" applyAlignment="1">
      <alignment horizontal="center" vertical="center" wrapText="1"/>
    </xf>
    <xf numFmtId="0" fontId="0" fillId="6" borderId="0" xfId="0" applyFill="1" applyBorder="1" applyAlignment="1">
      <alignment horizontal="center" vertical="center" wrapText="1"/>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0" fontId="0" fillId="6" borderId="3" xfId="0" applyFill="1" applyBorder="1" applyAlignment="1">
      <alignment horizontal="center" vertical="center" wrapText="1"/>
    </xf>
    <xf numFmtId="0" fontId="0" fillId="5" borderId="8" xfId="0" applyFill="1" applyBorder="1" applyAlignment="1">
      <alignment horizontal="center" vertical="center" wrapText="1"/>
    </xf>
    <xf numFmtId="166" fontId="0" fillId="0" borderId="3" xfId="0" applyNumberFormat="1" applyBorder="1" applyAlignment="1">
      <alignment horizontal="center" vertical="center" wrapText="1"/>
    </xf>
    <xf numFmtId="166" fontId="0" fillId="0" borderId="0" xfId="0" applyNumberFormat="1" applyAlignment="1">
      <alignment horizontal="center" vertical="center" wrapText="1"/>
    </xf>
    <xf numFmtId="165" fontId="0" fillId="0" borderId="0" xfId="0" applyNumberFormat="1" applyAlignment="1">
      <alignment horizontal="center" vertical="center" wrapText="1"/>
    </xf>
    <xf numFmtId="165" fontId="0" fillId="0" borderId="3" xfId="0" applyNumberFormat="1" applyBorder="1" applyAlignment="1">
      <alignment horizontal="center" vertical="center" wrapText="1"/>
    </xf>
    <xf numFmtId="0" fontId="0" fillId="0" borderId="0" xfId="0" applyAlignment="1">
      <alignment horizontal="center" vertical="center" wrapText="1"/>
    </xf>
    <xf numFmtId="0" fontId="0" fillId="5" borderId="0" xfId="0" applyFill="1" applyAlignment="1">
      <alignment horizontal="center" vertical="center" wrapText="1"/>
    </xf>
    <xf numFmtId="0" fontId="2" fillId="0" borderId="18" xfId="0" applyFont="1" applyBorder="1" applyAlignment="1">
      <alignment horizontal="center" vertical="center" wrapText="1"/>
    </xf>
    <xf numFmtId="166" fontId="0" fillId="0" borderId="0" xfId="0" applyNumberFormat="1" applyBorder="1" applyAlignment="1">
      <alignment horizontal="center" vertical="center" wrapText="1"/>
    </xf>
    <xf numFmtId="0" fontId="0" fillId="0" borderId="18" xfId="0" applyBorder="1" applyAlignment="1">
      <alignment wrapText="1"/>
    </xf>
    <xf numFmtId="0" fontId="32" fillId="0" borderId="13" xfId="0" applyFont="1" applyBorder="1" applyAlignment="1">
      <alignment horizontal="left" vertical="center" wrapText="1"/>
    </xf>
    <xf numFmtId="0" fontId="31" fillId="0" borderId="14" xfId="0" applyFont="1" applyBorder="1" applyAlignment="1">
      <alignment horizontal="left" wrapText="1"/>
    </xf>
    <xf numFmtId="0" fontId="31" fillId="0" borderId="15" xfId="0" applyFont="1" applyBorder="1" applyAlignment="1">
      <alignment horizontal="left" wrapText="1"/>
    </xf>
    <xf numFmtId="0" fontId="31" fillId="0" borderId="17" xfId="0" applyFont="1" applyBorder="1" applyAlignment="1">
      <alignment horizontal="left" wrapText="1"/>
    </xf>
    <xf numFmtId="0" fontId="31" fillId="0" borderId="18" xfId="0" applyFont="1" applyBorder="1" applyAlignment="1">
      <alignment horizontal="left" wrapText="1"/>
    </xf>
    <xf numFmtId="0" fontId="31" fillId="0" borderId="19" xfId="0" applyFont="1" applyBorder="1" applyAlignment="1">
      <alignment horizontal="left" wrapText="1"/>
    </xf>
    <xf numFmtId="0" fontId="0" fillId="8" borderId="6" xfId="0" applyFill="1" applyBorder="1" applyAlignment="1"/>
    <xf numFmtId="0" fontId="0" fillId="8" borderId="2" xfId="0" applyFill="1" applyBorder="1" applyAlignment="1"/>
    <xf numFmtId="0" fontId="0" fillId="8" borderId="7" xfId="0" applyFill="1" applyBorder="1" applyAlignment="1"/>
    <xf numFmtId="0" fontId="0" fillId="8" borderId="51" xfId="0" applyFill="1" applyBorder="1" applyAlignment="1"/>
    <xf numFmtId="0" fontId="0" fillId="8" borderId="22" xfId="0" applyFill="1" applyBorder="1" applyAlignment="1"/>
    <xf numFmtId="0" fontId="0" fillId="8" borderId="1" xfId="0" applyFill="1" applyBorder="1" applyAlignment="1"/>
    <xf numFmtId="0" fontId="0" fillId="8" borderId="32" xfId="0" applyFill="1" applyBorder="1" applyAlignment="1"/>
    <xf numFmtId="0" fontId="0" fillId="0" borderId="15" xfId="0" applyBorder="1" applyAlignment="1"/>
    <xf numFmtId="0" fontId="0" fillId="0" borderId="10" xfId="0" applyBorder="1" applyAlignment="1"/>
    <xf numFmtId="0" fontId="0" fillId="0" borderId="0" xfId="0" applyBorder="1" applyAlignment="1"/>
    <xf numFmtId="0" fontId="0" fillId="0" borderId="16" xfId="0" applyBorder="1" applyAlignment="1"/>
    <xf numFmtId="0" fontId="0" fillId="0" borderId="17" xfId="0" applyBorder="1" applyAlignment="1"/>
  </cellXfs>
  <cellStyles count="2">
    <cellStyle name="Normal" xfId="0" builtinId="0"/>
    <cellStyle name="Normal_woodwastea" xfId="1" xr:uid="{00000000-0005-0000-0000-000001000000}"/>
  </cellStyles>
  <dxfs count="40">
    <dxf>
      <font>
        <b/>
        <i val="0"/>
        <condense val="0"/>
        <extend val="0"/>
        <color indexed="12"/>
      </font>
    </dxf>
    <dxf>
      <font>
        <b/>
        <i val="0"/>
        <condense val="0"/>
        <extend val="0"/>
        <color indexed="10"/>
      </font>
    </dxf>
    <dxf>
      <font>
        <b/>
        <i val="0"/>
        <condense val="0"/>
        <extend val="0"/>
        <u/>
      </font>
      <fill>
        <patternFill>
          <bgColor indexed="15"/>
        </patternFill>
      </fill>
      <border>
        <left style="thin">
          <color indexed="64"/>
        </left>
        <right style="thin">
          <color indexed="64"/>
        </right>
        <top style="thin">
          <color indexed="64"/>
        </top>
        <bottom style="thin">
          <color indexed="64"/>
        </bottom>
      </border>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ill>
        <patternFill patternType="lightDown"/>
      </fill>
    </dxf>
    <dxf>
      <fill>
        <patternFill patternType="lightDown"/>
      </fill>
    </dxf>
    <dxf>
      <fill>
        <patternFill patternType="lightDown"/>
      </fill>
    </dxf>
    <dxf>
      <font>
        <b/>
        <i val="0"/>
        <condense val="0"/>
        <extend val="0"/>
      </font>
    </dxf>
    <dxf>
      <font>
        <b/>
        <i val="0"/>
        <condense val="0"/>
        <extend val="0"/>
      </font>
      <border>
        <left/>
        <right/>
        <top/>
        <bottom/>
      </border>
    </dxf>
    <dxf>
      <fill>
        <patternFill patternType="lightDown"/>
      </fill>
    </dxf>
    <dxf>
      <fill>
        <patternFill patternType="lightDown"/>
      </fill>
    </dxf>
    <dxf>
      <font>
        <b/>
        <i val="0"/>
        <condense val="0"/>
        <extend val="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ill>
        <patternFill patternType="lightUp"/>
      </fill>
    </dxf>
    <dxf>
      <font>
        <b/>
        <i val="0"/>
        <condense val="0"/>
        <extend val="0"/>
        <u/>
      </font>
      <border>
        <left/>
        <right/>
        <top/>
        <bottom/>
      </border>
    </dxf>
    <dxf>
      <font>
        <b/>
        <i val="0"/>
        <condense val="0"/>
        <extend val="0"/>
        <u/>
      </font>
    </dxf>
    <dxf>
      <fill>
        <patternFill patternType="lightUp"/>
      </fill>
    </dxf>
    <dxf>
      <font>
        <b/>
        <i val="0"/>
        <condense val="0"/>
        <extend val="0"/>
        <u val="double"/>
      </font>
      <border>
        <left/>
        <right/>
        <top/>
        <bottom/>
      </border>
    </dxf>
    <dxf>
      <font>
        <b/>
        <i val="0"/>
        <condense val="0"/>
        <extend val="0"/>
        <u val="double"/>
      </font>
      <border>
        <left/>
        <right/>
        <top/>
        <bottom/>
      </border>
    </dxf>
    <dxf>
      <fill>
        <patternFill patternType="lightDown"/>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 dropStyle="combo" dx="22" fmlaLink="$T$16" fmlaRange="$U$17:$U$18" noThreeD="1" sel="2" val="0"/>
</file>

<file path=xl/ctrlProps/ctrlProp2.xml><?xml version="1.0" encoding="utf-8"?>
<formControlPr xmlns="http://schemas.microsoft.com/office/spreadsheetml/2009/9/main" objectType="Drop" dropLines="2" dropStyle="combo" dx="22" fmlaLink="$T$30" fmlaRange="$U$31:$U$32" noThreeD="1" sel="2" val="0"/>
</file>

<file path=xl/ctrlProps/ctrlProp3.xml><?xml version="1.0" encoding="utf-8"?>
<formControlPr xmlns="http://schemas.microsoft.com/office/spreadsheetml/2009/9/main" objectType="Drop" dropLines="3" dropStyle="combo" dx="22" fmlaLink="$T$20" fmlaRange="$U$21:$U$23" noThreeD="1" sel="1" val="0"/>
</file>

<file path=xl/ctrlProps/ctrlProp4.xml><?xml version="1.0" encoding="utf-8"?>
<formControlPr xmlns="http://schemas.microsoft.com/office/spreadsheetml/2009/9/main" objectType="Drop" dropLines="3" dropStyle="combo" dx="22" fmlaLink="$T$25" fmlaRange="$U$26:$U$28" noThreeD="1" sel="1" val="0"/>
</file>

<file path=xl/ctrlProps/ctrlProp5.xml><?xml version="1.0" encoding="utf-8"?>
<formControlPr xmlns="http://schemas.microsoft.com/office/spreadsheetml/2009/9/main" objectType="Drop" dropLines="2" dropStyle="combo" dx="22" fmlaLink="$T$34" fmlaRange="$U$35:$U$36" noThreeD="1" sel="1" val="0"/>
</file>

<file path=xl/ctrlProps/ctrlProp6.xml><?xml version="1.0" encoding="utf-8"?>
<formControlPr xmlns="http://schemas.microsoft.com/office/spreadsheetml/2009/9/main" objectType="Drop" dropLines="2" dropStyle="combo" dx="22" fmlaLink="$T$38" fmlaRange="$U$39:$U$40" noThreeD="1" sel="1" val="0"/>
</file>

<file path=xl/ctrlProps/ctrlProp7.xml><?xml version="1.0" encoding="utf-8"?>
<formControlPr xmlns="http://schemas.microsoft.com/office/spreadsheetml/2009/9/main" objectType="Drop" dropLines="2" dropStyle="combo" dx="22" fmlaLink="$T$12" fmlaRange="$U$13:$U$14" noThreeD="1" sel="2" val="0"/>
</file>

<file path=xl/ctrlProps/ctrlProp8.xml><?xml version="1.0" encoding="utf-8"?>
<formControlPr xmlns="http://schemas.microsoft.com/office/spreadsheetml/2009/9/main" objectType="Drop" dropLines="2" dropStyle="combo" dx="22" fmlaLink="$T$42" fmlaRange="$U$43:$U$44" noThreeD="1" sel="2"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0</xdr:row>
          <xdr:rowOff>0</xdr:rowOff>
        </xdr:from>
        <xdr:to>
          <xdr:col>9</xdr:col>
          <xdr:colOff>0</xdr:colOff>
          <xdr:row>48</xdr:row>
          <xdr:rowOff>88900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63500</xdr:rowOff>
        </xdr:from>
        <xdr:to>
          <xdr:col>9</xdr:col>
          <xdr:colOff>0</xdr:colOff>
          <xdr:row>146</xdr:row>
          <xdr:rowOff>63500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147</xdr:row>
          <xdr:rowOff>88900</xdr:rowOff>
        </xdr:from>
        <xdr:to>
          <xdr:col>8</xdr:col>
          <xdr:colOff>587375</xdr:colOff>
          <xdr:row>192</xdr:row>
          <xdr:rowOff>101600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50800</xdr:rowOff>
        </xdr:from>
        <xdr:to>
          <xdr:col>8</xdr:col>
          <xdr:colOff>546100</xdr:colOff>
          <xdr:row>97</xdr:row>
          <xdr:rowOff>38100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28575</xdr:rowOff>
    </xdr:from>
    <xdr:to>
      <xdr:col>2</xdr:col>
      <xdr:colOff>523875</xdr:colOff>
      <xdr:row>9</xdr:row>
      <xdr:rowOff>161925</xdr:rowOff>
    </xdr:to>
    <xdr:pic>
      <xdr:nvPicPr>
        <xdr:cNvPr id="1088" name="Picture 20">
          <a:extLst>
            <a:ext uri="{FF2B5EF4-FFF2-40B4-BE49-F238E27FC236}">
              <a16:creationId xmlns:a16="http://schemas.microsoft.com/office/drawing/2014/main" id="{00000000-0008-0000-01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1950"/>
          <a:ext cx="14859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88900</xdr:colOff>
          <xdr:row>20</xdr:row>
          <xdr:rowOff>63500</xdr:rowOff>
        </xdr:from>
        <xdr:to>
          <xdr:col>6</xdr:col>
          <xdr:colOff>381000</xdr:colOff>
          <xdr:row>21</xdr:row>
          <xdr:rowOff>114300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50800</xdr:rowOff>
        </xdr:from>
        <xdr:to>
          <xdr:col>8</xdr:col>
          <xdr:colOff>177800</xdr:colOff>
          <xdr:row>57</xdr:row>
          <xdr:rowOff>101600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22</xdr:row>
          <xdr:rowOff>63500</xdr:rowOff>
        </xdr:from>
        <xdr:to>
          <xdr:col>6</xdr:col>
          <xdr:colOff>381000</xdr:colOff>
          <xdr:row>23</xdr:row>
          <xdr:rowOff>114300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63500</xdr:rowOff>
        </xdr:from>
        <xdr:to>
          <xdr:col>6</xdr:col>
          <xdr:colOff>419100</xdr:colOff>
          <xdr:row>26</xdr:row>
          <xdr:rowOff>114300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35</xdr:row>
          <xdr:rowOff>50800</xdr:rowOff>
        </xdr:from>
        <xdr:to>
          <xdr:col>6</xdr:col>
          <xdr:colOff>406400</xdr:colOff>
          <xdr:row>36</xdr:row>
          <xdr:rowOff>101600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38</xdr:row>
          <xdr:rowOff>50800</xdr:rowOff>
        </xdr:from>
        <xdr:to>
          <xdr:col>6</xdr:col>
          <xdr:colOff>406400</xdr:colOff>
          <xdr:row>39</xdr:row>
          <xdr:rowOff>101600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18</xdr:row>
          <xdr:rowOff>63500</xdr:rowOff>
        </xdr:from>
        <xdr:to>
          <xdr:col>7</xdr:col>
          <xdr:colOff>444500</xdr:colOff>
          <xdr:row>19</xdr:row>
          <xdr:rowOff>127000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76200</xdr:rowOff>
        </xdr:from>
        <xdr:to>
          <xdr:col>8</xdr:col>
          <xdr:colOff>228600</xdr:colOff>
          <xdr:row>64</xdr:row>
          <xdr:rowOff>139700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66675</xdr:colOff>
      <xdr:row>1</xdr:row>
      <xdr:rowOff>66675</xdr:rowOff>
    </xdr:from>
    <xdr:to>
      <xdr:col>2</xdr:col>
      <xdr:colOff>533400</xdr:colOff>
      <xdr:row>7</xdr:row>
      <xdr:rowOff>142875</xdr:rowOff>
    </xdr:to>
    <xdr:pic>
      <xdr:nvPicPr>
        <xdr:cNvPr id="9258" name="Picture 2">
          <a:extLst>
            <a:ext uri="{FF2B5EF4-FFF2-40B4-BE49-F238E27FC236}">
              <a16:creationId xmlns:a16="http://schemas.microsoft.com/office/drawing/2014/main" id="{00000000-0008-0000-0200-00002A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6225"/>
          <a:ext cx="13716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2</xdr:row>
      <xdr:rowOff>28575</xdr:rowOff>
    </xdr:from>
    <xdr:to>
      <xdr:col>2</xdr:col>
      <xdr:colOff>523875</xdr:colOff>
      <xdr:row>9</xdr:row>
      <xdr:rowOff>161925</xdr:rowOff>
    </xdr:to>
    <xdr:pic>
      <xdr:nvPicPr>
        <xdr:cNvPr id="10275" name="Picture 1">
          <a:extLst>
            <a:ext uri="{FF2B5EF4-FFF2-40B4-BE49-F238E27FC236}">
              <a16:creationId xmlns:a16="http://schemas.microsoft.com/office/drawing/2014/main" id="{00000000-0008-0000-0B00-000023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1950"/>
          <a:ext cx="15049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857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4_Document2.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Word_97_-_2004_Document1.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Microsoft_Word_97_-_2004_Document3.doc"/><Relationship Id="rId4" Type="http://schemas.openxmlformats.org/officeDocument/2006/relationships/oleObject" Target="../embeddings/Microsoft_Word_97_-_2004_Document.doc"/><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Normal="100" zoomScaleSheetLayoutView="100" workbookViewId="0">
      <selection activeCell="A60" sqref="A60:E60"/>
    </sheetView>
  </sheetViews>
  <sheetFormatPr defaultColWidth="8.85546875" defaultRowHeight="12.95"/>
  <sheetData/>
  <sheetProtection password="D8A4" sheet="1" objects="1" scenarios="1"/>
  <phoneticPr fontId="0" type="noConversion"/>
  <printOptions horizontalCentered="1"/>
  <pageMargins left="0.25" right="0.25" top="0.35" bottom="0.25" header="0" footer="0"/>
  <pageSetup scale="62" fitToHeight="2" orientation="portrait" r:id="rId1"/>
  <headerFooter alignWithMargins="0"/>
  <drawing r:id="rId2"/>
  <legacyDrawing r:id="rId3"/>
  <oleObjects>
    <mc:AlternateContent xmlns:mc="http://schemas.openxmlformats.org/markup-compatibility/2006">
      <mc:Choice Requires="x14">
        <oleObject progId="Word.Document.8" shapeId="6147" r:id="rId4">
          <objectPr defaultSize="0" r:id="rId5">
            <anchor moveWithCells="1">
              <from>
                <xdr:col>0</xdr:col>
                <xdr:colOff>63500</xdr:colOff>
                <xdr:row>0</xdr:row>
                <xdr:rowOff>0</xdr:rowOff>
              </from>
              <to>
                <xdr:col>9</xdr:col>
                <xdr:colOff>0</xdr:colOff>
                <xdr:row>48</xdr:row>
                <xdr:rowOff>88900</xdr:rowOff>
              </to>
            </anchor>
          </objectPr>
        </oleObject>
      </mc:Choice>
      <mc:Fallback>
        <oleObject progId="Word.Document.8" shapeId="6147" r:id="rId4"/>
      </mc:Fallback>
    </mc:AlternateContent>
    <mc:AlternateContent xmlns:mc="http://schemas.openxmlformats.org/markup-compatibility/2006">
      <mc:Choice Requires="x14">
        <oleObject progId="Word.Document.8" shapeId="6149" r:id="rId6">
          <objectPr defaultSize="0" autoPict="0" r:id="rId7">
            <anchor moveWithCells="1">
              <from>
                <xdr:col>0</xdr:col>
                <xdr:colOff>0</xdr:colOff>
                <xdr:row>98</xdr:row>
                <xdr:rowOff>63500</xdr:rowOff>
              </from>
              <to>
                <xdr:col>9</xdr:col>
                <xdr:colOff>0</xdr:colOff>
                <xdr:row>146</xdr:row>
                <xdr:rowOff>63500</xdr:rowOff>
              </to>
            </anchor>
          </objectPr>
        </oleObject>
      </mc:Choice>
      <mc:Fallback>
        <oleObject progId="Word.Document.8" shapeId="6149" r:id="rId6"/>
      </mc:Fallback>
    </mc:AlternateContent>
    <mc:AlternateContent xmlns:mc="http://schemas.openxmlformats.org/markup-compatibility/2006">
      <mc:Choice Requires="x14">
        <oleObject progId="Word.Document.8" shapeId="6150" r:id="rId8">
          <objectPr defaultSize="0" r:id="rId9">
            <anchor moveWithCells="1">
              <from>
                <xdr:col>0</xdr:col>
                <xdr:colOff>0</xdr:colOff>
                <xdr:row>147</xdr:row>
                <xdr:rowOff>88900</xdr:rowOff>
              </from>
              <to>
                <xdr:col>8</xdr:col>
                <xdr:colOff>587375</xdr:colOff>
                <xdr:row>192</xdr:row>
                <xdr:rowOff>101600</xdr:rowOff>
              </to>
            </anchor>
          </objectPr>
        </oleObject>
      </mc:Choice>
      <mc:Fallback>
        <oleObject progId="Word.Document.8" shapeId="6150" r:id="rId8"/>
      </mc:Fallback>
    </mc:AlternateContent>
    <mc:AlternateContent xmlns:mc="http://schemas.openxmlformats.org/markup-compatibility/2006">
      <mc:Choice Requires="x14">
        <oleObject progId="Word.Document.8" shapeId="6152" r:id="rId10">
          <objectPr defaultSize="0" autoPict="0" r:id="rId11">
            <anchor moveWithCells="1">
              <from>
                <xdr:col>0</xdr:col>
                <xdr:colOff>0</xdr:colOff>
                <xdr:row>49</xdr:row>
                <xdr:rowOff>50800</xdr:rowOff>
              </from>
              <to>
                <xdr:col>8</xdr:col>
                <xdr:colOff>546100</xdr:colOff>
                <xdr:row>97</xdr:row>
                <xdr:rowOff>38100</xdr:rowOff>
              </to>
            </anchor>
          </objectPr>
        </oleObject>
      </mc:Choice>
      <mc:Fallback>
        <oleObject progId="Word.Document.8" shapeId="6152" r:id="rId10"/>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35"/>
  <sheetViews>
    <sheetView workbookViewId="0">
      <selection activeCell="A60" sqref="A60:E60"/>
    </sheetView>
  </sheetViews>
  <sheetFormatPr defaultColWidth="8.85546875" defaultRowHeight="12.95"/>
  <cols>
    <col min="22" max="22" width="11.85546875" customWidth="1"/>
  </cols>
  <sheetData>
    <row r="1" spans="1:25">
      <c r="I1" s="41" t="s">
        <v>867</v>
      </c>
      <c r="J1" s="540"/>
      <c r="K1" s="540"/>
      <c r="L1" s="540"/>
      <c r="M1" s="540"/>
      <c r="N1" s="540"/>
      <c r="O1" s="541"/>
    </row>
    <row r="2" spans="1:25">
      <c r="I2" s="542"/>
      <c r="J2" s="543" t="s">
        <v>868</v>
      </c>
      <c r="K2" s="543"/>
      <c r="L2" s="543" t="s">
        <v>869</v>
      </c>
      <c r="M2" s="543"/>
      <c r="N2" s="543"/>
      <c r="O2" s="544"/>
    </row>
    <row r="3" spans="1:25">
      <c r="I3" s="293" t="s">
        <v>870</v>
      </c>
      <c r="J3" s="543">
        <v>157</v>
      </c>
      <c r="K3" s="543"/>
      <c r="L3" s="543">
        <v>157</v>
      </c>
      <c r="M3" s="543"/>
      <c r="N3" s="543"/>
      <c r="O3" s="544"/>
    </row>
    <row r="4" spans="1:25" ht="14.1" thickBot="1">
      <c r="I4" s="545" t="s">
        <v>871</v>
      </c>
      <c r="J4" s="546">
        <v>157</v>
      </c>
      <c r="K4" s="546"/>
      <c r="L4" s="546">
        <v>142</v>
      </c>
      <c r="M4" s="546"/>
      <c r="N4" s="546"/>
      <c r="O4" s="547"/>
    </row>
    <row r="5" spans="1:25" ht="14.1" thickBot="1">
      <c r="A5" s="41"/>
      <c r="B5" s="540"/>
      <c r="C5" s="540"/>
      <c r="D5" s="91" t="s">
        <v>59</v>
      </c>
      <c r="E5" s="92">
        <f>+INPUT!F30</f>
        <v>300</v>
      </c>
      <c r="F5" s="540" t="s">
        <v>60</v>
      </c>
      <c r="G5" s="541"/>
    </row>
    <row r="6" spans="1:25">
      <c r="A6" s="542"/>
      <c r="B6" s="543"/>
      <c r="C6" s="543"/>
      <c r="D6" s="20" t="s">
        <v>56</v>
      </c>
      <c r="E6" s="53">
        <f>+INPUT!F29</f>
        <v>100</v>
      </c>
      <c r="F6" s="543" t="s">
        <v>57</v>
      </c>
      <c r="G6" s="544"/>
      <c r="R6" s="41"/>
      <c r="S6" s="540"/>
      <c r="T6" s="540"/>
      <c r="U6" s="540"/>
      <c r="V6" s="541" t="s">
        <v>388</v>
      </c>
    </row>
    <row r="7" spans="1:25" ht="14.1" thickBot="1">
      <c r="A7" s="545"/>
      <c r="B7" s="546"/>
      <c r="C7" s="546"/>
      <c r="D7" s="51" t="s">
        <v>43</v>
      </c>
      <c r="E7" s="111">
        <f>+INPUT!F25</f>
        <v>0.5</v>
      </c>
      <c r="F7" s="112" t="s">
        <v>44</v>
      </c>
      <c r="G7" s="547"/>
      <c r="R7" s="114">
        <f>+fuel</f>
        <v>1</v>
      </c>
      <c r="S7" s="543" t="s">
        <v>32</v>
      </c>
      <c r="T7" s="543"/>
      <c r="U7" s="543"/>
      <c r="V7" s="544"/>
    </row>
    <row r="8" spans="1:25">
      <c r="R8" s="27">
        <v>1</v>
      </c>
      <c r="S8" s="104" t="s">
        <v>834</v>
      </c>
      <c r="T8" s="104"/>
      <c r="U8" s="104"/>
      <c r="V8" s="117">
        <f>+W18</f>
        <v>9.8039215686274492E-5</v>
      </c>
    </row>
    <row r="9" spans="1:25">
      <c r="B9" s="10" t="s">
        <v>872</v>
      </c>
      <c r="C9" s="11"/>
      <c r="D9" s="11"/>
      <c r="E9" s="121">
        <v>1020</v>
      </c>
      <c r="F9" s="11" t="s">
        <v>873</v>
      </c>
      <c r="G9" s="12"/>
      <c r="I9" s="119" t="s">
        <v>874</v>
      </c>
      <c r="J9" s="123">
        <v>140</v>
      </c>
      <c r="K9" s="33" t="s">
        <v>875</v>
      </c>
      <c r="L9" s="120"/>
      <c r="R9" s="27">
        <v>2</v>
      </c>
      <c r="S9" s="104" t="s">
        <v>837</v>
      </c>
      <c r="T9" s="104"/>
      <c r="U9" s="104"/>
      <c r="V9" s="117">
        <f>+W21</f>
        <v>9.3452380952380953E-2</v>
      </c>
    </row>
    <row r="10" spans="1:25" ht="14.1" thickBot="1">
      <c r="B10" s="13" t="s">
        <v>876</v>
      </c>
      <c r="C10" s="543"/>
      <c r="D10" s="543"/>
      <c r="E10" s="122">
        <v>0.6</v>
      </c>
      <c r="F10" s="543" t="s">
        <v>877</v>
      </c>
      <c r="G10" s="14"/>
      <c r="I10" s="119" t="s">
        <v>878</v>
      </c>
      <c r="J10" s="123">
        <v>150</v>
      </c>
      <c r="K10" s="33" t="s">
        <v>875</v>
      </c>
      <c r="L10" s="120"/>
      <c r="R10" s="115">
        <v>3</v>
      </c>
      <c r="S10" s="116" t="s">
        <v>838</v>
      </c>
      <c r="T10" s="116"/>
      <c r="U10" s="116"/>
      <c r="V10" s="118">
        <f>+W24</f>
        <v>8.7222222222222215E-2</v>
      </c>
    </row>
    <row r="11" spans="1:25">
      <c r="B11" s="21"/>
      <c r="C11" s="9"/>
      <c r="D11" s="9"/>
      <c r="E11" s="9">
        <f>+E10/E9</f>
        <v>5.8823529411764701E-4</v>
      </c>
      <c r="F11" s="9" t="s">
        <v>879</v>
      </c>
      <c r="G11" s="15"/>
      <c r="R11" s="543"/>
      <c r="S11" s="543"/>
      <c r="T11" s="543"/>
      <c r="U11" s="543"/>
    </row>
    <row r="13" spans="1:25">
      <c r="B13" s="10" t="s">
        <v>880</v>
      </c>
      <c r="C13" s="11"/>
      <c r="D13" s="11"/>
      <c r="E13" s="11"/>
      <c r="F13" s="11"/>
      <c r="G13" s="11"/>
      <c r="H13" s="11"/>
      <c r="I13" s="11"/>
      <c r="J13" s="11"/>
      <c r="K13" s="11"/>
      <c r="L13" s="11"/>
      <c r="M13" s="12"/>
    </row>
    <row r="14" spans="1:25">
      <c r="B14" s="124">
        <v>0.1</v>
      </c>
      <c r="C14" s="9" t="s">
        <v>881</v>
      </c>
      <c r="D14" s="9"/>
      <c r="E14" s="9"/>
      <c r="F14" s="9"/>
      <c r="G14" s="9"/>
      <c r="H14" s="9"/>
      <c r="I14" s="9"/>
      <c r="J14" s="9"/>
      <c r="K14" s="9"/>
      <c r="L14" s="9"/>
      <c r="M14" s="15"/>
    </row>
    <row r="15" spans="1:25">
      <c r="V15" s="543"/>
      <c r="W15" s="880" t="s">
        <v>882</v>
      </c>
      <c r="X15" s="880"/>
      <c r="Y15" s="543"/>
    </row>
    <row r="16" spans="1:25" ht="14.1" thickBot="1">
      <c r="B16" s="543"/>
      <c r="C16" s="543"/>
      <c r="D16" s="543"/>
      <c r="E16" s="543"/>
      <c r="F16" s="543"/>
      <c r="G16" s="543"/>
      <c r="H16" s="543"/>
      <c r="I16" s="543"/>
      <c r="J16" s="543"/>
      <c r="K16" s="543"/>
      <c r="L16" s="880" t="s">
        <v>883</v>
      </c>
      <c r="M16" s="880"/>
      <c r="N16" s="880" t="s">
        <v>884</v>
      </c>
      <c r="O16" s="880"/>
      <c r="P16" s="880" t="s">
        <v>885</v>
      </c>
      <c r="Q16" s="880"/>
      <c r="R16" s="880" t="s">
        <v>886</v>
      </c>
      <c r="S16" s="880"/>
      <c r="T16" s="880" t="s">
        <v>887</v>
      </c>
      <c r="U16" s="880"/>
      <c r="V16" s="880" t="s">
        <v>888</v>
      </c>
      <c r="W16" s="939"/>
      <c r="X16" s="939"/>
      <c r="Y16" s="543"/>
    </row>
    <row r="17" spans="2:25" ht="14.1" thickBot="1">
      <c r="B17" s="546" t="s">
        <v>24</v>
      </c>
      <c r="C17" s="546"/>
      <c r="D17" s="546"/>
      <c r="E17" s="546"/>
      <c r="F17" s="546"/>
      <c r="G17" s="546"/>
      <c r="H17" s="546"/>
      <c r="I17" s="546" t="s">
        <v>31</v>
      </c>
      <c r="J17" s="546"/>
      <c r="K17" s="546"/>
      <c r="L17" s="939"/>
      <c r="M17" s="939"/>
      <c r="N17" s="939"/>
      <c r="O17" s="939"/>
      <c r="P17" s="939"/>
      <c r="Q17" s="939"/>
      <c r="R17" s="939"/>
      <c r="S17" s="939"/>
      <c r="T17" s="939"/>
      <c r="U17" s="939"/>
      <c r="V17" s="939"/>
      <c r="W17" s="941"/>
      <c r="X17" s="941"/>
      <c r="Y17" s="546"/>
    </row>
    <row r="18" spans="2:25">
      <c r="B18" s="887" t="s">
        <v>35</v>
      </c>
      <c r="C18" s="887"/>
      <c r="D18" s="887"/>
      <c r="E18" s="887"/>
      <c r="F18" s="887"/>
      <c r="G18" s="887"/>
      <c r="H18" s="887"/>
      <c r="L18" s="937"/>
      <c r="M18" s="937"/>
      <c r="N18" s="937">
        <f>+$E$11</f>
        <v>5.8823529411764701E-4</v>
      </c>
      <c r="O18" s="937"/>
      <c r="P18" s="935">
        <f>+$E$6*N18</f>
        <v>5.8823529411764698E-2</v>
      </c>
      <c r="Q18" s="935"/>
      <c r="R18" s="934">
        <f>+P18/$E$5</f>
        <v>1.9607843137254898E-4</v>
      </c>
      <c r="S18" s="934"/>
      <c r="T18" s="934">
        <f>+R18*0.5</f>
        <v>9.8039215686274492E-5</v>
      </c>
      <c r="U18" s="934"/>
      <c r="V18" s="93">
        <f>IF(T18&lt;$B$14,+T18,+$B$14)</f>
        <v>9.8039215686274492E-5</v>
      </c>
      <c r="W18" s="940">
        <f>+R18-V18</f>
        <v>9.8039215686274492E-5</v>
      </c>
      <c r="X18" s="887"/>
    </row>
    <row r="19" spans="2:25">
      <c r="B19" s="887" t="s">
        <v>37</v>
      </c>
      <c r="C19" s="887"/>
      <c r="D19" s="887"/>
      <c r="E19" s="887"/>
      <c r="F19" s="887"/>
      <c r="G19" s="887"/>
      <c r="H19" s="887"/>
      <c r="I19" t="s">
        <v>38</v>
      </c>
      <c r="L19" s="937"/>
      <c r="M19" s="937"/>
      <c r="N19" s="937">
        <f>+$E$11</f>
        <v>5.8823529411764701E-4</v>
      </c>
      <c r="O19" s="937"/>
      <c r="P19" s="935">
        <f t="shared" ref="P19:P35" si="0">+$E$6*N19</f>
        <v>5.8823529411764698E-2</v>
      </c>
      <c r="Q19" s="935"/>
      <c r="R19" s="934">
        <f t="shared" ref="R19:R35" si="1">+P19/$E$5</f>
        <v>1.9607843137254898E-4</v>
      </c>
      <c r="S19" s="934"/>
      <c r="T19" s="934">
        <f t="shared" ref="T19:T35" si="2">+R19*0.5</f>
        <v>9.8039215686274492E-5</v>
      </c>
      <c r="U19" s="934"/>
      <c r="V19" s="93">
        <f t="shared" ref="V19:V35" si="3">IF(T19&lt;$B$14,+T19,+$B$14)</f>
        <v>9.8039215686274492E-5</v>
      </c>
      <c r="W19" s="940">
        <f t="shared" ref="W19:W35" si="4">+R19-V19</f>
        <v>9.8039215686274492E-5</v>
      </c>
      <c r="X19" s="887"/>
    </row>
    <row r="20" spans="2:25">
      <c r="B20" s="888" t="s">
        <v>41</v>
      </c>
      <c r="C20" s="888"/>
      <c r="D20" s="888"/>
      <c r="E20" s="888"/>
      <c r="F20" s="888"/>
      <c r="G20" s="888"/>
      <c r="H20" s="888"/>
      <c r="I20" s="9"/>
      <c r="J20" s="9"/>
      <c r="K20" s="9"/>
      <c r="L20" s="930"/>
      <c r="M20" s="930"/>
      <c r="N20" s="930">
        <f>+$E$11</f>
        <v>5.8823529411764701E-4</v>
      </c>
      <c r="O20" s="930"/>
      <c r="P20" s="936">
        <f t="shared" si="0"/>
        <v>5.8823529411764698E-2</v>
      </c>
      <c r="Q20" s="936"/>
      <c r="R20" s="933">
        <f t="shared" si="1"/>
        <v>1.9607843137254898E-4</v>
      </c>
      <c r="S20" s="933"/>
      <c r="T20" s="933">
        <f t="shared" si="2"/>
        <v>9.8039215686274492E-5</v>
      </c>
      <c r="U20" s="933"/>
      <c r="V20" s="93">
        <f t="shared" si="3"/>
        <v>9.8039215686274492E-5</v>
      </c>
      <c r="W20" s="933">
        <f t="shared" si="4"/>
        <v>9.8039215686274492E-5</v>
      </c>
      <c r="X20" s="888"/>
    </row>
    <row r="21" spans="2:25">
      <c r="B21" s="887" t="s">
        <v>42</v>
      </c>
      <c r="C21" s="887"/>
      <c r="D21" s="887"/>
      <c r="E21" s="887"/>
      <c r="F21" s="887"/>
      <c r="G21" s="887"/>
      <c r="H21" s="887"/>
      <c r="L21" s="938">
        <f t="shared" ref="L21:L26" si="5">+IF(AND($R$7=2,$E$6&lt;100),$L$4,$L$3)</f>
        <v>157</v>
      </c>
      <c r="M21" s="938"/>
      <c r="N21" s="937">
        <f>+L21/$J$9*$E$7</f>
        <v>0.56071428571428572</v>
      </c>
      <c r="O21" s="937"/>
      <c r="P21" s="935">
        <f t="shared" si="0"/>
        <v>56.071428571428569</v>
      </c>
      <c r="Q21" s="935"/>
      <c r="R21" s="934">
        <f t="shared" si="1"/>
        <v>0.18690476190476191</v>
      </c>
      <c r="S21" s="934"/>
      <c r="T21" s="934">
        <f t="shared" si="2"/>
        <v>9.3452380952380953E-2</v>
      </c>
      <c r="U21" s="934"/>
      <c r="V21" s="93">
        <f t="shared" si="3"/>
        <v>9.3452380952380953E-2</v>
      </c>
      <c r="W21" s="940">
        <f t="shared" si="4"/>
        <v>9.3452380952380953E-2</v>
      </c>
      <c r="X21" s="887"/>
    </row>
    <row r="22" spans="2:25">
      <c r="B22" s="887" t="s">
        <v>46</v>
      </c>
      <c r="C22" s="887"/>
      <c r="D22" s="887"/>
      <c r="E22" s="887"/>
      <c r="F22" s="887"/>
      <c r="G22" s="887"/>
      <c r="H22" s="887"/>
      <c r="I22" t="s">
        <v>47</v>
      </c>
      <c r="L22" s="938">
        <f t="shared" si="5"/>
        <v>157</v>
      </c>
      <c r="M22" s="938"/>
      <c r="N22" s="937">
        <f>+L22/$J$9*$E$7</f>
        <v>0.56071428571428572</v>
      </c>
      <c r="O22" s="937"/>
      <c r="P22" s="935">
        <f t="shared" si="0"/>
        <v>56.071428571428569</v>
      </c>
      <c r="Q22" s="935"/>
      <c r="R22" s="934">
        <f t="shared" si="1"/>
        <v>0.18690476190476191</v>
      </c>
      <c r="S22" s="934"/>
      <c r="T22" s="934">
        <f t="shared" si="2"/>
        <v>9.3452380952380953E-2</v>
      </c>
      <c r="U22" s="934"/>
      <c r="V22" s="93">
        <f t="shared" si="3"/>
        <v>9.3452380952380953E-2</v>
      </c>
      <c r="W22" s="940">
        <f t="shared" si="4"/>
        <v>9.3452380952380953E-2</v>
      </c>
      <c r="X22" s="887"/>
    </row>
    <row r="23" spans="2:25">
      <c r="B23" s="888" t="s">
        <v>50</v>
      </c>
      <c r="C23" s="888"/>
      <c r="D23" s="888"/>
      <c r="E23" s="888"/>
      <c r="F23" s="888"/>
      <c r="G23" s="888"/>
      <c r="H23" s="888"/>
      <c r="I23" s="9"/>
      <c r="J23" s="9"/>
      <c r="K23" s="9"/>
      <c r="L23" s="938">
        <f t="shared" si="5"/>
        <v>157</v>
      </c>
      <c r="M23" s="938"/>
      <c r="N23" s="930">
        <f>+L23/$J$9*$E$7</f>
        <v>0.56071428571428572</v>
      </c>
      <c r="O23" s="930"/>
      <c r="P23" s="936">
        <f t="shared" si="0"/>
        <v>56.071428571428569</v>
      </c>
      <c r="Q23" s="936"/>
      <c r="R23" s="933">
        <f t="shared" si="1"/>
        <v>0.18690476190476191</v>
      </c>
      <c r="S23" s="933"/>
      <c r="T23" s="933">
        <f t="shared" si="2"/>
        <v>9.3452380952380953E-2</v>
      </c>
      <c r="U23" s="933"/>
      <c r="V23" s="93">
        <f t="shared" si="3"/>
        <v>9.3452380952380953E-2</v>
      </c>
      <c r="W23" s="933">
        <f t="shared" si="4"/>
        <v>9.3452380952380953E-2</v>
      </c>
      <c r="X23" s="888"/>
    </row>
    <row r="24" spans="2:25">
      <c r="B24" s="887" t="s">
        <v>52</v>
      </c>
      <c r="C24" s="887"/>
      <c r="D24" s="887"/>
      <c r="E24" s="887"/>
      <c r="F24" s="887"/>
      <c r="G24" s="887"/>
      <c r="H24" s="887"/>
      <c r="L24" s="938">
        <f t="shared" si="5"/>
        <v>157</v>
      </c>
      <c r="M24" s="938"/>
      <c r="N24" s="937">
        <f>+L24/$J$10*$E$7</f>
        <v>0.52333333333333332</v>
      </c>
      <c r="O24" s="937"/>
      <c r="P24" s="935">
        <f t="shared" si="0"/>
        <v>52.333333333333329</v>
      </c>
      <c r="Q24" s="935"/>
      <c r="R24" s="934">
        <f t="shared" si="1"/>
        <v>0.17444444444444443</v>
      </c>
      <c r="S24" s="934"/>
      <c r="T24" s="934">
        <f t="shared" si="2"/>
        <v>8.7222222222222215E-2</v>
      </c>
      <c r="U24" s="934"/>
      <c r="V24" s="93">
        <f t="shared" si="3"/>
        <v>8.7222222222222215E-2</v>
      </c>
      <c r="W24" s="940">
        <f t="shared" si="4"/>
        <v>8.7222222222222215E-2</v>
      </c>
      <c r="X24" s="887"/>
    </row>
    <row r="25" spans="2:25">
      <c r="B25" s="887" t="s">
        <v>54</v>
      </c>
      <c r="C25" s="887"/>
      <c r="D25" s="887"/>
      <c r="E25" s="887"/>
      <c r="F25" s="887"/>
      <c r="G25" s="887"/>
      <c r="H25" s="887"/>
      <c r="I25" t="s">
        <v>55</v>
      </c>
      <c r="L25" s="938">
        <f t="shared" si="5"/>
        <v>157</v>
      </c>
      <c r="M25" s="938"/>
      <c r="N25" s="937">
        <f>+L25/$J$10*$E$7</f>
        <v>0.52333333333333332</v>
      </c>
      <c r="O25" s="937"/>
      <c r="P25" s="935">
        <f t="shared" si="0"/>
        <v>52.333333333333329</v>
      </c>
      <c r="Q25" s="935"/>
      <c r="R25" s="934">
        <f t="shared" si="1"/>
        <v>0.17444444444444443</v>
      </c>
      <c r="S25" s="934"/>
      <c r="T25" s="934">
        <f t="shared" si="2"/>
        <v>8.7222222222222215E-2</v>
      </c>
      <c r="U25" s="934"/>
      <c r="V25" s="93">
        <f t="shared" si="3"/>
        <v>8.7222222222222215E-2</v>
      </c>
      <c r="W25" s="940">
        <f t="shared" si="4"/>
        <v>8.7222222222222215E-2</v>
      </c>
      <c r="X25" s="887"/>
    </row>
    <row r="26" spans="2:25">
      <c r="B26" s="888" t="s">
        <v>58</v>
      </c>
      <c r="C26" s="888"/>
      <c r="D26" s="888"/>
      <c r="E26" s="888"/>
      <c r="F26" s="888"/>
      <c r="G26" s="888"/>
      <c r="H26" s="888"/>
      <c r="I26" s="9"/>
      <c r="J26" s="9"/>
      <c r="K26" s="9"/>
      <c r="L26" s="938">
        <f t="shared" si="5"/>
        <v>157</v>
      </c>
      <c r="M26" s="938"/>
      <c r="N26" s="930">
        <f>+L26/$J$10*$E$7</f>
        <v>0.52333333333333332</v>
      </c>
      <c r="O26" s="930"/>
      <c r="P26" s="936">
        <f t="shared" si="0"/>
        <v>52.333333333333329</v>
      </c>
      <c r="Q26" s="936"/>
      <c r="R26" s="933">
        <f t="shared" si="1"/>
        <v>0.17444444444444443</v>
      </c>
      <c r="S26" s="933"/>
      <c r="T26" s="933">
        <f t="shared" si="2"/>
        <v>8.7222222222222215E-2</v>
      </c>
      <c r="U26" s="933"/>
      <c r="V26" s="93">
        <f t="shared" si="3"/>
        <v>8.7222222222222215E-2</v>
      </c>
      <c r="W26" s="933">
        <f t="shared" si="4"/>
        <v>8.7222222222222215E-2</v>
      </c>
      <c r="X26" s="888"/>
    </row>
    <row r="27" spans="2:25">
      <c r="B27" s="887" t="s">
        <v>62</v>
      </c>
      <c r="C27" s="887"/>
      <c r="D27" s="887"/>
      <c r="E27" s="887"/>
      <c r="F27" s="887"/>
      <c r="G27" s="887"/>
      <c r="H27" s="887"/>
      <c r="L27" s="937"/>
      <c r="M27" s="937"/>
      <c r="N27" s="937">
        <f>+$E$11</f>
        <v>5.8823529411764701E-4</v>
      </c>
      <c r="O27" s="937"/>
      <c r="P27" s="935">
        <f t="shared" si="0"/>
        <v>5.8823529411764698E-2</v>
      </c>
      <c r="Q27" s="935"/>
      <c r="R27" s="934">
        <f t="shared" si="1"/>
        <v>1.9607843137254898E-4</v>
      </c>
      <c r="S27" s="934"/>
      <c r="T27" s="934">
        <f t="shared" si="2"/>
        <v>9.8039215686274492E-5</v>
      </c>
      <c r="U27" s="934"/>
      <c r="V27" s="93">
        <f t="shared" si="3"/>
        <v>9.8039215686274492E-5</v>
      </c>
      <c r="W27" s="940">
        <f t="shared" si="4"/>
        <v>9.8039215686274492E-5</v>
      </c>
      <c r="X27" s="887"/>
    </row>
    <row r="28" spans="2:25">
      <c r="B28" s="887" t="s">
        <v>64</v>
      </c>
      <c r="C28" s="887"/>
      <c r="D28" s="887"/>
      <c r="E28" s="887"/>
      <c r="F28" s="887"/>
      <c r="G28" s="887"/>
      <c r="H28" s="887"/>
      <c r="I28" t="s">
        <v>65</v>
      </c>
      <c r="L28" s="937"/>
      <c r="M28" s="937"/>
      <c r="N28" s="937">
        <f>+$E$11</f>
        <v>5.8823529411764701E-4</v>
      </c>
      <c r="O28" s="937"/>
      <c r="P28" s="935">
        <f t="shared" si="0"/>
        <v>5.8823529411764698E-2</v>
      </c>
      <c r="Q28" s="935"/>
      <c r="R28" s="934">
        <f t="shared" si="1"/>
        <v>1.9607843137254898E-4</v>
      </c>
      <c r="S28" s="934"/>
      <c r="T28" s="934">
        <f t="shared" si="2"/>
        <v>9.8039215686274492E-5</v>
      </c>
      <c r="U28" s="934"/>
      <c r="V28" s="93">
        <f t="shared" si="3"/>
        <v>9.8039215686274492E-5</v>
      </c>
      <c r="W28" s="940">
        <f t="shared" si="4"/>
        <v>9.8039215686274492E-5</v>
      </c>
      <c r="X28" s="887"/>
    </row>
    <row r="29" spans="2:25">
      <c r="B29" s="888" t="s">
        <v>68</v>
      </c>
      <c r="C29" s="888"/>
      <c r="D29" s="888"/>
      <c r="E29" s="888"/>
      <c r="F29" s="888"/>
      <c r="G29" s="888"/>
      <c r="H29" s="888"/>
      <c r="I29" s="9"/>
      <c r="J29" s="9"/>
      <c r="K29" s="9"/>
      <c r="L29" s="930"/>
      <c r="M29" s="930"/>
      <c r="N29" s="930">
        <f>+$E$11</f>
        <v>5.8823529411764701E-4</v>
      </c>
      <c r="O29" s="930"/>
      <c r="P29" s="936">
        <f t="shared" si="0"/>
        <v>5.8823529411764698E-2</v>
      </c>
      <c r="Q29" s="936"/>
      <c r="R29" s="933">
        <f t="shared" si="1"/>
        <v>1.9607843137254898E-4</v>
      </c>
      <c r="S29" s="933"/>
      <c r="T29" s="933">
        <f t="shared" si="2"/>
        <v>9.8039215686274492E-5</v>
      </c>
      <c r="U29" s="933"/>
      <c r="V29" s="93">
        <f t="shared" si="3"/>
        <v>9.8039215686274492E-5</v>
      </c>
      <c r="W29" s="933">
        <f t="shared" si="4"/>
        <v>9.8039215686274492E-5</v>
      </c>
      <c r="X29" s="888"/>
    </row>
    <row r="30" spans="2:25">
      <c r="B30" s="887" t="s">
        <v>72</v>
      </c>
      <c r="C30" s="887"/>
      <c r="D30" s="887"/>
      <c r="E30" s="887"/>
      <c r="F30" s="887"/>
      <c r="G30" s="887"/>
      <c r="H30" s="887"/>
      <c r="L30" s="938">
        <f t="shared" ref="L30:L35" si="6">+IF(AND($R$7=2,$E$6&lt;100),$L$4,$L$3)</f>
        <v>157</v>
      </c>
      <c r="M30" s="938"/>
      <c r="N30" s="937">
        <f>+L30/$J$9*$E$7</f>
        <v>0.56071428571428572</v>
      </c>
      <c r="O30" s="937"/>
      <c r="P30" s="935">
        <f t="shared" si="0"/>
        <v>56.071428571428569</v>
      </c>
      <c r="Q30" s="935"/>
      <c r="R30" s="934">
        <f t="shared" si="1"/>
        <v>0.18690476190476191</v>
      </c>
      <c r="S30" s="934"/>
      <c r="T30" s="934">
        <f t="shared" si="2"/>
        <v>9.3452380952380953E-2</v>
      </c>
      <c r="U30" s="934"/>
      <c r="V30" s="93">
        <f t="shared" si="3"/>
        <v>9.3452380952380953E-2</v>
      </c>
      <c r="W30" s="940">
        <f t="shared" si="4"/>
        <v>9.3452380952380953E-2</v>
      </c>
      <c r="X30" s="887"/>
    </row>
    <row r="31" spans="2:25">
      <c r="B31" s="887" t="s">
        <v>76</v>
      </c>
      <c r="C31" s="887"/>
      <c r="D31" s="887"/>
      <c r="E31" s="887"/>
      <c r="F31" s="887"/>
      <c r="G31" s="887"/>
      <c r="H31" s="887"/>
      <c r="I31" t="s">
        <v>77</v>
      </c>
      <c r="L31" s="938">
        <f t="shared" si="6"/>
        <v>157</v>
      </c>
      <c r="M31" s="938"/>
      <c r="N31" s="937">
        <f>+L31/$J$9*$E$7</f>
        <v>0.56071428571428572</v>
      </c>
      <c r="O31" s="937"/>
      <c r="P31" s="935">
        <f t="shared" si="0"/>
        <v>56.071428571428569</v>
      </c>
      <c r="Q31" s="935"/>
      <c r="R31" s="934">
        <f t="shared" si="1"/>
        <v>0.18690476190476191</v>
      </c>
      <c r="S31" s="934"/>
      <c r="T31" s="934">
        <f t="shared" si="2"/>
        <v>9.3452380952380953E-2</v>
      </c>
      <c r="U31" s="934"/>
      <c r="V31" s="93">
        <f t="shared" si="3"/>
        <v>9.3452380952380953E-2</v>
      </c>
      <c r="W31" s="940">
        <f t="shared" si="4"/>
        <v>9.3452380952380953E-2</v>
      </c>
      <c r="X31" s="887"/>
    </row>
    <row r="32" spans="2:25">
      <c r="B32" s="888" t="s">
        <v>78</v>
      </c>
      <c r="C32" s="888"/>
      <c r="D32" s="888"/>
      <c r="E32" s="888"/>
      <c r="F32" s="888"/>
      <c r="G32" s="888"/>
      <c r="H32" s="888"/>
      <c r="I32" s="9"/>
      <c r="J32" s="9"/>
      <c r="K32" s="9"/>
      <c r="L32" s="938">
        <f t="shared" si="6"/>
        <v>157</v>
      </c>
      <c r="M32" s="938"/>
      <c r="N32" s="930">
        <f>+L32/$J$9*$E$7</f>
        <v>0.56071428571428572</v>
      </c>
      <c r="O32" s="930"/>
      <c r="P32" s="936">
        <f t="shared" si="0"/>
        <v>56.071428571428569</v>
      </c>
      <c r="Q32" s="936"/>
      <c r="R32" s="933">
        <f t="shared" si="1"/>
        <v>0.18690476190476191</v>
      </c>
      <c r="S32" s="933"/>
      <c r="T32" s="933">
        <f t="shared" si="2"/>
        <v>9.3452380952380953E-2</v>
      </c>
      <c r="U32" s="933"/>
      <c r="V32" s="93">
        <f t="shared" si="3"/>
        <v>9.3452380952380953E-2</v>
      </c>
      <c r="W32" s="933">
        <f t="shared" si="4"/>
        <v>9.3452380952380953E-2</v>
      </c>
      <c r="X32" s="888"/>
    </row>
    <row r="33" spans="2:24">
      <c r="B33" s="887" t="s">
        <v>80</v>
      </c>
      <c r="C33" s="887"/>
      <c r="D33" s="887"/>
      <c r="E33" s="887"/>
      <c r="F33" s="887"/>
      <c r="G33" s="887"/>
      <c r="H33" s="887"/>
      <c r="L33" s="938">
        <f t="shared" si="6"/>
        <v>157</v>
      </c>
      <c r="M33" s="938"/>
      <c r="N33" s="937">
        <f>+L33/$J$10*$E$7</f>
        <v>0.52333333333333332</v>
      </c>
      <c r="O33" s="937"/>
      <c r="P33" s="935">
        <f t="shared" si="0"/>
        <v>52.333333333333329</v>
      </c>
      <c r="Q33" s="935"/>
      <c r="R33" s="934">
        <f t="shared" si="1"/>
        <v>0.17444444444444443</v>
      </c>
      <c r="S33" s="934"/>
      <c r="T33" s="934">
        <f t="shared" si="2"/>
        <v>8.7222222222222215E-2</v>
      </c>
      <c r="U33" s="934"/>
      <c r="V33" s="93">
        <f t="shared" si="3"/>
        <v>8.7222222222222215E-2</v>
      </c>
      <c r="W33" s="940">
        <f t="shared" si="4"/>
        <v>8.7222222222222215E-2</v>
      </c>
      <c r="X33" s="887"/>
    </row>
    <row r="34" spans="2:24">
      <c r="B34" s="887" t="s">
        <v>81</v>
      </c>
      <c r="C34" s="887"/>
      <c r="D34" s="887"/>
      <c r="E34" s="887"/>
      <c r="F34" s="887"/>
      <c r="G34" s="887"/>
      <c r="H34" s="887"/>
      <c r="I34" t="s">
        <v>82</v>
      </c>
      <c r="L34" s="938">
        <f t="shared" si="6"/>
        <v>157</v>
      </c>
      <c r="M34" s="938"/>
      <c r="N34" s="937">
        <f>+L34/$J$10*$E$7</f>
        <v>0.52333333333333332</v>
      </c>
      <c r="O34" s="937"/>
      <c r="P34" s="935">
        <f t="shared" si="0"/>
        <v>52.333333333333329</v>
      </c>
      <c r="Q34" s="935"/>
      <c r="R34" s="934">
        <f t="shared" si="1"/>
        <v>0.17444444444444443</v>
      </c>
      <c r="S34" s="934"/>
      <c r="T34" s="934">
        <f t="shared" si="2"/>
        <v>8.7222222222222215E-2</v>
      </c>
      <c r="U34" s="934"/>
      <c r="V34" s="93">
        <f t="shared" si="3"/>
        <v>8.7222222222222215E-2</v>
      </c>
      <c r="W34" s="940">
        <f t="shared" si="4"/>
        <v>8.7222222222222215E-2</v>
      </c>
      <c r="X34" s="887"/>
    </row>
    <row r="35" spans="2:24">
      <c r="B35" s="888" t="s">
        <v>84</v>
      </c>
      <c r="C35" s="888"/>
      <c r="D35" s="888"/>
      <c r="E35" s="888"/>
      <c r="F35" s="888"/>
      <c r="G35" s="888"/>
      <c r="H35" s="888"/>
      <c r="I35" s="9"/>
      <c r="J35" s="9"/>
      <c r="K35" s="9"/>
      <c r="L35" s="938">
        <f t="shared" si="6"/>
        <v>157</v>
      </c>
      <c r="M35" s="938"/>
      <c r="N35" s="930">
        <f>+L35/$J$10*$E$7</f>
        <v>0.52333333333333332</v>
      </c>
      <c r="O35" s="930"/>
      <c r="P35" s="936">
        <f t="shared" si="0"/>
        <v>52.333333333333329</v>
      </c>
      <c r="Q35" s="936"/>
      <c r="R35" s="933">
        <f t="shared" si="1"/>
        <v>0.17444444444444443</v>
      </c>
      <c r="S35" s="933"/>
      <c r="T35" s="933">
        <f t="shared" si="2"/>
        <v>8.7222222222222215E-2</v>
      </c>
      <c r="U35" s="933"/>
      <c r="V35" s="93">
        <f t="shared" si="3"/>
        <v>8.7222222222222215E-2</v>
      </c>
      <c r="W35" s="933">
        <f t="shared" si="4"/>
        <v>8.7222222222222215E-2</v>
      </c>
      <c r="X35" s="888"/>
    </row>
  </sheetData>
  <sheetProtection password="D8A4" sheet="1" objects="1" scenarios="1"/>
  <mergeCells count="133">
    <mergeCell ref="W31:X31"/>
    <mergeCell ref="W30:X30"/>
    <mergeCell ref="W29:X29"/>
    <mergeCell ref="W28:X28"/>
    <mergeCell ref="W35:X35"/>
    <mergeCell ref="W34:X34"/>
    <mergeCell ref="W33:X33"/>
    <mergeCell ref="W32:X32"/>
    <mergeCell ref="W22:X22"/>
    <mergeCell ref="W23:X23"/>
    <mergeCell ref="W25:X25"/>
    <mergeCell ref="W24:X24"/>
    <mergeCell ref="W27:X27"/>
    <mergeCell ref="W26:X26"/>
    <mergeCell ref="W15:X17"/>
    <mergeCell ref="V16:V17"/>
    <mergeCell ref="N16:O17"/>
    <mergeCell ref="B18:H18"/>
    <mergeCell ref="B19:H19"/>
    <mergeCell ref="L16:M17"/>
    <mergeCell ref="P16:Q17"/>
    <mergeCell ref="P18:Q18"/>
    <mergeCell ref="P19:Q19"/>
    <mergeCell ref="L18:M18"/>
    <mergeCell ref="L19:M19"/>
    <mergeCell ref="N19:O19"/>
    <mergeCell ref="N18:O18"/>
    <mergeCell ref="T16:U17"/>
    <mergeCell ref="T18:U18"/>
    <mergeCell ref="T19:U19"/>
    <mergeCell ref="L24:M24"/>
    <mergeCell ref="L25:M25"/>
    <mergeCell ref="B24:H24"/>
    <mergeCell ref="B25:H25"/>
    <mergeCell ref="B26:H26"/>
    <mergeCell ref="B27:H27"/>
    <mergeCell ref="W18:X18"/>
    <mergeCell ref="W19:X19"/>
    <mergeCell ref="W20:X20"/>
    <mergeCell ref="W21:X21"/>
    <mergeCell ref="P20:Q20"/>
    <mergeCell ref="P21:Q21"/>
    <mergeCell ref="T20:U20"/>
    <mergeCell ref="R16:S17"/>
    <mergeCell ref="R18:S18"/>
    <mergeCell ref="B20:H20"/>
    <mergeCell ref="B21:H21"/>
    <mergeCell ref="B22:H22"/>
    <mergeCell ref="B23:H23"/>
    <mergeCell ref="L21:M21"/>
    <mergeCell ref="L22:M22"/>
    <mergeCell ref="L20:M20"/>
    <mergeCell ref="N20:O20"/>
    <mergeCell ref="N21:O21"/>
    <mergeCell ref="N22:O22"/>
    <mergeCell ref="N23:O23"/>
    <mergeCell ref="L23:M23"/>
    <mergeCell ref="B35:H35"/>
    <mergeCell ref="B33:H33"/>
    <mergeCell ref="B34:H34"/>
    <mergeCell ref="L35:M35"/>
    <mergeCell ref="L26:M26"/>
    <mergeCell ref="L27:M27"/>
    <mergeCell ref="L28:M28"/>
    <mergeCell ref="L30:M30"/>
    <mergeCell ref="N35:O35"/>
    <mergeCell ref="N29:O29"/>
    <mergeCell ref="N30:O30"/>
    <mergeCell ref="N31:O31"/>
    <mergeCell ref="N32:O32"/>
    <mergeCell ref="B28:H28"/>
    <mergeCell ref="B32:H32"/>
    <mergeCell ref="B30:H30"/>
    <mergeCell ref="B29:H29"/>
    <mergeCell ref="B31:H31"/>
    <mergeCell ref="L31:M31"/>
    <mergeCell ref="L32:M32"/>
    <mergeCell ref="L33:M33"/>
    <mergeCell ref="L34:M34"/>
    <mergeCell ref="N34:O34"/>
    <mergeCell ref="L29:M29"/>
    <mergeCell ref="N25:O25"/>
    <mergeCell ref="N26:O26"/>
    <mergeCell ref="N24:O24"/>
    <mergeCell ref="N33:O33"/>
    <mergeCell ref="P30:Q30"/>
    <mergeCell ref="P31:Q31"/>
    <mergeCell ref="P26:Q26"/>
    <mergeCell ref="P27:Q27"/>
    <mergeCell ref="P28:Q28"/>
    <mergeCell ref="N27:O27"/>
    <mergeCell ref="N28:O28"/>
    <mergeCell ref="P22:Q22"/>
    <mergeCell ref="P23:Q23"/>
    <mergeCell ref="P24:Q24"/>
    <mergeCell ref="P25:Q25"/>
    <mergeCell ref="R35:S35"/>
    <mergeCell ref="R28:S28"/>
    <mergeCell ref="R29:S29"/>
    <mergeCell ref="R30:S30"/>
    <mergeCell ref="R31:S31"/>
    <mergeCell ref="P32:Q32"/>
    <mergeCell ref="P33:Q33"/>
    <mergeCell ref="P34:Q34"/>
    <mergeCell ref="P35:Q35"/>
    <mergeCell ref="P29:Q29"/>
    <mergeCell ref="R33:S33"/>
    <mergeCell ref="R34:S34"/>
    <mergeCell ref="R27:S27"/>
    <mergeCell ref="R26:S26"/>
    <mergeCell ref="R19:S19"/>
    <mergeCell ref="R20:S20"/>
    <mergeCell ref="R21:S21"/>
    <mergeCell ref="R22:S22"/>
    <mergeCell ref="R23:S23"/>
    <mergeCell ref="R24:S24"/>
    <mergeCell ref="T21:U21"/>
    <mergeCell ref="T22:U22"/>
    <mergeCell ref="T23:U23"/>
    <mergeCell ref="T24:U24"/>
    <mergeCell ref="T26:U26"/>
    <mergeCell ref="R32:S32"/>
    <mergeCell ref="R25:S25"/>
    <mergeCell ref="T27:U27"/>
    <mergeCell ref="T28:U28"/>
    <mergeCell ref="T29:U29"/>
    <mergeCell ref="T34:U34"/>
    <mergeCell ref="T35:U35"/>
    <mergeCell ref="T30:U30"/>
    <mergeCell ref="T31:U31"/>
    <mergeCell ref="T32:U32"/>
    <mergeCell ref="T33:U33"/>
    <mergeCell ref="T25:U25"/>
  </mergeCells>
  <phoneticPr fontId="0" type="noConversion"/>
  <printOptions horizontalCentered="1"/>
  <pageMargins left="0.25" right="0.25" top="0.35" bottom="0.25" header="0" footer="0"/>
  <pageSetup scale="59" fitToHeight="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36"/>
  <sheetViews>
    <sheetView workbookViewId="0">
      <selection activeCell="K84" sqref="K84"/>
    </sheetView>
  </sheetViews>
  <sheetFormatPr defaultColWidth="9.140625" defaultRowHeight="11.1"/>
  <cols>
    <col min="1" max="2" width="9.140625" style="1"/>
    <col min="3" max="3" width="42" style="1" customWidth="1"/>
    <col min="4" max="4" width="10.42578125" style="1" customWidth="1"/>
    <col min="5" max="16384" width="9.140625" style="1"/>
  </cols>
  <sheetData>
    <row r="1" spans="1:4">
      <c r="A1" s="1" t="s">
        <v>439</v>
      </c>
      <c r="B1" s="1" t="s">
        <v>440</v>
      </c>
      <c r="C1" s="1" t="s">
        <v>152</v>
      </c>
      <c r="D1" s="1" t="s">
        <v>153</v>
      </c>
    </row>
    <row r="2" spans="1:4">
      <c r="A2" s="1" t="s">
        <v>441</v>
      </c>
      <c r="B2" s="1" t="s">
        <v>440</v>
      </c>
      <c r="C2" s="1" t="s">
        <v>442</v>
      </c>
      <c r="D2" s="1" t="s">
        <v>443</v>
      </c>
    </row>
    <row r="3" spans="1:4">
      <c r="A3" s="1" t="s">
        <v>439</v>
      </c>
      <c r="B3" s="1" t="s">
        <v>441</v>
      </c>
      <c r="C3" s="1" t="s">
        <v>444</v>
      </c>
      <c r="D3" s="1" t="s">
        <v>445</v>
      </c>
    </row>
    <row r="4" spans="1:4">
      <c r="A4" s="1" t="s">
        <v>441</v>
      </c>
      <c r="B4" s="1" t="s">
        <v>440</v>
      </c>
      <c r="C4" s="1" t="s">
        <v>446</v>
      </c>
      <c r="D4" s="1" t="s">
        <v>447</v>
      </c>
    </row>
    <row r="5" spans="1:4">
      <c r="A5" s="1" t="s">
        <v>441</v>
      </c>
      <c r="B5" s="1" t="s">
        <v>440</v>
      </c>
      <c r="C5" s="1" t="s">
        <v>448</v>
      </c>
      <c r="D5" s="1" t="s">
        <v>449</v>
      </c>
    </row>
    <row r="6" spans="1:4">
      <c r="A6" s="1" t="s">
        <v>441</v>
      </c>
      <c r="B6" s="1" t="s">
        <v>440</v>
      </c>
      <c r="C6" s="1" t="s">
        <v>450</v>
      </c>
      <c r="D6" s="1" t="s">
        <v>451</v>
      </c>
    </row>
    <row r="7" spans="1:4">
      <c r="A7" s="1" t="s">
        <v>439</v>
      </c>
      <c r="B7" s="1" t="s">
        <v>440</v>
      </c>
      <c r="C7" s="1" t="s">
        <v>156</v>
      </c>
      <c r="D7" s="1" t="s">
        <v>157</v>
      </c>
    </row>
    <row r="8" spans="1:4">
      <c r="A8" s="1" t="s">
        <v>441</v>
      </c>
      <c r="B8" s="1" t="s">
        <v>440</v>
      </c>
      <c r="C8" s="1" t="s">
        <v>452</v>
      </c>
      <c r="D8" s="1" t="s">
        <v>453</v>
      </c>
    </row>
    <row r="9" spans="1:4">
      <c r="A9" s="1" t="s">
        <v>441</v>
      </c>
      <c r="B9" s="1" t="s">
        <v>440</v>
      </c>
      <c r="C9" s="1" t="s">
        <v>454</v>
      </c>
      <c r="D9" s="1" t="s">
        <v>455</v>
      </c>
    </row>
    <row r="10" spans="1:4">
      <c r="A10" s="1" t="s">
        <v>439</v>
      </c>
      <c r="B10" s="1" t="s">
        <v>440</v>
      </c>
      <c r="C10" s="1" t="s">
        <v>456</v>
      </c>
      <c r="D10" s="1" t="s">
        <v>457</v>
      </c>
    </row>
    <row r="11" spans="1:4">
      <c r="A11" s="1" t="s">
        <v>441</v>
      </c>
      <c r="B11" s="1" t="s">
        <v>440</v>
      </c>
      <c r="C11" s="1" t="s">
        <v>458</v>
      </c>
      <c r="D11" s="1" t="s">
        <v>459</v>
      </c>
    </row>
    <row r="12" spans="1:4">
      <c r="A12" s="1" t="s">
        <v>441</v>
      </c>
      <c r="B12" s="1" t="s">
        <v>440</v>
      </c>
      <c r="C12" s="1" t="s">
        <v>460</v>
      </c>
      <c r="D12" s="1" t="s">
        <v>461</v>
      </c>
    </row>
    <row r="13" spans="1:4">
      <c r="A13" s="1" t="s">
        <v>439</v>
      </c>
      <c r="B13" s="1" t="s">
        <v>441</v>
      </c>
      <c r="C13" s="1" t="s">
        <v>462</v>
      </c>
      <c r="D13" s="1" t="s">
        <v>463</v>
      </c>
    </row>
    <row r="14" spans="1:4">
      <c r="A14" s="1" t="s">
        <v>439</v>
      </c>
      <c r="B14" s="1" t="s">
        <v>441</v>
      </c>
      <c r="C14" s="1" t="s">
        <v>464</v>
      </c>
      <c r="D14" s="1" t="s">
        <v>465</v>
      </c>
    </row>
    <row r="15" spans="1:4">
      <c r="A15" s="1" t="s">
        <v>439</v>
      </c>
      <c r="B15" s="1" t="s">
        <v>441</v>
      </c>
      <c r="C15" s="1" t="s">
        <v>466</v>
      </c>
      <c r="D15" s="1" t="s">
        <v>467</v>
      </c>
    </row>
    <row r="16" spans="1:4">
      <c r="A16" s="1" t="s">
        <v>439</v>
      </c>
      <c r="B16" s="1" t="s">
        <v>440</v>
      </c>
      <c r="C16" s="1" t="s">
        <v>468</v>
      </c>
      <c r="D16" s="1" t="s">
        <v>469</v>
      </c>
    </row>
    <row r="17" spans="1:4">
      <c r="A17" s="1" t="s">
        <v>441</v>
      </c>
      <c r="B17" s="1" t="s">
        <v>440</v>
      </c>
      <c r="C17" s="1" t="s">
        <v>470</v>
      </c>
      <c r="D17" s="1" t="s">
        <v>471</v>
      </c>
    </row>
    <row r="18" spans="1:4">
      <c r="B18" s="1" t="s">
        <v>440</v>
      </c>
      <c r="C18" s="1" t="s">
        <v>889</v>
      </c>
      <c r="D18" s="1" t="s">
        <v>890</v>
      </c>
    </row>
    <row r="19" spans="1:4">
      <c r="A19" s="1" t="s">
        <v>441</v>
      </c>
      <c r="B19" s="1" t="s">
        <v>440</v>
      </c>
      <c r="C19" s="1" t="s">
        <v>315</v>
      </c>
      <c r="D19" s="1" t="s">
        <v>891</v>
      </c>
    </row>
    <row r="20" spans="1:4">
      <c r="B20" s="1" t="s">
        <v>440</v>
      </c>
      <c r="C20" s="1" t="s">
        <v>892</v>
      </c>
      <c r="D20" s="1" t="s">
        <v>893</v>
      </c>
    </row>
    <row r="21" spans="1:4">
      <c r="A21" s="1" t="s">
        <v>439</v>
      </c>
      <c r="B21" s="1" t="s">
        <v>440</v>
      </c>
      <c r="C21" s="1" t="s">
        <v>472</v>
      </c>
      <c r="D21" s="1" t="s">
        <v>161</v>
      </c>
    </row>
    <row r="22" spans="1:4">
      <c r="A22" s="1" t="s">
        <v>439</v>
      </c>
      <c r="B22" s="1" t="s">
        <v>440</v>
      </c>
      <c r="C22" s="1" t="s">
        <v>473</v>
      </c>
      <c r="D22" s="1" t="s">
        <v>474</v>
      </c>
    </row>
    <row r="23" spans="1:4">
      <c r="A23" s="1" t="s">
        <v>439</v>
      </c>
      <c r="B23" s="1" t="s">
        <v>440</v>
      </c>
      <c r="C23" s="1" t="s">
        <v>475</v>
      </c>
      <c r="D23" s="1" t="s">
        <v>476</v>
      </c>
    </row>
    <row r="24" spans="1:4">
      <c r="A24" s="1" t="s">
        <v>439</v>
      </c>
      <c r="B24" s="1" t="s">
        <v>440</v>
      </c>
      <c r="C24" s="1" t="s">
        <v>165</v>
      </c>
      <c r="D24" s="1" t="s">
        <v>166</v>
      </c>
    </row>
    <row r="25" spans="1:4">
      <c r="A25" s="1" t="s">
        <v>439</v>
      </c>
      <c r="B25" s="1" t="s">
        <v>440</v>
      </c>
      <c r="C25" s="1" t="s">
        <v>477</v>
      </c>
      <c r="D25" s="1" t="s">
        <v>478</v>
      </c>
    </row>
    <row r="26" spans="1:4">
      <c r="A26" s="1" t="s">
        <v>439</v>
      </c>
      <c r="B26" s="1" t="s">
        <v>441</v>
      </c>
      <c r="C26" s="1" t="s">
        <v>168</v>
      </c>
      <c r="D26" s="1" t="s">
        <v>169</v>
      </c>
    </row>
    <row r="27" spans="1:4">
      <c r="A27" s="1" t="s">
        <v>441</v>
      </c>
      <c r="B27" s="1" t="s">
        <v>440</v>
      </c>
      <c r="C27" s="1" t="s">
        <v>480</v>
      </c>
      <c r="D27" s="1" t="s">
        <v>481</v>
      </c>
    </row>
    <row r="28" spans="1:4">
      <c r="A28" s="1" t="s">
        <v>439</v>
      </c>
      <c r="B28" s="1" t="s">
        <v>440</v>
      </c>
      <c r="C28" s="1" t="s">
        <v>482</v>
      </c>
      <c r="D28" s="1" t="s">
        <v>483</v>
      </c>
    </row>
    <row r="29" spans="1:4">
      <c r="B29" s="1" t="s">
        <v>440</v>
      </c>
      <c r="C29" s="1" t="s">
        <v>894</v>
      </c>
      <c r="D29" s="1" t="s">
        <v>895</v>
      </c>
    </row>
    <row r="30" spans="1:4">
      <c r="A30" s="1" t="s">
        <v>439</v>
      </c>
      <c r="B30" s="1" t="s">
        <v>441</v>
      </c>
      <c r="C30" s="1" t="s">
        <v>485</v>
      </c>
      <c r="D30" s="1" t="s">
        <v>486</v>
      </c>
    </row>
    <row r="31" spans="1:4">
      <c r="A31" s="1" t="s">
        <v>439</v>
      </c>
      <c r="B31" s="1" t="s">
        <v>441</v>
      </c>
      <c r="C31" s="1" t="s">
        <v>487</v>
      </c>
      <c r="D31" s="1" t="s">
        <v>488</v>
      </c>
    </row>
    <row r="32" spans="1:4">
      <c r="A32" s="1" t="s">
        <v>439</v>
      </c>
      <c r="B32" s="1" t="s">
        <v>441</v>
      </c>
      <c r="C32" s="1" t="s">
        <v>896</v>
      </c>
      <c r="D32" s="1">
        <v>7440417</v>
      </c>
    </row>
    <row r="33" spans="1:4">
      <c r="A33" s="1" t="s">
        <v>439</v>
      </c>
      <c r="B33" s="1" t="s">
        <v>441</v>
      </c>
      <c r="C33" s="1" t="s">
        <v>490</v>
      </c>
      <c r="D33" s="1" t="s">
        <v>491</v>
      </c>
    </row>
    <row r="34" spans="1:4">
      <c r="A34" s="1" t="s">
        <v>441</v>
      </c>
      <c r="B34" s="1" t="s">
        <v>440</v>
      </c>
      <c r="C34" s="1" t="s">
        <v>492</v>
      </c>
      <c r="D34" s="1" t="s">
        <v>493</v>
      </c>
    </row>
    <row r="35" spans="1:4">
      <c r="A35" s="1" t="s">
        <v>439</v>
      </c>
      <c r="B35" s="1" t="s">
        <v>440</v>
      </c>
      <c r="C35" s="1" t="s">
        <v>494</v>
      </c>
      <c r="D35" s="1" t="s">
        <v>495</v>
      </c>
    </row>
    <row r="36" spans="1:4">
      <c r="A36" s="1" t="s">
        <v>439</v>
      </c>
      <c r="B36" s="1" t="s">
        <v>441</v>
      </c>
      <c r="C36" s="1" t="s">
        <v>496</v>
      </c>
      <c r="D36" s="1" t="s">
        <v>497</v>
      </c>
    </row>
    <row r="37" spans="1:4">
      <c r="A37" s="1" t="s">
        <v>441</v>
      </c>
      <c r="B37" s="1" t="s">
        <v>440</v>
      </c>
      <c r="C37" s="1" t="s">
        <v>498</v>
      </c>
      <c r="D37" s="1" t="s">
        <v>499</v>
      </c>
    </row>
    <row r="38" spans="1:4">
      <c r="A38" s="1" t="s">
        <v>439</v>
      </c>
      <c r="B38" s="1" t="s">
        <v>440</v>
      </c>
      <c r="C38" s="1" t="s">
        <v>500</v>
      </c>
      <c r="D38" s="1" t="s">
        <v>501</v>
      </c>
    </row>
    <row r="39" spans="1:4">
      <c r="A39" s="1" t="s">
        <v>439</v>
      </c>
      <c r="B39" s="1" t="s">
        <v>440</v>
      </c>
      <c r="C39" s="1" t="s">
        <v>897</v>
      </c>
      <c r="D39" s="1" t="s">
        <v>898</v>
      </c>
    </row>
    <row r="40" spans="1:4">
      <c r="A40" s="1" t="s">
        <v>439</v>
      </c>
      <c r="B40" s="1" t="s">
        <v>441</v>
      </c>
      <c r="C40" s="1" t="s">
        <v>502</v>
      </c>
      <c r="D40" s="1" t="s">
        <v>503</v>
      </c>
    </row>
    <row r="41" spans="1:4">
      <c r="A41" s="1" t="s">
        <v>439</v>
      </c>
      <c r="B41" s="1" t="s">
        <v>441</v>
      </c>
      <c r="C41" s="1" t="s">
        <v>504</v>
      </c>
      <c r="D41" s="1" t="s">
        <v>505</v>
      </c>
    </row>
    <row r="42" spans="1:4">
      <c r="A42" s="1" t="s">
        <v>439</v>
      </c>
      <c r="B42" s="1" t="s">
        <v>440</v>
      </c>
      <c r="C42" s="1" t="s">
        <v>176</v>
      </c>
      <c r="D42" s="1">
        <v>7440439</v>
      </c>
    </row>
    <row r="43" spans="1:4">
      <c r="A43" s="1" t="s">
        <v>441</v>
      </c>
      <c r="B43" s="1" t="s">
        <v>440</v>
      </c>
      <c r="C43" s="1" t="s">
        <v>506</v>
      </c>
      <c r="D43" s="1" t="s">
        <v>507</v>
      </c>
    </row>
    <row r="44" spans="1:4">
      <c r="A44" s="1" t="s">
        <v>441</v>
      </c>
      <c r="B44" s="1" t="s">
        <v>440</v>
      </c>
      <c r="C44" s="1" t="s">
        <v>508</v>
      </c>
      <c r="D44" s="1" t="s">
        <v>509</v>
      </c>
    </row>
    <row r="45" spans="1:4">
      <c r="A45" s="1" t="s">
        <v>441</v>
      </c>
      <c r="B45" s="1" t="s">
        <v>440</v>
      </c>
      <c r="C45" s="1" t="s">
        <v>510</v>
      </c>
      <c r="D45" s="1" t="s">
        <v>511</v>
      </c>
    </row>
    <row r="46" spans="1:4">
      <c r="A46" s="1" t="s">
        <v>439</v>
      </c>
      <c r="B46" s="1" t="s">
        <v>440</v>
      </c>
      <c r="C46" s="1" t="s">
        <v>178</v>
      </c>
      <c r="D46" s="1" t="s">
        <v>179</v>
      </c>
    </row>
    <row r="47" spans="1:4">
      <c r="A47" s="1" t="s">
        <v>439</v>
      </c>
      <c r="B47" s="1" t="s">
        <v>440</v>
      </c>
      <c r="C47" s="1" t="s">
        <v>512</v>
      </c>
      <c r="D47" s="1" t="s">
        <v>513</v>
      </c>
    </row>
    <row r="48" spans="1:4">
      <c r="A48" s="1" t="s">
        <v>441</v>
      </c>
      <c r="B48" s="1" t="s">
        <v>440</v>
      </c>
      <c r="C48" s="1" t="s">
        <v>514</v>
      </c>
      <c r="D48" s="1" t="s">
        <v>515</v>
      </c>
    </row>
    <row r="49" spans="1:4">
      <c r="A49" s="1" t="s">
        <v>441</v>
      </c>
      <c r="B49" s="1" t="s">
        <v>440</v>
      </c>
      <c r="C49" s="1" t="s">
        <v>516</v>
      </c>
      <c r="D49" s="1" t="s">
        <v>517</v>
      </c>
    </row>
    <row r="50" spans="1:4">
      <c r="A50" s="1" t="s">
        <v>441</v>
      </c>
      <c r="B50" s="1" t="s">
        <v>440</v>
      </c>
      <c r="C50" s="1" t="s">
        <v>518</v>
      </c>
      <c r="D50" s="1" t="s">
        <v>519</v>
      </c>
    </row>
    <row r="51" spans="1:4">
      <c r="A51" s="1" t="s">
        <v>441</v>
      </c>
      <c r="B51" s="1" t="s">
        <v>440</v>
      </c>
      <c r="C51" s="1" t="s">
        <v>520</v>
      </c>
      <c r="D51" s="1" t="s">
        <v>521</v>
      </c>
    </row>
    <row r="52" spans="1:4">
      <c r="A52" s="1" t="s">
        <v>439</v>
      </c>
      <c r="B52" s="1" t="s">
        <v>440</v>
      </c>
      <c r="C52" s="1" t="s">
        <v>522</v>
      </c>
      <c r="D52" s="1" t="s">
        <v>523</v>
      </c>
    </row>
    <row r="53" spans="1:4">
      <c r="A53" s="1" t="s">
        <v>441</v>
      </c>
      <c r="B53" s="1" t="s">
        <v>440</v>
      </c>
      <c r="C53" s="1" t="s">
        <v>524</v>
      </c>
      <c r="D53" s="1" t="s">
        <v>525</v>
      </c>
    </row>
    <row r="54" spans="1:4">
      <c r="A54" s="1" t="s">
        <v>441</v>
      </c>
      <c r="B54" s="1" t="s">
        <v>440</v>
      </c>
      <c r="C54" s="1" t="s">
        <v>526</v>
      </c>
      <c r="D54" s="1" t="s">
        <v>527</v>
      </c>
    </row>
    <row r="55" spans="1:4">
      <c r="A55" s="1" t="s">
        <v>439</v>
      </c>
      <c r="B55" s="1" t="s">
        <v>440</v>
      </c>
      <c r="C55" s="1" t="s">
        <v>528</v>
      </c>
      <c r="D55" s="1" t="s">
        <v>529</v>
      </c>
    </row>
    <row r="56" spans="1:4">
      <c r="A56" s="1" t="s">
        <v>441</v>
      </c>
      <c r="B56" s="1" t="s">
        <v>440</v>
      </c>
      <c r="C56" s="1" t="s">
        <v>530</v>
      </c>
      <c r="D56" s="1" t="s">
        <v>531</v>
      </c>
    </row>
    <row r="57" spans="1:4">
      <c r="A57" s="1" t="s">
        <v>439</v>
      </c>
      <c r="B57" s="1" t="s">
        <v>440</v>
      </c>
      <c r="C57" s="1" t="s">
        <v>532</v>
      </c>
      <c r="D57" s="1" t="s">
        <v>533</v>
      </c>
    </row>
    <row r="58" spans="1:4">
      <c r="A58" s="1" t="s">
        <v>441</v>
      </c>
      <c r="B58" s="1" t="s">
        <v>440</v>
      </c>
      <c r="C58" s="1" t="s">
        <v>534</v>
      </c>
      <c r="D58" s="1" t="s">
        <v>535</v>
      </c>
    </row>
    <row r="59" spans="1:4">
      <c r="A59" s="1" t="s">
        <v>439</v>
      </c>
      <c r="B59" s="1" t="s">
        <v>440</v>
      </c>
      <c r="C59" s="1" t="s">
        <v>536</v>
      </c>
      <c r="D59" s="1" t="s">
        <v>537</v>
      </c>
    </row>
    <row r="60" spans="1:4">
      <c r="A60" s="1" t="s">
        <v>441</v>
      </c>
      <c r="B60" s="1" t="s">
        <v>440</v>
      </c>
      <c r="C60" s="1" t="s">
        <v>899</v>
      </c>
      <c r="D60" s="1" t="s">
        <v>900</v>
      </c>
    </row>
    <row r="61" spans="1:4">
      <c r="A61" s="1" t="s">
        <v>439</v>
      </c>
      <c r="B61" s="1" t="s">
        <v>441</v>
      </c>
      <c r="C61" s="1" t="s">
        <v>538</v>
      </c>
      <c r="D61" s="1" t="s">
        <v>539</v>
      </c>
    </row>
    <row r="62" spans="1:4">
      <c r="A62" s="1" t="s">
        <v>439</v>
      </c>
      <c r="B62" s="1" t="s">
        <v>441</v>
      </c>
      <c r="C62" s="1" t="s">
        <v>901</v>
      </c>
      <c r="D62" s="1" t="s">
        <v>902</v>
      </c>
    </row>
    <row r="63" spans="1:4">
      <c r="A63" s="1" t="s">
        <v>439</v>
      </c>
      <c r="B63" s="1" t="s">
        <v>441</v>
      </c>
      <c r="C63" s="1" t="s">
        <v>541</v>
      </c>
      <c r="D63" s="1" t="s">
        <v>542</v>
      </c>
    </row>
    <row r="64" spans="1:4">
      <c r="B64" s="1" t="s">
        <v>440</v>
      </c>
      <c r="C64" s="1" t="s">
        <v>903</v>
      </c>
      <c r="D64" s="1" t="s">
        <v>318</v>
      </c>
    </row>
    <row r="65" spans="1:4">
      <c r="A65" s="1" t="s">
        <v>439</v>
      </c>
      <c r="B65" s="1" t="s">
        <v>440</v>
      </c>
      <c r="C65" s="1" t="s">
        <v>904</v>
      </c>
      <c r="D65" s="1">
        <v>7738945</v>
      </c>
    </row>
    <row r="66" spans="1:4">
      <c r="B66" s="1" t="s">
        <v>440</v>
      </c>
      <c r="C66" s="1" t="s">
        <v>905</v>
      </c>
      <c r="D66" s="1" t="s">
        <v>906</v>
      </c>
    </row>
    <row r="67" spans="1:4">
      <c r="A67" s="1" t="s">
        <v>441</v>
      </c>
      <c r="B67" s="1" t="s">
        <v>440</v>
      </c>
      <c r="C67" s="1" t="s">
        <v>319</v>
      </c>
      <c r="D67" s="1" t="s">
        <v>543</v>
      </c>
    </row>
    <row r="68" spans="1:4">
      <c r="A68" s="1" t="s">
        <v>439</v>
      </c>
      <c r="B68" s="1" t="s">
        <v>440</v>
      </c>
      <c r="C68" s="1" t="s">
        <v>544</v>
      </c>
      <c r="D68" s="1" t="s">
        <v>545</v>
      </c>
    </row>
    <row r="69" spans="1:4">
      <c r="A69" s="1" t="s">
        <v>441</v>
      </c>
      <c r="B69" s="1" t="s">
        <v>440</v>
      </c>
      <c r="C69" s="1" t="s">
        <v>546</v>
      </c>
      <c r="D69" s="1" t="s">
        <v>547</v>
      </c>
    </row>
    <row r="70" spans="1:4">
      <c r="A70" s="1" t="s">
        <v>441</v>
      </c>
      <c r="B70" s="1" t="s">
        <v>440</v>
      </c>
      <c r="C70" s="1" t="s">
        <v>548</v>
      </c>
      <c r="D70" s="1" t="s">
        <v>549</v>
      </c>
    </row>
    <row r="71" spans="1:4">
      <c r="A71" s="1" t="s">
        <v>441</v>
      </c>
      <c r="B71" s="1" t="s">
        <v>440</v>
      </c>
      <c r="C71" s="1" t="s">
        <v>550</v>
      </c>
      <c r="D71" s="1" t="s">
        <v>551</v>
      </c>
    </row>
    <row r="72" spans="1:4">
      <c r="A72" s="1" t="s">
        <v>441</v>
      </c>
      <c r="B72" s="1" t="s">
        <v>440</v>
      </c>
      <c r="C72" s="1" t="s">
        <v>327</v>
      </c>
      <c r="D72" s="1" t="s">
        <v>328</v>
      </c>
    </row>
    <row r="73" spans="1:4">
      <c r="A73" s="1" t="s">
        <v>441</v>
      </c>
      <c r="B73" s="1" t="s">
        <v>440</v>
      </c>
      <c r="C73" s="1" t="s">
        <v>552</v>
      </c>
      <c r="D73" s="1" t="s">
        <v>553</v>
      </c>
    </row>
    <row r="74" spans="1:4">
      <c r="A74" s="1" t="s">
        <v>441</v>
      </c>
      <c r="B74" s="1" t="s">
        <v>440</v>
      </c>
      <c r="C74" s="1" t="s">
        <v>554</v>
      </c>
      <c r="D74" s="1" t="s">
        <v>555</v>
      </c>
    </row>
    <row r="75" spans="1:4">
      <c r="A75" s="1" t="s">
        <v>441</v>
      </c>
      <c r="B75" s="1" t="s">
        <v>440</v>
      </c>
      <c r="C75" s="1" t="s">
        <v>556</v>
      </c>
      <c r="D75" s="1" t="s">
        <v>557</v>
      </c>
    </row>
    <row r="76" spans="1:4">
      <c r="A76" s="1" t="s">
        <v>439</v>
      </c>
      <c r="B76" s="1" t="s">
        <v>440</v>
      </c>
      <c r="C76" s="1" t="s">
        <v>558</v>
      </c>
      <c r="D76" s="1" t="s">
        <v>559</v>
      </c>
    </row>
    <row r="77" spans="1:4">
      <c r="A77" s="1" t="s">
        <v>441</v>
      </c>
      <c r="B77" s="1" t="s">
        <v>440</v>
      </c>
      <c r="C77" s="1" t="s">
        <v>560</v>
      </c>
      <c r="D77" s="1" t="s">
        <v>561</v>
      </c>
    </row>
    <row r="78" spans="1:4">
      <c r="A78" s="1" t="s">
        <v>441</v>
      </c>
      <c r="B78" s="1" t="s">
        <v>440</v>
      </c>
      <c r="C78" s="1" t="s">
        <v>562</v>
      </c>
      <c r="D78" s="1" t="s">
        <v>563</v>
      </c>
    </row>
    <row r="79" spans="1:4">
      <c r="A79" s="1" t="s">
        <v>441</v>
      </c>
      <c r="B79" s="1" t="s">
        <v>440</v>
      </c>
      <c r="C79" s="1" t="s">
        <v>564</v>
      </c>
      <c r="D79" s="1" t="s">
        <v>565</v>
      </c>
    </row>
    <row r="80" spans="1:4">
      <c r="A80" s="1" t="s">
        <v>441</v>
      </c>
      <c r="B80" s="1" t="s">
        <v>440</v>
      </c>
      <c r="C80" s="1" t="s">
        <v>566</v>
      </c>
      <c r="D80" s="1" t="s">
        <v>567</v>
      </c>
    </row>
    <row r="81" spans="1:4">
      <c r="A81" s="1" t="s">
        <v>439</v>
      </c>
      <c r="B81" s="1" t="s">
        <v>440</v>
      </c>
      <c r="C81" s="1" t="s">
        <v>568</v>
      </c>
      <c r="D81" s="1" t="s">
        <v>569</v>
      </c>
    </row>
    <row r="82" spans="1:4">
      <c r="A82" s="1" t="s">
        <v>441</v>
      </c>
      <c r="B82" s="1" t="s">
        <v>440</v>
      </c>
      <c r="C82" s="1" t="s">
        <v>570</v>
      </c>
      <c r="D82" s="1" t="s">
        <v>571</v>
      </c>
    </row>
    <row r="83" spans="1:4">
      <c r="B83" s="1" t="s">
        <v>441</v>
      </c>
      <c r="C83" s="1" t="s">
        <v>572</v>
      </c>
      <c r="D83" s="1" t="s">
        <v>573</v>
      </c>
    </row>
    <row r="84" spans="1:4">
      <c r="A84" s="1" t="s">
        <v>441</v>
      </c>
      <c r="B84" s="1" t="s">
        <v>440</v>
      </c>
      <c r="C84" s="1" t="s">
        <v>574</v>
      </c>
      <c r="D84" s="1" t="s">
        <v>575</v>
      </c>
    </row>
    <row r="85" spans="1:4">
      <c r="B85" s="1" t="s">
        <v>441</v>
      </c>
      <c r="C85" s="1" t="s">
        <v>576</v>
      </c>
      <c r="D85" s="1" t="s">
        <v>577</v>
      </c>
    </row>
    <row r="86" spans="1:4">
      <c r="A86" s="1" t="s">
        <v>441</v>
      </c>
      <c r="B86" s="1" t="s">
        <v>440</v>
      </c>
      <c r="C86" s="1" t="s">
        <v>578</v>
      </c>
      <c r="D86" s="1" t="s">
        <v>579</v>
      </c>
    </row>
    <row r="87" spans="1:4">
      <c r="A87" s="1" t="s">
        <v>441</v>
      </c>
      <c r="B87" s="1" t="s">
        <v>440</v>
      </c>
      <c r="C87" s="1" t="s">
        <v>580</v>
      </c>
      <c r="D87" s="1" t="s">
        <v>581</v>
      </c>
    </row>
    <row r="88" spans="1:4">
      <c r="A88" s="1" t="s">
        <v>441</v>
      </c>
      <c r="B88" s="1" t="s">
        <v>440</v>
      </c>
      <c r="C88" s="1" t="s">
        <v>582</v>
      </c>
      <c r="D88" s="1" t="s">
        <v>583</v>
      </c>
    </row>
    <row r="89" spans="1:4">
      <c r="A89" s="1" t="s">
        <v>441</v>
      </c>
      <c r="B89" s="1" t="s">
        <v>440</v>
      </c>
      <c r="C89" s="1" t="s">
        <v>584</v>
      </c>
      <c r="D89" s="1" t="s">
        <v>585</v>
      </c>
    </row>
    <row r="90" spans="1:4">
      <c r="A90" s="1" t="s">
        <v>441</v>
      </c>
      <c r="B90" s="1" t="s">
        <v>440</v>
      </c>
      <c r="C90" s="1" t="s">
        <v>586</v>
      </c>
      <c r="D90" s="1" t="s">
        <v>587</v>
      </c>
    </row>
    <row r="91" spans="1:4">
      <c r="A91" s="1" t="s">
        <v>441</v>
      </c>
      <c r="B91" s="1" t="s">
        <v>440</v>
      </c>
      <c r="C91" s="1" t="s">
        <v>588</v>
      </c>
      <c r="D91" s="1" t="s">
        <v>589</v>
      </c>
    </row>
    <row r="92" spans="1:4">
      <c r="A92" s="1" t="s">
        <v>441</v>
      </c>
      <c r="B92" s="1" t="s">
        <v>440</v>
      </c>
      <c r="C92" s="1" t="s">
        <v>590</v>
      </c>
      <c r="D92" s="1" t="s">
        <v>591</v>
      </c>
    </row>
    <row r="93" spans="1:4">
      <c r="A93" s="1" t="s">
        <v>441</v>
      </c>
      <c r="B93" s="1" t="s">
        <v>440</v>
      </c>
      <c r="C93" s="1" t="s">
        <v>592</v>
      </c>
      <c r="D93" s="1" t="s">
        <v>593</v>
      </c>
    </row>
    <row r="94" spans="1:4">
      <c r="A94" s="1" t="s">
        <v>441</v>
      </c>
      <c r="B94" s="1" t="s">
        <v>440</v>
      </c>
      <c r="C94" s="1" t="s">
        <v>594</v>
      </c>
      <c r="D94" s="1" t="s">
        <v>595</v>
      </c>
    </row>
    <row r="95" spans="1:4">
      <c r="A95" s="1" t="s">
        <v>441</v>
      </c>
      <c r="B95" s="1" t="s">
        <v>440</v>
      </c>
      <c r="C95" s="1" t="s">
        <v>596</v>
      </c>
      <c r="D95" s="1" t="s">
        <v>597</v>
      </c>
    </row>
    <row r="96" spans="1:4">
      <c r="A96" s="1" t="s">
        <v>441</v>
      </c>
      <c r="B96" s="1" t="s">
        <v>440</v>
      </c>
      <c r="C96" s="1" t="s">
        <v>598</v>
      </c>
      <c r="D96" s="1" t="s">
        <v>599</v>
      </c>
    </row>
    <row r="97" spans="1:4">
      <c r="A97" s="1" t="s">
        <v>441</v>
      </c>
      <c r="B97" s="1" t="s">
        <v>440</v>
      </c>
      <c r="C97" s="1" t="s">
        <v>600</v>
      </c>
      <c r="D97" s="1" t="s">
        <v>601</v>
      </c>
    </row>
    <row r="98" spans="1:4">
      <c r="A98" s="1" t="s">
        <v>439</v>
      </c>
      <c r="B98" s="1" t="s">
        <v>440</v>
      </c>
      <c r="C98" s="1" t="s">
        <v>602</v>
      </c>
      <c r="D98" s="1" t="s">
        <v>603</v>
      </c>
    </row>
    <row r="99" spans="1:4">
      <c r="A99" s="1" t="s">
        <v>441</v>
      </c>
      <c r="B99" s="1" t="s">
        <v>440</v>
      </c>
      <c r="C99" s="1" t="s">
        <v>604</v>
      </c>
      <c r="D99" s="1" t="s">
        <v>605</v>
      </c>
    </row>
    <row r="100" spans="1:4">
      <c r="A100" s="1" t="s">
        <v>441</v>
      </c>
      <c r="B100" s="1" t="s">
        <v>440</v>
      </c>
      <c r="C100" s="1" t="s">
        <v>606</v>
      </c>
      <c r="D100" s="1" t="s">
        <v>607</v>
      </c>
    </row>
    <row r="101" spans="1:4">
      <c r="A101" s="1" t="s">
        <v>441</v>
      </c>
      <c r="B101" s="1" t="s">
        <v>440</v>
      </c>
      <c r="C101" s="1" t="s">
        <v>608</v>
      </c>
      <c r="D101" s="1" t="s">
        <v>609</v>
      </c>
    </row>
    <row r="102" spans="1:4">
      <c r="A102" s="1" t="s">
        <v>439</v>
      </c>
      <c r="B102" s="1" t="s">
        <v>440</v>
      </c>
      <c r="C102" s="1" t="s">
        <v>610</v>
      </c>
      <c r="D102" s="1" t="s">
        <v>611</v>
      </c>
    </row>
    <row r="103" spans="1:4">
      <c r="A103" s="1" t="s">
        <v>441</v>
      </c>
      <c r="B103" s="1" t="s">
        <v>440</v>
      </c>
      <c r="C103" s="1" t="s">
        <v>612</v>
      </c>
      <c r="D103" s="1" t="s">
        <v>613</v>
      </c>
    </row>
    <row r="104" spans="1:4">
      <c r="A104" s="1" t="s">
        <v>439</v>
      </c>
      <c r="B104" s="1" t="s">
        <v>440</v>
      </c>
      <c r="C104" s="1" t="s">
        <v>614</v>
      </c>
      <c r="D104" s="1" t="s">
        <v>615</v>
      </c>
    </row>
    <row r="105" spans="1:4">
      <c r="A105" s="1" t="s">
        <v>441</v>
      </c>
      <c r="B105" s="1" t="s">
        <v>440</v>
      </c>
      <c r="C105" s="1" t="s">
        <v>616</v>
      </c>
      <c r="D105" s="1" t="s">
        <v>617</v>
      </c>
    </row>
    <row r="106" spans="1:4">
      <c r="A106" s="1" t="s">
        <v>439</v>
      </c>
      <c r="B106" s="1" t="s">
        <v>441</v>
      </c>
      <c r="C106" s="1" t="s">
        <v>618</v>
      </c>
      <c r="D106" s="1" t="s">
        <v>619</v>
      </c>
    </row>
    <row r="107" spans="1:4">
      <c r="A107" s="1" t="s">
        <v>441</v>
      </c>
      <c r="B107" s="1" t="s">
        <v>440</v>
      </c>
      <c r="C107" s="1" t="s">
        <v>620</v>
      </c>
      <c r="D107" s="1" t="s">
        <v>621</v>
      </c>
    </row>
    <row r="108" spans="1:4">
      <c r="A108" s="1" t="s">
        <v>441</v>
      </c>
      <c r="B108" s="1" t="s">
        <v>440</v>
      </c>
      <c r="C108" s="1" t="s">
        <v>321</v>
      </c>
      <c r="D108" s="1" t="s">
        <v>322</v>
      </c>
    </row>
    <row r="109" spans="1:4">
      <c r="A109" s="1" t="s">
        <v>441</v>
      </c>
      <c r="B109" s="1" t="s">
        <v>440</v>
      </c>
      <c r="C109" s="1" t="s">
        <v>622</v>
      </c>
      <c r="D109" s="1" t="s">
        <v>623</v>
      </c>
    </row>
    <row r="110" spans="1:4">
      <c r="A110" s="1" t="s">
        <v>441</v>
      </c>
      <c r="B110" s="1" t="s">
        <v>440</v>
      </c>
      <c r="C110" s="1" t="s">
        <v>329</v>
      </c>
      <c r="D110" s="1" t="s">
        <v>330</v>
      </c>
    </row>
    <row r="111" spans="1:4">
      <c r="A111" s="1" t="s">
        <v>439</v>
      </c>
      <c r="B111" s="1" t="s">
        <v>441</v>
      </c>
      <c r="C111" s="1" t="s">
        <v>624</v>
      </c>
      <c r="D111" s="1" t="s">
        <v>625</v>
      </c>
    </row>
    <row r="112" spans="1:4">
      <c r="A112" s="1" t="s">
        <v>439</v>
      </c>
      <c r="B112" s="1" t="s">
        <v>440</v>
      </c>
      <c r="C112" s="1" t="s">
        <v>626</v>
      </c>
      <c r="D112" s="1" t="s">
        <v>627</v>
      </c>
    </row>
    <row r="113" spans="1:4">
      <c r="A113" s="1" t="s">
        <v>439</v>
      </c>
      <c r="B113" s="1" t="s">
        <v>440</v>
      </c>
      <c r="C113" s="1" t="s">
        <v>628</v>
      </c>
      <c r="D113" s="1" t="s">
        <v>629</v>
      </c>
    </row>
    <row r="114" spans="1:4">
      <c r="A114" s="1" t="s">
        <v>441</v>
      </c>
      <c r="B114" s="1" t="s">
        <v>440</v>
      </c>
      <c r="C114" s="1" t="s">
        <v>630</v>
      </c>
      <c r="D114" s="1" t="s">
        <v>631</v>
      </c>
    </row>
    <row r="115" spans="1:4">
      <c r="A115" s="1" t="s">
        <v>439</v>
      </c>
      <c r="B115" s="1" t="s">
        <v>441</v>
      </c>
      <c r="C115" s="1" t="s">
        <v>632</v>
      </c>
      <c r="D115" s="1" t="s">
        <v>633</v>
      </c>
    </row>
    <row r="116" spans="1:4">
      <c r="A116" s="1" t="s">
        <v>439</v>
      </c>
      <c r="B116" s="1" t="s">
        <v>440</v>
      </c>
      <c r="C116" s="1" t="s">
        <v>634</v>
      </c>
      <c r="D116" s="1" t="s">
        <v>635</v>
      </c>
    </row>
    <row r="117" spans="1:4">
      <c r="A117" s="1" t="s">
        <v>441</v>
      </c>
      <c r="B117" s="1" t="s">
        <v>440</v>
      </c>
      <c r="C117" s="1" t="s">
        <v>636</v>
      </c>
      <c r="D117" s="1" t="s">
        <v>637</v>
      </c>
    </row>
    <row r="118" spans="1:4">
      <c r="A118" s="1" t="s">
        <v>439</v>
      </c>
      <c r="B118" s="1" t="s">
        <v>441</v>
      </c>
      <c r="C118" s="1" t="s">
        <v>638</v>
      </c>
      <c r="D118" s="1" t="s">
        <v>639</v>
      </c>
    </row>
    <row r="119" spans="1:4">
      <c r="A119" s="1" t="s">
        <v>441</v>
      </c>
      <c r="B119" s="1" t="s">
        <v>440</v>
      </c>
      <c r="C119" s="1" t="s">
        <v>640</v>
      </c>
      <c r="D119" s="1" t="s">
        <v>641</v>
      </c>
    </row>
    <row r="120" spans="1:4">
      <c r="A120" s="1" t="s">
        <v>441</v>
      </c>
      <c r="B120" s="1" t="s">
        <v>440</v>
      </c>
      <c r="C120" s="1" t="s">
        <v>642</v>
      </c>
      <c r="D120" s="1" t="s">
        <v>643</v>
      </c>
    </row>
    <row r="121" spans="1:4">
      <c r="A121" s="1" t="s">
        <v>439</v>
      </c>
      <c r="B121" s="1" t="s">
        <v>441</v>
      </c>
      <c r="C121" s="1" t="s">
        <v>644</v>
      </c>
      <c r="D121" s="1" t="s">
        <v>645</v>
      </c>
    </row>
    <row r="122" spans="1:4">
      <c r="A122" s="1" t="s">
        <v>439</v>
      </c>
      <c r="B122" s="1" t="s">
        <v>440</v>
      </c>
      <c r="C122" s="1" t="s">
        <v>182</v>
      </c>
      <c r="D122" s="1" t="s">
        <v>183</v>
      </c>
    </row>
    <row r="123" spans="1:4">
      <c r="A123" s="1" t="s">
        <v>441</v>
      </c>
      <c r="B123" s="1" t="s">
        <v>440</v>
      </c>
      <c r="C123" s="1" t="s">
        <v>646</v>
      </c>
      <c r="D123" s="1" t="s">
        <v>647</v>
      </c>
    </row>
    <row r="124" spans="1:4">
      <c r="A124" s="1" t="s">
        <v>441</v>
      </c>
      <c r="B124" s="1" t="s">
        <v>440</v>
      </c>
      <c r="C124" s="1" t="s">
        <v>648</v>
      </c>
      <c r="D124" s="1" t="s">
        <v>649</v>
      </c>
    </row>
    <row r="125" spans="1:4">
      <c r="A125" s="1" t="s">
        <v>441</v>
      </c>
      <c r="B125" s="1" t="s">
        <v>440</v>
      </c>
      <c r="C125" s="1" t="s">
        <v>650</v>
      </c>
      <c r="D125" s="1" t="s">
        <v>651</v>
      </c>
    </row>
    <row r="126" spans="1:4">
      <c r="A126" s="1" t="s">
        <v>441</v>
      </c>
      <c r="B126" s="1" t="s">
        <v>440</v>
      </c>
      <c r="C126" s="1" t="s">
        <v>652</v>
      </c>
      <c r="D126" s="1" t="s">
        <v>653</v>
      </c>
    </row>
    <row r="127" spans="1:4">
      <c r="A127" s="1" t="s">
        <v>439</v>
      </c>
      <c r="B127" s="1" t="s">
        <v>440</v>
      </c>
      <c r="C127" s="1" t="s">
        <v>654</v>
      </c>
      <c r="D127" s="1" t="s">
        <v>655</v>
      </c>
    </row>
    <row r="128" spans="1:4">
      <c r="A128" s="1" t="s">
        <v>439</v>
      </c>
      <c r="B128" s="1" t="s">
        <v>440</v>
      </c>
      <c r="C128" s="1" t="s">
        <v>907</v>
      </c>
      <c r="D128" s="1" t="s">
        <v>187</v>
      </c>
    </row>
    <row r="129" spans="1:4">
      <c r="A129" s="1" t="s">
        <v>441</v>
      </c>
      <c r="B129" s="1" t="s">
        <v>440</v>
      </c>
      <c r="C129" s="1" t="s">
        <v>656</v>
      </c>
      <c r="D129" s="1" t="s">
        <v>657</v>
      </c>
    </row>
    <row r="130" spans="1:4">
      <c r="A130" s="1" t="s">
        <v>441</v>
      </c>
      <c r="B130" s="1" t="s">
        <v>440</v>
      </c>
      <c r="C130" s="1" t="s">
        <v>658</v>
      </c>
      <c r="D130" s="1" t="s">
        <v>659</v>
      </c>
    </row>
    <row r="131" spans="1:4">
      <c r="A131" s="1" t="s">
        <v>441</v>
      </c>
      <c r="B131" s="1" t="s">
        <v>440</v>
      </c>
      <c r="C131" s="1" t="s">
        <v>660</v>
      </c>
      <c r="D131" s="1" t="s">
        <v>661</v>
      </c>
    </row>
    <row r="132" spans="1:4">
      <c r="A132" s="1" t="s">
        <v>439</v>
      </c>
      <c r="B132" s="1" t="s">
        <v>441</v>
      </c>
      <c r="C132" s="1" t="s">
        <v>662</v>
      </c>
      <c r="D132" s="1" t="s">
        <v>663</v>
      </c>
    </row>
    <row r="133" spans="1:4">
      <c r="A133" s="1" t="s">
        <v>439</v>
      </c>
      <c r="B133" s="1" t="s">
        <v>440</v>
      </c>
      <c r="C133" s="1" t="s">
        <v>190</v>
      </c>
      <c r="D133" s="1" t="s">
        <v>191</v>
      </c>
    </row>
    <row r="134" spans="1:4">
      <c r="A134" s="1" t="s">
        <v>439</v>
      </c>
      <c r="B134" s="1" t="s">
        <v>440</v>
      </c>
      <c r="C134" s="1" t="s">
        <v>664</v>
      </c>
      <c r="D134" s="1" t="s">
        <v>665</v>
      </c>
    </row>
    <row r="135" spans="1:4">
      <c r="A135" s="1" t="s">
        <v>439</v>
      </c>
      <c r="B135" s="1" t="s">
        <v>440</v>
      </c>
      <c r="C135" s="1" t="s">
        <v>666</v>
      </c>
      <c r="D135" s="1" t="s">
        <v>300</v>
      </c>
    </row>
    <row r="136" spans="1:4">
      <c r="A136" s="1" t="s">
        <v>439</v>
      </c>
      <c r="B136" s="1" t="s">
        <v>441</v>
      </c>
      <c r="C136" s="1" t="s">
        <v>667</v>
      </c>
      <c r="D136" s="1">
        <v>74908</v>
      </c>
    </row>
    <row r="137" spans="1:4">
      <c r="A137" s="1" t="s">
        <v>439</v>
      </c>
      <c r="B137" s="1" t="s">
        <v>440</v>
      </c>
      <c r="C137" s="1" t="s">
        <v>668</v>
      </c>
      <c r="D137" s="1" t="s">
        <v>669</v>
      </c>
    </row>
    <row r="138" spans="1:4">
      <c r="A138" s="1" t="s">
        <v>439</v>
      </c>
      <c r="B138" s="1" t="s">
        <v>441</v>
      </c>
      <c r="C138" s="1" t="s">
        <v>670</v>
      </c>
      <c r="D138" s="1" t="s">
        <v>671</v>
      </c>
    </row>
    <row r="139" spans="1:4">
      <c r="A139" s="1" t="s">
        <v>441</v>
      </c>
      <c r="B139" s="1" t="s">
        <v>440</v>
      </c>
      <c r="C139" s="1" t="s">
        <v>672</v>
      </c>
      <c r="D139" s="1" t="s">
        <v>673</v>
      </c>
    </row>
    <row r="140" spans="1:4">
      <c r="A140" s="1" t="s">
        <v>441</v>
      </c>
      <c r="B140" s="1" t="s">
        <v>440</v>
      </c>
      <c r="C140" s="1" t="s">
        <v>674</v>
      </c>
      <c r="D140" s="1" t="s">
        <v>675</v>
      </c>
    </row>
    <row r="141" spans="1:4">
      <c r="B141" s="1" t="s">
        <v>440</v>
      </c>
      <c r="C141" s="1" t="s">
        <v>908</v>
      </c>
      <c r="D141" s="1" t="s">
        <v>909</v>
      </c>
    </row>
    <row r="142" spans="1:4">
      <c r="A142" s="1" t="s">
        <v>441</v>
      </c>
      <c r="B142" s="1" t="s">
        <v>440</v>
      </c>
      <c r="C142" s="1" t="s">
        <v>323</v>
      </c>
      <c r="D142" s="1" t="s">
        <v>324</v>
      </c>
    </row>
    <row r="143" spans="1:4">
      <c r="A143" s="1" t="s">
        <v>441</v>
      </c>
      <c r="B143" s="1" t="s">
        <v>440</v>
      </c>
      <c r="C143" s="1" t="s">
        <v>677</v>
      </c>
      <c r="D143" s="1" t="s">
        <v>678</v>
      </c>
    </row>
    <row r="144" spans="1:4">
      <c r="A144" s="1" t="s">
        <v>439</v>
      </c>
      <c r="B144" s="1" t="s">
        <v>440</v>
      </c>
      <c r="C144" s="1" t="s">
        <v>679</v>
      </c>
      <c r="D144" s="1" t="s">
        <v>680</v>
      </c>
    </row>
    <row r="145" spans="1:4">
      <c r="A145" s="1" t="s">
        <v>439</v>
      </c>
      <c r="B145" s="1" t="s">
        <v>440</v>
      </c>
      <c r="C145" s="1" t="s">
        <v>910</v>
      </c>
      <c r="D145" s="1" t="s">
        <v>911</v>
      </c>
    </row>
    <row r="146" spans="1:4">
      <c r="A146" s="1" t="s">
        <v>439</v>
      </c>
      <c r="B146" s="1" t="s">
        <v>440</v>
      </c>
      <c r="C146" s="1" t="s">
        <v>912</v>
      </c>
      <c r="D146" s="1" t="s">
        <v>198</v>
      </c>
    </row>
    <row r="147" spans="1:4">
      <c r="A147" s="1" t="s">
        <v>439</v>
      </c>
      <c r="B147" s="1" t="s">
        <v>441</v>
      </c>
      <c r="C147" s="1" t="s">
        <v>682</v>
      </c>
      <c r="D147" s="1" t="s">
        <v>683</v>
      </c>
    </row>
    <row r="148" spans="1:4">
      <c r="A148" s="1" t="s">
        <v>439</v>
      </c>
      <c r="B148" s="1" t="s">
        <v>441</v>
      </c>
      <c r="C148" s="1" t="s">
        <v>684</v>
      </c>
      <c r="D148" s="1" t="s">
        <v>685</v>
      </c>
    </row>
    <row r="149" spans="1:4">
      <c r="A149" s="1" t="s">
        <v>441</v>
      </c>
      <c r="B149" s="1" t="s">
        <v>440</v>
      </c>
      <c r="C149" s="1" t="s">
        <v>913</v>
      </c>
      <c r="D149" s="1" t="s">
        <v>914</v>
      </c>
    </row>
    <row r="150" spans="1:4">
      <c r="A150" s="1" t="s">
        <v>439</v>
      </c>
      <c r="B150" s="1" t="s">
        <v>441</v>
      </c>
      <c r="C150" s="1" t="s">
        <v>686</v>
      </c>
      <c r="D150" s="1" t="s">
        <v>687</v>
      </c>
    </row>
    <row r="151" spans="1:4">
      <c r="A151" s="1" t="s">
        <v>439</v>
      </c>
      <c r="B151" s="1" t="s">
        <v>441</v>
      </c>
      <c r="C151" s="1" t="s">
        <v>688</v>
      </c>
      <c r="D151" s="1" t="s">
        <v>689</v>
      </c>
    </row>
    <row r="152" spans="1:4">
      <c r="A152" s="1" t="s">
        <v>439</v>
      </c>
      <c r="B152" s="1" t="s">
        <v>441</v>
      </c>
      <c r="C152" s="1" t="s">
        <v>690</v>
      </c>
      <c r="D152" s="1" t="s">
        <v>691</v>
      </c>
    </row>
    <row r="153" spans="1:4">
      <c r="A153" s="1" t="s">
        <v>441</v>
      </c>
      <c r="B153" s="1" t="s">
        <v>440</v>
      </c>
      <c r="C153" s="1" t="s">
        <v>692</v>
      </c>
      <c r="D153" s="1" t="s">
        <v>693</v>
      </c>
    </row>
    <row r="154" spans="1:4">
      <c r="A154" s="1" t="s">
        <v>441</v>
      </c>
      <c r="B154" s="1" t="s">
        <v>440</v>
      </c>
      <c r="C154" s="1" t="s">
        <v>694</v>
      </c>
      <c r="D154" s="1" t="s">
        <v>695</v>
      </c>
    </row>
    <row r="155" spans="1:4">
      <c r="A155" s="1" t="s">
        <v>441</v>
      </c>
      <c r="B155" s="1" t="s">
        <v>440</v>
      </c>
      <c r="C155" s="1" t="s">
        <v>325</v>
      </c>
      <c r="D155" s="1" t="s">
        <v>326</v>
      </c>
    </row>
    <row r="156" spans="1:4">
      <c r="A156" s="1" t="s">
        <v>441</v>
      </c>
      <c r="B156" s="1" t="s">
        <v>440</v>
      </c>
      <c r="C156" s="1" t="s">
        <v>331</v>
      </c>
      <c r="D156" s="1" t="s">
        <v>332</v>
      </c>
    </row>
    <row r="157" spans="1:4">
      <c r="A157" s="1" t="s">
        <v>439</v>
      </c>
      <c r="B157" s="1" t="s">
        <v>440</v>
      </c>
      <c r="C157" s="1" t="s">
        <v>199</v>
      </c>
      <c r="D157" s="1" t="s">
        <v>200</v>
      </c>
    </row>
    <row r="158" spans="1:4">
      <c r="A158" s="1" t="s">
        <v>439</v>
      </c>
      <c r="B158" s="1" t="s">
        <v>440</v>
      </c>
      <c r="C158" s="1" t="s">
        <v>158</v>
      </c>
      <c r="D158" s="1" t="s">
        <v>159</v>
      </c>
    </row>
    <row r="159" spans="1:4">
      <c r="A159" s="1" t="s">
        <v>441</v>
      </c>
      <c r="B159" s="1" t="s">
        <v>440</v>
      </c>
      <c r="C159" s="1" t="s">
        <v>696</v>
      </c>
      <c r="D159" s="1" t="s">
        <v>697</v>
      </c>
    </row>
    <row r="160" spans="1:4">
      <c r="A160" s="1" t="s">
        <v>441</v>
      </c>
      <c r="B160" s="1" t="s">
        <v>440</v>
      </c>
      <c r="C160" s="1" t="s">
        <v>698</v>
      </c>
      <c r="D160" s="1" t="s">
        <v>699</v>
      </c>
    </row>
    <row r="161" spans="1:4">
      <c r="A161" s="1" t="s">
        <v>439</v>
      </c>
      <c r="B161" s="1" t="s">
        <v>440</v>
      </c>
      <c r="C161" s="1" t="s">
        <v>700</v>
      </c>
      <c r="D161" s="1" t="s">
        <v>701</v>
      </c>
    </row>
    <row r="162" spans="1:4">
      <c r="A162" s="1" t="s">
        <v>441</v>
      </c>
      <c r="B162" s="1" t="s">
        <v>440</v>
      </c>
      <c r="C162" s="1" t="s">
        <v>702</v>
      </c>
      <c r="D162" s="1" t="s">
        <v>703</v>
      </c>
    </row>
    <row r="163" spans="1:4">
      <c r="A163" s="1" t="s">
        <v>439</v>
      </c>
      <c r="B163" s="1" t="s">
        <v>441</v>
      </c>
      <c r="C163" s="1" t="s">
        <v>704</v>
      </c>
      <c r="D163" s="1" t="s">
        <v>705</v>
      </c>
    </row>
    <row r="164" spans="1:4">
      <c r="A164" s="1" t="s">
        <v>441</v>
      </c>
      <c r="B164" s="1" t="s">
        <v>440</v>
      </c>
      <c r="C164" s="1" t="s">
        <v>706</v>
      </c>
      <c r="D164" s="1" t="s">
        <v>707</v>
      </c>
    </row>
    <row r="165" spans="1:4">
      <c r="A165" s="1" t="s">
        <v>441</v>
      </c>
      <c r="B165" s="1" t="s">
        <v>440</v>
      </c>
      <c r="C165" s="1" t="s">
        <v>708</v>
      </c>
      <c r="D165" s="1" t="s">
        <v>709</v>
      </c>
    </row>
    <row r="166" spans="1:4">
      <c r="A166" s="1" t="s">
        <v>441</v>
      </c>
      <c r="B166" s="1" t="s">
        <v>440</v>
      </c>
      <c r="C166" s="1" t="s">
        <v>710</v>
      </c>
      <c r="D166" s="1" t="s">
        <v>711</v>
      </c>
    </row>
    <row r="167" spans="1:4">
      <c r="A167" s="1" t="s">
        <v>439</v>
      </c>
      <c r="B167" s="1" t="s">
        <v>440</v>
      </c>
      <c r="C167" s="1" t="s">
        <v>162</v>
      </c>
      <c r="D167" s="1" t="s">
        <v>163</v>
      </c>
    </row>
    <row r="168" spans="1:4">
      <c r="A168" s="1" t="s">
        <v>441</v>
      </c>
      <c r="B168" s="1" t="s">
        <v>440</v>
      </c>
      <c r="C168" s="1" t="s">
        <v>712</v>
      </c>
      <c r="D168" s="1" t="s">
        <v>713</v>
      </c>
    </row>
    <row r="169" spans="1:4">
      <c r="A169" s="1" t="s">
        <v>441</v>
      </c>
      <c r="B169" s="1" t="s">
        <v>440</v>
      </c>
      <c r="C169" s="1" t="s">
        <v>714</v>
      </c>
      <c r="D169" s="1" t="s">
        <v>715</v>
      </c>
    </row>
    <row r="170" spans="1:4">
      <c r="A170" s="1" t="s">
        <v>441</v>
      </c>
      <c r="B170" s="1" t="s">
        <v>440</v>
      </c>
      <c r="C170" s="1" t="s">
        <v>301</v>
      </c>
      <c r="D170" s="1" t="s">
        <v>302</v>
      </c>
    </row>
    <row r="171" spans="1:4">
      <c r="A171" s="1" t="s">
        <v>441</v>
      </c>
      <c r="B171" s="1" t="s">
        <v>440</v>
      </c>
      <c r="C171" s="1" t="s">
        <v>915</v>
      </c>
      <c r="D171" s="1" t="s">
        <v>916</v>
      </c>
    </row>
    <row r="172" spans="1:4">
      <c r="A172" s="1" t="s">
        <v>439</v>
      </c>
      <c r="B172" s="1" t="s">
        <v>441</v>
      </c>
      <c r="C172" s="1" t="s">
        <v>716</v>
      </c>
      <c r="D172" s="1" t="s">
        <v>717</v>
      </c>
    </row>
    <row r="173" spans="1:4">
      <c r="A173" s="1" t="s">
        <v>439</v>
      </c>
      <c r="B173" s="1" t="s">
        <v>441</v>
      </c>
      <c r="C173" s="1" t="s">
        <v>718</v>
      </c>
      <c r="D173" s="1" t="s">
        <v>719</v>
      </c>
    </row>
    <row r="174" spans="1:4">
      <c r="A174" s="1" t="s">
        <v>439</v>
      </c>
      <c r="B174" s="1" t="s">
        <v>441</v>
      </c>
      <c r="C174" s="1" t="s">
        <v>720</v>
      </c>
      <c r="D174" s="1" t="s">
        <v>721</v>
      </c>
    </row>
    <row r="175" spans="1:4">
      <c r="A175" s="1" t="s">
        <v>439</v>
      </c>
      <c r="B175" s="1" t="s">
        <v>441</v>
      </c>
      <c r="C175" s="1" t="s">
        <v>722</v>
      </c>
      <c r="D175" s="1" t="s">
        <v>723</v>
      </c>
    </row>
    <row r="176" spans="1:4">
      <c r="A176" s="1" t="s">
        <v>439</v>
      </c>
      <c r="B176" s="1" t="s">
        <v>441</v>
      </c>
      <c r="C176" s="1" t="s">
        <v>724</v>
      </c>
      <c r="D176" s="1" t="s">
        <v>725</v>
      </c>
    </row>
    <row r="177" spans="1:4">
      <c r="A177" s="1" t="s">
        <v>439</v>
      </c>
      <c r="B177" s="1" t="s">
        <v>440</v>
      </c>
      <c r="C177" s="1" t="s">
        <v>726</v>
      </c>
      <c r="D177" s="1" t="s">
        <v>727</v>
      </c>
    </row>
    <row r="178" spans="1:4">
      <c r="A178" s="1" t="s">
        <v>441</v>
      </c>
      <c r="B178" s="1" t="s">
        <v>440</v>
      </c>
      <c r="C178" s="1" t="s">
        <v>728</v>
      </c>
      <c r="D178" s="1" t="s">
        <v>729</v>
      </c>
    </row>
    <row r="179" spans="1:4">
      <c r="A179" s="1" t="s">
        <v>441</v>
      </c>
      <c r="B179" s="1" t="s">
        <v>440</v>
      </c>
      <c r="C179" s="1" t="s">
        <v>730</v>
      </c>
      <c r="D179" s="1" t="s">
        <v>731</v>
      </c>
    </row>
    <row r="180" spans="1:4">
      <c r="A180" s="1" t="s">
        <v>441</v>
      </c>
      <c r="B180" s="1" t="s">
        <v>440</v>
      </c>
      <c r="C180" s="1" t="s">
        <v>732</v>
      </c>
      <c r="D180" s="1" t="s">
        <v>733</v>
      </c>
    </row>
    <row r="181" spans="1:4">
      <c r="A181" s="1" t="s">
        <v>441</v>
      </c>
      <c r="B181" s="1" t="s">
        <v>440</v>
      </c>
      <c r="C181" s="1" t="s">
        <v>734</v>
      </c>
      <c r="D181" s="1" t="s">
        <v>735</v>
      </c>
    </row>
    <row r="182" spans="1:4">
      <c r="A182" s="1" t="s">
        <v>439</v>
      </c>
      <c r="B182" s="1" t="s">
        <v>440</v>
      </c>
      <c r="C182" s="1" t="s">
        <v>736</v>
      </c>
      <c r="D182" s="1" t="s">
        <v>737</v>
      </c>
    </row>
    <row r="183" spans="1:4">
      <c r="A183" s="1" t="s">
        <v>441</v>
      </c>
      <c r="B183" s="1" t="s">
        <v>440</v>
      </c>
      <c r="C183" s="1" t="s">
        <v>738</v>
      </c>
      <c r="D183" s="1" t="s">
        <v>739</v>
      </c>
    </row>
    <row r="184" spans="1:4">
      <c r="A184" s="1" t="s">
        <v>441</v>
      </c>
      <c r="B184" s="1" t="s">
        <v>440</v>
      </c>
      <c r="C184" s="1" t="s">
        <v>740</v>
      </c>
      <c r="D184" s="1" t="s">
        <v>741</v>
      </c>
    </row>
    <row r="185" spans="1:4">
      <c r="A185" s="1" t="s">
        <v>441</v>
      </c>
      <c r="B185" s="1" t="s">
        <v>440</v>
      </c>
      <c r="C185" s="1" t="s">
        <v>742</v>
      </c>
      <c r="D185" s="1" t="s">
        <v>743</v>
      </c>
    </row>
    <row r="186" spans="1:4">
      <c r="A186" s="1" t="s">
        <v>439</v>
      </c>
      <c r="B186" s="1" t="s">
        <v>440</v>
      </c>
      <c r="C186" s="1" t="s">
        <v>744</v>
      </c>
      <c r="D186" s="1" t="s">
        <v>745</v>
      </c>
    </row>
    <row r="187" spans="1:4">
      <c r="A187" s="1" t="s">
        <v>439</v>
      </c>
      <c r="B187" s="1" t="s">
        <v>440</v>
      </c>
      <c r="C187" s="1" t="s">
        <v>170</v>
      </c>
      <c r="D187" s="1" t="s">
        <v>171</v>
      </c>
    </row>
    <row r="188" spans="1:4">
      <c r="A188" s="1" t="s">
        <v>439</v>
      </c>
      <c r="B188" s="1" t="s">
        <v>440</v>
      </c>
      <c r="C188" s="1" t="s">
        <v>173</v>
      </c>
      <c r="D188" s="1" t="s">
        <v>174</v>
      </c>
    </row>
    <row r="189" spans="1:4">
      <c r="A189" s="1" t="s">
        <v>441</v>
      </c>
      <c r="B189" s="1" t="s">
        <v>440</v>
      </c>
      <c r="C189" s="1" t="s">
        <v>746</v>
      </c>
      <c r="D189" s="1" t="s">
        <v>747</v>
      </c>
    </row>
    <row r="190" spans="1:4">
      <c r="A190" s="1" t="s">
        <v>439</v>
      </c>
      <c r="B190" s="1" t="s">
        <v>440</v>
      </c>
      <c r="C190" s="1" t="s">
        <v>748</v>
      </c>
      <c r="D190" s="1" t="s">
        <v>749</v>
      </c>
    </row>
    <row r="191" spans="1:4">
      <c r="A191" s="1" t="s">
        <v>439</v>
      </c>
      <c r="B191" s="1" t="s">
        <v>440</v>
      </c>
      <c r="C191" s="1" t="s">
        <v>750</v>
      </c>
      <c r="D191" s="1" t="s">
        <v>751</v>
      </c>
    </row>
    <row r="192" spans="1:4">
      <c r="A192" s="1" t="s">
        <v>441</v>
      </c>
      <c r="B192" s="1" t="s">
        <v>440</v>
      </c>
      <c r="C192" s="1" t="s">
        <v>303</v>
      </c>
      <c r="D192" s="1" t="s">
        <v>304</v>
      </c>
    </row>
    <row r="193" spans="1:4">
      <c r="A193" s="1" t="s">
        <v>441</v>
      </c>
      <c r="B193" s="1" t="s">
        <v>440</v>
      </c>
      <c r="C193" s="1" t="s">
        <v>752</v>
      </c>
      <c r="D193" s="1" t="s">
        <v>753</v>
      </c>
    </row>
    <row r="194" spans="1:4">
      <c r="A194" s="1" t="s">
        <v>439</v>
      </c>
      <c r="B194" s="1" t="s">
        <v>440</v>
      </c>
      <c r="C194" s="1" t="s">
        <v>754</v>
      </c>
      <c r="D194" s="1" t="s">
        <v>755</v>
      </c>
    </row>
    <row r="195" spans="1:4">
      <c r="A195" s="1" t="s">
        <v>441</v>
      </c>
      <c r="B195" s="1" t="s">
        <v>440</v>
      </c>
      <c r="C195" s="1" t="s">
        <v>305</v>
      </c>
      <c r="D195" s="1" t="s">
        <v>306</v>
      </c>
    </row>
    <row r="196" spans="1:4">
      <c r="A196" s="1" t="s">
        <v>441</v>
      </c>
      <c r="B196" s="1" t="s">
        <v>440</v>
      </c>
      <c r="C196" s="1" t="s">
        <v>756</v>
      </c>
      <c r="D196" s="1" t="s">
        <v>757</v>
      </c>
    </row>
    <row r="197" spans="1:4">
      <c r="A197" s="1" t="s">
        <v>441</v>
      </c>
      <c r="B197" s="1" t="s">
        <v>440</v>
      </c>
      <c r="C197" s="1" t="s">
        <v>758</v>
      </c>
      <c r="D197" s="1" t="s">
        <v>759</v>
      </c>
    </row>
    <row r="198" spans="1:4">
      <c r="A198" s="1" t="s">
        <v>441</v>
      </c>
      <c r="B198" s="1" t="s">
        <v>440</v>
      </c>
      <c r="C198" s="1" t="s">
        <v>307</v>
      </c>
      <c r="D198" s="1" t="s">
        <v>308</v>
      </c>
    </row>
    <row r="199" spans="1:4">
      <c r="A199" s="1" t="s">
        <v>441</v>
      </c>
      <c r="B199" s="1" t="s">
        <v>440</v>
      </c>
      <c r="C199" s="1" t="s">
        <v>760</v>
      </c>
      <c r="D199" s="1" t="s">
        <v>761</v>
      </c>
    </row>
    <row r="200" spans="1:4">
      <c r="A200" s="1" t="s">
        <v>441</v>
      </c>
      <c r="B200" s="1" t="s">
        <v>440</v>
      </c>
      <c r="C200" s="1" t="s">
        <v>762</v>
      </c>
      <c r="D200" s="1" t="s">
        <v>763</v>
      </c>
    </row>
    <row r="201" spans="1:4">
      <c r="A201" s="1" t="s">
        <v>441</v>
      </c>
      <c r="B201" s="1" t="s">
        <v>440</v>
      </c>
      <c r="C201" s="1" t="s">
        <v>764</v>
      </c>
      <c r="D201" s="1" t="s">
        <v>765</v>
      </c>
    </row>
    <row r="202" spans="1:4">
      <c r="A202" s="1" t="s">
        <v>441</v>
      </c>
      <c r="B202" s="1" t="s">
        <v>440</v>
      </c>
      <c r="C202" s="1" t="s">
        <v>766</v>
      </c>
      <c r="D202" s="1" t="s">
        <v>767</v>
      </c>
    </row>
    <row r="203" spans="1:4">
      <c r="A203" s="1" t="s">
        <v>441</v>
      </c>
      <c r="B203" s="1" t="s">
        <v>440</v>
      </c>
      <c r="C203" s="1" t="s">
        <v>768</v>
      </c>
      <c r="D203" s="1" t="s">
        <v>769</v>
      </c>
    </row>
    <row r="204" spans="1:4">
      <c r="A204" s="1" t="s">
        <v>441</v>
      </c>
      <c r="B204" s="1" t="s">
        <v>440</v>
      </c>
      <c r="C204" s="1" t="s">
        <v>309</v>
      </c>
      <c r="D204" s="1" t="s">
        <v>310</v>
      </c>
    </row>
    <row r="205" spans="1:4">
      <c r="A205" s="1" t="s">
        <v>441</v>
      </c>
      <c r="B205" s="1" t="s">
        <v>440</v>
      </c>
      <c r="C205" s="1" t="s">
        <v>311</v>
      </c>
      <c r="D205" s="1" t="s">
        <v>312</v>
      </c>
    </row>
    <row r="206" spans="1:4">
      <c r="A206" s="1" t="s">
        <v>439</v>
      </c>
      <c r="B206" s="1" t="s">
        <v>440</v>
      </c>
      <c r="C206" s="1" t="s">
        <v>180</v>
      </c>
      <c r="D206" s="1" t="s">
        <v>181</v>
      </c>
    </row>
    <row r="207" spans="1:4">
      <c r="A207" s="1" t="s">
        <v>441</v>
      </c>
      <c r="B207" s="1" t="s">
        <v>440</v>
      </c>
      <c r="C207" s="1" t="s">
        <v>770</v>
      </c>
      <c r="D207" s="1" t="s">
        <v>771</v>
      </c>
    </row>
    <row r="208" spans="1:4">
      <c r="A208" s="1" t="s">
        <v>439</v>
      </c>
      <c r="B208" s="1" t="s">
        <v>441</v>
      </c>
      <c r="C208" s="1" t="s">
        <v>772</v>
      </c>
      <c r="D208" s="1" t="s">
        <v>773</v>
      </c>
    </row>
    <row r="209" spans="1:4">
      <c r="B209" s="1" t="s">
        <v>441</v>
      </c>
      <c r="C209" s="1" t="s">
        <v>774</v>
      </c>
      <c r="D209" s="1" t="s">
        <v>775</v>
      </c>
    </row>
    <row r="210" spans="1:4">
      <c r="B210" s="1" t="s">
        <v>441</v>
      </c>
      <c r="C210" s="1" t="s">
        <v>776</v>
      </c>
      <c r="D210" s="1" t="s">
        <v>777</v>
      </c>
    </row>
    <row r="211" spans="1:4">
      <c r="A211" s="1" t="s">
        <v>439</v>
      </c>
      <c r="B211" s="1" t="s">
        <v>440</v>
      </c>
      <c r="C211" s="1" t="s">
        <v>184</v>
      </c>
      <c r="D211" s="1" t="s">
        <v>185</v>
      </c>
    </row>
    <row r="212" spans="1:4">
      <c r="A212" s="1" t="s">
        <v>439</v>
      </c>
      <c r="B212" s="1" t="s">
        <v>440</v>
      </c>
      <c r="C212" s="1" t="s">
        <v>778</v>
      </c>
      <c r="D212" s="1" t="s">
        <v>779</v>
      </c>
    </row>
    <row r="213" spans="1:4">
      <c r="A213" s="1" t="s">
        <v>441</v>
      </c>
      <c r="B213" s="1" t="s">
        <v>440</v>
      </c>
      <c r="C213" s="1" t="s">
        <v>780</v>
      </c>
      <c r="D213" s="1" t="s">
        <v>781</v>
      </c>
    </row>
    <row r="214" spans="1:4">
      <c r="A214" s="1" t="s">
        <v>439</v>
      </c>
      <c r="B214" s="1" t="s">
        <v>440</v>
      </c>
      <c r="C214" s="1" t="s">
        <v>188</v>
      </c>
      <c r="D214" s="1" t="s">
        <v>189</v>
      </c>
    </row>
    <row r="215" spans="1:4">
      <c r="A215" s="1" t="s">
        <v>441</v>
      </c>
      <c r="B215" s="1" t="s">
        <v>440</v>
      </c>
      <c r="C215" s="1" t="s">
        <v>782</v>
      </c>
      <c r="D215" s="1" t="s">
        <v>783</v>
      </c>
    </row>
    <row r="216" spans="1:4">
      <c r="A216" s="1" t="s">
        <v>439</v>
      </c>
      <c r="B216" s="1" t="s">
        <v>440</v>
      </c>
      <c r="C216" s="1" t="s">
        <v>784</v>
      </c>
      <c r="D216" s="1" t="s">
        <v>785</v>
      </c>
    </row>
    <row r="217" spans="1:4">
      <c r="A217" s="1" t="s">
        <v>441</v>
      </c>
      <c r="B217" s="1" t="s">
        <v>440</v>
      </c>
      <c r="C217" s="1" t="s">
        <v>786</v>
      </c>
      <c r="D217" s="1" t="s">
        <v>787</v>
      </c>
    </row>
    <row r="218" spans="1:4">
      <c r="A218" s="1" t="s">
        <v>441</v>
      </c>
      <c r="B218" s="1" t="s">
        <v>440</v>
      </c>
      <c r="C218" s="1" t="s">
        <v>788</v>
      </c>
      <c r="D218" s="1" t="s">
        <v>789</v>
      </c>
    </row>
    <row r="219" spans="1:4">
      <c r="B219" s="1" t="s">
        <v>441</v>
      </c>
      <c r="C219" s="1" t="s">
        <v>790</v>
      </c>
      <c r="D219" s="1" t="s">
        <v>791</v>
      </c>
    </row>
    <row r="220" spans="1:4">
      <c r="A220" s="1" t="s">
        <v>441</v>
      </c>
      <c r="B220" s="1" t="s">
        <v>440</v>
      </c>
      <c r="C220" s="1" t="s">
        <v>792</v>
      </c>
      <c r="D220" s="1" t="s">
        <v>793</v>
      </c>
    </row>
    <row r="221" spans="1:4">
      <c r="A221" s="1" t="s">
        <v>441</v>
      </c>
      <c r="B221" s="1" t="s">
        <v>440</v>
      </c>
      <c r="C221" s="1" t="s">
        <v>794</v>
      </c>
      <c r="D221" s="1" t="s">
        <v>795</v>
      </c>
    </row>
    <row r="222" spans="1:4">
      <c r="A222" s="1" t="s">
        <v>439</v>
      </c>
      <c r="B222" s="1" t="s">
        <v>440</v>
      </c>
      <c r="C222" s="1" t="s">
        <v>192</v>
      </c>
      <c r="D222" s="1" t="s">
        <v>193</v>
      </c>
    </row>
    <row r="223" spans="1:4">
      <c r="B223" s="1" t="s">
        <v>441</v>
      </c>
      <c r="C223" s="1" t="s">
        <v>402</v>
      </c>
      <c r="D223" s="1" t="s">
        <v>403</v>
      </c>
    </row>
    <row r="224" spans="1:4">
      <c r="A224" s="1" t="s">
        <v>441</v>
      </c>
      <c r="B224" s="1" t="s">
        <v>440</v>
      </c>
      <c r="C224" s="1" t="s">
        <v>796</v>
      </c>
      <c r="D224" s="1" t="s">
        <v>797</v>
      </c>
    </row>
    <row r="225" spans="1:4">
      <c r="A225" s="1" t="s">
        <v>441</v>
      </c>
      <c r="B225" s="1" t="s">
        <v>440</v>
      </c>
      <c r="C225" s="1" t="s">
        <v>798</v>
      </c>
      <c r="D225" s="1" t="s">
        <v>799</v>
      </c>
    </row>
    <row r="226" spans="1:4">
      <c r="A226" s="1" t="s">
        <v>441</v>
      </c>
      <c r="B226" s="1" t="s">
        <v>440</v>
      </c>
      <c r="C226" s="1" t="s">
        <v>800</v>
      </c>
      <c r="D226" s="1" t="s">
        <v>801</v>
      </c>
    </row>
    <row r="227" spans="1:4">
      <c r="A227" s="1" t="s">
        <v>441</v>
      </c>
      <c r="B227" s="1" t="s">
        <v>440</v>
      </c>
      <c r="C227" s="1" t="s">
        <v>802</v>
      </c>
      <c r="D227" s="1" t="s">
        <v>803</v>
      </c>
    </row>
    <row r="228" spans="1:4">
      <c r="B228" s="1" t="s">
        <v>440</v>
      </c>
      <c r="C228" s="1" t="s">
        <v>313</v>
      </c>
      <c r="D228" s="1" t="s">
        <v>314</v>
      </c>
    </row>
    <row r="229" spans="1:4">
      <c r="A229" s="1" t="s">
        <v>441</v>
      </c>
      <c r="B229" s="1" t="s">
        <v>440</v>
      </c>
      <c r="C229" s="1" t="s">
        <v>804</v>
      </c>
      <c r="D229" s="1" t="s">
        <v>805</v>
      </c>
    </row>
    <row r="230" spans="1:4">
      <c r="A230" s="1" t="s">
        <v>441</v>
      </c>
      <c r="B230" s="1" t="s">
        <v>440</v>
      </c>
      <c r="C230" s="1" t="s">
        <v>806</v>
      </c>
      <c r="D230" s="1" t="s">
        <v>807</v>
      </c>
    </row>
    <row r="231" spans="1:4">
      <c r="A231" s="1" t="s">
        <v>439</v>
      </c>
      <c r="B231" s="1" t="s">
        <v>440</v>
      </c>
      <c r="C231" s="1" t="s">
        <v>808</v>
      </c>
      <c r="D231" s="1" t="s">
        <v>809</v>
      </c>
    </row>
    <row r="232" spans="1:4">
      <c r="A232" s="1" t="s">
        <v>439</v>
      </c>
      <c r="B232" s="1" t="s">
        <v>440</v>
      </c>
      <c r="C232" s="1" t="s">
        <v>810</v>
      </c>
      <c r="D232" s="1" t="s">
        <v>811</v>
      </c>
    </row>
    <row r="233" spans="1:4">
      <c r="A233" s="1" t="s">
        <v>439</v>
      </c>
      <c r="B233" s="1" t="s">
        <v>440</v>
      </c>
      <c r="C233" s="1" t="s">
        <v>195</v>
      </c>
      <c r="D233" s="1" t="s">
        <v>196</v>
      </c>
    </row>
    <row r="234" spans="1:4">
      <c r="A234" s="1" t="s">
        <v>441</v>
      </c>
      <c r="B234" s="1" t="s">
        <v>440</v>
      </c>
      <c r="C234" s="1" t="s">
        <v>812</v>
      </c>
      <c r="D234" s="1" t="s">
        <v>813</v>
      </c>
    </row>
    <row r="235" spans="1:4">
      <c r="A235" s="1" t="s">
        <v>441</v>
      </c>
      <c r="B235" s="1" t="s">
        <v>440</v>
      </c>
      <c r="C235" s="1" t="s">
        <v>333</v>
      </c>
      <c r="D235" s="1" t="s">
        <v>334</v>
      </c>
    </row>
    <row r="236" spans="1:4">
      <c r="A236" s="1" t="s">
        <v>441</v>
      </c>
      <c r="B236" s="1" t="s">
        <v>440</v>
      </c>
      <c r="C236" s="1" t="s">
        <v>814</v>
      </c>
      <c r="D236" s="1" t="s">
        <v>815</v>
      </c>
    </row>
  </sheetData>
  <sheetProtection password="A767" sheet="1"/>
  <phoneticPr fontId="0" type="noConversion"/>
  <printOptions horizontalCentered="1"/>
  <pageMargins left="0.25" right="0.25" top="0.35" bottom="0.25" header="0" footer="0"/>
  <pageSetup scale="89" fitToHeight="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4"/>
  <sheetViews>
    <sheetView workbookViewId="0">
      <selection activeCell="J22" sqref="J22"/>
    </sheetView>
  </sheetViews>
  <sheetFormatPr defaultColWidth="8.85546875" defaultRowHeight="12.95"/>
  <cols>
    <col min="1" max="1" width="3.7109375" customWidth="1"/>
    <col min="2" max="2" width="12" customWidth="1"/>
    <col min="3" max="3" width="10.42578125" customWidth="1"/>
    <col min="4" max="4" width="23.85546875" customWidth="1"/>
  </cols>
  <sheetData>
    <row r="1" spans="1:15">
      <c r="A1" s="942" t="s">
        <v>917</v>
      </c>
      <c r="B1" s="943"/>
      <c r="C1" s="943"/>
      <c r="D1" s="943"/>
      <c r="E1" s="943"/>
      <c r="F1" s="943"/>
      <c r="G1" s="943"/>
      <c r="H1" s="943"/>
      <c r="I1" s="943"/>
      <c r="J1" s="943"/>
      <c r="K1" s="943"/>
      <c r="L1" s="943"/>
      <c r="M1" s="943"/>
      <c r="N1" s="943"/>
      <c r="O1" s="944"/>
    </row>
    <row r="2" spans="1:15" ht="14.1" thickBot="1">
      <c r="A2" s="945"/>
      <c r="B2" s="946"/>
      <c r="C2" s="946"/>
      <c r="D2" s="946"/>
      <c r="E2" s="946"/>
      <c r="F2" s="946"/>
      <c r="G2" s="946"/>
      <c r="H2" s="946"/>
      <c r="I2" s="946"/>
      <c r="J2" s="946"/>
      <c r="K2" s="946"/>
      <c r="L2" s="946"/>
      <c r="M2" s="946"/>
      <c r="N2" s="946"/>
      <c r="O2" s="947"/>
    </row>
    <row r="3" spans="1:15">
      <c r="A3" s="257"/>
      <c r="B3" s="259"/>
      <c r="C3" s="260"/>
      <c r="D3" s="571" t="s">
        <v>1</v>
      </c>
      <c r="E3" s="572"/>
      <c r="F3" s="572"/>
      <c r="G3" s="572"/>
      <c r="H3" s="572"/>
      <c r="I3" s="572"/>
      <c r="J3" s="572"/>
      <c r="K3" s="572"/>
      <c r="L3" s="572"/>
      <c r="M3" s="572"/>
      <c r="N3" s="572"/>
      <c r="O3" s="573"/>
    </row>
    <row r="4" spans="1:15">
      <c r="A4" s="224"/>
      <c r="B4" s="219"/>
      <c r="C4" s="225"/>
      <c r="D4" s="571"/>
      <c r="E4" s="572"/>
      <c r="F4" s="572"/>
      <c r="G4" s="572"/>
      <c r="H4" s="572"/>
      <c r="I4" s="572"/>
      <c r="J4" s="572"/>
      <c r="K4" s="572"/>
      <c r="L4" s="572"/>
      <c r="M4" s="572"/>
      <c r="N4" s="572"/>
      <c r="O4" s="573"/>
    </row>
    <row r="5" spans="1:15">
      <c r="A5" s="224"/>
      <c r="B5" s="219"/>
      <c r="C5" s="225"/>
      <c r="D5" s="571"/>
      <c r="E5" s="572"/>
      <c r="F5" s="572"/>
      <c r="G5" s="572"/>
      <c r="H5" s="572"/>
      <c r="I5" s="572"/>
      <c r="J5" s="572"/>
      <c r="K5" s="572"/>
      <c r="L5" s="572"/>
      <c r="M5" s="572"/>
      <c r="N5" s="572"/>
      <c r="O5" s="573"/>
    </row>
    <row r="6" spans="1:15" ht="14.1" thickBot="1">
      <c r="A6" s="224"/>
      <c r="B6" s="219"/>
      <c r="C6" s="225"/>
      <c r="D6" s="571"/>
      <c r="E6" s="572"/>
      <c r="F6" s="572"/>
      <c r="G6" s="572"/>
      <c r="H6" s="572"/>
      <c r="I6" s="572"/>
      <c r="J6" s="572"/>
      <c r="K6" s="572"/>
      <c r="L6" s="572"/>
      <c r="M6" s="572"/>
      <c r="N6" s="572"/>
      <c r="O6" s="573"/>
    </row>
    <row r="7" spans="1:15">
      <c r="A7" s="224"/>
      <c r="B7" s="219"/>
      <c r="C7" s="225"/>
      <c r="D7" s="378" t="s">
        <v>2</v>
      </c>
      <c r="E7" s="372"/>
      <c r="F7" s="372"/>
      <c r="G7" s="372"/>
      <c r="H7" s="372"/>
      <c r="I7" s="372"/>
      <c r="J7" s="372"/>
      <c r="K7" s="372"/>
      <c r="L7" s="372"/>
      <c r="M7" s="372"/>
      <c r="N7" s="372"/>
      <c r="O7" s="373"/>
    </row>
    <row r="8" spans="1:15">
      <c r="A8" s="224"/>
      <c r="B8" s="219"/>
      <c r="C8" s="225"/>
      <c r="D8" s="379" t="s">
        <v>3</v>
      </c>
      <c r="E8" s="371"/>
      <c r="F8" s="371"/>
      <c r="G8" s="371"/>
      <c r="H8" s="371"/>
      <c r="I8" s="371"/>
      <c r="J8" s="371"/>
      <c r="K8" s="371"/>
      <c r="L8" s="371"/>
      <c r="M8" s="228"/>
      <c r="N8" s="228"/>
      <c r="O8" s="374"/>
    </row>
    <row r="9" spans="1:15">
      <c r="A9" s="224"/>
      <c r="B9" s="219"/>
      <c r="C9" s="225"/>
      <c r="D9" s="379" t="s">
        <v>4</v>
      </c>
      <c r="E9" s="371"/>
      <c r="F9" s="371"/>
      <c r="G9" s="371"/>
      <c r="H9" s="371"/>
      <c r="I9" s="371"/>
      <c r="J9" s="371"/>
      <c r="K9" s="371"/>
      <c r="L9" s="371"/>
      <c r="M9" s="228"/>
      <c r="N9" s="228"/>
      <c r="O9" s="374"/>
    </row>
    <row r="10" spans="1:15" ht="14.1" thickBot="1">
      <c r="A10" s="263"/>
      <c r="B10" s="256"/>
      <c r="C10" s="264"/>
      <c r="D10" s="380" t="s">
        <v>918</v>
      </c>
      <c r="E10" s="375"/>
      <c r="F10" s="375"/>
      <c r="G10" s="375"/>
      <c r="H10" s="375"/>
      <c r="I10" s="375"/>
      <c r="J10" s="375"/>
      <c r="K10" s="375"/>
      <c r="L10" s="375"/>
      <c r="M10" s="376"/>
      <c r="N10" s="376"/>
      <c r="O10" s="377"/>
    </row>
    <row r="11" spans="1:15">
      <c r="A11" s="224"/>
      <c r="B11" s="219"/>
      <c r="C11" s="219"/>
      <c r="D11" s="219"/>
      <c r="E11" s="219"/>
      <c r="F11" s="219"/>
      <c r="G11" s="219"/>
      <c r="H11" s="219"/>
      <c r="I11" s="219"/>
      <c r="J11" s="219"/>
      <c r="K11" s="219"/>
      <c r="L11" s="219"/>
      <c r="M11" s="219"/>
      <c r="N11" s="219"/>
      <c r="O11" s="225"/>
    </row>
    <row r="12" spans="1:15">
      <c r="B12" s="495" t="s">
        <v>919</v>
      </c>
      <c r="C12" s="496" t="s">
        <v>920</v>
      </c>
      <c r="D12" s="498" t="s">
        <v>921</v>
      </c>
      <c r="E12" s="495" t="s">
        <v>922</v>
      </c>
    </row>
    <row r="13" spans="1:15">
      <c r="B13" t="s">
        <v>923</v>
      </c>
      <c r="C13" s="497">
        <v>37662</v>
      </c>
      <c r="D13" s="499" t="s">
        <v>924</v>
      </c>
      <c r="E13" t="s">
        <v>925</v>
      </c>
    </row>
    <row r="14" spans="1:15">
      <c r="C14" s="93"/>
      <c r="D14" s="93"/>
      <c r="E14" t="s">
        <v>926</v>
      </c>
    </row>
    <row r="15" spans="1:15">
      <c r="C15" s="93"/>
      <c r="D15" s="93"/>
      <c r="E15" t="s">
        <v>927</v>
      </c>
    </row>
    <row r="16" spans="1:15">
      <c r="C16" s="93"/>
      <c r="D16" s="93"/>
      <c r="E16" t="s">
        <v>928</v>
      </c>
    </row>
    <row r="17" spans="1:5">
      <c r="C17" s="93"/>
      <c r="D17" s="93"/>
      <c r="E17" t="s">
        <v>929</v>
      </c>
    </row>
    <row r="18" spans="1:5">
      <c r="C18" s="93"/>
      <c r="D18" s="93"/>
    </row>
    <row r="19" spans="1:5">
      <c r="B19" t="s">
        <v>930</v>
      </c>
      <c r="C19" s="497">
        <v>37746</v>
      </c>
      <c r="D19" s="93" t="s">
        <v>931</v>
      </c>
      <c r="E19" t="s">
        <v>932</v>
      </c>
    </row>
    <row r="20" spans="1:5">
      <c r="A20" s="200"/>
    </row>
    <row r="21" spans="1:5">
      <c r="A21" s="314"/>
      <c r="B21" s="501" t="s">
        <v>933</v>
      </c>
      <c r="C21" s="497">
        <v>40296</v>
      </c>
      <c r="D21" s="502" t="s">
        <v>934</v>
      </c>
      <c r="E21" s="501" t="s">
        <v>935</v>
      </c>
    </row>
    <row r="22" spans="1:5">
      <c r="E22" s="501" t="s">
        <v>936</v>
      </c>
    </row>
    <row r="23" spans="1:5">
      <c r="E23" s="501" t="s">
        <v>937</v>
      </c>
    </row>
    <row r="25" spans="1:5">
      <c r="B25" t="s">
        <v>938</v>
      </c>
      <c r="C25" s="497">
        <v>40666</v>
      </c>
      <c r="D25" s="93" t="s">
        <v>934</v>
      </c>
      <c r="E25" t="s">
        <v>939</v>
      </c>
    </row>
    <row r="26" spans="1:5">
      <c r="E26" t="s">
        <v>940</v>
      </c>
    </row>
    <row r="27" spans="1:5">
      <c r="E27" t="s">
        <v>941</v>
      </c>
    </row>
    <row r="29" spans="1:5">
      <c r="B29" s="501" t="s">
        <v>942</v>
      </c>
      <c r="C29" s="530">
        <v>41108</v>
      </c>
      <c r="D29" s="502" t="s">
        <v>943</v>
      </c>
      <c r="E29" s="501" t="s">
        <v>944</v>
      </c>
    </row>
    <row r="30" spans="1:5">
      <c r="E30" s="501" t="s">
        <v>945</v>
      </c>
    </row>
    <row r="31" spans="1:5">
      <c r="E31" s="501" t="s">
        <v>946</v>
      </c>
    </row>
    <row r="33" spans="2:5">
      <c r="B33" t="s">
        <v>947</v>
      </c>
      <c r="C33" s="314">
        <v>43707</v>
      </c>
      <c r="D33" s="93" t="s">
        <v>943</v>
      </c>
      <c r="E33" t="s">
        <v>948</v>
      </c>
    </row>
    <row r="34" spans="2:5">
      <c r="E34" t="s">
        <v>949</v>
      </c>
    </row>
  </sheetData>
  <sheetProtection algorithmName="SHA-512" hashValue="Y2a5RPvGAB2OJo1aQ0a5iSpPoHPFuMctpLlGdRPYLowxGErB8ZuA8EiIDyhQhwWkT8nezXUqgmBhTjF/gtmxog==" saltValue="k5nPTp3x4sgRCCBv4X7x5w==" spinCount="100000" sheet="1"/>
  <mergeCells count="2">
    <mergeCell ref="A1:O2"/>
    <mergeCell ref="D3:O6"/>
  </mergeCells>
  <phoneticPr fontId="0" type="noConversion"/>
  <printOptions horizontalCentered="1"/>
  <pageMargins left="0.25" right="0.25" top="0.35" bottom="0.25" header="0" footer="0"/>
  <pageSetup scale="65"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198"/>
  <sheetViews>
    <sheetView tabSelected="1" topLeftCell="A23" zoomScaleNormal="100" zoomScaleSheetLayoutView="75" workbookViewId="0">
      <selection activeCell="F34" sqref="F34"/>
    </sheetView>
  </sheetViews>
  <sheetFormatPr defaultColWidth="8.85546875" defaultRowHeight="12.95"/>
  <cols>
    <col min="1" max="1" width="6.28515625" customWidth="1"/>
    <col min="3" max="3" width="8.42578125" customWidth="1"/>
    <col min="4" max="4" width="10" customWidth="1"/>
    <col min="5" max="5" width="9.28515625" bestFit="1" customWidth="1"/>
    <col min="6" max="6" width="11.140625" customWidth="1"/>
    <col min="8" max="8" width="10.140625" bestFit="1" customWidth="1"/>
    <col min="9" max="9" width="9.28515625" bestFit="1" customWidth="1"/>
    <col min="10" max="10" width="15" bestFit="1" customWidth="1"/>
    <col min="11" max="11" width="8.42578125" customWidth="1"/>
    <col min="14" max="14" width="10.28515625" customWidth="1"/>
    <col min="15" max="15" width="17.28515625" customWidth="1"/>
    <col min="16" max="16" width="3.42578125" style="456" customWidth="1"/>
    <col min="17" max="17" width="10.28515625" style="457" customWidth="1"/>
    <col min="18" max="18" width="9.140625" style="457" customWidth="1"/>
    <col min="19" max="35" width="9.140625" style="457" hidden="1" customWidth="1"/>
    <col min="36" max="36" width="9.140625" style="457" customWidth="1"/>
  </cols>
  <sheetData>
    <row r="1" spans="1:35" ht="12.75" customHeight="1">
      <c r="A1" s="563" t="s">
        <v>0</v>
      </c>
      <c r="B1" s="564"/>
      <c r="C1" s="564"/>
      <c r="D1" s="564"/>
      <c r="E1" s="564"/>
      <c r="F1" s="564"/>
      <c r="G1" s="564"/>
      <c r="H1" s="564"/>
      <c r="I1" s="564"/>
      <c r="J1" s="565"/>
      <c r="K1" s="564"/>
      <c r="L1" s="564"/>
      <c r="M1" s="564"/>
      <c r="N1" s="564"/>
      <c r="O1" s="566"/>
    </row>
    <row r="2" spans="1:35" ht="14.1" thickBot="1">
      <c r="A2" s="567"/>
      <c r="B2" s="568"/>
      <c r="C2" s="568"/>
      <c r="D2" s="568"/>
      <c r="E2" s="568"/>
      <c r="F2" s="568"/>
      <c r="G2" s="568"/>
      <c r="H2" s="568"/>
      <c r="I2" s="568"/>
      <c r="J2" s="569"/>
      <c r="K2" s="568"/>
      <c r="L2" s="568"/>
      <c r="M2" s="568"/>
      <c r="N2" s="568"/>
      <c r="O2" s="570"/>
    </row>
    <row r="3" spans="1:35">
      <c r="A3" s="257"/>
      <c r="B3" s="259"/>
      <c r="C3" s="260"/>
      <c r="D3" s="571" t="s">
        <v>1</v>
      </c>
      <c r="E3" s="572"/>
      <c r="F3" s="572"/>
      <c r="G3" s="572"/>
      <c r="H3" s="572"/>
      <c r="I3" s="572"/>
      <c r="J3" s="572"/>
      <c r="K3" s="572"/>
      <c r="L3" s="572"/>
      <c r="M3" s="572"/>
      <c r="N3" s="572"/>
      <c r="O3" s="573"/>
    </row>
    <row r="4" spans="1:35">
      <c r="A4" s="224"/>
      <c r="B4" s="219"/>
      <c r="C4" s="225"/>
      <c r="D4" s="571"/>
      <c r="E4" s="572"/>
      <c r="F4" s="572"/>
      <c r="G4" s="572"/>
      <c r="H4" s="572"/>
      <c r="I4" s="572"/>
      <c r="J4" s="572"/>
      <c r="K4" s="572"/>
      <c r="L4" s="572"/>
      <c r="M4" s="572"/>
      <c r="N4" s="572"/>
      <c r="O4" s="573"/>
    </row>
    <row r="5" spans="1:35">
      <c r="A5" s="224"/>
      <c r="B5" s="219"/>
      <c r="C5" s="225"/>
      <c r="D5" s="571"/>
      <c r="E5" s="572"/>
      <c r="F5" s="572"/>
      <c r="G5" s="572"/>
      <c r="H5" s="572"/>
      <c r="I5" s="572"/>
      <c r="J5" s="572"/>
      <c r="K5" s="572"/>
      <c r="L5" s="572"/>
      <c r="M5" s="572"/>
      <c r="N5" s="572"/>
      <c r="O5" s="573"/>
    </row>
    <row r="6" spans="1:35" ht="14.1" thickBot="1">
      <c r="A6" s="224"/>
      <c r="B6" s="219"/>
      <c r="C6" s="225"/>
      <c r="D6" s="571"/>
      <c r="E6" s="572"/>
      <c r="F6" s="572"/>
      <c r="G6" s="572"/>
      <c r="H6" s="572"/>
      <c r="I6" s="572"/>
      <c r="J6" s="572"/>
      <c r="K6" s="572"/>
      <c r="L6" s="572"/>
      <c r="M6" s="572"/>
      <c r="N6" s="572"/>
      <c r="O6" s="573"/>
    </row>
    <row r="7" spans="1:35" ht="12.75" customHeight="1">
      <c r="A7" s="224"/>
      <c r="B7" s="219"/>
      <c r="C7" s="225"/>
      <c r="D7" s="378" t="s">
        <v>2</v>
      </c>
      <c r="E7" s="372"/>
      <c r="F7" s="372"/>
      <c r="G7" s="372"/>
      <c r="H7" s="372"/>
      <c r="I7" s="372"/>
      <c r="J7" s="372"/>
      <c r="K7" s="372"/>
      <c r="L7" s="372"/>
      <c r="M7" s="372"/>
      <c r="N7" s="372"/>
      <c r="O7" s="373"/>
      <c r="S7" s="463"/>
      <c r="T7" s="464"/>
      <c r="U7" s="464"/>
      <c r="V7" s="464"/>
      <c r="W7" s="464"/>
      <c r="X7" s="464"/>
      <c r="Y7" s="464"/>
      <c r="Z7" s="464"/>
      <c r="AA7" s="464"/>
      <c r="AB7" s="464"/>
      <c r="AC7" s="464"/>
      <c r="AD7" s="464"/>
      <c r="AE7" s="464"/>
      <c r="AF7" s="464"/>
      <c r="AG7" s="464"/>
      <c r="AH7" s="464"/>
      <c r="AI7" s="465"/>
    </row>
    <row r="8" spans="1:35">
      <c r="A8" s="224"/>
      <c r="B8" s="219"/>
      <c r="C8" s="225"/>
      <c r="D8" s="379" t="s">
        <v>3</v>
      </c>
      <c r="E8" s="371"/>
      <c r="F8" s="371"/>
      <c r="G8" s="371"/>
      <c r="H8" s="371"/>
      <c r="I8" s="371"/>
      <c r="J8" s="371"/>
      <c r="K8" s="371"/>
      <c r="L8" s="371"/>
      <c r="M8" s="228"/>
      <c r="N8" s="228"/>
      <c r="O8" s="374"/>
      <c r="S8" s="466"/>
      <c r="T8" s="467"/>
      <c r="U8" s="467"/>
      <c r="V8" s="467"/>
      <c r="W8" s="467"/>
      <c r="X8" s="467"/>
      <c r="Y8" s="467"/>
      <c r="Z8" s="467"/>
      <c r="AA8" s="467"/>
      <c r="AB8" s="467"/>
      <c r="AC8" s="467"/>
      <c r="AD8" s="467"/>
      <c r="AE8" s="467"/>
      <c r="AF8" s="467"/>
      <c r="AG8" s="467"/>
      <c r="AH8" s="467"/>
      <c r="AI8" s="468"/>
    </row>
    <row r="9" spans="1:35">
      <c r="A9" s="224"/>
      <c r="B9" s="219"/>
      <c r="C9" s="225"/>
      <c r="D9" s="379" t="s">
        <v>4</v>
      </c>
      <c r="E9" s="371"/>
      <c r="F9" s="371"/>
      <c r="G9" s="371"/>
      <c r="H9" s="371"/>
      <c r="I9" s="371"/>
      <c r="J9" s="371"/>
      <c r="K9" s="371"/>
      <c r="L9" s="371"/>
      <c r="M9" s="228"/>
      <c r="N9" s="228"/>
      <c r="O9" s="374"/>
      <c r="S9" s="466"/>
      <c r="T9" s="467"/>
      <c r="U9" s="467"/>
      <c r="V9" s="467"/>
      <c r="W9" s="467"/>
      <c r="X9" s="467"/>
      <c r="Y9" s="467"/>
      <c r="Z9" s="469" t="s">
        <v>5</v>
      </c>
      <c r="AA9" s="470">
        <v>24</v>
      </c>
      <c r="AB9" s="467" t="s">
        <v>6</v>
      </c>
      <c r="AC9" s="470">
        <v>8760</v>
      </c>
      <c r="AD9" s="471" t="s">
        <v>7</v>
      </c>
      <c r="AE9" s="467"/>
      <c r="AF9" s="467"/>
      <c r="AG9" s="467"/>
      <c r="AH9" s="467"/>
      <c r="AI9" s="468"/>
    </row>
    <row r="10" spans="1:35" ht="14.1" thickBot="1">
      <c r="A10" s="263"/>
      <c r="B10" s="256"/>
      <c r="C10" s="264"/>
      <c r="D10" s="380" t="s">
        <v>8</v>
      </c>
      <c r="E10" s="375"/>
      <c r="F10" s="375"/>
      <c r="G10" s="375"/>
      <c r="H10" s="375"/>
      <c r="I10" s="375"/>
      <c r="J10" s="375"/>
      <c r="K10" s="500" t="s">
        <v>9</v>
      </c>
      <c r="L10" s="375"/>
      <c r="M10" s="376"/>
      <c r="N10" s="376"/>
      <c r="O10" s="377"/>
      <c r="S10" s="466"/>
      <c r="T10" s="467"/>
      <c r="U10" s="467"/>
      <c r="V10" s="467"/>
      <c r="W10" s="467"/>
      <c r="X10" s="467"/>
      <c r="Y10" s="467"/>
      <c r="Z10" s="469" t="s">
        <v>10</v>
      </c>
      <c r="AA10" s="472">
        <f>+F52/F30</f>
        <v>833.33333333333337</v>
      </c>
      <c r="AB10" s="467" t="s">
        <v>7</v>
      </c>
      <c r="AC10" s="470"/>
      <c r="AD10" s="471"/>
      <c r="AE10" s="467"/>
      <c r="AF10" s="467"/>
      <c r="AG10" s="467"/>
      <c r="AH10" s="467"/>
      <c r="AI10" s="468"/>
    </row>
    <row r="11" spans="1:35" ht="14.1" thickBot="1">
      <c r="A11" s="224"/>
      <c r="B11" s="219"/>
      <c r="C11" s="219"/>
      <c r="D11" s="219"/>
      <c r="E11" s="219"/>
      <c r="F11" s="219"/>
      <c r="G11" s="219"/>
      <c r="H11" s="219"/>
      <c r="I11" s="219"/>
      <c r="J11" s="219"/>
      <c r="K11" s="219"/>
      <c r="L11" s="219"/>
      <c r="M11" s="219"/>
      <c r="N11" s="219"/>
      <c r="O11" s="225"/>
      <c r="S11" s="466"/>
      <c r="T11" s="467"/>
      <c r="U11" s="467"/>
      <c r="V11" s="467"/>
      <c r="W11" s="467"/>
      <c r="X11" s="467"/>
      <c r="Y11" s="467"/>
      <c r="Z11" s="469" t="s">
        <v>11</v>
      </c>
      <c r="AA11" s="473">
        <f>+F30*AA9</f>
        <v>7200</v>
      </c>
      <c r="AB11" s="467" t="s">
        <v>12</v>
      </c>
      <c r="AC11" s="470"/>
      <c r="AD11" s="471"/>
      <c r="AE11" s="467"/>
      <c r="AF11" s="467"/>
      <c r="AG11" s="467"/>
      <c r="AH11" s="467"/>
      <c r="AI11" s="468"/>
    </row>
    <row r="12" spans="1:35" ht="14.1" thickBot="1">
      <c r="A12" s="224"/>
      <c r="B12" s="219"/>
      <c r="C12" s="219"/>
      <c r="D12" s="219"/>
      <c r="E12" s="226" t="s">
        <v>13</v>
      </c>
      <c r="F12" s="574" t="s">
        <v>14</v>
      </c>
      <c r="G12" s="575"/>
      <c r="H12" s="219"/>
      <c r="I12" s="219"/>
      <c r="J12" s="219"/>
      <c r="K12" s="219"/>
      <c r="L12" s="219"/>
      <c r="M12" s="219"/>
      <c r="N12" s="219"/>
      <c r="O12" s="225"/>
      <c r="S12" s="466"/>
      <c r="T12" s="474">
        <v>2</v>
      </c>
      <c r="U12" s="467" t="s">
        <v>15</v>
      </c>
      <c r="V12" s="467"/>
      <c r="W12" s="467"/>
      <c r="X12" s="467"/>
      <c r="Y12" s="467"/>
      <c r="Z12" s="467"/>
      <c r="AA12" s="467"/>
      <c r="AB12" s="467"/>
      <c r="AC12" s="467"/>
      <c r="AD12" s="467"/>
      <c r="AE12" s="467"/>
      <c r="AF12" s="467"/>
      <c r="AG12" s="467"/>
      <c r="AH12" s="467"/>
      <c r="AI12" s="468"/>
    </row>
    <row r="13" spans="1:35" ht="14.1" thickBot="1">
      <c r="A13" s="224"/>
      <c r="B13" s="219"/>
      <c r="C13" s="219"/>
      <c r="D13" s="219"/>
      <c r="E13" s="226" t="s">
        <v>16</v>
      </c>
      <c r="F13" s="574">
        <v>123</v>
      </c>
      <c r="G13" s="575"/>
      <c r="H13" s="219"/>
      <c r="I13" s="227"/>
      <c r="J13" s="228"/>
      <c r="K13" s="228"/>
      <c r="L13" s="228"/>
      <c r="M13" s="229"/>
      <c r="N13" s="229"/>
      <c r="O13" s="225"/>
      <c r="S13" s="466"/>
      <c r="T13" s="467">
        <v>1</v>
      </c>
      <c r="U13" s="467" t="s">
        <v>17</v>
      </c>
      <c r="V13" s="467"/>
      <c r="W13" s="467"/>
      <c r="X13" s="467"/>
      <c r="Y13" s="467"/>
      <c r="Z13" s="467"/>
      <c r="AA13" s="467"/>
      <c r="AB13" s="467"/>
      <c r="AC13" s="467"/>
      <c r="AD13" s="467"/>
      <c r="AE13" s="467"/>
      <c r="AF13" s="467"/>
      <c r="AG13" s="467"/>
      <c r="AH13" s="467"/>
      <c r="AI13" s="468"/>
    </row>
    <row r="14" spans="1:35" ht="14.1" thickBot="1">
      <c r="A14" s="224"/>
      <c r="B14" s="219"/>
      <c r="C14" s="219"/>
      <c r="D14" s="219"/>
      <c r="E14" s="226" t="s">
        <v>18</v>
      </c>
      <c r="F14" s="574">
        <v>123</v>
      </c>
      <c r="G14" s="575"/>
      <c r="H14" s="219"/>
      <c r="I14" s="228"/>
      <c r="J14" s="228"/>
      <c r="K14" s="228"/>
      <c r="L14" s="228"/>
      <c r="M14" s="229"/>
      <c r="N14" s="228"/>
      <c r="O14" s="225"/>
      <c r="S14" s="475"/>
      <c r="T14" s="467">
        <v>2</v>
      </c>
      <c r="U14" s="467" t="s">
        <v>19</v>
      </c>
      <c r="V14" s="467"/>
      <c r="W14" s="467"/>
      <c r="X14" s="474"/>
      <c r="Y14" s="467"/>
      <c r="Z14" s="467"/>
      <c r="AA14" s="467"/>
      <c r="AB14" s="467"/>
      <c r="AC14" s="467"/>
      <c r="AD14" s="467"/>
      <c r="AE14" s="467"/>
      <c r="AF14" s="467"/>
      <c r="AG14" s="467"/>
      <c r="AH14" s="467"/>
      <c r="AI14" s="468"/>
    </row>
    <row r="15" spans="1:35" ht="14.1" thickBot="1">
      <c r="A15" s="224"/>
      <c r="B15" s="219"/>
      <c r="C15" s="219"/>
      <c r="D15" s="219"/>
      <c r="E15" s="226" t="s">
        <v>20</v>
      </c>
      <c r="F15" s="574" t="s">
        <v>21</v>
      </c>
      <c r="G15" s="575"/>
      <c r="H15" s="219"/>
      <c r="I15" s="228"/>
      <c r="J15" s="228"/>
      <c r="K15" s="228"/>
      <c r="L15" s="228"/>
      <c r="M15" s="229"/>
      <c r="N15" s="229"/>
      <c r="O15" s="225"/>
      <c r="S15" s="475"/>
      <c r="T15" s="467"/>
      <c r="U15" s="467"/>
      <c r="V15" s="467"/>
      <c r="W15" s="467"/>
      <c r="X15" s="474"/>
      <c r="Y15" s="476"/>
      <c r="Z15" s="476"/>
      <c r="AA15" s="476"/>
      <c r="AB15" s="467"/>
      <c r="AC15" s="467"/>
      <c r="AD15" s="467"/>
      <c r="AE15" s="467"/>
      <c r="AF15" s="467"/>
      <c r="AG15" s="467"/>
      <c r="AH15" s="467"/>
      <c r="AI15" s="468"/>
    </row>
    <row r="16" spans="1:35" ht="14.1" thickBot="1">
      <c r="A16" s="224"/>
      <c r="B16" s="219"/>
      <c r="C16" s="219"/>
      <c r="D16" s="219"/>
      <c r="E16" s="226" t="s">
        <v>22</v>
      </c>
      <c r="F16" s="574" t="s">
        <v>23</v>
      </c>
      <c r="G16" s="575"/>
      <c r="H16" s="219"/>
      <c r="I16" s="228"/>
      <c r="J16" s="228"/>
      <c r="K16" s="228"/>
      <c r="L16" s="228"/>
      <c r="M16" s="229"/>
      <c r="N16" s="229"/>
      <c r="O16" s="225"/>
      <c r="S16" s="475"/>
      <c r="T16" s="204">
        <v>2</v>
      </c>
      <c r="U16" s="467" t="s">
        <v>24</v>
      </c>
      <c r="V16" s="467"/>
      <c r="W16" s="467"/>
      <c r="X16" s="474"/>
      <c r="Y16" s="476"/>
      <c r="Z16" s="476"/>
      <c r="AA16" s="476"/>
      <c r="AB16" s="467"/>
      <c r="AC16" s="467"/>
      <c r="AD16" s="467"/>
      <c r="AE16" s="467"/>
      <c r="AF16" s="467"/>
      <c r="AG16" s="467"/>
      <c r="AH16" s="467"/>
      <c r="AI16" s="468"/>
    </row>
    <row r="17" spans="1:35" ht="14.1" thickBot="1">
      <c r="A17" s="224"/>
      <c r="B17" s="219"/>
      <c r="C17" s="219"/>
      <c r="D17" s="219"/>
      <c r="E17" s="226" t="s">
        <v>25</v>
      </c>
      <c r="F17" s="574" t="s">
        <v>26</v>
      </c>
      <c r="G17" s="575"/>
      <c r="H17" s="219"/>
      <c r="I17" s="228"/>
      <c r="J17" s="228"/>
      <c r="K17" s="228"/>
      <c r="L17" s="228"/>
      <c r="M17" s="229"/>
      <c r="N17" s="229"/>
      <c r="O17" s="225"/>
      <c r="S17" s="475"/>
      <c r="T17" s="476">
        <v>1</v>
      </c>
      <c r="U17" s="467" t="s">
        <v>27</v>
      </c>
      <c r="V17" s="467"/>
      <c r="W17" s="467"/>
      <c r="X17" s="474"/>
      <c r="Y17" s="476"/>
      <c r="Z17" s="476"/>
      <c r="AA17" s="476"/>
      <c r="AB17" s="467"/>
      <c r="AC17" s="467"/>
      <c r="AD17" s="467"/>
      <c r="AE17" s="467"/>
      <c r="AF17" s="467"/>
      <c r="AG17" s="467"/>
      <c r="AH17" s="467"/>
      <c r="AI17" s="468"/>
    </row>
    <row r="18" spans="1:35" ht="12.75" customHeight="1">
      <c r="A18" s="432"/>
      <c r="B18" s="438"/>
      <c r="C18" s="438"/>
      <c r="D18" s="438"/>
      <c r="E18" s="446"/>
      <c r="F18" s="447"/>
      <c r="G18" s="447"/>
      <c r="H18" s="438"/>
      <c r="I18" s="448"/>
      <c r="J18" s="448"/>
      <c r="K18" s="448"/>
      <c r="L18" s="448"/>
      <c r="M18" s="449"/>
      <c r="N18" s="449"/>
      <c r="O18" s="450"/>
      <c r="S18" s="475"/>
      <c r="T18" s="476">
        <v>2</v>
      </c>
      <c r="U18" s="467" t="s">
        <v>28</v>
      </c>
      <c r="V18" s="467"/>
      <c r="W18" s="467"/>
      <c r="X18" s="474"/>
      <c r="Y18" s="467"/>
      <c r="Z18" s="467"/>
      <c r="AA18" s="467"/>
      <c r="AB18" s="467"/>
      <c r="AC18" s="467"/>
      <c r="AD18" s="467"/>
      <c r="AE18" s="467"/>
      <c r="AF18" s="467"/>
      <c r="AG18" s="467"/>
      <c r="AH18" s="467"/>
      <c r="AI18" s="468"/>
    </row>
    <row r="19" spans="1:35" ht="12.75" customHeight="1">
      <c r="A19" s="432"/>
      <c r="B19" s="438"/>
      <c r="C19" s="584" t="s">
        <v>29</v>
      </c>
      <c r="D19" s="585"/>
      <c r="E19" s="586"/>
      <c r="F19" s="451"/>
      <c r="G19" s="451"/>
      <c r="H19" s="452"/>
      <c r="I19" s="448"/>
      <c r="J19" s="448"/>
      <c r="K19" s="448"/>
      <c r="L19" s="448"/>
      <c r="M19" s="449"/>
      <c r="N19" s="449"/>
      <c r="O19" s="450"/>
      <c r="S19" s="475"/>
      <c r="T19" s="476"/>
      <c r="U19" s="467"/>
      <c r="V19" s="467"/>
      <c r="W19" s="467"/>
      <c r="X19" s="474"/>
      <c r="Y19" s="467"/>
      <c r="Z19" s="467" t="s">
        <v>30</v>
      </c>
      <c r="AA19" s="467"/>
      <c r="AB19" s="467"/>
      <c r="AC19" s="467"/>
      <c r="AD19" s="467"/>
      <c r="AE19" s="467"/>
      <c r="AF19" s="467"/>
      <c r="AG19" s="467" t="s">
        <v>31</v>
      </c>
      <c r="AH19" s="467"/>
      <c r="AI19" s="468"/>
    </row>
    <row r="20" spans="1:35" ht="12.75" customHeight="1">
      <c r="A20" s="432"/>
      <c r="B20" s="438"/>
      <c r="C20" s="587"/>
      <c r="D20" s="588"/>
      <c r="E20" s="589"/>
      <c r="F20" s="453"/>
      <c r="G20" s="453"/>
      <c r="H20" s="454"/>
      <c r="I20" s="448"/>
      <c r="J20" s="448"/>
      <c r="K20" s="448"/>
      <c r="L20" s="448"/>
      <c r="M20" s="449"/>
      <c r="N20" s="449"/>
      <c r="O20" s="450"/>
      <c r="S20" s="475"/>
      <c r="T20" s="204">
        <v>1</v>
      </c>
      <c r="U20" s="467" t="s">
        <v>32</v>
      </c>
      <c r="V20" s="467"/>
      <c r="W20" s="467"/>
      <c r="X20" s="474"/>
      <c r="Y20" s="204">
        <v>1</v>
      </c>
      <c r="Z20" s="467"/>
      <c r="AA20" s="467"/>
      <c r="AB20" s="467"/>
      <c r="AC20" s="467"/>
      <c r="AD20" s="467"/>
      <c r="AE20" s="467"/>
      <c r="AF20" s="467"/>
      <c r="AG20" s="467"/>
      <c r="AH20" s="467"/>
      <c r="AI20" s="468"/>
    </row>
    <row r="21" spans="1:35" ht="12.75" customHeight="1">
      <c r="A21" s="432"/>
      <c r="B21" s="438"/>
      <c r="C21" s="438"/>
      <c r="D21" s="576" t="s">
        <v>33</v>
      </c>
      <c r="E21" s="578"/>
      <c r="F21" s="579"/>
      <c r="G21" s="580"/>
      <c r="H21" s="455"/>
      <c r="I21" s="455"/>
      <c r="J21" s="455"/>
      <c r="K21" s="455"/>
      <c r="L21" s="455"/>
      <c r="M21" s="438"/>
      <c r="N21" s="438"/>
      <c r="O21" s="450"/>
      <c r="S21" s="475"/>
      <c r="T21" s="476">
        <v>1</v>
      </c>
      <c r="U21" s="477" t="s">
        <v>34</v>
      </c>
      <c r="V21" s="467"/>
      <c r="W21" s="467"/>
      <c r="X21" s="474"/>
      <c r="Y21" s="476">
        <v>1</v>
      </c>
      <c r="Z21" s="675" t="s">
        <v>35</v>
      </c>
      <c r="AA21" s="675"/>
      <c r="AB21" s="675"/>
      <c r="AC21" s="675"/>
      <c r="AD21" s="675"/>
      <c r="AE21" s="675"/>
      <c r="AF21" s="675"/>
      <c r="AG21" s="467"/>
      <c r="AH21" s="467"/>
      <c r="AI21" s="468"/>
    </row>
    <row r="22" spans="1:35" ht="12.75" customHeight="1">
      <c r="A22" s="432"/>
      <c r="B22" s="438"/>
      <c r="C22" s="438"/>
      <c r="D22" s="577"/>
      <c r="E22" s="581"/>
      <c r="F22" s="582"/>
      <c r="G22" s="583"/>
      <c r="H22" s="455"/>
      <c r="I22" s="455"/>
      <c r="J22" s="455"/>
      <c r="K22" s="455"/>
      <c r="L22" s="455"/>
      <c r="M22" s="438"/>
      <c r="N22" s="438"/>
      <c r="O22" s="450"/>
      <c r="S22" s="475"/>
      <c r="T22" s="476">
        <v>2</v>
      </c>
      <c r="U22" s="477" t="s">
        <v>36</v>
      </c>
      <c r="V22" s="467"/>
      <c r="W22" s="467"/>
      <c r="X22" s="474"/>
      <c r="Y22" s="476">
        <v>2</v>
      </c>
      <c r="Z22" s="675" t="s">
        <v>37</v>
      </c>
      <c r="AA22" s="675"/>
      <c r="AB22" s="675"/>
      <c r="AC22" s="675"/>
      <c r="AD22" s="675"/>
      <c r="AE22" s="675"/>
      <c r="AF22" s="675"/>
      <c r="AG22" s="467" t="s">
        <v>38</v>
      </c>
      <c r="AH22" s="467"/>
      <c r="AI22" s="468"/>
    </row>
    <row r="23" spans="1:35" ht="12.75" customHeight="1">
      <c r="A23" s="432"/>
      <c r="B23" s="438"/>
      <c r="C23" s="438"/>
      <c r="D23" s="597" t="s">
        <v>39</v>
      </c>
      <c r="E23" s="611"/>
      <c r="F23" s="612"/>
      <c r="G23" s="613"/>
      <c r="H23" s="535"/>
      <c r="I23" s="535"/>
      <c r="J23" s="535"/>
      <c r="K23" s="535"/>
      <c r="L23" s="535"/>
      <c r="M23" s="438"/>
      <c r="N23" s="438"/>
      <c r="O23" s="450"/>
      <c r="S23" s="475"/>
      <c r="T23" s="476">
        <v>3</v>
      </c>
      <c r="U23" s="477" t="s">
        <v>40</v>
      </c>
      <c r="V23" s="467"/>
      <c r="W23" s="467"/>
      <c r="X23" s="474"/>
      <c r="Y23" s="476">
        <v>3</v>
      </c>
      <c r="Z23" s="675" t="s">
        <v>41</v>
      </c>
      <c r="AA23" s="675"/>
      <c r="AB23" s="675"/>
      <c r="AC23" s="675"/>
      <c r="AD23" s="675"/>
      <c r="AE23" s="675"/>
      <c r="AF23" s="675"/>
      <c r="AG23" s="467"/>
      <c r="AH23" s="467"/>
      <c r="AI23" s="468"/>
    </row>
    <row r="24" spans="1:35" ht="12.75" customHeight="1">
      <c r="A24" s="432"/>
      <c r="B24" s="438"/>
      <c r="C24" s="438"/>
      <c r="D24" s="576"/>
      <c r="E24" s="578"/>
      <c r="F24" s="579"/>
      <c r="G24" s="580"/>
      <c r="H24" s="535"/>
      <c r="I24" s="535"/>
      <c r="J24" s="535"/>
      <c r="K24" s="535"/>
      <c r="L24" s="535"/>
      <c r="M24" s="438"/>
      <c r="N24" s="438"/>
      <c r="O24" s="450"/>
      <c r="S24" s="475"/>
      <c r="T24" s="476"/>
      <c r="U24" s="477"/>
      <c r="V24" s="477"/>
      <c r="W24" s="477"/>
      <c r="X24" s="478"/>
      <c r="Y24" s="476">
        <v>4</v>
      </c>
      <c r="Z24" s="675" t="s">
        <v>42</v>
      </c>
      <c r="AA24" s="675"/>
      <c r="AB24" s="675"/>
      <c r="AC24" s="675"/>
      <c r="AD24" s="675"/>
      <c r="AE24" s="675"/>
      <c r="AF24" s="675"/>
      <c r="AG24" s="467"/>
      <c r="AH24" s="467"/>
      <c r="AI24" s="468"/>
    </row>
    <row r="25" spans="1:35" ht="12.75" customHeight="1">
      <c r="A25" s="224"/>
      <c r="B25" s="219"/>
      <c r="C25" s="219"/>
      <c r="D25" s="221"/>
      <c r="E25" s="222" t="s">
        <v>43</v>
      </c>
      <c r="F25" s="249">
        <v>0.5</v>
      </c>
      <c r="G25" s="223" t="s">
        <v>44</v>
      </c>
      <c r="H25" s="493" t="str">
        <f>+IF(fuel=1,"",IF(F25&gt;=0.5,"(default value is 0.5 %)"," Restriction will be required in permit"))</f>
        <v/>
      </c>
      <c r="J25" s="217"/>
      <c r="K25" s="217"/>
      <c r="L25" s="217"/>
      <c r="M25" s="219"/>
      <c r="N25" s="219"/>
      <c r="O25" s="225"/>
      <c r="S25" s="475"/>
      <c r="T25" s="204">
        <v>1</v>
      </c>
      <c r="U25" s="467" t="s">
        <v>45</v>
      </c>
      <c r="V25" s="467"/>
      <c r="W25" s="467"/>
      <c r="X25" s="478"/>
      <c r="Y25" s="476">
        <v>5</v>
      </c>
      <c r="Z25" s="675" t="s">
        <v>46</v>
      </c>
      <c r="AA25" s="675"/>
      <c r="AB25" s="675"/>
      <c r="AC25" s="675"/>
      <c r="AD25" s="675"/>
      <c r="AE25" s="675"/>
      <c r="AF25" s="675"/>
      <c r="AG25" s="467" t="s">
        <v>47</v>
      </c>
      <c r="AH25" s="467"/>
      <c r="AI25" s="468"/>
    </row>
    <row r="26" spans="1:35" ht="12.75" customHeight="1">
      <c r="A26" s="224"/>
      <c r="B26" s="219"/>
      <c r="C26" s="219"/>
      <c r="D26" s="623" t="s">
        <v>48</v>
      </c>
      <c r="E26" s="625"/>
      <c r="F26" s="626"/>
      <c r="G26" s="627"/>
      <c r="H26" s="217"/>
      <c r="I26" s="217"/>
      <c r="J26" s="217"/>
      <c r="K26" s="217"/>
      <c r="L26" s="217"/>
      <c r="M26" s="219"/>
      <c r="N26" s="219"/>
      <c r="O26" s="225"/>
      <c r="S26" s="475"/>
      <c r="T26" s="476">
        <v>1</v>
      </c>
      <c r="U26" s="479" t="s">
        <v>49</v>
      </c>
      <c r="V26" s="477"/>
      <c r="W26" s="477"/>
      <c r="X26" s="478"/>
      <c r="Y26" s="476">
        <v>6</v>
      </c>
      <c r="Z26" s="675" t="s">
        <v>50</v>
      </c>
      <c r="AA26" s="675"/>
      <c r="AB26" s="675"/>
      <c r="AC26" s="675"/>
      <c r="AD26" s="675"/>
      <c r="AE26" s="675"/>
      <c r="AF26" s="675"/>
      <c r="AG26" s="467"/>
      <c r="AH26" s="467"/>
      <c r="AI26" s="468"/>
    </row>
    <row r="27" spans="1:35" ht="12.75" customHeight="1">
      <c r="A27" s="224"/>
      <c r="B27" s="219"/>
      <c r="C27" s="219"/>
      <c r="D27" s="624"/>
      <c r="E27" s="628"/>
      <c r="F27" s="629"/>
      <c r="G27" s="630"/>
      <c r="H27" s="217"/>
      <c r="I27" s="217"/>
      <c r="J27" s="217"/>
      <c r="K27" s="217"/>
      <c r="L27" s="217"/>
      <c r="M27" s="219"/>
      <c r="N27" s="219"/>
      <c r="O27" s="225"/>
      <c r="S27" s="475"/>
      <c r="T27" s="476">
        <v>2</v>
      </c>
      <c r="U27" s="477" t="s">
        <v>51</v>
      </c>
      <c r="V27" s="477"/>
      <c r="W27" s="477"/>
      <c r="X27" s="478"/>
      <c r="Y27" s="476">
        <v>7</v>
      </c>
      <c r="Z27" s="675" t="s">
        <v>52</v>
      </c>
      <c r="AA27" s="675"/>
      <c r="AB27" s="675"/>
      <c r="AC27" s="675"/>
      <c r="AD27" s="675"/>
      <c r="AE27" s="675"/>
      <c r="AF27" s="675"/>
      <c r="AG27" s="467"/>
      <c r="AH27" s="467"/>
      <c r="AI27" s="468"/>
    </row>
    <row r="28" spans="1:35" ht="12.75" customHeight="1">
      <c r="A28" s="224"/>
      <c r="B28" s="219"/>
      <c r="C28" s="219"/>
      <c r="D28" s="217"/>
      <c r="E28" s="217"/>
      <c r="F28" s="217"/>
      <c r="G28" s="217"/>
      <c r="H28" s="217"/>
      <c r="I28" s="217"/>
      <c r="J28" s="217"/>
      <c r="K28" s="217"/>
      <c r="L28" s="217"/>
      <c r="M28" s="219"/>
      <c r="N28" s="219"/>
      <c r="O28" s="225"/>
      <c r="S28" s="475"/>
      <c r="T28" s="476">
        <v>3</v>
      </c>
      <c r="U28" s="477" t="s">
        <v>53</v>
      </c>
      <c r="V28" s="477"/>
      <c r="W28" s="477"/>
      <c r="X28" s="478"/>
      <c r="Y28" s="476">
        <v>8</v>
      </c>
      <c r="Z28" s="675" t="s">
        <v>54</v>
      </c>
      <c r="AA28" s="675"/>
      <c r="AB28" s="675"/>
      <c r="AC28" s="675"/>
      <c r="AD28" s="675"/>
      <c r="AE28" s="675"/>
      <c r="AF28" s="675"/>
      <c r="AG28" s="467" t="s">
        <v>55</v>
      </c>
      <c r="AH28" s="467"/>
      <c r="AI28" s="468"/>
    </row>
    <row r="29" spans="1:35" ht="12.75" customHeight="1">
      <c r="A29" s="224"/>
      <c r="B29" s="207"/>
      <c r="C29" s="208"/>
      <c r="D29" s="536"/>
      <c r="E29" s="209" t="s">
        <v>56</v>
      </c>
      <c r="F29" s="215">
        <v>100</v>
      </c>
      <c r="G29" s="210" t="s">
        <v>57</v>
      </c>
      <c r="H29" s="537"/>
      <c r="I29" s="217"/>
      <c r="J29" s="217"/>
      <c r="K29" s="217"/>
      <c r="L29" s="217"/>
      <c r="M29" s="219"/>
      <c r="N29" s="219"/>
      <c r="O29" s="225"/>
      <c r="S29" s="475"/>
      <c r="T29" s="476"/>
      <c r="U29" s="477"/>
      <c r="V29" s="477"/>
      <c r="W29" s="477"/>
      <c r="X29" s="478"/>
      <c r="Y29" s="476">
        <v>9</v>
      </c>
      <c r="Z29" s="675" t="s">
        <v>58</v>
      </c>
      <c r="AA29" s="675"/>
      <c r="AB29" s="675"/>
      <c r="AC29" s="675"/>
      <c r="AD29" s="675"/>
      <c r="AE29" s="675"/>
      <c r="AF29" s="675"/>
      <c r="AG29" s="467"/>
      <c r="AH29" s="467"/>
      <c r="AI29" s="468"/>
    </row>
    <row r="30" spans="1:35" ht="12.75" customHeight="1">
      <c r="A30" s="224"/>
      <c r="B30" s="211"/>
      <c r="C30" s="212"/>
      <c r="D30" s="538"/>
      <c r="E30" s="213" t="s">
        <v>59</v>
      </c>
      <c r="F30" s="216">
        <v>300</v>
      </c>
      <c r="G30" s="214" t="s">
        <v>60</v>
      </c>
      <c r="H30" s="539"/>
      <c r="I30" s="217"/>
      <c r="J30" s="217"/>
      <c r="K30" s="281"/>
      <c r="L30" s="217"/>
      <c r="M30" s="219"/>
      <c r="N30" s="219"/>
      <c r="O30" s="225"/>
      <c r="S30" s="475"/>
      <c r="T30" s="205">
        <v>2</v>
      </c>
      <c r="U30" s="479" t="s">
        <v>61</v>
      </c>
      <c r="V30" s="477"/>
      <c r="W30" s="477"/>
      <c r="X30" s="478"/>
      <c r="Y30" s="476">
        <v>10</v>
      </c>
      <c r="Z30" s="675" t="s">
        <v>62</v>
      </c>
      <c r="AA30" s="675"/>
      <c r="AB30" s="675"/>
      <c r="AC30" s="675"/>
      <c r="AD30" s="675"/>
      <c r="AE30" s="675"/>
      <c r="AF30" s="675"/>
      <c r="AG30" s="467"/>
      <c r="AH30" s="467"/>
      <c r="AI30" s="468"/>
    </row>
    <row r="31" spans="1:35" ht="12.75" customHeight="1">
      <c r="A31" s="224"/>
      <c r="B31" s="219"/>
      <c r="C31" s="219"/>
      <c r="D31" s="217"/>
      <c r="E31" s="217"/>
      <c r="F31" s="217"/>
      <c r="G31" s="217"/>
      <c r="H31" s="217"/>
      <c r="I31" s="217"/>
      <c r="J31" s="282"/>
      <c r="K31" s="282"/>
      <c r="L31" s="282"/>
      <c r="M31" s="283"/>
      <c r="N31" s="219"/>
      <c r="O31" s="225"/>
      <c r="S31" s="475"/>
      <c r="T31" s="480">
        <v>1</v>
      </c>
      <c r="U31" s="467" t="s">
        <v>63</v>
      </c>
      <c r="V31" s="477"/>
      <c r="W31" s="477"/>
      <c r="X31" s="478"/>
      <c r="Y31" s="476">
        <v>11</v>
      </c>
      <c r="Z31" s="675" t="s">
        <v>64</v>
      </c>
      <c r="AA31" s="675"/>
      <c r="AB31" s="675"/>
      <c r="AC31" s="675"/>
      <c r="AD31" s="675"/>
      <c r="AE31" s="675"/>
      <c r="AF31" s="675"/>
      <c r="AG31" s="467" t="s">
        <v>65</v>
      </c>
      <c r="AH31" s="467"/>
      <c r="AI31" s="468"/>
    </row>
    <row r="32" spans="1:35" ht="12.75" customHeight="1">
      <c r="A32" s="224"/>
      <c r="B32" s="641" t="s">
        <v>66</v>
      </c>
      <c r="C32" s="642"/>
      <c r="D32" s="642"/>
      <c r="E32" s="642"/>
      <c r="F32" s="642"/>
      <c r="G32" s="642"/>
      <c r="H32" s="643"/>
      <c r="I32" s="217"/>
      <c r="J32" s="282"/>
      <c r="K32" s="282"/>
      <c r="L32" s="282"/>
      <c r="M32" s="283"/>
      <c r="N32" s="219"/>
      <c r="O32" s="225"/>
      <c r="S32" s="475"/>
      <c r="T32" s="480">
        <v>2</v>
      </c>
      <c r="U32" s="467" t="s">
        <v>67</v>
      </c>
      <c r="V32" s="477"/>
      <c r="W32" s="477"/>
      <c r="X32" s="478"/>
      <c r="Y32" s="476">
        <v>12</v>
      </c>
      <c r="Z32" s="675" t="s">
        <v>68</v>
      </c>
      <c r="AA32" s="675"/>
      <c r="AB32" s="675"/>
      <c r="AC32" s="675"/>
      <c r="AD32" s="675"/>
      <c r="AE32" s="675"/>
      <c r="AF32" s="675"/>
      <c r="AG32" s="467"/>
      <c r="AH32" s="467"/>
      <c r="AI32" s="468"/>
    </row>
    <row r="33" spans="1:35" ht="12.75" customHeight="1">
      <c r="A33" s="224"/>
      <c r="B33" s="207"/>
      <c r="C33" s="208"/>
      <c r="D33" s="536"/>
      <c r="E33" s="209" t="s">
        <v>69</v>
      </c>
      <c r="F33" s="554">
        <v>300</v>
      </c>
      <c r="G33" s="536" t="s">
        <v>70</v>
      </c>
      <c r="H33" s="537"/>
      <c r="I33" s="493" t="s">
        <v>71</v>
      </c>
      <c r="J33" s="282"/>
      <c r="K33" s="282"/>
      <c r="L33" s="282"/>
      <c r="M33" s="283"/>
      <c r="N33" s="219"/>
      <c r="O33" s="225"/>
      <c r="S33" s="475"/>
      <c r="T33" s="476"/>
      <c r="U33" s="477"/>
      <c r="V33" s="477"/>
      <c r="W33" s="477"/>
      <c r="X33" s="478"/>
      <c r="Y33" s="476">
        <v>13</v>
      </c>
      <c r="Z33" s="675" t="s">
        <v>72</v>
      </c>
      <c r="AA33" s="675"/>
      <c r="AB33" s="675"/>
      <c r="AC33" s="675"/>
      <c r="AD33" s="675"/>
      <c r="AE33" s="675"/>
      <c r="AF33" s="675"/>
      <c r="AG33" s="467"/>
      <c r="AH33" s="467"/>
      <c r="AI33" s="468"/>
    </row>
    <row r="34" spans="1:35" ht="12.75" customHeight="1">
      <c r="A34" s="224"/>
      <c r="B34" s="211"/>
      <c r="C34" s="212"/>
      <c r="D34" s="538"/>
      <c r="E34" s="213" t="s">
        <v>73</v>
      </c>
      <c r="F34" s="233">
        <v>-0.5</v>
      </c>
      <c r="G34" s="538" t="s">
        <v>44</v>
      </c>
      <c r="H34" s="539"/>
      <c r="I34" s="493" t="s">
        <v>74</v>
      </c>
      <c r="J34" s="282"/>
      <c r="K34" s="282"/>
      <c r="L34" s="282"/>
      <c r="M34" s="283"/>
      <c r="N34" s="219"/>
      <c r="O34" s="225"/>
      <c r="S34" s="475"/>
      <c r="T34" s="205">
        <v>1</v>
      </c>
      <c r="U34" s="477" t="s">
        <v>75</v>
      </c>
      <c r="V34" s="477"/>
      <c r="W34" s="477"/>
      <c r="X34" s="478"/>
      <c r="Y34" s="476">
        <v>14</v>
      </c>
      <c r="Z34" s="675" t="s">
        <v>76</v>
      </c>
      <c r="AA34" s="675"/>
      <c r="AB34" s="675"/>
      <c r="AC34" s="675"/>
      <c r="AD34" s="675"/>
      <c r="AE34" s="675"/>
      <c r="AF34" s="675"/>
      <c r="AG34" s="467" t="s">
        <v>77</v>
      </c>
      <c r="AH34" s="467"/>
      <c r="AI34" s="468"/>
    </row>
    <row r="35" spans="1:35" ht="12.75" customHeight="1">
      <c r="A35" s="224"/>
      <c r="B35" s="219"/>
      <c r="C35" s="219"/>
      <c r="D35" s="217"/>
      <c r="E35" s="217"/>
      <c r="F35" s="217"/>
      <c r="G35" s="217"/>
      <c r="H35" s="217"/>
      <c r="I35" s="217"/>
      <c r="J35" s="282"/>
      <c r="K35" s="282"/>
      <c r="L35" s="282"/>
      <c r="M35" s="283"/>
      <c r="N35" s="219"/>
      <c r="O35" s="225"/>
      <c r="S35" s="475"/>
      <c r="T35" s="476">
        <v>1</v>
      </c>
      <c r="U35" s="477" t="s">
        <v>63</v>
      </c>
      <c r="V35" s="477"/>
      <c r="W35" s="477"/>
      <c r="X35" s="478"/>
      <c r="Y35" s="476">
        <v>15</v>
      </c>
      <c r="Z35" s="675" t="s">
        <v>78</v>
      </c>
      <c r="AA35" s="675"/>
      <c r="AB35" s="675"/>
      <c r="AC35" s="675"/>
      <c r="AD35" s="675"/>
      <c r="AE35" s="675"/>
      <c r="AF35" s="675"/>
      <c r="AG35" s="467"/>
      <c r="AH35" s="467"/>
      <c r="AI35" s="468"/>
    </row>
    <row r="36" spans="1:35" ht="12.75" customHeight="1">
      <c r="A36" s="224"/>
      <c r="B36" s="219"/>
      <c r="C36" s="219"/>
      <c r="D36" s="614" t="s">
        <v>79</v>
      </c>
      <c r="E36" s="631"/>
      <c r="F36" s="616"/>
      <c r="G36" s="632"/>
      <c r="H36" s="217"/>
      <c r="I36" s="217"/>
      <c r="J36" s="282"/>
      <c r="K36" s="286"/>
      <c r="L36" s="282"/>
      <c r="M36" s="283"/>
      <c r="N36" s="219"/>
      <c r="O36" s="225"/>
      <c r="S36" s="475"/>
      <c r="T36" s="476">
        <v>2</v>
      </c>
      <c r="U36" s="477" t="s">
        <v>67</v>
      </c>
      <c r="V36" s="477"/>
      <c r="W36" s="477"/>
      <c r="X36" s="478"/>
      <c r="Y36" s="476">
        <v>16</v>
      </c>
      <c r="Z36" s="675" t="s">
        <v>80</v>
      </c>
      <c r="AA36" s="675"/>
      <c r="AB36" s="675"/>
      <c r="AC36" s="675"/>
      <c r="AD36" s="675"/>
      <c r="AE36" s="675"/>
      <c r="AF36" s="675"/>
      <c r="AG36" s="467"/>
      <c r="AH36" s="467"/>
      <c r="AI36" s="468"/>
    </row>
    <row r="37" spans="1:35" ht="12.75" customHeight="1">
      <c r="A37" s="224"/>
      <c r="B37" s="219"/>
      <c r="C37" s="219"/>
      <c r="D37" s="615"/>
      <c r="E37" s="633"/>
      <c r="F37" s="634"/>
      <c r="G37" s="635"/>
      <c r="H37" s="219"/>
      <c r="I37" s="219"/>
      <c r="J37" s="283"/>
      <c r="K37" s="287"/>
      <c r="L37" s="283"/>
      <c r="M37" s="283"/>
      <c r="N37" s="219"/>
      <c r="O37" s="225"/>
      <c r="S37" s="475"/>
      <c r="T37" s="467"/>
      <c r="U37" s="467"/>
      <c r="V37" s="477"/>
      <c r="W37" s="477"/>
      <c r="X37" s="478"/>
      <c r="Y37" s="476">
        <v>17</v>
      </c>
      <c r="Z37" s="675" t="s">
        <v>81</v>
      </c>
      <c r="AA37" s="675"/>
      <c r="AB37" s="675"/>
      <c r="AC37" s="675"/>
      <c r="AD37" s="675"/>
      <c r="AE37" s="675"/>
      <c r="AF37" s="675"/>
      <c r="AG37" s="467" t="s">
        <v>82</v>
      </c>
      <c r="AH37" s="467"/>
      <c r="AI37" s="468"/>
    </row>
    <row r="38" spans="1:35">
      <c r="A38" s="224"/>
      <c r="B38" s="219"/>
      <c r="C38" s="219"/>
      <c r="D38" s="217"/>
      <c r="E38" s="217"/>
      <c r="F38" s="217"/>
      <c r="G38" s="217"/>
      <c r="H38" s="219"/>
      <c r="I38" s="219"/>
      <c r="J38" s="219"/>
      <c r="K38" s="219"/>
      <c r="L38" s="219"/>
      <c r="M38" s="219"/>
      <c r="N38" s="219"/>
      <c r="O38" s="225"/>
      <c r="S38" s="475"/>
      <c r="T38" s="205">
        <v>1</v>
      </c>
      <c r="U38" s="477" t="s">
        <v>83</v>
      </c>
      <c r="V38" s="477"/>
      <c r="W38" s="477"/>
      <c r="X38" s="478"/>
      <c r="Y38" s="476">
        <v>18</v>
      </c>
      <c r="Z38" s="675" t="s">
        <v>84</v>
      </c>
      <c r="AA38" s="675"/>
      <c r="AB38" s="675"/>
      <c r="AC38" s="675"/>
      <c r="AD38" s="675"/>
      <c r="AE38" s="675"/>
      <c r="AF38" s="675"/>
      <c r="AG38" s="467"/>
      <c r="AH38" s="467"/>
      <c r="AI38" s="468"/>
    </row>
    <row r="39" spans="1:35">
      <c r="A39" s="224"/>
      <c r="B39" s="207"/>
      <c r="C39" s="618" t="s">
        <v>85</v>
      </c>
      <c r="D39" s="619"/>
      <c r="E39" s="616"/>
      <c r="F39" s="616"/>
      <c r="G39" s="616"/>
      <c r="H39" s="208"/>
      <c r="I39" s="531"/>
      <c r="J39" s="219"/>
      <c r="K39" s="219"/>
      <c r="L39" s="219"/>
      <c r="M39" s="219"/>
      <c r="N39" s="219"/>
      <c r="O39" s="225"/>
      <c r="S39" s="475"/>
      <c r="T39" s="476">
        <v>1</v>
      </c>
      <c r="U39" s="477" t="s">
        <v>63</v>
      </c>
      <c r="V39" s="467"/>
      <c r="W39" s="467"/>
      <c r="X39" s="467"/>
      <c r="Y39" s="467"/>
      <c r="Z39" s="467"/>
      <c r="AA39" s="467"/>
      <c r="AB39" s="467"/>
      <c r="AC39" s="467"/>
      <c r="AD39" s="467"/>
      <c r="AE39" s="467"/>
      <c r="AF39" s="467"/>
      <c r="AG39" s="467"/>
      <c r="AH39" s="467"/>
      <c r="AI39" s="468"/>
    </row>
    <row r="40" spans="1:35">
      <c r="A40" s="224"/>
      <c r="B40" s="532"/>
      <c r="C40" s="620"/>
      <c r="D40" s="621"/>
      <c r="E40" s="617"/>
      <c r="F40" s="617"/>
      <c r="G40" s="617"/>
      <c r="H40" s="219"/>
      <c r="I40" s="533"/>
      <c r="J40" s="219"/>
      <c r="K40" s="219"/>
      <c r="L40" s="219"/>
      <c r="M40" s="219"/>
      <c r="N40" s="219"/>
      <c r="O40" s="225"/>
      <c r="S40" s="475"/>
      <c r="T40" s="476">
        <v>2</v>
      </c>
      <c r="U40" s="477" t="s">
        <v>67</v>
      </c>
      <c r="V40" s="467"/>
      <c r="W40" s="467"/>
      <c r="X40" s="467"/>
      <c r="Y40" s="467"/>
      <c r="Z40" s="467"/>
      <c r="AA40" s="467"/>
      <c r="AB40" s="467"/>
      <c r="AC40" s="467"/>
      <c r="AD40" s="467"/>
      <c r="AE40" s="467"/>
      <c r="AF40" s="467"/>
      <c r="AG40" s="467"/>
      <c r="AH40" s="467"/>
      <c r="AI40" s="468"/>
    </row>
    <row r="41" spans="1:35">
      <c r="A41" s="224"/>
      <c r="B41" s="207"/>
      <c r="C41" s="232" t="s">
        <v>86</v>
      </c>
      <c r="D41" s="233">
        <v>65</v>
      </c>
      <c r="E41" s="234" t="s">
        <v>60</v>
      </c>
      <c r="F41" s="208"/>
      <c r="G41" s="208"/>
      <c r="H41" s="232" t="s">
        <v>87</v>
      </c>
      <c r="I41" s="335">
        <v>1</v>
      </c>
      <c r="J41" s="543"/>
      <c r="K41" s="219"/>
      <c r="L41" s="219"/>
      <c r="M41" s="219"/>
      <c r="N41" s="219"/>
      <c r="O41" s="225"/>
      <c r="S41" s="475"/>
      <c r="T41" s="476"/>
      <c r="U41" s="477"/>
      <c r="V41" s="467"/>
      <c r="W41" s="467"/>
      <c r="X41" s="467"/>
      <c r="Y41" s="467"/>
      <c r="Z41" s="467"/>
      <c r="AA41" s="467"/>
      <c r="AB41" s="467"/>
      <c r="AC41" s="467"/>
      <c r="AD41" s="467"/>
      <c r="AE41" s="467"/>
      <c r="AF41" s="467"/>
      <c r="AG41" s="467"/>
      <c r="AH41" s="467"/>
      <c r="AI41" s="468"/>
    </row>
    <row r="42" spans="1:35">
      <c r="A42" s="235"/>
      <c r="B42" s="320"/>
      <c r="C42" s="244" t="s">
        <v>88</v>
      </c>
      <c r="D42" s="239">
        <v>8760</v>
      </c>
      <c r="E42" s="230" t="s">
        <v>89</v>
      </c>
      <c r="F42" s="219"/>
      <c r="G42" s="219"/>
      <c r="H42" s="243" t="s">
        <v>90</v>
      </c>
      <c r="I42" s="335">
        <v>1</v>
      </c>
      <c r="J42" s="236"/>
      <c r="K42" s="236"/>
      <c r="L42" s="236"/>
      <c r="M42" s="236"/>
      <c r="N42" s="236"/>
      <c r="O42" s="242"/>
      <c r="S42" s="475"/>
      <c r="T42" s="476">
        <v>2</v>
      </c>
      <c r="U42" s="477" t="s">
        <v>91</v>
      </c>
      <c r="V42" s="467"/>
      <c r="W42" s="467"/>
      <c r="X42" s="467"/>
      <c r="Y42" s="467"/>
      <c r="Z42" s="467"/>
      <c r="AA42" s="467"/>
      <c r="AB42" s="467"/>
      <c r="AC42" s="467"/>
      <c r="AD42" s="467"/>
      <c r="AE42" s="467"/>
      <c r="AF42" s="467"/>
      <c r="AG42" s="467"/>
      <c r="AH42" s="467"/>
      <c r="AI42" s="468"/>
    </row>
    <row r="43" spans="1:35">
      <c r="A43" s="235"/>
      <c r="B43" s="321"/>
      <c r="C43" s="212"/>
      <c r="D43" s="212"/>
      <c r="E43" s="212"/>
      <c r="F43" s="322"/>
      <c r="G43" s="240"/>
      <c r="H43" s="238" t="s">
        <v>92</v>
      </c>
      <c r="I43" s="335">
        <v>1</v>
      </c>
      <c r="J43" s="236"/>
      <c r="K43" s="236"/>
      <c r="L43" s="236"/>
      <c r="M43" s="236"/>
      <c r="N43" s="236"/>
      <c r="O43" s="242"/>
      <c r="S43" s="475"/>
      <c r="T43" s="476">
        <v>1</v>
      </c>
      <c r="U43" s="477" t="s">
        <v>63</v>
      </c>
      <c r="V43" s="467"/>
      <c r="W43" s="467"/>
      <c r="X43" s="467"/>
      <c r="Y43" s="467"/>
      <c r="Z43" s="467"/>
      <c r="AA43" s="467"/>
      <c r="AB43" s="467"/>
      <c r="AC43" s="467"/>
      <c r="AD43" s="467"/>
      <c r="AE43" s="467"/>
      <c r="AF43" s="467"/>
      <c r="AG43" s="467"/>
      <c r="AH43" s="467"/>
      <c r="AI43" s="468"/>
    </row>
    <row r="44" spans="1:35">
      <c r="A44" s="235"/>
      <c r="B44" s="236"/>
      <c r="C44" s="243"/>
      <c r="D44" s="243"/>
      <c r="E44" s="244"/>
      <c r="F44" s="245"/>
      <c r="G44" s="230"/>
      <c r="H44" s="236"/>
      <c r="I44" s="231"/>
      <c r="J44" s="236"/>
      <c r="K44" s="236"/>
      <c r="L44" s="236"/>
      <c r="M44" s="236"/>
      <c r="N44" s="236"/>
      <c r="O44" s="242"/>
      <c r="S44" s="475"/>
      <c r="T44" s="476">
        <v>2</v>
      </c>
      <c r="U44" s="477" t="s">
        <v>67</v>
      </c>
      <c r="V44" s="467"/>
      <c r="W44" s="467"/>
      <c r="X44" s="467"/>
      <c r="Y44" s="467"/>
      <c r="Z44" s="467"/>
      <c r="AA44" s="467"/>
      <c r="AB44" s="467"/>
      <c r="AC44" s="467"/>
      <c r="AD44" s="467"/>
      <c r="AE44" s="467"/>
      <c r="AF44" s="467"/>
      <c r="AG44" s="467"/>
      <c r="AH44" s="467"/>
      <c r="AI44" s="468"/>
    </row>
    <row r="45" spans="1:35">
      <c r="A45" s="235"/>
      <c r="B45" s="236"/>
      <c r="C45" s="243"/>
      <c r="D45" s="243"/>
      <c r="E45" s="244"/>
      <c r="F45" s="245"/>
      <c r="G45" s="230"/>
      <c r="H45" s="236"/>
      <c r="I45" s="236"/>
      <c r="J45" s="236"/>
      <c r="K45" s="236"/>
      <c r="L45" s="236"/>
      <c r="M45" s="236"/>
      <c r="N45" s="236"/>
      <c r="O45" s="242"/>
      <c r="S45" s="475"/>
      <c r="T45" s="476"/>
      <c r="U45" s="477"/>
      <c r="V45" s="467"/>
      <c r="W45" s="467"/>
      <c r="X45" s="467"/>
      <c r="Y45" s="467"/>
      <c r="Z45" s="467"/>
      <c r="AA45" s="467"/>
      <c r="AB45" s="467"/>
      <c r="AC45" s="467"/>
      <c r="AD45" s="467"/>
      <c r="AE45" s="467"/>
      <c r="AF45" s="467"/>
      <c r="AG45" s="467"/>
      <c r="AH45" s="467"/>
      <c r="AI45" s="468"/>
    </row>
    <row r="46" spans="1:35">
      <c r="A46" s="235"/>
      <c r="B46" s="236"/>
      <c r="C46" s="246" t="s">
        <v>93</v>
      </c>
      <c r="D46" s="208"/>
      <c r="E46" s="208"/>
      <c r="F46" s="208"/>
      <c r="G46" s="208"/>
      <c r="H46" s="531"/>
      <c r="I46" s="236"/>
      <c r="J46" s="236"/>
      <c r="K46" s="236"/>
      <c r="L46" s="236"/>
      <c r="M46" s="236"/>
      <c r="N46" s="236"/>
      <c r="O46" s="242"/>
      <c r="S46" s="475"/>
      <c r="T46" s="476"/>
      <c r="U46" s="477"/>
      <c r="V46" s="467"/>
      <c r="W46" s="467"/>
      <c r="X46" s="467"/>
      <c r="Y46" s="467"/>
      <c r="Z46" s="467"/>
      <c r="AA46" s="467"/>
      <c r="AB46" s="467"/>
      <c r="AC46" s="467"/>
      <c r="AD46" s="467"/>
      <c r="AE46" s="467"/>
      <c r="AF46" s="467"/>
      <c r="AG46" s="467"/>
      <c r="AH46" s="467"/>
      <c r="AI46" s="468"/>
    </row>
    <row r="47" spans="1:35">
      <c r="A47" s="235"/>
      <c r="B47" s="236"/>
      <c r="C47" s="532"/>
      <c r="D47" s="219"/>
      <c r="E47" s="247" t="s">
        <v>94</v>
      </c>
      <c r="F47" s="215">
        <v>10</v>
      </c>
      <c r="G47" s="248" t="s">
        <v>57</v>
      </c>
      <c r="H47" s="533"/>
      <c r="I47" s="493" t="s">
        <v>95</v>
      </c>
      <c r="J47" s="236"/>
      <c r="K47" s="236"/>
      <c r="L47" s="236"/>
      <c r="M47" s="236"/>
      <c r="N47" s="236"/>
      <c r="O47" s="242"/>
      <c r="S47" s="475"/>
      <c r="T47" s="476"/>
      <c r="U47" s="477"/>
      <c r="V47" s="467"/>
      <c r="W47" s="467"/>
      <c r="X47" s="467"/>
      <c r="Y47" s="467"/>
      <c r="Z47" s="467"/>
      <c r="AA47" s="467"/>
      <c r="AB47" s="467"/>
      <c r="AC47" s="467"/>
      <c r="AD47" s="467"/>
      <c r="AE47" s="467"/>
      <c r="AF47" s="467"/>
      <c r="AG47" s="467"/>
      <c r="AH47" s="467"/>
      <c r="AI47" s="468"/>
    </row>
    <row r="48" spans="1:35" ht="14.1" thickBot="1">
      <c r="A48" s="235"/>
      <c r="B48" s="236"/>
      <c r="C48" s="532"/>
      <c r="D48" s="219"/>
      <c r="E48" s="247" t="s">
        <v>43</v>
      </c>
      <c r="F48" s="249">
        <v>0.5</v>
      </c>
      <c r="G48" s="248" t="s">
        <v>44</v>
      </c>
      <c r="H48" s="533"/>
      <c r="I48" s="493" t="str">
        <f>+IF(F48&gt;=0.5,"(default value is 0.5 %)"," Restriction will be required in permit")</f>
        <v>(default value is 0.5 %)</v>
      </c>
      <c r="J48" s="236"/>
      <c r="K48" s="236"/>
      <c r="L48" s="236"/>
      <c r="M48" s="236"/>
      <c r="N48" s="236"/>
      <c r="O48" s="242"/>
      <c r="S48" s="481"/>
      <c r="T48" s="482"/>
      <c r="U48" s="482"/>
      <c r="V48" s="482"/>
      <c r="W48" s="482"/>
      <c r="X48" s="482"/>
      <c r="Y48" s="482"/>
      <c r="Z48" s="482"/>
      <c r="AA48" s="482"/>
      <c r="AB48" s="482"/>
      <c r="AC48" s="482"/>
      <c r="AD48" s="482"/>
      <c r="AE48" s="482"/>
      <c r="AF48" s="482"/>
      <c r="AG48" s="482"/>
      <c r="AH48" s="482"/>
      <c r="AI48" s="483"/>
    </row>
    <row r="49" spans="1:256" ht="14.1" thickBot="1">
      <c r="A49" s="235"/>
      <c r="B49" s="236"/>
      <c r="C49" s="237"/>
      <c r="D49" s="238"/>
      <c r="E49" s="250" t="s">
        <v>96</v>
      </c>
      <c r="F49" s="251">
        <v>8760</v>
      </c>
      <c r="G49" s="252" t="s">
        <v>89</v>
      </c>
      <c r="H49" s="241"/>
      <c r="I49" s="493" t="str">
        <f>+IF(+F49&lt;AA10,CONCATENATE("INVALID ENTRY. Hours must be greater than ",ROUND(+F52/F30,0)," hours"),"(default is 8760 hours per year unless specified otherwise)")</f>
        <v>(default is 8760 hours per year unless specified otherwise)</v>
      </c>
      <c r="J49" s="236"/>
      <c r="K49" s="236"/>
      <c r="L49" s="236"/>
      <c r="M49" s="236"/>
      <c r="N49" s="236"/>
      <c r="O49" s="242"/>
      <c r="S49" s="484"/>
      <c r="T49" s="484"/>
      <c r="U49" s="484"/>
      <c r="V49" s="484"/>
      <c r="W49" s="484"/>
      <c r="X49" s="484"/>
      <c r="Y49" s="484"/>
      <c r="Z49" s="484"/>
      <c r="AA49" s="484"/>
      <c r="AB49" s="484"/>
      <c r="AC49" s="484"/>
      <c r="AD49" s="484"/>
      <c r="AE49" s="484"/>
      <c r="AF49" s="484"/>
      <c r="AG49" s="484"/>
      <c r="AH49" s="484"/>
      <c r="AI49" s="484"/>
    </row>
    <row r="50" spans="1:256">
      <c r="A50" s="235"/>
      <c r="B50" s="236"/>
      <c r="C50" s="243"/>
      <c r="D50" s="243"/>
      <c r="E50" s="284"/>
      <c r="F50" s="218"/>
      <c r="G50" s="285"/>
      <c r="H50" s="236"/>
      <c r="I50" s="231"/>
      <c r="J50" s="236"/>
      <c r="K50" s="236"/>
      <c r="L50" s="236"/>
      <c r="M50" s="236"/>
      <c r="N50" s="236"/>
      <c r="O50" s="242"/>
      <c r="S50" s="463"/>
      <c r="T50" s="464" t="s">
        <v>97</v>
      </c>
      <c r="U50" s="464"/>
      <c r="V50" s="464"/>
      <c r="W50" s="464"/>
      <c r="X50" s="464"/>
      <c r="Y50" s="464"/>
      <c r="Z50" s="464"/>
      <c r="AA50" s="464"/>
      <c r="AB50" s="464"/>
      <c r="AC50" s="464"/>
      <c r="AD50" s="464"/>
      <c r="AE50" s="464"/>
      <c r="AF50" s="465"/>
      <c r="AG50" s="484"/>
      <c r="AH50" s="484"/>
      <c r="AI50" s="484"/>
    </row>
    <row r="51" spans="1:256">
      <c r="A51" s="235"/>
      <c r="B51" s="288"/>
      <c r="C51" s="289"/>
      <c r="D51" s="289"/>
      <c r="E51" s="222" t="s">
        <v>98</v>
      </c>
      <c r="F51" s="492">
        <f>+IF(D87&gt;D86,((99-J121)*2000/(D87+D99)),((99-J120)*2000/(D86)))</f>
        <v>1483599.65153406</v>
      </c>
      <c r="G51" s="290" t="s">
        <v>99</v>
      </c>
      <c r="H51" s="291"/>
      <c r="I51" s="231"/>
      <c r="J51" s="236"/>
      <c r="K51" s="236"/>
      <c r="L51" s="236"/>
      <c r="M51" s="236"/>
      <c r="N51" s="236"/>
      <c r="O51" s="242"/>
      <c r="S51" s="466"/>
      <c r="T51" s="467"/>
      <c r="U51" s="467"/>
      <c r="V51" s="467"/>
      <c r="W51" s="467"/>
      <c r="X51" s="467"/>
      <c r="Y51" s="467"/>
      <c r="Z51" s="467"/>
      <c r="AA51" s="467"/>
      <c r="AB51" s="467"/>
      <c r="AC51" s="467"/>
      <c r="AD51" s="467"/>
      <c r="AE51" s="467"/>
      <c r="AF51" s="468"/>
      <c r="AG51" s="484"/>
      <c r="AH51" s="484"/>
      <c r="AI51" s="484"/>
    </row>
    <row r="52" spans="1:256">
      <c r="A52" s="224"/>
      <c r="B52" s="207"/>
      <c r="C52" s="208"/>
      <c r="D52" s="208"/>
      <c r="E52" s="209" t="str">
        <f>+IF(T12=1,"Actual tons of asphalt produced:","Requested Annual Production Limit:")</f>
        <v>Requested Annual Production Limit:</v>
      </c>
      <c r="F52" s="216">
        <v>250000</v>
      </c>
      <c r="G52" s="210" t="s">
        <v>99</v>
      </c>
      <c r="H52" s="531"/>
      <c r="I52" s="494" t="str">
        <f>IF(+F52&gt;F51+1,CONCATENATE(" INVALID ENTRY. Value must be less than or equal to ",ROUND(+F51,0)," tpy."),"(if none desired leave default value =8760*tph)")</f>
        <v>(if none desired leave default value =8760*tph)</v>
      </c>
      <c r="J52" s="248"/>
      <c r="K52" s="248"/>
      <c r="L52" s="248"/>
      <c r="M52" s="248"/>
      <c r="N52" s="248"/>
      <c r="O52" s="225"/>
      <c r="S52" s="466"/>
      <c r="T52" s="467"/>
      <c r="U52" s="467"/>
      <c r="V52" s="467"/>
      <c r="W52" s="467"/>
      <c r="X52" s="467"/>
      <c r="Y52" s="467"/>
      <c r="Z52" s="467"/>
      <c r="AA52" s="467"/>
      <c r="AB52" s="467"/>
      <c r="AC52" s="467"/>
      <c r="AD52" s="467"/>
      <c r="AE52" s="467"/>
      <c r="AF52" s="468"/>
      <c r="AG52" s="484"/>
      <c r="AH52" s="484"/>
      <c r="AI52" s="484"/>
    </row>
    <row r="53" spans="1:256">
      <c r="A53" s="432"/>
      <c r="B53" s="433"/>
      <c r="C53" s="434"/>
      <c r="D53" s="434"/>
      <c r="E53" s="435" t="s">
        <v>100</v>
      </c>
      <c r="F53" s="216"/>
      <c r="G53" s="436" t="s">
        <v>12</v>
      </c>
      <c r="H53" s="437"/>
      <c r="I53" s="644" t="str">
        <f>+IF(T12=1,"",IF(+F53&lt;24*F30,CONCATENATE("Are you SURE you want a restriction? If you do not want a daily restriction, make sure the cell has the value 24 hours/day *", +F30, " tons per hour = ", 24*F30," tons per day."),IF(+F53&gt;24*F30,CONCATENATE("INVALID ENTRY. Value too large. Value must be less than or equal to ", 24*F30," tons per day."),"(if none desired leave default value = 24*tph)")))</f>
        <v>Are you SURE you want a restriction? If you do not want a daily restriction, make sure the cell has the value 24 hours/day *300 tons per hour = 7200 tons per day.</v>
      </c>
      <c r="J53" s="645"/>
      <c r="K53" s="645"/>
      <c r="L53" s="645"/>
      <c r="M53" s="645"/>
      <c r="N53" s="645"/>
      <c r="O53" s="225"/>
      <c r="S53" s="466"/>
      <c r="T53" s="467"/>
      <c r="U53" s="467"/>
      <c r="V53" s="467"/>
      <c r="W53" s="467"/>
      <c r="X53" s="467"/>
      <c r="Y53" s="467"/>
      <c r="Z53" s="467"/>
      <c r="AA53" s="467"/>
      <c r="AB53" s="467"/>
      <c r="AC53" s="467"/>
      <c r="AD53" s="467"/>
      <c r="AE53" s="467"/>
      <c r="AF53" s="468"/>
      <c r="AG53" s="484"/>
      <c r="AH53" s="484"/>
      <c r="AI53" s="484"/>
    </row>
    <row r="54" spans="1:256" ht="12.75" customHeight="1">
      <c r="A54" s="432"/>
      <c r="B54" s="438"/>
      <c r="C54" s="438"/>
      <c r="D54" s="438"/>
      <c r="E54" s="439"/>
      <c r="F54" s="440"/>
      <c r="G54" s="441"/>
      <c r="H54" s="442"/>
      <c r="I54" s="645"/>
      <c r="J54" s="645"/>
      <c r="K54" s="645"/>
      <c r="L54" s="645"/>
      <c r="M54" s="645"/>
      <c r="N54" s="645"/>
      <c r="O54" s="225"/>
      <c r="S54" s="466"/>
      <c r="T54" s="467"/>
      <c r="U54" s="467"/>
      <c r="V54" s="467"/>
      <c r="W54" s="467"/>
      <c r="X54" s="467"/>
      <c r="Y54" s="467"/>
      <c r="Z54" s="467"/>
      <c r="AA54" s="467"/>
      <c r="AB54" s="467"/>
      <c r="AC54" s="467"/>
      <c r="AD54" s="467"/>
      <c r="AE54" s="467"/>
      <c r="AF54" s="468"/>
      <c r="AG54" s="484"/>
      <c r="AH54" s="484"/>
      <c r="AI54" s="484"/>
    </row>
    <row r="55" spans="1:256">
      <c r="A55" s="432"/>
      <c r="B55" s="438"/>
      <c r="C55" s="438"/>
      <c r="D55" s="438"/>
      <c r="E55" s="439"/>
      <c r="F55" s="440"/>
      <c r="G55" s="441"/>
      <c r="H55" s="442"/>
      <c r="I55" s="645"/>
      <c r="J55" s="645"/>
      <c r="K55" s="645"/>
      <c r="L55" s="645"/>
      <c r="M55" s="645"/>
      <c r="N55" s="645"/>
      <c r="O55" s="225"/>
      <c r="S55" s="466"/>
      <c r="T55" s="467" t="str">
        <f>+IF(type=1,U17,U18)</f>
        <v>Drum mix</v>
      </c>
      <c r="U55" s="467" t="s">
        <v>101</v>
      </c>
      <c r="V55" s="467"/>
      <c r="W55" s="467"/>
      <c r="X55" s="467"/>
      <c r="Y55" s="467"/>
      <c r="Z55" s="467"/>
      <c r="AA55" s="467"/>
      <c r="AB55" s="467"/>
      <c r="AC55" s="467"/>
      <c r="AD55" s="467"/>
      <c r="AE55" s="467"/>
      <c r="AF55" s="468"/>
      <c r="AG55" s="484"/>
      <c r="AH55" s="484"/>
      <c r="AI55" s="484"/>
    </row>
    <row r="56" spans="1:256">
      <c r="A56" s="432"/>
      <c r="B56" s="438"/>
      <c r="C56" s="438"/>
      <c r="D56" s="438"/>
      <c r="E56" s="438"/>
      <c r="F56" s="438"/>
      <c r="G56" s="438"/>
      <c r="H56" s="438"/>
      <c r="I56" s="443"/>
      <c r="J56" s="444"/>
      <c r="K56" s="444"/>
      <c r="L56" s="444"/>
      <c r="M56" s="444"/>
      <c r="N56" s="438"/>
      <c r="O56" s="225"/>
      <c r="S56" s="466"/>
      <c r="T56" s="467" t="str">
        <f>+IF(fuel=1,U21,IF(fuel=2,U22,U23))</f>
        <v>Natural gas-fired</v>
      </c>
      <c r="U56" s="467"/>
      <c r="V56" s="467"/>
      <c r="W56" s="467"/>
      <c r="X56" s="467"/>
      <c r="Y56" s="467"/>
      <c r="Z56" s="467"/>
      <c r="AA56" s="467"/>
      <c r="AB56" s="467"/>
      <c r="AC56" s="467"/>
      <c r="AD56" s="467"/>
      <c r="AE56" s="467"/>
      <c r="AF56" s="468"/>
      <c r="AG56" s="484"/>
      <c r="AH56" s="484"/>
      <c r="AI56" s="484"/>
    </row>
    <row r="57" spans="1:256">
      <c r="A57" s="432"/>
      <c r="B57" s="438"/>
      <c r="C57" s="445"/>
      <c r="D57" s="598" t="s">
        <v>102</v>
      </c>
      <c r="E57" s="598"/>
      <c r="F57" s="598"/>
      <c r="G57" s="598"/>
      <c r="H57" s="598"/>
      <c r="I57" s="598"/>
      <c r="J57" s="599"/>
      <c r="K57" s="535"/>
      <c r="L57" s="535"/>
      <c r="M57" s="438"/>
      <c r="N57" s="438"/>
      <c r="O57" s="225"/>
      <c r="S57" s="466"/>
      <c r="T57" s="467" t="str">
        <f>+IF(control=2,U27,IF(control=3,U28,U26))</f>
        <v>Uncontrolled</v>
      </c>
      <c r="U57" s="467"/>
      <c r="V57" s="467"/>
      <c r="W57" s="467"/>
      <c r="X57" s="467"/>
      <c r="Y57" s="467"/>
      <c r="Z57" s="467"/>
      <c r="AA57" s="467"/>
      <c r="AB57" s="467"/>
      <c r="AC57" s="467"/>
      <c r="AD57" s="467"/>
      <c r="AE57" s="467"/>
      <c r="AF57" s="468"/>
      <c r="AG57" s="484"/>
      <c r="AH57" s="484"/>
      <c r="AI57" s="484"/>
    </row>
    <row r="58" spans="1:256">
      <c r="A58" s="432"/>
      <c r="B58" s="438"/>
      <c r="C58" s="433"/>
      <c r="D58" s="600"/>
      <c r="E58" s="600"/>
      <c r="F58" s="600"/>
      <c r="G58" s="600"/>
      <c r="H58" s="600"/>
      <c r="I58" s="600"/>
      <c r="J58" s="601"/>
      <c r="K58" s="535"/>
      <c r="L58" s="535"/>
      <c r="M58" s="444"/>
      <c r="N58" s="438"/>
      <c r="O58" s="225"/>
      <c r="S58" s="466"/>
      <c r="T58" s="467" t="str">
        <f>+IF(NSPS=1,"NSPS","non-NSPS")</f>
        <v>non-NSPS</v>
      </c>
      <c r="U58" s="467" t="s">
        <v>103</v>
      </c>
      <c r="V58" s="467"/>
      <c r="W58" s="467"/>
      <c r="X58" s="467"/>
      <c r="Y58" s="467"/>
      <c r="Z58" s="467"/>
      <c r="AA58" s="467"/>
      <c r="AB58" s="467"/>
      <c r="AC58" s="467"/>
      <c r="AD58" s="467"/>
      <c r="AE58" s="467"/>
      <c r="AF58" s="468"/>
      <c r="AG58" s="484"/>
      <c r="AH58" s="484"/>
      <c r="AI58" s="484"/>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c r="GK58" s="38"/>
      <c r="GL58" s="38"/>
      <c r="GM58" s="38"/>
      <c r="GN58" s="38"/>
      <c r="GO58" s="38"/>
      <c r="GP58" s="38"/>
      <c r="GQ58" s="38"/>
      <c r="GR58" s="38"/>
      <c r="GS58" s="38"/>
      <c r="GT58" s="38"/>
      <c r="GU58" s="38"/>
      <c r="GV58" s="38"/>
      <c r="GW58" s="38"/>
      <c r="GX58" s="38"/>
      <c r="GY58" s="38"/>
      <c r="GZ58" s="38"/>
      <c r="HA58" s="38"/>
      <c r="HB58" s="38"/>
      <c r="HC58" s="38"/>
      <c r="HD58" s="38"/>
      <c r="HE58" s="38"/>
      <c r="HF58" s="38"/>
      <c r="HG58" s="38"/>
      <c r="HH58" s="38"/>
      <c r="HI58" s="38"/>
      <c r="HJ58" s="38"/>
      <c r="HK58" s="38"/>
      <c r="HL58" s="38"/>
      <c r="HM58" s="38"/>
      <c r="HN58" s="38"/>
      <c r="HO58" s="38"/>
      <c r="HP58" s="38"/>
      <c r="HQ58" s="38"/>
      <c r="HR58" s="38"/>
      <c r="HS58" s="38"/>
      <c r="HT58" s="38"/>
      <c r="HU58" s="38"/>
      <c r="HV58" s="38"/>
      <c r="HW58" s="38"/>
      <c r="HX58" s="38"/>
      <c r="HY58" s="38"/>
      <c r="HZ58" s="38"/>
      <c r="IA58" s="38"/>
      <c r="IB58" s="38"/>
      <c r="IC58" s="38"/>
      <c r="ID58" s="38"/>
      <c r="IE58" s="38"/>
      <c r="IF58" s="38"/>
      <c r="IG58" s="38"/>
      <c r="IH58" s="38"/>
      <c r="II58" s="38"/>
      <c r="IJ58" s="38"/>
      <c r="IK58" s="38"/>
      <c r="IL58" s="38"/>
      <c r="IM58" s="38"/>
      <c r="IN58" s="38"/>
      <c r="IO58" s="38"/>
      <c r="IP58" s="38"/>
      <c r="IQ58" s="38"/>
      <c r="IR58" s="38"/>
      <c r="IS58" s="38"/>
      <c r="IT58" s="38"/>
      <c r="IU58" s="38"/>
      <c r="IV58" s="38"/>
    </row>
    <row r="59" spans="1:256">
      <c r="A59" s="224"/>
      <c r="B59" s="219"/>
      <c r="C59" s="207"/>
      <c r="D59" s="208"/>
      <c r="E59" s="208"/>
      <c r="F59" s="208"/>
      <c r="G59" s="232" t="s">
        <v>104</v>
      </c>
      <c r="H59" s="334">
        <v>68145</v>
      </c>
      <c r="I59" s="208" t="s">
        <v>105</v>
      </c>
      <c r="J59" s="531"/>
      <c r="K59" s="219"/>
      <c r="L59" s="219"/>
      <c r="M59" s="219"/>
      <c r="N59" s="219"/>
      <c r="O59" s="225"/>
      <c r="S59" s="466"/>
      <c r="T59" s="467" t="str">
        <f>+IF(RAP=1,"with RAP","no RAP")</f>
        <v>with RAP</v>
      </c>
      <c r="U59" s="467"/>
      <c r="V59" s="467"/>
      <c r="W59" s="467"/>
      <c r="X59" s="467"/>
      <c r="Y59" s="467"/>
      <c r="Z59" s="467"/>
      <c r="AA59" s="467"/>
      <c r="AB59" s="467"/>
      <c r="AC59" s="467"/>
      <c r="AD59" s="467"/>
      <c r="AE59" s="467"/>
      <c r="AF59" s="468"/>
      <c r="AG59" s="484"/>
      <c r="AH59" s="484"/>
      <c r="AI59" s="484"/>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c r="HE59" s="38"/>
      <c r="HF59" s="38"/>
      <c r="HG59" s="38"/>
      <c r="HH59" s="38"/>
      <c r="HI59" s="38"/>
      <c r="HJ59" s="38"/>
      <c r="HK59" s="38"/>
      <c r="HL59" s="38"/>
      <c r="HM59" s="38"/>
      <c r="HN59" s="38"/>
      <c r="HO59" s="38"/>
      <c r="HP59" s="38"/>
      <c r="HQ59" s="38"/>
      <c r="HR59" s="38"/>
      <c r="HS59" s="38"/>
      <c r="HT59" s="38"/>
      <c r="HU59" s="38"/>
      <c r="HV59" s="38"/>
      <c r="HW59" s="38"/>
      <c r="HX59" s="38"/>
      <c r="HY59" s="38"/>
      <c r="HZ59" s="38"/>
      <c r="IA59" s="38"/>
      <c r="IB59" s="38"/>
      <c r="IC59" s="38"/>
      <c r="ID59" s="38"/>
      <c r="IE59" s="38"/>
      <c r="IF59" s="38"/>
      <c r="IG59" s="38"/>
      <c r="IH59" s="38"/>
      <c r="II59" s="38"/>
      <c r="IJ59" s="38"/>
      <c r="IK59" s="38"/>
      <c r="IL59" s="38"/>
      <c r="IM59" s="38"/>
      <c r="IN59" s="38"/>
      <c r="IO59" s="38"/>
      <c r="IP59" s="38"/>
      <c r="IQ59" s="38"/>
      <c r="IR59" s="38"/>
      <c r="IS59" s="38"/>
      <c r="IT59" s="38"/>
      <c r="IU59" s="38"/>
      <c r="IV59" s="38"/>
    </row>
    <row r="60" spans="1:256">
      <c r="A60" s="224"/>
      <c r="B60" s="219"/>
      <c r="C60" s="532"/>
      <c r="D60" s="219"/>
      <c r="E60" s="219"/>
      <c r="F60" s="219"/>
      <c r="G60" s="243" t="s">
        <v>106</v>
      </c>
      <c r="H60" s="335">
        <v>240</v>
      </c>
      <c r="I60" s="219" t="s">
        <v>107</v>
      </c>
      <c r="J60" s="533"/>
      <c r="K60" s="219"/>
      <c r="L60" s="219"/>
      <c r="M60" s="219"/>
      <c r="N60" s="219"/>
      <c r="O60" s="225"/>
      <c r="S60" s="466"/>
      <c r="T60" s="467">
        <f>+F29</f>
        <v>100</v>
      </c>
      <c r="U60" s="467" t="s">
        <v>108</v>
      </c>
      <c r="V60" s="467"/>
      <c r="W60" s="467"/>
      <c r="X60" s="467"/>
      <c r="Y60" s="467"/>
      <c r="Z60" s="467"/>
      <c r="AA60" s="467"/>
      <c r="AB60" s="467"/>
      <c r="AC60" s="467"/>
      <c r="AD60" s="467"/>
      <c r="AE60" s="467"/>
      <c r="AF60" s="468"/>
      <c r="AG60" s="484"/>
      <c r="AH60" s="484"/>
      <c r="AI60" s="484"/>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row>
    <row r="61" spans="1:256">
      <c r="A61" s="224"/>
      <c r="B61" s="219"/>
      <c r="C61" s="532"/>
      <c r="D61" s="219"/>
      <c r="E61" s="219"/>
      <c r="F61" s="219"/>
      <c r="G61" s="243" t="s">
        <v>109</v>
      </c>
      <c r="H61" s="335">
        <v>33</v>
      </c>
      <c r="I61" s="219" t="s">
        <v>44</v>
      </c>
      <c r="J61" s="533"/>
      <c r="K61" s="219"/>
      <c r="L61" s="219"/>
      <c r="M61" s="219"/>
      <c r="N61" s="219"/>
      <c r="O61" s="225"/>
      <c r="S61" s="466"/>
      <c r="T61" s="485">
        <f>+F30</f>
        <v>300</v>
      </c>
      <c r="U61" s="467" t="s">
        <v>110</v>
      </c>
      <c r="V61" s="467"/>
      <c r="W61" s="467"/>
      <c r="X61" s="467"/>
      <c r="Y61" s="467"/>
      <c r="Z61" s="467"/>
      <c r="AA61" s="467"/>
      <c r="AB61" s="467"/>
      <c r="AC61" s="467"/>
      <c r="AD61" s="467"/>
      <c r="AE61" s="467"/>
      <c r="AF61" s="468"/>
      <c r="AG61" s="484"/>
      <c r="AH61" s="484"/>
      <c r="AI61" s="484"/>
    </row>
    <row r="62" spans="1:256" ht="12.75" customHeight="1">
      <c r="A62" s="224"/>
      <c r="B62" s="219"/>
      <c r="C62" s="532"/>
      <c r="D62" s="219"/>
      <c r="E62" s="219"/>
      <c r="F62" s="219"/>
      <c r="G62" s="243" t="s">
        <v>111</v>
      </c>
      <c r="H62" s="336" t="str">
        <f>IF(NSPS=1,H59*60*528/(460+H60)*(1-H61/100)*0.04/7000,"NA")</f>
        <v>NA</v>
      </c>
      <c r="I62" s="219" t="s">
        <v>112</v>
      </c>
      <c r="J62" s="533"/>
      <c r="K62" s="219"/>
      <c r="L62" s="219"/>
      <c r="M62" s="219"/>
      <c r="N62" s="219"/>
      <c r="O62" s="225"/>
      <c r="S62" s="466"/>
      <c r="T62" s="467" t="str">
        <f>+IF(silofill=1,"w/silofill","nosilos")</f>
        <v>w/silofill</v>
      </c>
      <c r="U62" s="467"/>
      <c r="V62" s="467"/>
      <c r="W62" s="467"/>
      <c r="X62" s="467"/>
      <c r="Y62" s="467"/>
      <c r="Z62" s="467"/>
      <c r="AA62" s="467"/>
      <c r="AB62" s="467"/>
      <c r="AC62" s="467"/>
      <c r="AD62" s="467"/>
      <c r="AE62" s="467"/>
      <c r="AF62" s="468"/>
      <c r="AG62" s="484"/>
      <c r="AH62" s="484"/>
      <c r="AI62" s="484"/>
      <c r="AJ62" s="456"/>
      <c r="AK62" s="38"/>
    </row>
    <row r="63" spans="1:256" s="38" customFormat="1" ht="24" customHeight="1">
      <c r="A63" s="224"/>
      <c r="B63" s="219"/>
      <c r="C63" s="532"/>
      <c r="D63" s="219"/>
      <c r="E63" s="219"/>
      <c r="F63" s="219"/>
      <c r="G63" s="243" t="s">
        <v>113</v>
      </c>
      <c r="H63" s="337" t="str">
        <f>IF(NSPS=1,(F82-H62)/F82*100,"N/A")</f>
        <v>N/A</v>
      </c>
      <c r="I63" s="219" t="s">
        <v>44</v>
      </c>
      <c r="J63" s="533"/>
      <c r="K63" s="219"/>
      <c r="L63" s="219"/>
      <c r="M63" s="219"/>
      <c r="N63" s="219"/>
      <c r="O63" s="225"/>
      <c r="P63" s="456"/>
      <c r="Q63" s="456"/>
      <c r="R63" s="457"/>
      <c r="S63" s="466"/>
      <c r="T63" s="467"/>
      <c r="U63" s="467"/>
      <c r="V63" s="467"/>
      <c r="W63" s="467"/>
      <c r="X63" s="467"/>
      <c r="Y63" s="467"/>
      <c r="Z63" s="467"/>
      <c r="AA63" s="467"/>
      <c r="AB63" s="467"/>
      <c r="AC63" s="467"/>
      <c r="AD63" s="467"/>
      <c r="AE63" s="467"/>
      <c r="AF63" s="468"/>
      <c r="AG63" s="484"/>
      <c r="AH63" s="484"/>
      <c r="AI63" s="484"/>
      <c r="AJ63" s="456"/>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s="38" customFormat="1">
      <c r="A64" s="224"/>
      <c r="B64" s="219"/>
      <c r="C64" s="532"/>
      <c r="D64" s="219"/>
      <c r="E64" s="219"/>
      <c r="F64" s="459"/>
      <c r="G64" s="460"/>
      <c r="H64" s="461"/>
      <c r="I64" s="459"/>
      <c r="J64" s="533"/>
      <c r="K64" s="219"/>
      <c r="L64" s="219"/>
      <c r="M64" s="219"/>
      <c r="N64" s="219"/>
      <c r="O64" s="225"/>
      <c r="P64" s="456"/>
      <c r="Q64" s="456"/>
      <c r="R64" s="457"/>
      <c r="S64" s="466"/>
      <c r="T64" s="486" t="str">
        <f>+IF(fuel=1,"n/a",F25)</f>
        <v>n/a</v>
      </c>
      <c r="U64" s="467" t="s">
        <v>114</v>
      </c>
      <c r="V64" s="467" t="s">
        <v>44</v>
      </c>
      <c r="W64" s="467"/>
      <c r="X64" s="467"/>
      <c r="Y64" s="467"/>
      <c r="Z64" s="467"/>
      <c r="AA64" s="467"/>
      <c r="AB64" s="467"/>
      <c r="AC64" s="467"/>
      <c r="AD64" s="467"/>
      <c r="AE64" s="467"/>
      <c r="AF64" s="468"/>
      <c r="AG64" s="484"/>
      <c r="AH64" s="484"/>
      <c r="AI64" s="484"/>
      <c r="AJ64" s="457"/>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38" customFormat="1">
      <c r="A65" s="224"/>
      <c r="B65" s="219"/>
      <c r="C65" s="532"/>
      <c r="D65" s="219"/>
      <c r="E65" s="219"/>
      <c r="F65" s="459"/>
      <c r="G65" s="491" t="s">
        <v>115</v>
      </c>
      <c r="H65" s="462"/>
      <c r="I65" s="459"/>
      <c r="J65" s="533"/>
      <c r="K65" s="219"/>
      <c r="L65" s="219"/>
      <c r="M65" s="219"/>
      <c r="N65" s="219"/>
      <c r="O65" s="225"/>
      <c r="P65" s="456"/>
      <c r="Q65" s="456"/>
      <c r="R65" s="457"/>
      <c r="S65" s="466"/>
      <c r="T65" s="467"/>
      <c r="U65" s="467"/>
      <c r="V65" s="467"/>
      <c r="W65" s="467"/>
      <c r="X65" s="467"/>
      <c r="Y65" s="467"/>
      <c r="Z65" s="467"/>
      <c r="AA65" s="467"/>
      <c r="AB65" s="467"/>
      <c r="AC65" s="467"/>
      <c r="AD65" s="467"/>
      <c r="AE65" s="467"/>
      <c r="AF65" s="468"/>
      <c r="AG65" s="484"/>
      <c r="AH65" s="484"/>
      <c r="AI65" s="484"/>
      <c r="AJ65" s="457"/>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75" customHeight="1">
      <c r="A66" s="224"/>
      <c r="B66" s="219"/>
      <c r="C66" s="532"/>
      <c r="D66" s="219"/>
      <c r="E66" s="219"/>
      <c r="F66" s="219"/>
      <c r="G66" s="243" t="s">
        <v>116</v>
      </c>
      <c r="H66" s="431">
        <v>40</v>
      </c>
      <c r="I66" s="219" t="s">
        <v>112</v>
      </c>
      <c r="J66" s="533"/>
      <c r="K66" s="219"/>
      <c r="L66" s="219"/>
      <c r="M66" s="219"/>
      <c r="N66" s="219"/>
      <c r="O66" s="225"/>
      <c r="S66" s="466"/>
      <c r="T66" s="467"/>
      <c r="U66" s="467" t="str">
        <f>+CONCATENATE(+T58," ",U58," ",+T61," ",+U61," ",+T56,", ",T55," ",U55," (",T60," ", U60,", ",T62,", ",+T59,", ",U64,+T64,V64,")")</f>
        <v>non-NSPS affected 300 tph Natural gas-fired, Drum mix asphalt plant (100 mmBtu/hr heat input, w/silofill, with RAP, sulfur=n/a%)</v>
      </c>
      <c r="V66" s="467"/>
      <c r="W66" s="467"/>
      <c r="X66" s="467"/>
      <c r="Y66" s="467"/>
      <c r="Z66" s="467"/>
      <c r="AA66" s="467"/>
      <c r="AB66" s="467"/>
      <c r="AC66" s="467"/>
      <c r="AD66" s="467"/>
      <c r="AE66" s="467"/>
      <c r="AF66" s="468"/>
      <c r="AG66" s="484"/>
      <c r="AH66" s="484"/>
      <c r="AI66" s="484"/>
    </row>
    <row r="67" spans="1:256">
      <c r="A67" s="224"/>
      <c r="B67" s="219"/>
      <c r="C67" s="211"/>
      <c r="D67" s="212"/>
      <c r="E67" s="212"/>
      <c r="F67" s="212"/>
      <c r="G67" s="238" t="s">
        <v>117</v>
      </c>
      <c r="H67" s="337">
        <f>+(F82-H66)/F82*100</f>
        <v>99.523809523809518</v>
      </c>
      <c r="I67" s="212" t="s">
        <v>44</v>
      </c>
      <c r="J67" s="220"/>
      <c r="K67" s="219"/>
      <c r="L67" s="219"/>
      <c r="M67" s="219"/>
      <c r="N67" s="219"/>
      <c r="O67" s="225"/>
      <c r="R67" s="456"/>
      <c r="S67" s="466"/>
      <c r="T67" s="467"/>
      <c r="U67" s="467"/>
      <c r="V67" s="467"/>
      <c r="W67" s="467"/>
      <c r="X67" s="467"/>
      <c r="Y67" s="467"/>
      <c r="Z67" s="467"/>
      <c r="AA67" s="467"/>
      <c r="AB67" s="467"/>
      <c r="AC67" s="467"/>
      <c r="AD67" s="467"/>
      <c r="AE67" s="467"/>
      <c r="AF67" s="468"/>
      <c r="AG67" s="484"/>
      <c r="AH67" s="484"/>
      <c r="AI67" s="484"/>
    </row>
    <row r="68" spans="1:256">
      <c r="A68" s="224"/>
      <c r="B68" s="219"/>
      <c r="C68" s="219"/>
      <c r="D68" s="219"/>
      <c r="E68" s="219"/>
      <c r="F68" s="219"/>
      <c r="G68" s="219"/>
      <c r="H68" s="219"/>
      <c r="I68" s="219"/>
      <c r="J68" s="219"/>
      <c r="K68" s="219"/>
      <c r="L68" s="219"/>
      <c r="M68" s="219"/>
      <c r="N68" s="219"/>
      <c r="O68" s="225"/>
      <c r="R68" s="456"/>
      <c r="S68" s="466"/>
      <c r="T68" s="467">
        <f>+IF(F53=24*F30,"none",+F53)</f>
        <v>0</v>
      </c>
      <c r="U68" s="467" t="s">
        <v>118</v>
      </c>
      <c r="V68" s="467"/>
      <c r="W68" s="467"/>
      <c r="X68" s="467"/>
      <c r="Y68" s="467"/>
      <c r="Z68" s="467"/>
      <c r="AA68" s="467"/>
      <c r="AB68" s="467"/>
      <c r="AC68" s="467"/>
      <c r="AD68" s="467"/>
      <c r="AE68" s="467"/>
      <c r="AF68" s="468"/>
      <c r="AG68" s="484"/>
      <c r="AH68" s="484"/>
      <c r="AI68" s="484"/>
    </row>
    <row r="69" spans="1:256">
      <c r="A69" s="224"/>
      <c r="B69" s="219"/>
      <c r="C69" s="207"/>
      <c r="D69" s="208"/>
      <c r="E69" s="208"/>
      <c r="F69" s="208"/>
      <c r="G69" s="232" t="s">
        <v>119</v>
      </c>
      <c r="H69" s="336">
        <f>IF(INPUT!F30&lt;300,4.9445*(INPUT!F30^0.4376),60)</f>
        <v>60</v>
      </c>
      <c r="I69" s="208" t="s">
        <v>112</v>
      </c>
      <c r="J69" s="208"/>
      <c r="K69" s="531"/>
      <c r="L69" s="219"/>
      <c r="M69" s="219"/>
      <c r="N69" s="219"/>
      <c r="O69" s="225"/>
      <c r="S69" s="466"/>
      <c r="T69" s="467"/>
      <c r="U69" s="467"/>
      <c r="V69" s="467"/>
      <c r="W69" s="467"/>
      <c r="X69" s="467"/>
      <c r="Y69" s="467"/>
      <c r="Z69" s="467"/>
      <c r="AA69" s="467"/>
      <c r="AB69" s="467"/>
      <c r="AC69" s="467"/>
      <c r="AD69" s="467"/>
      <c r="AE69" s="467"/>
      <c r="AF69" s="468"/>
      <c r="AG69" s="484"/>
      <c r="AH69" s="484"/>
      <c r="AI69" s="484"/>
    </row>
    <row r="70" spans="1:256">
      <c r="A70" s="224"/>
      <c r="B70" s="219"/>
      <c r="C70" s="532"/>
      <c r="D70" s="219"/>
      <c r="E70" s="219"/>
      <c r="F70" s="219"/>
      <c r="G70" s="243" t="s">
        <v>120</v>
      </c>
      <c r="H70" s="338" t="str">
        <f>IF(H84&lt;H69,"Yes","No")</f>
        <v>No</v>
      </c>
      <c r="I70" s="253" t="s">
        <v>121</v>
      </c>
      <c r="J70" s="219"/>
      <c r="K70" s="533"/>
      <c r="L70" s="219"/>
      <c r="M70" s="219"/>
      <c r="N70" s="219"/>
      <c r="O70" s="225"/>
      <c r="S70" s="466"/>
      <c r="T70" s="467"/>
      <c r="U70" s="467" t="str">
        <f>+IF(F53=24*F30,".",CONCATENATE(+U68," ",+T68," tons."))</f>
        <v>and a daily production limit of 0 tons.</v>
      </c>
      <c r="V70" s="467"/>
      <c r="W70" s="467"/>
      <c r="X70" s="467"/>
      <c r="Y70" s="467"/>
      <c r="Z70" s="467"/>
      <c r="AA70" s="467"/>
      <c r="AB70" s="467"/>
      <c r="AC70" s="467"/>
      <c r="AD70" s="467"/>
      <c r="AE70" s="467"/>
      <c r="AF70" s="468"/>
      <c r="AG70" s="484"/>
      <c r="AH70" s="484"/>
      <c r="AI70" s="484"/>
    </row>
    <row r="71" spans="1:256">
      <c r="A71" s="224"/>
      <c r="B71" s="219"/>
      <c r="C71" s="211"/>
      <c r="D71" s="212"/>
      <c r="E71" s="212"/>
      <c r="F71" s="212"/>
      <c r="G71" s="238" t="s">
        <v>113</v>
      </c>
      <c r="H71" s="337">
        <f>+(F84-H69)/F84*100</f>
        <v>99.285714285714292</v>
      </c>
      <c r="I71" s="212" t="s">
        <v>44</v>
      </c>
      <c r="J71" s="212"/>
      <c r="K71" s="220"/>
      <c r="L71" s="219"/>
      <c r="M71" s="219"/>
      <c r="N71" s="219"/>
      <c r="O71" s="225"/>
      <c r="S71" s="487"/>
      <c r="T71" s="488"/>
      <c r="U71" s="488"/>
      <c r="V71" s="488"/>
      <c r="W71" s="488"/>
      <c r="X71" s="488"/>
      <c r="Y71" s="488"/>
      <c r="Z71" s="488"/>
      <c r="AA71" s="488"/>
      <c r="AB71" s="488"/>
      <c r="AC71" s="488"/>
      <c r="AD71" s="488"/>
      <c r="AE71" s="488"/>
      <c r="AF71" s="489"/>
      <c r="AG71" s="490"/>
      <c r="AH71" s="490"/>
      <c r="AI71" s="490"/>
    </row>
    <row r="72" spans="1:256" ht="14.1" thickBot="1">
      <c r="A72" s="224"/>
      <c r="B72" s="219"/>
      <c r="C72" s="219"/>
      <c r="D72" s="219"/>
      <c r="E72" s="219"/>
      <c r="F72" s="219"/>
      <c r="G72" s="219"/>
      <c r="H72" s="219"/>
      <c r="I72" s="219"/>
      <c r="J72" s="219"/>
      <c r="K72" s="219"/>
      <c r="L72" s="219"/>
      <c r="M72" s="219"/>
      <c r="N72" s="219"/>
      <c r="O72" s="225"/>
      <c r="S72" s="487"/>
      <c r="T72" s="488"/>
      <c r="U72" s="488"/>
      <c r="V72" s="488"/>
      <c r="W72" s="488"/>
      <c r="X72" s="488"/>
      <c r="Y72" s="488"/>
      <c r="Z72" s="488"/>
      <c r="AA72" s="488"/>
      <c r="AB72" s="488"/>
      <c r="AC72" s="488"/>
      <c r="AD72" s="488"/>
      <c r="AE72" s="488"/>
      <c r="AF72" s="489"/>
      <c r="AG72" s="490"/>
      <c r="AH72" s="490"/>
      <c r="AI72" s="490"/>
    </row>
    <row r="73" spans="1:256">
      <c r="A73" s="257"/>
      <c r="B73" s="259"/>
      <c r="C73" s="259"/>
      <c r="D73" s="259"/>
      <c r="E73" s="259"/>
      <c r="F73" s="259"/>
      <c r="G73" s="259"/>
      <c r="H73" s="259"/>
      <c r="I73" s="259"/>
      <c r="J73" s="259"/>
      <c r="K73" s="259"/>
      <c r="L73" s="259"/>
      <c r="M73" s="259"/>
      <c r="N73" s="259"/>
      <c r="O73" s="260"/>
      <c r="S73" s="466"/>
      <c r="T73" s="467"/>
      <c r="U73" s="467"/>
      <c r="V73" s="467"/>
      <c r="W73" s="467"/>
      <c r="X73" s="467"/>
      <c r="Y73" s="467"/>
      <c r="Z73" s="467"/>
      <c r="AA73" s="467"/>
      <c r="AB73" s="467"/>
      <c r="AC73" s="467"/>
      <c r="AD73" s="467"/>
      <c r="AE73" s="467"/>
      <c r="AF73" s="468"/>
      <c r="AG73" s="484"/>
      <c r="AH73" s="484"/>
      <c r="AI73" s="484"/>
    </row>
    <row r="74" spans="1:256">
      <c r="A74" s="224"/>
      <c r="B74" s="254" t="str">
        <f>IF(type=1,"Dryer, Hot Screens and Mixer Emissions","Dryer Emissions")</f>
        <v>Dryer Emissions</v>
      </c>
      <c r="C74" s="219"/>
      <c r="D74" s="219"/>
      <c r="E74" s="219"/>
      <c r="F74" s="219"/>
      <c r="G74" s="219"/>
      <c r="H74" s="219"/>
      <c r="I74" s="219"/>
      <c r="J74" s="219"/>
      <c r="K74" s="219"/>
      <c r="L74" s="219"/>
      <c r="M74" s="219"/>
      <c r="N74" s="219"/>
      <c r="O74" s="225"/>
      <c r="S74" s="466"/>
      <c r="T74" s="467"/>
      <c r="U74" s="467"/>
      <c r="V74" s="467"/>
      <c r="W74" s="467"/>
      <c r="X74" s="467"/>
      <c r="Y74" s="467"/>
      <c r="Z74" s="467"/>
      <c r="AA74" s="467"/>
      <c r="AB74" s="467"/>
      <c r="AC74" s="467"/>
      <c r="AD74" s="467"/>
      <c r="AE74" s="467"/>
      <c r="AF74" s="468"/>
      <c r="AG74" s="484"/>
      <c r="AH74" s="484"/>
      <c r="AI74" s="484"/>
    </row>
    <row r="75" spans="1:256" ht="12.75" customHeight="1" thickBot="1">
      <c r="A75" s="224"/>
      <c r="B75" s="254" t="s">
        <v>122</v>
      </c>
      <c r="C75" s="219"/>
      <c r="D75" s="219"/>
      <c r="E75" s="219"/>
      <c r="F75" s="219"/>
      <c r="G75" s="219"/>
      <c r="H75" s="219"/>
      <c r="I75" s="219"/>
      <c r="J75" s="219"/>
      <c r="K75" s="219"/>
      <c r="L75" s="219"/>
      <c r="M75" s="219"/>
      <c r="N75" s="219"/>
      <c r="O75" s="225"/>
      <c r="S75" s="481"/>
      <c r="T75" s="482"/>
      <c r="U75" s="482"/>
      <c r="V75" s="482"/>
      <c r="W75" s="482"/>
      <c r="X75" s="482"/>
      <c r="Y75" s="482"/>
      <c r="Z75" s="482"/>
      <c r="AA75" s="482"/>
      <c r="AB75" s="482"/>
      <c r="AC75" s="482"/>
      <c r="AD75" s="482"/>
      <c r="AE75" s="482"/>
      <c r="AF75" s="483"/>
      <c r="AG75" s="484"/>
      <c r="AH75" s="484"/>
      <c r="AI75" s="484"/>
    </row>
    <row r="76" spans="1:256">
      <c r="A76" s="224"/>
      <c r="B76" s="219"/>
      <c r="C76" s="219"/>
      <c r="D76" s="219"/>
      <c r="E76" s="219"/>
      <c r="F76" s="219"/>
      <c r="G76" s="219"/>
      <c r="H76" s="219"/>
      <c r="I76" s="219"/>
      <c r="J76" s="219"/>
      <c r="K76" s="219"/>
      <c r="L76" s="219"/>
      <c r="M76" s="219"/>
      <c r="N76" s="219"/>
      <c r="O76" s="225"/>
    </row>
    <row r="77" spans="1:256">
      <c r="A77" s="224"/>
      <c r="B77" s="219"/>
      <c r="C77" s="219"/>
      <c r="D77" s="593" t="s">
        <v>123</v>
      </c>
      <c r="E77" s="593" t="s">
        <v>124</v>
      </c>
      <c r="F77" s="219"/>
      <c r="G77" s="219"/>
      <c r="H77" s="219"/>
      <c r="I77" s="219"/>
      <c r="J77" s="562" t="s">
        <v>125</v>
      </c>
      <c r="K77" s="948"/>
      <c r="L77" s="605" t="s">
        <v>126</v>
      </c>
      <c r="M77" s="606"/>
      <c r="N77" s="605" t="str">
        <f>+IF($T$12=1,"Actual Emissions, (tpy)","Synthetic Minor, Potential Emissions (tpy) (with all operation restrictions)")</f>
        <v>Synthetic Minor, Potential Emissions (tpy) (with all operation restrictions)</v>
      </c>
      <c r="O77" s="637"/>
    </row>
    <row r="78" spans="1:256">
      <c r="A78" s="224"/>
      <c r="B78" s="219"/>
      <c r="C78" s="219"/>
      <c r="D78" s="602"/>
      <c r="E78" s="602"/>
      <c r="F78" s="605" t="s">
        <v>127</v>
      </c>
      <c r="G78" s="606"/>
      <c r="H78" s="605" t="s">
        <v>128</v>
      </c>
      <c r="I78" s="606"/>
      <c r="J78" s="949"/>
      <c r="K78" s="950"/>
      <c r="L78" s="607"/>
      <c r="M78" s="608"/>
      <c r="N78" s="607"/>
      <c r="O78" s="638"/>
    </row>
    <row r="79" spans="1:256">
      <c r="A79" s="224"/>
      <c r="B79" s="219"/>
      <c r="C79" s="219"/>
      <c r="D79" s="602"/>
      <c r="E79" s="602"/>
      <c r="F79" s="607"/>
      <c r="G79" s="608"/>
      <c r="H79" s="607"/>
      <c r="I79" s="608"/>
      <c r="J79" s="949"/>
      <c r="K79" s="950"/>
      <c r="L79" s="607"/>
      <c r="M79" s="608"/>
      <c r="N79" s="607"/>
      <c r="O79" s="638"/>
    </row>
    <row r="80" spans="1:256" ht="14.1" thickBot="1">
      <c r="A80" s="224"/>
      <c r="B80" s="596" t="s">
        <v>129</v>
      </c>
      <c r="C80" s="622"/>
      <c r="D80" s="603"/>
      <c r="E80" s="603"/>
      <c r="F80" s="609"/>
      <c r="G80" s="610"/>
      <c r="H80" s="609"/>
      <c r="I80" s="610"/>
      <c r="J80" s="951"/>
      <c r="K80" s="952"/>
      <c r="L80" s="639"/>
      <c r="M80" s="655"/>
      <c r="N80" s="639"/>
      <c r="O80" s="640"/>
    </row>
    <row r="81" spans="1:15">
      <c r="A81" s="224"/>
      <c r="B81" s="219"/>
      <c r="C81" s="255" t="s">
        <v>130</v>
      </c>
      <c r="D81" s="277">
        <f>CHOOSE(type,+'Criteria Factors'!I9,'Criteria Factors'!I19)</f>
        <v>6.54E-2</v>
      </c>
      <c r="E81" s="278">
        <f>IF(AND(type=1,control=1),+'Criteria Factors'!I9,IF(AND(type=1,control=2),+'Criteria Factors'!I10,IF(AND(type=1,control=3),'Criteria Factors'!I11,IF(AND(type=2,control=1),+'Criteria Factors'!I19,IF(AND(type=2,control=2),'Criteria Factors'!I20,IF(AND(type=2,control=3),'Criteria Factors'!I21))))))</f>
        <v>6.54E-2</v>
      </c>
      <c r="F81" s="556">
        <f>+INPUT!$F$30*D81</f>
        <v>19.62</v>
      </c>
      <c r="G81" s="556"/>
      <c r="H81" s="556">
        <f>+INPUT!$F$30*E81</f>
        <v>19.62</v>
      </c>
      <c r="I81" s="556"/>
      <c r="J81" s="604"/>
      <c r="K81" s="604"/>
      <c r="L81" s="604"/>
      <c r="M81" s="604"/>
      <c r="N81" s="604"/>
      <c r="O81" s="674"/>
    </row>
    <row r="82" spans="1:15" ht="12.75" customHeight="1">
      <c r="A82" s="224"/>
      <c r="B82" s="219"/>
      <c r="C82" s="255" t="s">
        <v>131</v>
      </c>
      <c r="D82" s="277">
        <f>CHOOSE(type,+'Criteria Factors'!E9,'Criteria Factors'!E19)</f>
        <v>28</v>
      </c>
      <c r="E82" s="278">
        <f>IF(AND(type=1,control=1),+'Criteria Factors'!E9,IF(AND(type=1,control=2),+'Criteria Factors'!E10,IF(AND(type=1,control=3),'Criteria Factors'!E11,IF(AND(type=2,control=1),+'Criteria Factors'!E19,IF(AND(type=2,control=2),'Criteria Factors'!E20,IF(AND(type=2,control=3),'Criteria Factors'!E21))))))</f>
        <v>28</v>
      </c>
      <c r="F82" s="556">
        <f>+INPUT!$F$30*D82</f>
        <v>8400</v>
      </c>
      <c r="G82" s="556"/>
      <c r="H82" s="556">
        <f>+INPUT!$F$30*E82</f>
        <v>8400</v>
      </c>
      <c r="I82" s="556"/>
      <c r="J82" s="604"/>
      <c r="K82" s="604"/>
      <c r="L82" s="604"/>
      <c r="M82" s="604"/>
      <c r="N82" s="604"/>
      <c r="O82" s="674"/>
    </row>
    <row r="83" spans="1:15" ht="12.75" customHeight="1" thickBot="1">
      <c r="A83" s="224"/>
      <c r="B83" s="219"/>
      <c r="C83" s="255" t="s">
        <v>132</v>
      </c>
      <c r="D83" s="315">
        <f>CHOOSE(type,+'Criteria Factors'!F9,'Criteria Factors'!F19)</f>
        <v>6.4</v>
      </c>
      <c r="E83" s="316">
        <f>IF(AND(type=1,control=1),+'Criteria Factors'!F9,IF(AND(type=1,control=2),+'Criteria Factors'!F10,IF(AND(type=1,control=3),'Criteria Factors'!F11,IF(AND(type=2,control=1),+'Criteria Factors'!F19,IF(AND(type=2,control=2),'Criteria Factors'!F20,IF(AND(type=2,control=3),'Criteria Factors'!F21))))))</f>
        <v>6.4</v>
      </c>
      <c r="F83" s="648">
        <f>+INPUT!$F$30*D83</f>
        <v>1920</v>
      </c>
      <c r="G83" s="648"/>
      <c r="H83" s="648">
        <f>+INPUT!$F$30*E83</f>
        <v>1920</v>
      </c>
      <c r="I83" s="648"/>
      <c r="J83" s="646"/>
      <c r="K83" s="646"/>
      <c r="L83" s="647"/>
      <c r="M83" s="647"/>
      <c r="N83" s="646"/>
      <c r="O83" s="682"/>
    </row>
    <row r="84" spans="1:15" ht="12.75" customHeight="1">
      <c r="A84" s="224"/>
      <c r="B84" s="219"/>
      <c r="C84" s="255" t="s">
        <v>133</v>
      </c>
      <c r="D84" s="318">
        <f>CHOOSE(type,+'Criteria Factors'!J9,'Criteria Factors'!J19)</f>
        <v>28</v>
      </c>
      <c r="E84" s="319">
        <f>IF(AND(type=1,control=1),+'Criteria Factors'!J9,IF(AND(type=1,control=2),+'Criteria Factors'!J10,IF(AND(type=1,control=3),'Criteria Factors'!J11,IF(AND(type=2,control=1),+'Criteria Factors'!J19,IF(AND(type=2,control=2),'Criteria Factors'!J20,IF(AND(type=2,control=3),'Criteria Factors'!J21))))))</f>
        <v>28</v>
      </c>
      <c r="F84" s="649">
        <f>+INPUT!$F$30*D84</f>
        <v>8400</v>
      </c>
      <c r="G84" s="649"/>
      <c r="H84" s="649">
        <f>+INPUT!$F$30*E84</f>
        <v>8400</v>
      </c>
      <c r="I84" s="649"/>
      <c r="J84" s="656">
        <f>IF(AND(NSPS=1,Meth5=1),($H$66+$H$81)*$AC$9/2000,IF(AND(NSPS=1,Meth5=2),($H$62+$H$81)*$AC$9/2000,$H$69*$AC$9/2000))</f>
        <v>262.8</v>
      </c>
      <c r="K84" s="656"/>
      <c r="L84" s="656">
        <f t="shared" ref="L84:L89" si="0">+H84*$AC$9/2000</f>
        <v>36792</v>
      </c>
      <c r="M84" s="656"/>
      <c r="N84" s="656">
        <f>+INPUT!$F$52/INPUT!$F$30*H84/2000</f>
        <v>3500</v>
      </c>
      <c r="O84" s="683"/>
    </row>
    <row r="85" spans="1:15" ht="14.1" thickBot="1">
      <c r="A85" s="224"/>
      <c r="B85" s="219"/>
      <c r="C85" s="255" t="s">
        <v>134</v>
      </c>
      <c r="D85" s="339">
        <f>CHOOSE(type,+'Criteria Factors'!K9,'Criteria Factors'!K19)</f>
        <v>6.5</v>
      </c>
      <c r="E85" s="340">
        <f>IF(AND(type=1,control=1),+'Criteria Factors'!K9,IF(AND(type=1,control=2),+'Criteria Factors'!K10,IF(AND(type=1,control=3),'Criteria Factors'!K11,IF(AND(type=2,control=1),+'Criteria Factors'!K19,IF(AND(type=2,control=2),'Criteria Factors'!K20,IF(AND(type=2,control=3),'Criteria Factors'!K21))))))</f>
        <v>6.5</v>
      </c>
      <c r="F85" s="653">
        <f>+INPUT!$F$30*D85</f>
        <v>1950</v>
      </c>
      <c r="G85" s="653"/>
      <c r="H85" s="653">
        <f>+INPUT!$F$30*E85</f>
        <v>1950</v>
      </c>
      <c r="I85" s="653"/>
      <c r="J85" s="657">
        <f>IF(AND(NSPS=1, Meth5=1),(F83*(100-H67)/100+$H$81)*AC9/2000,IF(AND(NSPS=1,Meth5=2), (F83*(100-H63)/100+$H$81)*AC9/2000,+F85*(100-H71)/100*AC9/2000))</f>
        <v>61.007142857142341</v>
      </c>
      <c r="K85" s="657"/>
      <c r="L85" s="658">
        <f t="shared" si="0"/>
        <v>8541</v>
      </c>
      <c r="M85" s="658"/>
      <c r="N85" s="657">
        <f>+INPUT!$F$52/INPUT!$F$30*H85/2000</f>
        <v>812.5</v>
      </c>
      <c r="O85" s="684"/>
    </row>
    <row r="86" spans="1:15">
      <c r="A86" s="224"/>
      <c r="B86" s="219"/>
      <c r="C86" s="255" t="s">
        <v>135</v>
      </c>
      <c r="D86" s="317">
        <f>CHOOSE(fuel,'SO2 factors'!V8,'SO2 factors'!V9,'SO2 factors'!V10)</f>
        <v>9.8039215686274492E-5</v>
      </c>
      <c r="E86" s="317">
        <f>+D86</f>
        <v>9.8039215686274492E-5</v>
      </c>
      <c r="F86" s="652">
        <f>+INPUT!$F$30*D86</f>
        <v>2.9411764705882349E-2</v>
      </c>
      <c r="G86" s="652"/>
      <c r="H86" s="652">
        <f>+INPUT!$F$30*E86</f>
        <v>2.9411764705882349E-2</v>
      </c>
      <c r="I86" s="652"/>
      <c r="J86" s="654">
        <f>+F86*$AC$9/2000</f>
        <v>0.1288235294117647</v>
      </c>
      <c r="K86" s="654"/>
      <c r="L86" s="654">
        <f t="shared" si="0"/>
        <v>0.1288235294117647</v>
      </c>
      <c r="M86" s="654"/>
      <c r="N86" s="654">
        <f>+INPUT!$F$52/INPUT!$F$30*H86/2000</f>
        <v>1.2254901960784314E-2</v>
      </c>
      <c r="O86" s="685"/>
    </row>
    <row r="87" spans="1:15" ht="12.75" customHeight="1">
      <c r="A87" s="224"/>
      <c r="B87" s="219"/>
      <c r="C87" s="255" t="s">
        <v>136</v>
      </c>
      <c r="D87" s="279">
        <f>IF(AND(type=1,fuel=1),+'Criteria Factors'!D29,IF(AND(type=1,fuel=2),'Criteria Factors'!D31, IF(AND(type=1,fuel=3),'Criteria Factors'!D33,IF(AND(type=2,fuel=1),+'Criteria Factors'!D46,IF(AND(type=2,fuel=2),'Criteria Factors'!D48, IF(AND(type=2,fuel=3),'Criteria Factors'!D50))))))</f>
        <v>0.13</v>
      </c>
      <c r="E87" s="280">
        <f>+D87</f>
        <v>0.13</v>
      </c>
      <c r="F87" s="556">
        <f>+INPUT!$F$30*D87</f>
        <v>39</v>
      </c>
      <c r="G87" s="556"/>
      <c r="H87" s="556">
        <f>+INPUT!$F$30*E87</f>
        <v>39</v>
      </c>
      <c r="I87" s="556"/>
      <c r="J87" s="557">
        <f>+F87*$AC$9/2000</f>
        <v>170.82</v>
      </c>
      <c r="K87" s="557"/>
      <c r="L87" s="636">
        <f t="shared" si="0"/>
        <v>170.82</v>
      </c>
      <c r="M87" s="636"/>
      <c r="N87" s="557">
        <f>+INPUT!$F$52/INPUT!$F$30*H87/2000</f>
        <v>16.25</v>
      </c>
      <c r="O87" s="650"/>
    </row>
    <row r="88" spans="1:15">
      <c r="A88" s="224"/>
      <c r="B88" s="219"/>
      <c r="C88" s="255" t="s">
        <v>137</v>
      </c>
      <c r="D88" s="279">
        <f>IF(AND(type=1,fuel=1),+'Criteria Factors'!F29,IF(AND(type=1,fuel=2),'Criteria Factors'!F31, IF(AND(type=1,fuel=3),'Criteria Factors'!F33,IF(AND(type=2,fuel=1),+'Criteria Factors'!F46,IF(AND(type=2,fuel=2),'Criteria Factors'!F48, IF(AND(type=2,fuel=3),'Criteria Factors'!F50))))))</f>
        <v>2.5999999999999999E-2</v>
      </c>
      <c r="E88" s="280">
        <f>+D88</f>
        <v>2.5999999999999999E-2</v>
      </c>
      <c r="F88" s="556">
        <f>+INPUT!$F$30*D88</f>
        <v>7.8</v>
      </c>
      <c r="G88" s="556"/>
      <c r="H88" s="556">
        <f>+INPUT!$F$30*E88</f>
        <v>7.8</v>
      </c>
      <c r="I88" s="556"/>
      <c r="J88" s="557">
        <f>+F88*$AC$9/2000</f>
        <v>34.164000000000001</v>
      </c>
      <c r="K88" s="557"/>
      <c r="L88" s="636">
        <f t="shared" si="0"/>
        <v>34.164000000000001</v>
      </c>
      <c r="M88" s="636"/>
      <c r="N88" s="557">
        <f>+INPUT!$F$52/INPUT!$F$30*H88/2000</f>
        <v>3.25</v>
      </c>
      <c r="O88" s="650"/>
    </row>
    <row r="89" spans="1:15">
      <c r="A89" s="224"/>
      <c r="B89" s="219"/>
      <c r="C89" s="255" t="s">
        <v>138</v>
      </c>
      <c r="D89" s="279">
        <f>IF(AND(type=1,fuel=1),+'Criteria Factors'!H29,IF(AND(type=1,fuel=2),'Criteria Factors'!H31, IF(AND(type=1,fuel=3),'Criteria Factors'!H33,IF(AND(type=2,fuel=1),+'Criteria Factors'!H46,IF(AND(type=2,fuel=2),'Criteria Factors'!H48, IF(AND(type=2,fuel=3),'Criteria Factors'!H50))))))</f>
        <v>3.2000000000000001E-2</v>
      </c>
      <c r="E89" s="280">
        <f>+D89</f>
        <v>3.2000000000000001E-2</v>
      </c>
      <c r="F89" s="556">
        <f>+INPUT!$F$30*D89</f>
        <v>9.6</v>
      </c>
      <c r="G89" s="556"/>
      <c r="H89" s="556">
        <f>+INPUT!$F$30*E89</f>
        <v>9.6</v>
      </c>
      <c r="I89" s="556"/>
      <c r="J89" s="557">
        <f>+F89*$AC$9/2000</f>
        <v>42.048000000000002</v>
      </c>
      <c r="K89" s="557"/>
      <c r="L89" s="636">
        <f t="shared" si="0"/>
        <v>42.048000000000002</v>
      </c>
      <c r="M89" s="636"/>
      <c r="N89" s="557">
        <f>+INPUT!$F$52/INPUT!$F$30*H89/2000</f>
        <v>4</v>
      </c>
      <c r="O89" s="650"/>
    </row>
    <row r="90" spans="1:15">
      <c r="A90" s="224"/>
      <c r="B90" s="219"/>
      <c r="C90" s="255" t="s">
        <v>139</v>
      </c>
      <c r="D90" s="165"/>
      <c r="E90" s="280">
        <f>+'TOXIC Calculations'!J59</f>
        <v>5.3E-3</v>
      </c>
      <c r="F90" s="555"/>
      <c r="G90" s="555"/>
      <c r="H90" s="556">
        <f>+E90*$F$30</f>
        <v>1.59</v>
      </c>
      <c r="I90" s="556"/>
      <c r="J90" s="557">
        <f>+H90*$AC$9/2000</f>
        <v>6.9642000000000008</v>
      </c>
      <c r="K90" s="557"/>
      <c r="L90" s="557">
        <f>+J90</f>
        <v>6.9642000000000008</v>
      </c>
      <c r="M90" s="557"/>
      <c r="N90" s="557">
        <f>+INPUT!$F$52/INPUT!$F$30*H90/2000</f>
        <v>0.66250000000000009</v>
      </c>
      <c r="O90" s="650"/>
    </row>
    <row r="91" spans="1:15" ht="12.75" customHeight="1" thickBot="1">
      <c r="A91" s="263"/>
      <c r="B91" s="256"/>
      <c r="C91" s="256"/>
      <c r="D91" s="256"/>
      <c r="E91" s="256"/>
      <c r="F91" s="256"/>
      <c r="G91" s="256"/>
      <c r="H91" s="256"/>
      <c r="I91" s="256"/>
      <c r="J91" s="256"/>
      <c r="K91" s="256"/>
      <c r="L91" s="256"/>
      <c r="M91" s="256"/>
      <c r="N91" s="256"/>
      <c r="O91" s="264"/>
    </row>
    <row r="92" spans="1:15">
      <c r="A92" s="224"/>
      <c r="B92" s="254" t="str">
        <f>CONCATENATE('Silo and loadout calculations'!J6," Emissions, Criteria Pollutants")</f>
        <v>Silo Filling plus Load Out Emissions, Criteria Pollutants</v>
      </c>
      <c r="C92" s="219"/>
      <c r="D92" s="219"/>
      <c r="E92" s="219"/>
      <c r="F92" s="219"/>
      <c r="G92" s="219"/>
      <c r="H92" s="219"/>
      <c r="I92" s="219"/>
      <c r="J92" s="219"/>
      <c r="K92" s="219"/>
      <c r="L92" s="219"/>
      <c r="M92" s="219"/>
      <c r="N92" s="219"/>
      <c r="O92" s="225"/>
    </row>
    <row r="93" spans="1:15">
      <c r="A93" s="224"/>
      <c r="B93" s="219"/>
      <c r="C93" s="219"/>
      <c r="D93" s="219"/>
      <c r="E93" s="219"/>
      <c r="F93" s="219"/>
      <c r="G93" s="219"/>
      <c r="H93" s="219"/>
      <c r="I93" s="219"/>
      <c r="J93" s="219"/>
      <c r="K93" s="219"/>
      <c r="L93" s="219"/>
      <c r="M93" s="219"/>
      <c r="N93" s="219"/>
      <c r="O93" s="225"/>
    </row>
    <row r="94" spans="1:15">
      <c r="A94" s="224"/>
      <c r="B94" s="219"/>
      <c r="C94" s="219"/>
      <c r="D94" s="558" t="str">
        <f>IF(silofill=1,"Emission Factor, combined (lb/ton)","Emission Factor (lb/ton)")</f>
        <v>Emission Factor, combined (lb/ton)</v>
      </c>
      <c r="E94" s="219"/>
      <c r="F94" s="219"/>
      <c r="G94" s="219"/>
      <c r="H94" s="219"/>
      <c r="I94" s="219"/>
      <c r="J94" s="562" t="s">
        <v>125</v>
      </c>
      <c r="K94" s="948"/>
      <c r="L94" s="605" t="s">
        <v>140</v>
      </c>
      <c r="M94" s="606"/>
      <c r="N94" s="605" t="str">
        <f>+IF($T$12=1,"Actual Emissions, (tpy)","Synthetic Minor, Potential Emissions (tpy) (with all operation restrictions)")</f>
        <v>Synthetic Minor, Potential Emissions (tpy) (with all operation restrictions)</v>
      </c>
      <c r="O94" s="637"/>
    </row>
    <row r="95" spans="1:15">
      <c r="A95" s="224"/>
      <c r="B95" s="219"/>
      <c r="C95" s="219"/>
      <c r="D95" s="559"/>
      <c r="E95" s="219"/>
      <c r="F95" s="219"/>
      <c r="G95" s="219"/>
      <c r="H95" s="605" t="s">
        <v>141</v>
      </c>
      <c r="I95" s="606"/>
      <c r="J95" s="949"/>
      <c r="K95" s="950"/>
      <c r="L95" s="607"/>
      <c r="M95" s="608"/>
      <c r="N95" s="607"/>
      <c r="O95" s="638"/>
    </row>
    <row r="96" spans="1:15">
      <c r="A96" s="224"/>
      <c r="B96" s="219"/>
      <c r="C96" s="219"/>
      <c r="D96" s="559"/>
      <c r="E96" s="219"/>
      <c r="F96" s="219"/>
      <c r="G96" s="219"/>
      <c r="H96" s="607"/>
      <c r="I96" s="608"/>
      <c r="J96" s="949"/>
      <c r="K96" s="950"/>
      <c r="L96" s="607"/>
      <c r="M96" s="608"/>
      <c r="N96" s="607"/>
      <c r="O96" s="638"/>
    </row>
    <row r="97" spans="1:15" ht="12.75" customHeight="1" thickBot="1">
      <c r="A97" s="224"/>
      <c r="B97" s="596" t="s">
        <v>129</v>
      </c>
      <c r="C97" s="596"/>
      <c r="D97" s="560"/>
      <c r="E97" s="256"/>
      <c r="F97" s="256"/>
      <c r="G97" s="534"/>
      <c r="H97" s="609"/>
      <c r="I97" s="610"/>
      <c r="J97" s="951"/>
      <c r="K97" s="952"/>
      <c r="L97" s="639"/>
      <c r="M97" s="655"/>
      <c r="N97" s="639"/>
      <c r="O97" s="640"/>
    </row>
    <row r="98" spans="1:15">
      <c r="A98" s="224"/>
      <c r="B98" s="219"/>
      <c r="C98" s="255" t="s">
        <v>133</v>
      </c>
      <c r="D98" s="148">
        <f>+'Silo and loadout calculations'!J10</f>
        <v>8.3059260603840013E-4</v>
      </c>
      <c r="E98" s="201"/>
      <c r="F98" s="167"/>
      <c r="G98" s="167"/>
      <c r="H98" s="591">
        <f>+INPUT!$F$30*D98</f>
        <v>0.24917778181152003</v>
      </c>
      <c r="I98" s="592"/>
      <c r="J98" s="590">
        <f>+H98*$AC$9/2000</f>
        <v>1.0913986843344579</v>
      </c>
      <c r="K98" s="590"/>
      <c r="L98" s="590">
        <f>+J98</f>
        <v>1.0913986843344579</v>
      </c>
      <c r="M98" s="590"/>
      <c r="N98" s="590">
        <f>+INPUT!$F$52/INPUT!$F$30*H98/2000</f>
        <v>0.10382407575480002</v>
      </c>
      <c r="O98" s="651"/>
    </row>
    <row r="99" spans="1:15">
      <c r="A99" s="224"/>
      <c r="B99" s="219"/>
      <c r="C99" s="255" t="s">
        <v>136</v>
      </c>
      <c r="D99" s="148">
        <f>+'Silo and loadout calculations'!J11</f>
        <v>1.3504140890901076E-3</v>
      </c>
      <c r="E99" s="165"/>
      <c r="F99" s="165"/>
      <c r="G99" s="165"/>
      <c r="H99" s="591">
        <f>+INPUT!$F$30*D99</f>
        <v>0.40512422672703224</v>
      </c>
      <c r="I99" s="592"/>
      <c r="J99" s="590">
        <f>+H99*$AC$9/2000</f>
        <v>1.7744441130644013</v>
      </c>
      <c r="K99" s="590"/>
      <c r="L99" s="590">
        <f>+J99</f>
        <v>1.7744441130644013</v>
      </c>
      <c r="M99" s="590"/>
      <c r="N99" s="590">
        <f>+INPUT!$F$52/INPUT!$F$30*H99/2000</f>
        <v>0.16880176113626344</v>
      </c>
      <c r="O99" s="651"/>
    </row>
    <row r="100" spans="1:15">
      <c r="A100" s="224"/>
      <c r="B100" s="219"/>
      <c r="C100" s="255" t="s">
        <v>138</v>
      </c>
      <c r="D100" s="148">
        <f>+'Silo and loadout calculations'!J12</f>
        <v>8.5941075604732582E-3</v>
      </c>
      <c r="E100" s="165"/>
      <c r="F100" s="165"/>
      <c r="G100" s="165"/>
      <c r="H100" s="591">
        <f>+INPUT!$F$30*D100</f>
        <v>2.5782322681419774</v>
      </c>
      <c r="I100" s="592"/>
      <c r="J100" s="590">
        <f>+H100*$AC$9/2000</f>
        <v>11.292657334461861</v>
      </c>
      <c r="K100" s="590"/>
      <c r="L100" s="590">
        <f>+J100</f>
        <v>11.292657334461861</v>
      </c>
      <c r="M100" s="590"/>
      <c r="N100" s="590">
        <f>+INPUT!$F$52/INPUT!$F$30*H100/2000</f>
        <v>1.0742634450591573</v>
      </c>
      <c r="O100" s="651"/>
    </row>
    <row r="101" spans="1:15">
      <c r="A101" s="224"/>
      <c r="B101" s="219"/>
      <c r="C101" s="255" t="s">
        <v>139</v>
      </c>
      <c r="D101" s="148">
        <f>+'Silo and loadout calculations'!J15</f>
        <v>1.4629283704269068E-4</v>
      </c>
      <c r="E101" s="165"/>
      <c r="F101" s="165"/>
      <c r="G101" s="165"/>
      <c r="H101" s="591">
        <f>+INPUT!$F$30*D101</f>
        <v>4.3887851112807207E-2</v>
      </c>
      <c r="I101" s="592"/>
      <c r="J101" s="590">
        <f>+H101*$AC$9/2000</f>
        <v>0.19222878787409556</v>
      </c>
      <c r="K101" s="590"/>
      <c r="L101" s="590">
        <f>+J101</f>
        <v>0.19222878787409556</v>
      </c>
      <c r="M101" s="590"/>
      <c r="N101" s="590">
        <f>+INPUT!$F$52/INPUT!$F$30*H101/2000</f>
        <v>1.8286604630336337E-2</v>
      </c>
      <c r="O101" s="651"/>
    </row>
    <row r="102" spans="1:15" ht="12.75" customHeight="1" thickBot="1">
      <c r="A102" s="263"/>
      <c r="B102" s="256"/>
      <c r="C102" s="256"/>
      <c r="D102" s="256"/>
      <c r="E102" s="256"/>
      <c r="F102" s="256"/>
      <c r="G102" s="256"/>
      <c r="H102" s="256"/>
      <c r="I102" s="256"/>
      <c r="J102" s="256"/>
      <c r="K102" s="256"/>
      <c r="L102" s="256"/>
      <c r="M102" s="256"/>
      <c r="N102" s="256"/>
      <c r="O102" s="547"/>
    </row>
    <row r="103" spans="1:15">
      <c r="A103" s="224"/>
      <c r="B103" s="254" t="s">
        <v>142</v>
      </c>
      <c r="C103" s="219"/>
      <c r="D103" s="219"/>
      <c r="E103" s="219"/>
      <c r="F103" s="219"/>
      <c r="G103" s="219"/>
      <c r="H103" s="219"/>
      <c r="I103" s="219"/>
      <c r="J103" s="219"/>
      <c r="K103" s="219"/>
      <c r="L103" s="219"/>
      <c r="M103" s="219"/>
      <c r="N103" s="219"/>
      <c r="O103" s="225"/>
    </row>
    <row r="104" spans="1:15">
      <c r="A104" s="224"/>
      <c r="B104" s="219"/>
      <c r="C104" s="219"/>
      <c r="D104" s="593" t="s">
        <v>143</v>
      </c>
      <c r="E104" s="219"/>
      <c r="F104" s="219"/>
      <c r="G104" s="219"/>
      <c r="H104" s="219"/>
      <c r="I104" s="219"/>
      <c r="J104" s="219"/>
      <c r="K104" s="219"/>
      <c r="L104" s="219"/>
      <c r="M104" s="219"/>
      <c r="N104" s="219"/>
      <c r="O104" s="225"/>
    </row>
    <row r="105" spans="1:15">
      <c r="A105" s="224"/>
      <c r="B105" s="219"/>
      <c r="C105" s="219"/>
      <c r="D105" s="594"/>
      <c r="E105" s="219"/>
      <c r="F105" s="219"/>
      <c r="G105" s="219"/>
      <c r="H105" s="219"/>
      <c r="I105" s="219"/>
      <c r="J105" s="562" t="s">
        <v>125</v>
      </c>
      <c r="K105" s="948"/>
      <c r="L105" s="605" t="s">
        <v>140</v>
      </c>
      <c r="M105" s="606"/>
      <c r="N105" s="605" t="str">
        <f>+IF($T$12=1,"Actual Emissions, (tpy)","Synthetic Minor, Potential Emissions (tpy) (with all operation restrictions)")</f>
        <v>Synthetic Minor, Potential Emissions (tpy) (with all operation restrictions)</v>
      </c>
      <c r="O105" s="637"/>
    </row>
    <row r="106" spans="1:15" ht="12.75" customHeight="1">
      <c r="A106" s="224"/>
      <c r="B106" s="219"/>
      <c r="C106" s="219"/>
      <c r="D106" s="594"/>
      <c r="E106" s="243"/>
      <c r="F106" s="219"/>
      <c r="G106" s="219"/>
      <c r="H106" s="605" t="s">
        <v>141</v>
      </c>
      <c r="I106" s="606"/>
      <c r="J106" s="949"/>
      <c r="K106" s="950"/>
      <c r="L106" s="607"/>
      <c r="M106" s="608"/>
      <c r="N106" s="607"/>
      <c r="O106" s="638"/>
    </row>
    <row r="107" spans="1:15">
      <c r="A107" s="224"/>
      <c r="B107" s="219"/>
      <c r="C107" s="219"/>
      <c r="D107" s="594"/>
      <c r="E107" s="243"/>
      <c r="F107" s="219"/>
      <c r="G107" s="219"/>
      <c r="H107" s="607"/>
      <c r="I107" s="608"/>
      <c r="J107" s="949"/>
      <c r="K107" s="950"/>
      <c r="L107" s="607"/>
      <c r="M107" s="608"/>
      <c r="N107" s="607"/>
      <c r="O107" s="638"/>
    </row>
    <row r="108" spans="1:15" ht="14.1" thickBot="1">
      <c r="A108" s="224"/>
      <c r="B108" s="596" t="s">
        <v>129</v>
      </c>
      <c r="C108" s="596"/>
      <c r="D108" s="595"/>
      <c r="E108" s="276"/>
      <c r="F108" s="256"/>
      <c r="G108" s="256"/>
      <c r="H108" s="609"/>
      <c r="I108" s="610"/>
      <c r="J108" s="951"/>
      <c r="K108" s="952"/>
      <c r="L108" s="639"/>
      <c r="M108" s="655"/>
      <c r="N108" s="639"/>
      <c r="O108" s="640"/>
    </row>
    <row r="109" spans="1:15">
      <c r="A109" s="224"/>
      <c r="B109" s="219"/>
      <c r="C109" s="255" t="s">
        <v>133</v>
      </c>
      <c r="D109" s="166">
        <f>IF(RAP=1,+RAP!C19,0)</f>
        <v>3.3400000000000006E-2</v>
      </c>
      <c r="E109" s="167"/>
      <c r="F109" s="167"/>
      <c r="G109" s="167"/>
      <c r="H109" s="591">
        <f>+INPUT!$D$41*D109</f>
        <v>2.1710000000000003</v>
      </c>
      <c r="I109" s="592"/>
      <c r="J109" s="590">
        <f>+H109*$AC$9/2000</f>
        <v>9.5089800000000011</v>
      </c>
      <c r="K109" s="590"/>
      <c r="L109" s="590">
        <f>+J109</f>
        <v>9.5089800000000011</v>
      </c>
      <c r="M109" s="590"/>
      <c r="N109" s="590">
        <f>+INPUT!$F$52/INPUT!$F$30*H109/2000</f>
        <v>0.90458333333333352</v>
      </c>
      <c r="O109" s="651"/>
    </row>
    <row r="110" spans="1:15">
      <c r="A110" s="224"/>
      <c r="B110" s="219"/>
      <c r="C110" s="255" t="s">
        <v>134</v>
      </c>
      <c r="D110" s="161">
        <f>IF(RAP=1,+RAP!D19,0)</f>
        <v>1.2199999999999999E-2</v>
      </c>
      <c r="E110" s="165"/>
      <c r="F110" s="165"/>
      <c r="G110" s="165"/>
      <c r="H110" s="591">
        <f>+INPUT!$D$41*D110</f>
        <v>0.79299999999999993</v>
      </c>
      <c r="I110" s="592"/>
      <c r="J110" s="590">
        <f>+H110*$AC$9/2000</f>
        <v>3.4733399999999999</v>
      </c>
      <c r="K110" s="590"/>
      <c r="L110" s="590">
        <f>+J110</f>
        <v>3.4733399999999999</v>
      </c>
      <c r="M110" s="590"/>
      <c r="N110" s="590">
        <f>+INPUT!$F$52/INPUT!$F$30*H110/2000</f>
        <v>0.33041666666666664</v>
      </c>
      <c r="O110" s="651"/>
    </row>
    <row r="111" spans="1:15" ht="12.75" customHeight="1" thickBot="1">
      <c r="A111" s="263"/>
      <c r="B111" s="256"/>
      <c r="C111" s="267"/>
      <c r="D111" s="256"/>
      <c r="E111" s="256"/>
      <c r="F111" s="256"/>
      <c r="G111" s="256"/>
      <c r="H111" s="256"/>
      <c r="I111" s="256"/>
      <c r="J111" s="256"/>
      <c r="K111" s="256"/>
      <c r="L111" s="256"/>
      <c r="M111" s="256"/>
      <c r="N111" s="256"/>
      <c r="O111" s="264"/>
    </row>
    <row r="112" spans="1:15">
      <c r="A112" s="224"/>
      <c r="B112" s="254" t="s">
        <v>144</v>
      </c>
      <c r="C112" s="219"/>
      <c r="D112" s="219"/>
      <c r="E112" s="219"/>
      <c r="F112" s="219"/>
      <c r="G112" s="219"/>
      <c r="H112" s="219"/>
      <c r="I112" s="219"/>
      <c r="J112" s="219"/>
      <c r="K112" s="219"/>
      <c r="L112" s="219"/>
      <c r="M112" s="219"/>
      <c r="N112" s="219"/>
      <c r="O112" s="225"/>
    </row>
    <row r="113" spans="1:15">
      <c r="A113" s="224"/>
      <c r="B113" s="219"/>
      <c r="C113" s="255"/>
      <c r="D113" s="219"/>
      <c r="E113" s="219"/>
      <c r="F113" s="219"/>
      <c r="G113" s="219"/>
      <c r="H113" s="219"/>
      <c r="I113" s="219"/>
      <c r="J113" s="219"/>
      <c r="K113" s="219"/>
      <c r="L113" s="219"/>
      <c r="M113" s="219"/>
      <c r="N113" s="219"/>
      <c r="O113" s="225"/>
    </row>
    <row r="114" spans="1:15">
      <c r="A114" s="224"/>
      <c r="B114" s="219"/>
      <c r="C114" s="219"/>
      <c r="D114" s="593" t="s">
        <v>145</v>
      </c>
      <c r="E114" s="219"/>
      <c r="F114" s="219"/>
      <c r="G114" s="219"/>
      <c r="H114" s="219"/>
      <c r="I114" s="219"/>
      <c r="J114" s="562" t="s">
        <v>125</v>
      </c>
      <c r="K114" s="948"/>
      <c r="L114" s="605" t="s">
        <v>140</v>
      </c>
      <c r="M114" s="606"/>
      <c r="N114" s="605" t="str">
        <f>+IF($T$12=1,"Actual Emissions, (tpy)","Synthetic Minor, Potential Emissions (tpy) (with all operation restrictions)")</f>
        <v>Synthetic Minor, Potential Emissions (tpy) (with all operation restrictions)</v>
      </c>
      <c r="O114" s="637"/>
    </row>
    <row r="115" spans="1:15">
      <c r="A115" s="224"/>
      <c r="B115" s="219"/>
      <c r="C115" s="219"/>
      <c r="D115" s="602"/>
      <c r="E115" s="219"/>
      <c r="F115" s="219"/>
      <c r="G115" s="219"/>
      <c r="H115" s="605" t="s">
        <v>141</v>
      </c>
      <c r="I115" s="606"/>
      <c r="J115" s="949"/>
      <c r="K115" s="950"/>
      <c r="L115" s="607"/>
      <c r="M115" s="608"/>
      <c r="N115" s="607"/>
      <c r="O115" s="638"/>
    </row>
    <row r="116" spans="1:15">
      <c r="A116" s="224"/>
      <c r="B116" s="219"/>
      <c r="C116" s="219"/>
      <c r="D116" s="602"/>
      <c r="E116" s="219"/>
      <c r="F116" s="219"/>
      <c r="G116" s="219"/>
      <c r="H116" s="607"/>
      <c r="I116" s="608"/>
      <c r="J116" s="949"/>
      <c r="K116" s="950"/>
      <c r="L116" s="607"/>
      <c r="M116" s="608"/>
      <c r="N116" s="607"/>
      <c r="O116" s="638"/>
    </row>
    <row r="117" spans="1:15" ht="14.1" thickBot="1">
      <c r="A117" s="224"/>
      <c r="B117" s="596" t="s">
        <v>129</v>
      </c>
      <c r="C117" s="622"/>
      <c r="D117" s="603"/>
      <c r="E117" s="256"/>
      <c r="F117" s="256"/>
      <c r="G117" s="256"/>
      <c r="H117" s="609"/>
      <c r="I117" s="610"/>
      <c r="J117" s="951"/>
      <c r="K117" s="952"/>
      <c r="L117" s="639"/>
      <c r="M117" s="655"/>
      <c r="N117" s="639"/>
      <c r="O117" s="640"/>
    </row>
    <row r="118" spans="1:15">
      <c r="A118" s="224"/>
      <c r="B118" s="219"/>
      <c r="C118" s="255" t="s">
        <v>133</v>
      </c>
      <c r="D118" s="166">
        <f>+'AC heater'!H19</f>
        <v>2.357142857142857E-2</v>
      </c>
      <c r="E118" s="167"/>
      <c r="F118" s="167"/>
      <c r="G118" s="167"/>
      <c r="H118" s="561">
        <f t="shared" ref="H118:H123" si="1">+D118*$F$47</f>
        <v>0.23571428571428571</v>
      </c>
      <c r="I118" s="556"/>
      <c r="J118" s="557">
        <f t="shared" ref="J118:J123" si="2">+H118*$AC$9/2000</f>
        <v>1.0324285714285713</v>
      </c>
      <c r="K118" s="557"/>
      <c r="L118" s="557">
        <f t="shared" ref="L118:L123" si="3">+J118</f>
        <v>1.0324285714285713</v>
      </c>
      <c r="M118" s="557"/>
      <c r="N118" s="557">
        <f t="shared" ref="N118:N123" si="4">+H118*$F$49/2000</f>
        <v>1.0324285714285713</v>
      </c>
      <c r="O118" s="650"/>
    </row>
    <row r="119" spans="1:15">
      <c r="A119" s="224"/>
      <c r="B119" s="219"/>
      <c r="C119" s="255" t="s">
        <v>134</v>
      </c>
      <c r="D119" s="161">
        <f>+'AC heater'!H20</f>
        <v>2.357142857142857E-2</v>
      </c>
      <c r="E119" s="165"/>
      <c r="F119" s="165"/>
      <c r="G119" s="165"/>
      <c r="H119" s="561">
        <f t="shared" si="1"/>
        <v>0.23571428571428571</v>
      </c>
      <c r="I119" s="556"/>
      <c r="J119" s="557">
        <f t="shared" si="2"/>
        <v>1.0324285714285713</v>
      </c>
      <c r="K119" s="557"/>
      <c r="L119" s="557">
        <f t="shared" si="3"/>
        <v>1.0324285714285713</v>
      </c>
      <c r="M119" s="557"/>
      <c r="N119" s="557">
        <f t="shared" si="4"/>
        <v>1.0324285714285713</v>
      </c>
      <c r="O119" s="650"/>
    </row>
    <row r="120" spans="1:15">
      <c r="A120" s="224"/>
      <c r="B120" s="219"/>
      <c r="C120" s="255" t="s">
        <v>135</v>
      </c>
      <c r="D120" s="161">
        <f>+'AC heater'!H13</f>
        <v>0.50714285714285712</v>
      </c>
      <c r="E120" s="165"/>
      <c r="F120" s="165"/>
      <c r="G120" s="165"/>
      <c r="H120" s="561">
        <f t="shared" si="1"/>
        <v>5.0714285714285712</v>
      </c>
      <c r="I120" s="556"/>
      <c r="J120" s="557">
        <f t="shared" si="2"/>
        <v>22.212857142857143</v>
      </c>
      <c r="K120" s="557"/>
      <c r="L120" s="557">
        <f t="shared" si="3"/>
        <v>22.212857142857143</v>
      </c>
      <c r="M120" s="557"/>
      <c r="N120" s="557">
        <f t="shared" si="4"/>
        <v>22.212857142857143</v>
      </c>
      <c r="O120" s="650"/>
    </row>
    <row r="121" spans="1:15">
      <c r="A121" s="224"/>
      <c r="B121" s="219"/>
      <c r="C121" s="255" t="s">
        <v>136</v>
      </c>
      <c r="D121" s="161">
        <f>+'AC heater'!H15</f>
        <v>3.5714285714285712E-2</v>
      </c>
      <c r="E121" s="165"/>
      <c r="F121" s="165"/>
      <c r="G121" s="165"/>
      <c r="H121" s="561">
        <f t="shared" si="1"/>
        <v>0.3571428571428571</v>
      </c>
      <c r="I121" s="556"/>
      <c r="J121" s="557">
        <f t="shared" si="2"/>
        <v>1.5642857142857141</v>
      </c>
      <c r="K121" s="557"/>
      <c r="L121" s="557">
        <f t="shared" si="3"/>
        <v>1.5642857142857141</v>
      </c>
      <c r="M121" s="557"/>
      <c r="N121" s="557">
        <f t="shared" si="4"/>
        <v>1.5642857142857141</v>
      </c>
      <c r="O121" s="650"/>
    </row>
    <row r="122" spans="1:15">
      <c r="A122" s="224"/>
      <c r="B122" s="219"/>
      <c r="C122" s="255" t="s">
        <v>137</v>
      </c>
      <c r="D122" s="161">
        <f>+'AC heater'!H14</f>
        <v>0.14285714285714285</v>
      </c>
      <c r="E122" s="165"/>
      <c r="F122" s="165"/>
      <c r="G122" s="165"/>
      <c r="H122" s="561">
        <f t="shared" si="1"/>
        <v>1.4285714285714284</v>
      </c>
      <c r="I122" s="556"/>
      <c r="J122" s="557">
        <f t="shared" si="2"/>
        <v>6.2571428571428562</v>
      </c>
      <c r="K122" s="557"/>
      <c r="L122" s="557">
        <f t="shared" si="3"/>
        <v>6.2571428571428562</v>
      </c>
      <c r="M122" s="557"/>
      <c r="N122" s="557">
        <f t="shared" si="4"/>
        <v>6.2571428571428562</v>
      </c>
      <c r="O122" s="650"/>
    </row>
    <row r="123" spans="1:15" ht="12.75" customHeight="1">
      <c r="A123" s="224"/>
      <c r="B123" s="219"/>
      <c r="C123" s="255" t="s">
        <v>138</v>
      </c>
      <c r="D123" s="161">
        <f>+'AC heater'!H16</f>
        <v>2.4285714285714288E-3</v>
      </c>
      <c r="E123" s="165"/>
      <c r="F123" s="165"/>
      <c r="G123" s="165"/>
      <c r="H123" s="561">
        <f t="shared" si="1"/>
        <v>2.4285714285714289E-2</v>
      </c>
      <c r="I123" s="556"/>
      <c r="J123" s="557">
        <f t="shared" si="2"/>
        <v>0.10637142857142858</v>
      </c>
      <c r="K123" s="557"/>
      <c r="L123" s="557">
        <f t="shared" si="3"/>
        <v>0.10637142857142858</v>
      </c>
      <c r="M123" s="557"/>
      <c r="N123" s="557">
        <f t="shared" si="4"/>
        <v>0.10637142857142858</v>
      </c>
      <c r="O123" s="650"/>
    </row>
    <row r="124" spans="1:15" ht="14.1" thickBot="1">
      <c r="A124" s="263"/>
      <c r="B124" s="256"/>
      <c r="C124" s="267"/>
      <c r="D124" s="256"/>
      <c r="E124" s="256"/>
      <c r="F124" s="256"/>
      <c r="G124" s="256"/>
      <c r="H124" s="256"/>
      <c r="I124" s="256"/>
      <c r="J124" s="256"/>
      <c r="K124" s="256"/>
      <c r="L124" s="256"/>
      <c r="M124" s="256"/>
      <c r="N124" s="256"/>
      <c r="O124" s="264"/>
    </row>
    <row r="125" spans="1:15">
      <c r="A125" s="257"/>
      <c r="B125" s="258" t="s">
        <v>146</v>
      </c>
      <c r="C125" s="259"/>
      <c r="D125" s="259"/>
      <c r="E125" s="259"/>
      <c r="F125" s="259"/>
      <c r="G125" s="259"/>
      <c r="H125" s="259"/>
      <c r="I125" s="259"/>
      <c r="J125" s="259"/>
      <c r="K125" s="259"/>
      <c r="L125" s="259"/>
      <c r="M125" s="259"/>
      <c r="N125" s="259"/>
      <c r="O125" s="260"/>
    </row>
    <row r="126" spans="1:15">
      <c r="A126" s="224"/>
      <c r="B126" s="219"/>
      <c r="C126" s="219"/>
      <c r="D126" s="261"/>
      <c r="E126" s="219"/>
      <c r="F126" s="219"/>
      <c r="G126" s="219"/>
      <c r="H126" s="605" t="s">
        <v>147</v>
      </c>
      <c r="I126" s="689"/>
      <c r="J126" s="686" t="s">
        <v>125</v>
      </c>
      <c r="K126" s="953"/>
      <c r="L126" s="687" t="s">
        <v>140</v>
      </c>
      <c r="M126" s="687"/>
      <c r="N126" s="605" t="str">
        <f>+IF($T$12=1,"Actual Emissions, (tpy)","Synthetic Minor, Potential Emissions (tpy) (with all operation restrictions)")</f>
        <v>Synthetic Minor, Potential Emissions (tpy) (with all operation restrictions)</v>
      </c>
      <c r="O126" s="637"/>
    </row>
    <row r="127" spans="1:15" ht="12.75" customHeight="1">
      <c r="A127" s="224"/>
      <c r="B127" s="219"/>
      <c r="C127" s="219"/>
      <c r="D127" s="230"/>
      <c r="E127" s="219"/>
      <c r="F127" s="219"/>
      <c r="G127" s="219"/>
      <c r="H127" s="690"/>
      <c r="I127" s="691"/>
      <c r="J127" s="953"/>
      <c r="K127" s="953"/>
      <c r="L127" s="687"/>
      <c r="M127" s="687"/>
      <c r="N127" s="607"/>
      <c r="O127" s="638"/>
    </row>
    <row r="128" spans="1:15">
      <c r="A128" s="224"/>
      <c r="B128" s="219"/>
      <c r="C128" s="219"/>
      <c r="D128" s="230"/>
      <c r="E128" s="219"/>
      <c r="F128" s="219"/>
      <c r="G128" s="219"/>
      <c r="H128" s="690"/>
      <c r="I128" s="691"/>
      <c r="J128" s="953"/>
      <c r="K128" s="953"/>
      <c r="L128" s="687"/>
      <c r="M128" s="687"/>
      <c r="N128" s="607"/>
      <c r="O128" s="638"/>
    </row>
    <row r="129" spans="1:256" ht="14.1" thickBot="1">
      <c r="A129" s="224"/>
      <c r="B129" s="596" t="s">
        <v>129</v>
      </c>
      <c r="C129" s="596"/>
      <c r="D129" s="262"/>
      <c r="E129" s="256"/>
      <c r="F129" s="256"/>
      <c r="G129" s="256"/>
      <c r="H129" s="692"/>
      <c r="I129" s="693"/>
      <c r="J129" s="954"/>
      <c r="K129" s="954"/>
      <c r="L129" s="688"/>
      <c r="M129" s="688"/>
      <c r="N129" s="639"/>
      <c r="O129" s="640"/>
    </row>
    <row r="130" spans="1:256">
      <c r="A130" s="224"/>
      <c r="B130" s="219"/>
      <c r="C130" s="255" t="s">
        <v>133</v>
      </c>
      <c r="D130" s="167"/>
      <c r="E130" s="167"/>
      <c r="F130" s="167"/>
      <c r="G130" s="167"/>
      <c r="H130" s="561">
        <f>+H84+H109+H118</f>
        <v>8402.4067142857148</v>
      </c>
      <c r="I130" s="556"/>
      <c r="J130" s="590">
        <f>+J84+J98+J109+J118</f>
        <v>274.43280725576307</v>
      </c>
      <c r="K130" s="590"/>
      <c r="L130" s="590">
        <f>+L84+L98+L109+L118</f>
        <v>36803.632807255766</v>
      </c>
      <c r="M130" s="590"/>
      <c r="N130" s="590">
        <f>+N84+N98+N109+N118</f>
        <v>3502.0408359805169</v>
      </c>
      <c r="O130" s="651"/>
    </row>
    <row r="131" spans="1:256" ht="12.75" customHeight="1">
      <c r="A131" s="224"/>
      <c r="B131" s="219"/>
      <c r="C131" s="255" t="s">
        <v>134</v>
      </c>
      <c r="D131" s="165"/>
      <c r="E131" s="165"/>
      <c r="F131" s="165"/>
      <c r="G131" s="165"/>
      <c r="H131" s="561">
        <f>+H85+H110+H119</f>
        <v>1951.0287142857142</v>
      </c>
      <c r="I131" s="556"/>
      <c r="J131" s="590">
        <f>+J85+J98+J110+J119</f>
        <v>66.604310112905367</v>
      </c>
      <c r="K131" s="590"/>
      <c r="L131" s="590">
        <f>+L85+L98+L110+L119</f>
        <v>8546.5971672557644</v>
      </c>
      <c r="M131" s="590"/>
      <c r="N131" s="590">
        <f>+N85+N98+N110+N119</f>
        <v>813.96666931385005</v>
      </c>
      <c r="O131" s="651"/>
    </row>
    <row r="132" spans="1:256" ht="12.75" customHeight="1">
      <c r="A132" s="224"/>
      <c r="B132" s="219"/>
      <c r="C132" s="255" t="s">
        <v>135</v>
      </c>
      <c r="D132" s="165"/>
      <c r="E132" s="165"/>
      <c r="F132" s="165"/>
      <c r="G132" s="165"/>
      <c r="H132" s="561">
        <f>+H86+H120</f>
        <v>5.1008403361344534</v>
      </c>
      <c r="I132" s="556"/>
      <c r="J132" s="590">
        <f>+J86+J120</f>
        <v>22.341680672268907</v>
      </c>
      <c r="K132" s="590"/>
      <c r="L132" s="590">
        <f>+L86+L120</f>
        <v>22.341680672268907</v>
      </c>
      <c r="M132" s="590"/>
      <c r="N132" s="590">
        <f>+N86+N120</f>
        <v>22.225112044817926</v>
      </c>
      <c r="O132" s="651"/>
    </row>
    <row r="133" spans="1:256">
      <c r="A133" s="224"/>
      <c r="B133" s="219"/>
      <c r="C133" s="255" t="s">
        <v>136</v>
      </c>
      <c r="D133" s="165"/>
      <c r="E133" s="165"/>
      <c r="F133" s="165"/>
      <c r="G133" s="165"/>
      <c r="H133" s="561">
        <f>+H87+H99+H121</f>
        <v>39.762267083869887</v>
      </c>
      <c r="I133" s="556"/>
      <c r="J133" s="590">
        <f>+J87+J99+J121</f>
        <v>174.1587298273501</v>
      </c>
      <c r="K133" s="590"/>
      <c r="L133" s="590">
        <f>+L87+L99+L121</f>
        <v>174.1587298273501</v>
      </c>
      <c r="M133" s="590"/>
      <c r="N133" s="590">
        <f>+N87+N99+N121</f>
        <v>17.983087475421975</v>
      </c>
      <c r="O133" s="651"/>
    </row>
    <row r="134" spans="1:256">
      <c r="A134" s="224"/>
      <c r="B134" s="219"/>
      <c r="C134" s="255" t="s">
        <v>137</v>
      </c>
      <c r="D134" s="165"/>
      <c r="E134" s="165"/>
      <c r="F134" s="165"/>
      <c r="G134" s="165"/>
      <c r="H134" s="561">
        <f>+H88+H122</f>
        <v>9.2285714285714278</v>
      </c>
      <c r="I134" s="556"/>
      <c r="J134" s="590">
        <f>+J88+J122</f>
        <v>40.421142857142854</v>
      </c>
      <c r="K134" s="590"/>
      <c r="L134" s="590">
        <f>+L88+L122</f>
        <v>40.421142857142854</v>
      </c>
      <c r="M134" s="590"/>
      <c r="N134" s="590">
        <f>+N88+N122</f>
        <v>9.5071428571428562</v>
      </c>
      <c r="O134" s="651"/>
    </row>
    <row r="135" spans="1:256">
      <c r="A135" s="224"/>
      <c r="B135" s="219"/>
      <c r="C135" s="255" t="s">
        <v>138</v>
      </c>
      <c r="D135" s="165"/>
      <c r="E135" s="165"/>
      <c r="F135" s="165"/>
      <c r="G135" s="165"/>
      <c r="H135" s="561">
        <f>+H89+H100+H123</f>
        <v>12.202517982427691</v>
      </c>
      <c r="I135" s="556"/>
      <c r="J135" s="590">
        <f>+J89+J100+J123</f>
        <v>53.447028763033295</v>
      </c>
      <c r="K135" s="590"/>
      <c r="L135" s="590">
        <f>+L89+L100+L123</f>
        <v>53.447028763033295</v>
      </c>
      <c r="M135" s="590"/>
      <c r="N135" s="590">
        <f>+N89+N100+N123</f>
        <v>5.1806348736305861</v>
      </c>
      <c r="O135" s="651"/>
      <c r="Q135" s="458"/>
    </row>
    <row r="136" spans="1:256">
      <c r="A136" s="224"/>
      <c r="B136" s="219"/>
      <c r="C136" s="255" t="s">
        <v>139</v>
      </c>
      <c r="D136" s="165"/>
      <c r="E136" s="165"/>
      <c r="F136" s="165"/>
      <c r="G136" s="165"/>
      <c r="H136" s="561">
        <f>+H90+H101</f>
        <v>1.6338878511128072</v>
      </c>
      <c r="I136" s="556"/>
      <c r="J136" s="590">
        <f>+J90+J101</f>
        <v>7.1564287878740966</v>
      </c>
      <c r="K136" s="590"/>
      <c r="L136" s="590">
        <f>+L90+L101</f>
        <v>7.1564287878740966</v>
      </c>
      <c r="M136" s="590"/>
      <c r="N136" s="590">
        <f>+N90+N101</f>
        <v>0.68078660463033647</v>
      </c>
      <c r="O136" s="651"/>
      <c r="Q136" s="458"/>
    </row>
    <row r="137" spans="1:256" ht="14.1" thickBot="1">
      <c r="A137" s="263"/>
      <c r="B137" s="256"/>
      <c r="C137" s="256"/>
      <c r="D137" s="256"/>
      <c r="E137" s="256"/>
      <c r="F137" s="256"/>
      <c r="G137" s="256"/>
      <c r="H137" s="256"/>
      <c r="I137" s="256"/>
      <c r="J137" s="256"/>
      <c r="K137" s="256"/>
      <c r="L137" s="256"/>
      <c r="M137" s="256"/>
      <c r="N137" s="256"/>
      <c r="O137" s="264"/>
      <c r="Q137" s="458"/>
    </row>
    <row r="138" spans="1:256">
      <c r="A138" s="224"/>
      <c r="B138" s="254" t="s">
        <v>148</v>
      </c>
      <c r="C138" s="219"/>
      <c r="D138" s="219"/>
      <c r="E138" s="219"/>
      <c r="F138" s="219"/>
      <c r="G138" s="219"/>
      <c r="H138" s="219"/>
      <c r="I138" s="219"/>
      <c r="J138" s="219"/>
      <c r="K138" s="219"/>
      <c r="L138" s="219"/>
      <c r="M138" s="219"/>
      <c r="N138" s="219"/>
      <c r="O138" s="225"/>
      <c r="Q138" s="458"/>
    </row>
    <row r="139" spans="1:256" ht="14.1" thickBot="1">
      <c r="A139" s="224"/>
      <c r="B139" s="219"/>
      <c r="C139" s="219"/>
      <c r="D139" s="219"/>
      <c r="E139" s="265"/>
      <c r="F139" s="219"/>
      <c r="G139" s="219"/>
      <c r="H139" s="219"/>
      <c r="I139" s="219"/>
      <c r="J139" s="219"/>
      <c r="K139" s="219"/>
      <c r="L139" s="219"/>
      <c r="M139" s="219"/>
      <c r="N139" s="219"/>
      <c r="O139" s="225"/>
      <c r="Q139" s="458"/>
    </row>
    <row r="140" spans="1:256" ht="14.1" thickBot="1">
      <c r="A140" s="694" t="s">
        <v>149</v>
      </c>
      <c r="B140" s="695"/>
      <c r="C140" s="695"/>
      <c r="D140" s="695"/>
      <c r="E140" s="268" t="s">
        <v>150</v>
      </c>
      <c r="F140" s="269" t="s">
        <v>151</v>
      </c>
      <c r="G140" s="163"/>
      <c r="H140" s="696" t="s">
        <v>149</v>
      </c>
      <c r="I140" s="695"/>
      <c r="J140" s="695"/>
      <c r="K140" s="268" t="s">
        <v>150</v>
      </c>
      <c r="L140" s="272" t="s">
        <v>151</v>
      </c>
      <c r="M140" s="229"/>
      <c r="N140" s="229"/>
      <c r="O140" s="266"/>
      <c r="Q140" s="458"/>
    </row>
    <row r="141" spans="1:256" ht="12.75" customHeight="1">
      <c r="A141" s="224"/>
      <c r="B141" s="270"/>
      <c r="C141" s="219"/>
      <c r="D141" s="255" t="s">
        <v>152</v>
      </c>
      <c r="E141" s="271" t="s">
        <v>153</v>
      </c>
      <c r="F141" s="270" t="str">
        <f>+'TOXIC Calculations'!Z15</f>
        <v>NOTE 1</v>
      </c>
      <c r="G141" s="162"/>
      <c r="H141" s="219"/>
      <c r="I141" s="219"/>
      <c r="J141" s="39" t="s">
        <v>154</v>
      </c>
      <c r="K141" s="32">
        <v>7439976</v>
      </c>
      <c r="L141" s="17" t="str">
        <f>+'TOXIC Calculations'!Z28</f>
        <v>NOTE 1</v>
      </c>
      <c r="M141" s="668" t="s">
        <v>155</v>
      </c>
      <c r="N141" s="669"/>
      <c r="O141" s="670"/>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ht="12.75" customHeight="1" thickBot="1">
      <c r="A142" s="224"/>
      <c r="B142" s="270"/>
      <c r="C142" s="219"/>
      <c r="D142" s="255" t="s">
        <v>156</v>
      </c>
      <c r="E142" s="271" t="s">
        <v>157</v>
      </c>
      <c r="F142" s="270" t="str">
        <f>+'TOXIC Calculations'!Z16</f>
        <v>NOTE 1</v>
      </c>
      <c r="G142" s="162"/>
      <c r="H142" s="219"/>
      <c r="I142" s="219"/>
      <c r="J142" s="255" t="s">
        <v>158</v>
      </c>
      <c r="K142" s="271" t="s">
        <v>159</v>
      </c>
      <c r="L142" s="273" t="str">
        <f>+'TOXIC Calculations'!Z21</f>
        <v>NOTE 1</v>
      </c>
      <c r="M142" s="671"/>
      <c r="N142" s="672"/>
      <c r="O142" s="673"/>
      <c r="Q142" s="458"/>
    </row>
    <row r="143" spans="1:256">
      <c r="A143" s="235"/>
      <c r="B143" s="270"/>
      <c r="C143" s="219"/>
      <c r="D143" s="255" t="s">
        <v>160</v>
      </c>
      <c r="E143" s="271" t="s">
        <v>161</v>
      </c>
      <c r="F143" s="270" t="str">
        <f>+'TOXIC Calculations'!Z32</f>
        <v>NOTE 3</v>
      </c>
      <c r="G143" s="162"/>
      <c r="H143" s="219"/>
      <c r="I143" s="219"/>
      <c r="J143" s="255" t="s">
        <v>162</v>
      </c>
      <c r="K143" s="271" t="s">
        <v>163</v>
      </c>
      <c r="L143" s="273" t="str">
        <f>+'TOXIC Calculations'!Z24</f>
        <v>NOTE 1</v>
      </c>
      <c r="M143" s="659" t="s">
        <v>164</v>
      </c>
      <c r="N143" s="660"/>
      <c r="O143" s="661"/>
      <c r="Q143" s="458"/>
    </row>
    <row r="144" spans="1:256">
      <c r="A144" s="224"/>
      <c r="B144" s="270"/>
      <c r="C144" s="219"/>
      <c r="D144" s="255" t="s">
        <v>165</v>
      </c>
      <c r="E144" s="271" t="s">
        <v>166</v>
      </c>
      <c r="F144" s="270" t="str">
        <f>+'TOXIC Calculations'!Z33</f>
        <v>NOTE 3</v>
      </c>
      <c r="G144" s="162"/>
      <c r="H144" s="219"/>
      <c r="I144" s="219"/>
      <c r="J144" s="255" t="s">
        <v>167</v>
      </c>
      <c r="K144" s="98">
        <v>7440020</v>
      </c>
      <c r="L144" s="273" t="str">
        <f>+'TOXIC Calculations'!Z29</f>
        <v>NOTE 2</v>
      </c>
      <c r="M144" s="662"/>
      <c r="N144" s="663"/>
      <c r="O144" s="664"/>
      <c r="Q144" s="458"/>
      <c r="AJ144" s="456"/>
      <c r="AK144" s="38"/>
    </row>
    <row r="145" spans="1:256" ht="14.1" thickBot="1">
      <c r="A145" s="224"/>
      <c r="B145" s="270"/>
      <c r="C145" s="219"/>
      <c r="D145" s="255" t="s">
        <v>168</v>
      </c>
      <c r="E145" s="271" t="s">
        <v>169</v>
      </c>
      <c r="F145" s="270" t="str">
        <f>+'TOXIC Calculations'!Z34</f>
        <v>NOTE 1</v>
      </c>
      <c r="G145" s="162"/>
      <c r="H145" s="219"/>
      <c r="I145" s="219"/>
      <c r="J145" s="255" t="s">
        <v>170</v>
      </c>
      <c r="K145" s="271" t="s">
        <v>171</v>
      </c>
      <c r="L145" s="273" t="str">
        <f>+'TOXIC Calculations'!Z40</f>
        <v>NOTE 1</v>
      </c>
      <c r="M145" s="665"/>
      <c r="N145" s="666"/>
      <c r="O145" s="667"/>
      <c r="Q145" s="458"/>
    </row>
    <row r="146" spans="1:256" s="38" customFormat="1">
      <c r="A146" s="224"/>
      <c r="B146" s="270"/>
      <c r="C146" s="219"/>
      <c r="D146" s="255" t="s">
        <v>172</v>
      </c>
      <c r="E146" s="271">
        <v>7440417</v>
      </c>
      <c r="F146" s="270" t="str">
        <f>+'TOXIC Calculations'!Z36</f>
        <v>NOTE 1</v>
      </c>
      <c r="G146" s="162"/>
      <c r="H146" s="543"/>
      <c r="I146" s="255"/>
      <c r="J146" s="255" t="s">
        <v>173</v>
      </c>
      <c r="K146" s="271" t="s">
        <v>174</v>
      </c>
      <c r="L146" s="273" t="str">
        <f>+'TOXIC Calculations'!Z18</f>
        <v>NOTE 1</v>
      </c>
      <c r="M146" s="676" t="s">
        <v>175</v>
      </c>
      <c r="N146" s="677"/>
      <c r="O146" s="678"/>
      <c r="P146" s="456"/>
      <c r="Q146" s="456"/>
      <c r="R146" s="457"/>
      <c r="S146" s="457"/>
      <c r="T146" s="457"/>
      <c r="U146" s="457"/>
      <c r="V146" s="457"/>
      <c r="W146" s="457"/>
      <c r="X146" s="457"/>
      <c r="Y146" s="457"/>
      <c r="Z146" s="457"/>
      <c r="AA146" s="457"/>
      <c r="AB146" s="457"/>
      <c r="AC146" s="457"/>
      <c r="AD146" s="457"/>
      <c r="AE146" s="457"/>
      <c r="AF146" s="457"/>
      <c r="AG146" s="457"/>
      <c r="AH146" s="457"/>
      <c r="AI146" s="457"/>
      <c r="AJ146" s="457"/>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ht="14.1" thickBot="1">
      <c r="A147" s="224"/>
      <c r="B147" s="270"/>
      <c r="C147" s="219"/>
      <c r="D147" s="255" t="s">
        <v>176</v>
      </c>
      <c r="E147" s="271">
        <v>7440439</v>
      </c>
      <c r="F147" s="270" t="str">
        <f>+'TOXIC Calculations'!Z37</f>
        <v>NOTE 2</v>
      </c>
      <c r="G147" s="162"/>
      <c r="H147" s="219"/>
      <c r="I147" s="219"/>
      <c r="J147" s="39" t="s">
        <v>177</v>
      </c>
      <c r="K147" s="271">
        <v>7738945</v>
      </c>
      <c r="L147" s="42" t="str">
        <f>+'TOXIC Calculations'!Z25</f>
        <v>NOTE 1</v>
      </c>
      <c r="M147" s="679"/>
      <c r="N147" s="680"/>
      <c r="O147" s="681"/>
    </row>
    <row r="148" spans="1:256">
      <c r="A148" s="224"/>
      <c r="B148" s="270"/>
      <c r="C148" s="219"/>
      <c r="D148" s="255" t="s">
        <v>178</v>
      </c>
      <c r="E148" s="271" t="s">
        <v>179</v>
      </c>
      <c r="F148" s="270" t="str">
        <f>+'TOXIC Calculations'!Z30</f>
        <v>NOTE 1</v>
      </c>
      <c r="G148" s="162"/>
      <c r="H148" s="219"/>
      <c r="I148" s="219"/>
      <c r="J148" s="255" t="s">
        <v>180</v>
      </c>
      <c r="K148" s="271" t="s">
        <v>181</v>
      </c>
      <c r="L148" s="273" t="str">
        <f>+'TOXIC Calculations'!Z19</f>
        <v>NOTE 1</v>
      </c>
      <c r="M148" s="219"/>
      <c r="N148" s="219"/>
      <c r="O148" s="225"/>
    </row>
    <row r="149" spans="1:256">
      <c r="A149" s="224"/>
      <c r="B149" s="270"/>
      <c r="C149" s="219"/>
      <c r="D149" s="255" t="s">
        <v>182</v>
      </c>
      <c r="E149" s="271" t="s">
        <v>183</v>
      </c>
      <c r="F149" s="270" t="str">
        <f>+'TOXIC Calculations'!Z17</f>
        <v>NOTE 3</v>
      </c>
      <c r="G149" s="162"/>
      <c r="H149" s="219"/>
      <c r="I149" s="219"/>
      <c r="J149" s="255" t="s">
        <v>184</v>
      </c>
      <c r="K149" s="271" t="s">
        <v>185</v>
      </c>
      <c r="L149" s="273" t="str">
        <f>+'TOXIC Calculations'!Z31</f>
        <v>NOTE 1</v>
      </c>
      <c r="M149" s="219"/>
      <c r="N149" s="219"/>
      <c r="O149" s="225"/>
      <c r="R149" s="456"/>
    </row>
    <row r="150" spans="1:256">
      <c r="A150" s="224"/>
      <c r="B150" s="270"/>
      <c r="C150" s="219"/>
      <c r="D150" s="255" t="s">
        <v>186</v>
      </c>
      <c r="E150" s="271" t="s">
        <v>187</v>
      </c>
      <c r="F150" s="270" t="str">
        <f>+'TOXIC Calculations'!Z38</f>
        <v>NOTE 1</v>
      </c>
      <c r="G150" s="162"/>
      <c r="H150" s="219"/>
      <c r="I150" s="219"/>
      <c r="J150" s="255" t="s">
        <v>188</v>
      </c>
      <c r="K150" s="271" t="s">
        <v>189</v>
      </c>
      <c r="L150" s="273" t="str">
        <f>+'TOXIC Calculations'!Z22</f>
        <v>NOTE 1</v>
      </c>
      <c r="M150" s="219"/>
      <c r="N150" s="219"/>
      <c r="O150" s="225"/>
    </row>
    <row r="151" spans="1:256">
      <c r="A151" s="224"/>
      <c r="B151" s="270"/>
      <c r="C151" s="219"/>
      <c r="D151" s="255" t="s">
        <v>190</v>
      </c>
      <c r="E151" s="271" t="s">
        <v>191</v>
      </c>
      <c r="F151" s="270" t="str">
        <f>+'TOXIC Calculations'!Z26</f>
        <v>NOTE 1</v>
      </c>
      <c r="G151" s="162"/>
      <c r="H151" s="219"/>
      <c r="I151" s="219"/>
      <c r="J151" s="255" t="s">
        <v>192</v>
      </c>
      <c r="K151" s="271" t="s">
        <v>193</v>
      </c>
      <c r="L151" s="273" t="str">
        <f>+'TOXIC Calculations'!Z41</f>
        <v>NOTE 1</v>
      </c>
      <c r="M151" s="219"/>
      <c r="N151" s="219"/>
      <c r="O151" s="225"/>
    </row>
    <row r="152" spans="1:256">
      <c r="A152" s="224"/>
      <c r="B152" s="270"/>
      <c r="C152" s="219"/>
      <c r="D152" s="255" t="s">
        <v>194</v>
      </c>
      <c r="E152" s="271">
        <v>7783064</v>
      </c>
      <c r="F152" s="270" t="str">
        <f>+'TOXIC Calculations'!Z35</f>
        <v>NOTE 1</v>
      </c>
      <c r="G152" s="162"/>
      <c r="H152" s="219"/>
      <c r="I152" s="219"/>
      <c r="J152" s="255" t="s">
        <v>195</v>
      </c>
      <c r="K152" s="271" t="s">
        <v>196</v>
      </c>
      <c r="L152" s="273" t="str">
        <f>+'TOXIC Calculations'!Z22</f>
        <v>NOTE 1</v>
      </c>
      <c r="M152" s="219"/>
      <c r="N152" s="219"/>
      <c r="O152" s="225"/>
    </row>
    <row r="153" spans="1:256">
      <c r="A153" s="224"/>
      <c r="B153" s="270"/>
      <c r="C153" s="219"/>
      <c r="D153" s="255" t="s">
        <v>197</v>
      </c>
      <c r="E153" s="271" t="s">
        <v>198</v>
      </c>
      <c r="F153" s="270" t="str">
        <f>+'TOXIC Calculations'!Z27</f>
        <v>NOTE 1</v>
      </c>
      <c r="G153" s="162"/>
      <c r="H153" s="219"/>
      <c r="I153" s="219"/>
      <c r="J153" s="255"/>
      <c r="K153" s="271"/>
      <c r="L153" s="273"/>
      <c r="M153" s="219"/>
      <c r="N153" s="219"/>
      <c r="O153" s="225"/>
    </row>
    <row r="154" spans="1:256" ht="14.1" thickBot="1">
      <c r="A154" s="263"/>
      <c r="B154" s="274"/>
      <c r="C154" s="256"/>
      <c r="D154" s="267" t="s">
        <v>199</v>
      </c>
      <c r="E154" s="275" t="s">
        <v>200</v>
      </c>
      <c r="F154" s="274" t="str">
        <f>+'TOXIC Calculations'!Z20</f>
        <v>NOTE 1</v>
      </c>
      <c r="G154" s="164"/>
      <c r="H154" s="267"/>
      <c r="I154" s="267"/>
      <c r="J154" s="546"/>
      <c r="K154" s="546"/>
      <c r="L154" s="547"/>
      <c r="M154" s="256"/>
      <c r="N154" s="256"/>
      <c r="O154" s="264"/>
      <c r="S154" s="456"/>
      <c r="T154" s="456"/>
      <c r="U154" s="456"/>
      <c r="V154" s="456"/>
      <c r="W154" s="456"/>
      <c r="X154" s="456"/>
      <c r="Y154" s="456"/>
      <c r="Z154" s="456"/>
      <c r="AA154" s="456"/>
      <c r="AB154" s="456"/>
      <c r="AC154" s="456"/>
      <c r="AD154" s="456"/>
      <c r="AE154" s="456"/>
      <c r="AF154" s="456"/>
      <c r="AG154" s="456"/>
      <c r="AH154" s="456"/>
      <c r="AI154" s="456"/>
    </row>
    <row r="155" spans="1:256">
      <c r="A155" s="38"/>
      <c r="B155" s="125"/>
      <c r="C155" s="38"/>
      <c r="D155" s="38"/>
      <c r="E155" s="38"/>
      <c r="F155" s="38"/>
      <c r="G155" s="38"/>
      <c r="H155" s="38"/>
      <c r="I155" s="38"/>
      <c r="J155" s="38"/>
      <c r="K155" s="38"/>
      <c r="L155" s="38"/>
      <c r="M155" s="38"/>
      <c r="N155" s="38"/>
      <c r="O155" s="38"/>
    </row>
    <row r="156" spans="1:256">
      <c r="B156" s="93"/>
    </row>
    <row r="157" spans="1:256">
      <c r="B157" s="93"/>
    </row>
    <row r="158" spans="1:256">
      <c r="B158" s="93"/>
    </row>
    <row r="159" spans="1:256">
      <c r="B159" s="93"/>
    </row>
    <row r="160" spans="1:256">
      <c r="B160" s="93"/>
    </row>
    <row r="161" spans="2:2">
      <c r="B161" s="93"/>
    </row>
    <row r="162" spans="2:2">
      <c r="B162" s="93"/>
    </row>
    <row r="163" spans="2:2">
      <c r="B163" s="93"/>
    </row>
    <row r="164" spans="2:2" ht="12.75" customHeight="1">
      <c r="B164" s="93"/>
    </row>
    <row r="165" spans="2:2">
      <c r="B165" s="93"/>
    </row>
    <row r="166" spans="2:2">
      <c r="B166" s="93"/>
    </row>
    <row r="186" ht="12.75" customHeight="1"/>
    <row r="187" ht="12.75" customHeight="1"/>
    <row r="189" ht="12.75" customHeight="1"/>
    <row r="196" ht="12.75" customHeight="1"/>
    <row r="198" ht="12.75" customHeight="1"/>
  </sheetData>
  <sheetProtection algorithmName="SHA-512" hashValue="nXOxdQMnwLU6O+ORCacPhBOY+3BhCih6ddt6aeyB2C0kYYfqVKm2AOsPxb3w5/dZoKRsoPOjigrehHBAHhjdsQ==" saltValue="WgQUhn/KyS2WE9/X6yQMEQ==" spinCount="100000" sheet="1"/>
  <mergeCells count="202">
    <mergeCell ref="A140:D140"/>
    <mergeCell ref="H140:J140"/>
    <mergeCell ref="L136:M136"/>
    <mergeCell ref="L132:M132"/>
    <mergeCell ref="J133:K133"/>
    <mergeCell ref="J134:K134"/>
    <mergeCell ref="J135:K135"/>
    <mergeCell ref="J136:K136"/>
    <mergeCell ref="H133:I133"/>
    <mergeCell ref="H135:I135"/>
    <mergeCell ref="B129:C129"/>
    <mergeCell ref="J130:K130"/>
    <mergeCell ref="J132:K132"/>
    <mergeCell ref="J131:K131"/>
    <mergeCell ref="J126:K129"/>
    <mergeCell ref="L126:M129"/>
    <mergeCell ref="L130:M130"/>
    <mergeCell ref="H134:I134"/>
    <mergeCell ref="H136:I136"/>
    <mergeCell ref="H126:I129"/>
    <mergeCell ref="H130:I130"/>
    <mergeCell ref="H131:I131"/>
    <mergeCell ref="H132:I132"/>
    <mergeCell ref="H123:I123"/>
    <mergeCell ref="H122:I122"/>
    <mergeCell ref="J120:K120"/>
    <mergeCell ref="J121:K121"/>
    <mergeCell ref="J122:K122"/>
    <mergeCell ref="H120:I120"/>
    <mergeCell ref="H121:I121"/>
    <mergeCell ref="N136:O136"/>
    <mergeCell ref="L134:M134"/>
    <mergeCell ref="N134:O134"/>
    <mergeCell ref="N135:O135"/>
    <mergeCell ref="L135:M135"/>
    <mergeCell ref="N132:O132"/>
    <mergeCell ref="N133:O133"/>
    <mergeCell ref="L133:M133"/>
    <mergeCell ref="N130:O130"/>
    <mergeCell ref="N131:O131"/>
    <mergeCell ref="L131:M131"/>
    <mergeCell ref="Z25:AF25"/>
    <mergeCell ref="Z26:AF26"/>
    <mergeCell ref="Z27:AF27"/>
    <mergeCell ref="Z28:AF28"/>
    <mergeCell ref="Z21:AF21"/>
    <mergeCell ref="Z22:AF22"/>
    <mergeCell ref="Z23:AF23"/>
    <mergeCell ref="Z24:AF24"/>
    <mergeCell ref="Z33:AF33"/>
    <mergeCell ref="Z29:AF29"/>
    <mergeCell ref="Z30:AF30"/>
    <mergeCell ref="Z31:AF31"/>
    <mergeCell ref="Z32:AF32"/>
    <mergeCell ref="N82:O82"/>
    <mergeCell ref="Z37:AF37"/>
    <mergeCell ref="Z38:AF38"/>
    <mergeCell ref="M146:O147"/>
    <mergeCell ref="N83:O83"/>
    <mergeCell ref="N84:O84"/>
    <mergeCell ref="N85:O85"/>
    <mergeCell ref="L122:M122"/>
    <mergeCell ref="Z34:AF34"/>
    <mergeCell ref="Z35:AF35"/>
    <mergeCell ref="Z36:AF36"/>
    <mergeCell ref="L87:M87"/>
    <mergeCell ref="L88:M88"/>
    <mergeCell ref="L77:M80"/>
    <mergeCell ref="N77:O80"/>
    <mergeCell ref="N81:O81"/>
    <mergeCell ref="N86:O86"/>
    <mergeCell ref="N126:O129"/>
    <mergeCell ref="L109:M109"/>
    <mergeCell ref="N109:O109"/>
    <mergeCell ref="N110:O110"/>
    <mergeCell ref="L110:M110"/>
    <mergeCell ref="L114:M117"/>
    <mergeCell ref="N114:O117"/>
    <mergeCell ref="J84:K84"/>
    <mergeCell ref="J85:K85"/>
    <mergeCell ref="L85:M85"/>
    <mergeCell ref="J86:K86"/>
    <mergeCell ref="M143:O145"/>
    <mergeCell ref="J87:K87"/>
    <mergeCell ref="L84:M84"/>
    <mergeCell ref="J88:K88"/>
    <mergeCell ref="J89:K89"/>
    <mergeCell ref="J123:K123"/>
    <mergeCell ref="L123:M123"/>
    <mergeCell ref="L118:M118"/>
    <mergeCell ref="M141:O142"/>
    <mergeCell ref="N123:O123"/>
    <mergeCell ref="N99:O99"/>
    <mergeCell ref="N94:O97"/>
    <mergeCell ref="N90:O90"/>
    <mergeCell ref="N89:O89"/>
    <mergeCell ref="L119:M119"/>
    <mergeCell ref="J110:K110"/>
    <mergeCell ref="J105:K108"/>
    <mergeCell ref="L105:M108"/>
    <mergeCell ref="J109:K109"/>
    <mergeCell ref="F85:G85"/>
    <mergeCell ref="H85:I85"/>
    <mergeCell ref="F87:G87"/>
    <mergeCell ref="F88:G88"/>
    <mergeCell ref="F89:G89"/>
    <mergeCell ref="L86:M86"/>
    <mergeCell ref="H98:I98"/>
    <mergeCell ref="H89:I89"/>
    <mergeCell ref="N98:O98"/>
    <mergeCell ref="H95:I97"/>
    <mergeCell ref="L94:M97"/>
    <mergeCell ref="N120:O120"/>
    <mergeCell ref="N121:O121"/>
    <mergeCell ref="N122:O122"/>
    <mergeCell ref="J98:K98"/>
    <mergeCell ref="L98:M98"/>
    <mergeCell ref="L90:M90"/>
    <mergeCell ref="J101:K101"/>
    <mergeCell ref="N118:O118"/>
    <mergeCell ref="N119:O119"/>
    <mergeCell ref="J100:K100"/>
    <mergeCell ref="L89:M89"/>
    <mergeCell ref="N105:O108"/>
    <mergeCell ref="L101:M101"/>
    <mergeCell ref="D114:D117"/>
    <mergeCell ref="B32:H32"/>
    <mergeCell ref="I53:N55"/>
    <mergeCell ref="B117:C117"/>
    <mergeCell ref="H115:I117"/>
    <mergeCell ref="J114:K117"/>
    <mergeCell ref="J83:K83"/>
    <mergeCell ref="L83:M83"/>
    <mergeCell ref="H88:I88"/>
    <mergeCell ref="F83:G83"/>
    <mergeCell ref="F84:G84"/>
    <mergeCell ref="H83:I83"/>
    <mergeCell ref="H84:I84"/>
    <mergeCell ref="H87:I87"/>
    <mergeCell ref="N87:O87"/>
    <mergeCell ref="N88:O88"/>
    <mergeCell ref="N101:O101"/>
    <mergeCell ref="N100:O100"/>
    <mergeCell ref="F82:G82"/>
    <mergeCell ref="F86:G86"/>
    <mergeCell ref="H86:I86"/>
    <mergeCell ref="B108:C108"/>
    <mergeCell ref="B97:C97"/>
    <mergeCell ref="D23:D24"/>
    <mergeCell ref="D57:J58"/>
    <mergeCell ref="J77:K80"/>
    <mergeCell ref="D77:D80"/>
    <mergeCell ref="J82:K82"/>
    <mergeCell ref="L82:M82"/>
    <mergeCell ref="L81:M81"/>
    <mergeCell ref="H78:I80"/>
    <mergeCell ref="E23:G24"/>
    <mergeCell ref="H82:I82"/>
    <mergeCell ref="D36:D37"/>
    <mergeCell ref="E39:G40"/>
    <mergeCell ref="C39:D40"/>
    <mergeCell ref="B80:C80"/>
    <mergeCell ref="D26:D27"/>
    <mergeCell ref="E26:G27"/>
    <mergeCell ref="E77:E80"/>
    <mergeCell ref="F78:G80"/>
    <mergeCell ref="E36:G37"/>
    <mergeCell ref="F81:G81"/>
    <mergeCell ref="H81:I81"/>
    <mergeCell ref="J81:K81"/>
    <mergeCell ref="A1:O2"/>
    <mergeCell ref="D3:O6"/>
    <mergeCell ref="F17:G17"/>
    <mergeCell ref="D21:D22"/>
    <mergeCell ref="F13:G13"/>
    <mergeCell ref="F14:G14"/>
    <mergeCell ref="F15:G15"/>
    <mergeCell ref="F16:G16"/>
    <mergeCell ref="E21:G22"/>
    <mergeCell ref="C19:E20"/>
    <mergeCell ref="F12:G12"/>
    <mergeCell ref="F90:G90"/>
    <mergeCell ref="H90:I90"/>
    <mergeCell ref="J90:K90"/>
    <mergeCell ref="D94:D97"/>
    <mergeCell ref="L121:M121"/>
    <mergeCell ref="H118:I118"/>
    <mergeCell ref="H119:I119"/>
    <mergeCell ref="J118:K118"/>
    <mergeCell ref="J119:K119"/>
    <mergeCell ref="J94:K97"/>
    <mergeCell ref="L120:M120"/>
    <mergeCell ref="L100:M100"/>
    <mergeCell ref="H100:I100"/>
    <mergeCell ref="D104:D108"/>
    <mergeCell ref="H99:I99"/>
    <mergeCell ref="L99:M99"/>
    <mergeCell ref="J99:K99"/>
    <mergeCell ref="H101:I101"/>
    <mergeCell ref="H106:I108"/>
    <mergeCell ref="H109:I109"/>
    <mergeCell ref="H110:I110"/>
  </mergeCells>
  <phoneticPr fontId="0" type="noConversion"/>
  <conditionalFormatting sqref="D141:E146">
    <cfRule type="expression" dxfId="39" priority="5" stopIfTrue="1">
      <formula>+$S137="NOTE 3"</formula>
    </cfRule>
    <cfRule type="expression" dxfId="38" priority="6" stopIfTrue="1">
      <formula>+$S137="NOTE 2"</formula>
    </cfRule>
  </conditionalFormatting>
  <conditionalFormatting sqref="D147:E150">
    <cfRule type="expression" dxfId="37" priority="7" stopIfTrue="1">
      <formula>+$S144="NOTE 3"</formula>
    </cfRule>
    <cfRule type="expression" dxfId="36" priority="8" stopIfTrue="1">
      <formula>+$S144="NOTE 2"</formula>
    </cfRule>
  </conditionalFormatting>
  <conditionalFormatting sqref="D151:E152">
    <cfRule type="expression" dxfId="35" priority="9" stopIfTrue="1">
      <formula>+$S149="NOTE 3"</formula>
    </cfRule>
    <cfRule type="expression" dxfId="34" priority="10" stopIfTrue="1">
      <formula>+$S149="NOTE 2"</formula>
    </cfRule>
  </conditionalFormatting>
  <conditionalFormatting sqref="D154:E154">
    <cfRule type="expression" dxfId="33" priority="11" stopIfTrue="1">
      <formula>+$T153="NOTE 3"</formula>
    </cfRule>
    <cfRule type="expression" dxfId="32" priority="12" stopIfTrue="1">
      <formula>+$T153="NOTE 2"</formula>
    </cfRule>
  </conditionalFormatting>
  <conditionalFormatting sqref="H154:I154 J153:K153">
    <cfRule type="expression" dxfId="31" priority="13" stopIfTrue="1">
      <formula>+$S153="NOTE 3"</formula>
    </cfRule>
    <cfRule type="expression" dxfId="30" priority="14" stopIfTrue="1">
      <formula>+$S153="NOTE 2"</formula>
    </cfRule>
  </conditionalFormatting>
  <conditionalFormatting sqref="C64:J65">
    <cfRule type="expression" dxfId="29" priority="15" stopIfTrue="1">
      <formula>$T$30=2</formula>
    </cfRule>
  </conditionalFormatting>
  <conditionalFormatting sqref="I51">
    <cfRule type="expression" dxfId="28" priority="16" stopIfTrue="1">
      <formula>$F$49&lt;AA11</formula>
    </cfRule>
  </conditionalFormatting>
  <conditionalFormatting sqref="H25">
    <cfRule type="expression" dxfId="27" priority="17" stopIfTrue="1">
      <formula>+F25&lt;0.5</formula>
    </cfRule>
  </conditionalFormatting>
  <conditionalFormatting sqref="D25:G25">
    <cfRule type="expression" dxfId="26" priority="18" stopIfTrue="1">
      <formula>+fuel=1</formula>
    </cfRule>
  </conditionalFormatting>
  <conditionalFormatting sqref="I48">
    <cfRule type="expression" dxfId="25" priority="19" stopIfTrue="1">
      <formula>+F48&lt;0.5</formula>
    </cfRule>
  </conditionalFormatting>
  <conditionalFormatting sqref="I49:I50">
    <cfRule type="expression" dxfId="24" priority="20" stopIfTrue="1">
      <formula>$F$49&lt;AA10</formula>
    </cfRule>
  </conditionalFormatting>
  <conditionalFormatting sqref="B53:H53">
    <cfRule type="expression" dxfId="23" priority="21" stopIfTrue="1">
      <formula>$T$12=1</formula>
    </cfRule>
  </conditionalFormatting>
  <conditionalFormatting sqref="I146 J142:K151">
    <cfRule type="expression" dxfId="22" priority="22" stopIfTrue="1">
      <formula>+$S141="NOTE 3"</formula>
    </cfRule>
    <cfRule type="expression" dxfId="21" priority="23" stopIfTrue="1">
      <formula>+$S141="NOTE 2"</formula>
    </cfRule>
  </conditionalFormatting>
  <conditionalFormatting sqref="J141:K141">
    <cfRule type="expression" dxfId="20" priority="24" stopIfTrue="1">
      <formula>+$V137="NOTE 3"</formula>
    </cfRule>
    <cfRule type="expression" dxfId="19" priority="25" stopIfTrue="1">
      <formula>+$V137="NOTE 2"</formula>
    </cfRule>
  </conditionalFormatting>
  <conditionalFormatting sqref="I52">
    <cfRule type="expression" dxfId="18" priority="26" stopIfTrue="1">
      <formula>+$F$52&gt;$F$51+1</formula>
    </cfRule>
  </conditionalFormatting>
  <conditionalFormatting sqref="C66:J67">
    <cfRule type="expression" dxfId="17" priority="27" stopIfTrue="1">
      <formula>$T$30=2</formula>
    </cfRule>
    <cfRule type="expression" dxfId="16" priority="28" stopIfTrue="1">
      <formula>$T$42=2</formula>
    </cfRule>
  </conditionalFormatting>
  <conditionalFormatting sqref="I53:N55">
    <cfRule type="expression" dxfId="15" priority="29" stopIfTrue="1">
      <formula>$F$53&lt;24*$F$30</formula>
    </cfRule>
    <cfRule type="expression" dxfId="14" priority="30" stopIfTrue="1">
      <formula>F53&gt;24*F30</formula>
    </cfRule>
  </conditionalFormatting>
  <conditionalFormatting sqref="B41:I43">
    <cfRule type="expression" dxfId="13" priority="31" stopIfTrue="1">
      <formula>$T$38=2</formula>
    </cfRule>
  </conditionalFormatting>
  <conditionalFormatting sqref="C59:J63">
    <cfRule type="expression" dxfId="12" priority="32" stopIfTrue="1">
      <formula>$T$30=2</formula>
    </cfRule>
    <cfRule type="expression" dxfId="11" priority="33" stopIfTrue="1">
      <formula>$T$42=1</formula>
    </cfRule>
  </conditionalFormatting>
  <conditionalFormatting sqref="D153:E153">
    <cfRule type="expression" dxfId="10" priority="34" stopIfTrue="1">
      <formula>+$T151="NOTE 3"</formula>
    </cfRule>
    <cfRule type="expression" dxfId="9" priority="35" stopIfTrue="1">
      <formula>+$T151="NOTE 2"</formula>
    </cfRule>
  </conditionalFormatting>
  <conditionalFormatting sqref="J152">
    <cfRule type="expression" dxfId="8" priority="3" stopIfTrue="1">
      <formula>+$S152="NOTE 3"</formula>
    </cfRule>
    <cfRule type="expression" dxfId="7" priority="4" stopIfTrue="1">
      <formula>+$S152="NOTE 2"</formula>
    </cfRule>
  </conditionalFormatting>
  <conditionalFormatting sqref="K152">
    <cfRule type="expression" dxfId="6" priority="1" stopIfTrue="1">
      <formula>+$S152="NOTE 3"</formula>
    </cfRule>
    <cfRule type="expression" dxfId="5" priority="2" stopIfTrue="1">
      <formula>+$S152="NOTE 2"</formula>
    </cfRule>
  </conditionalFormatting>
  <printOptions horizontalCentered="1"/>
  <pageMargins left="0.25" right="0.25" top="0.35" bottom="0.25" header="0" footer="0"/>
  <pageSetup scale="68" fitToHeight="2" orientation="portrait" r:id="rId1"/>
  <headerFooter alignWithMargins="0"/>
  <rowBreaks count="1" manualBreakCount="1">
    <brk id="7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locked="0" defaultSize="0" autoLine="0" autoPict="0">
                <anchor moveWithCells="1">
                  <from>
                    <xdr:col>4</xdr:col>
                    <xdr:colOff>88900</xdr:colOff>
                    <xdr:row>20</xdr:row>
                    <xdr:rowOff>63500</xdr:rowOff>
                  </from>
                  <to>
                    <xdr:col>6</xdr:col>
                    <xdr:colOff>381000</xdr:colOff>
                    <xdr:row>21</xdr:row>
                    <xdr:rowOff>114300</xdr:rowOff>
                  </to>
                </anchor>
              </controlPr>
            </control>
          </mc:Choice>
        </mc:AlternateContent>
        <mc:AlternateContent xmlns:mc="http://schemas.openxmlformats.org/markup-compatibility/2006">
          <mc:Choice Requires="x14">
            <control shapeId="1029" r:id="rId5" name="Drop Down 5">
              <controlPr locked="0" defaultSize="0" autoLine="0" autoPict="0">
                <anchor moveWithCells="1">
                  <from>
                    <xdr:col>7</xdr:col>
                    <xdr:colOff>0</xdr:colOff>
                    <xdr:row>56</xdr:row>
                    <xdr:rowOff>50800</xdr:rowOff>
                  </from>
                  <to>
                    <xdr:col>8</xdr:col>
                    <xdr:colOff>177800</xdr:colOff>
                    <xdr:row>57</xdr:row>
                    <xdr:rowOff>101600</xdr:rowOff>
                  </to>
                </anchor>
              </controlPr>
            </control>
          </mc:Choice>
        </mc:AlternateContent>
        <mc:AlternateContent xmlns:mc="http://schemas.openxmlformats.org/markup-compatibility/2006">
          <mc:Choice Requires="x14">
            <control shapeId="1030" r:id="rId6" name="Drop Down 6">
              <controlPr locked="0" defaultSize="0" autoLine="0" autoPict="0">
                <anchor moveWithCells="1">
                  <from>
                    <xdr:col>4</xdr:col>
                    <xdr:colOff>88900</xdr:colOff>
                    <xdr:row>22</xdr:row>
                    <xdr:rowOff>63500</xdr:rowOff>
                  </from>
                  <to>
                    <xdr:col>6</xdr:col>
                    <xdr:colOff>381000</xdr:colOff>
                    <xdr:row>23</xdr:row>
                    <xdr:rowOff>114300</xdr:rowOff>
                  </to>
                </anchor>
              </controlPr>
            </control>
          </mc:Choice>
        </mc:AlternateContent>
        <mc:AlternateContent xmlns:mc="http://schemas.openxmlformats.org/markup-compatibility/2006">
          <mc:Choice Requires="x14">
            <control shapeId="1031" r:id="rId7" name="Drop Down 7">
              <controlPr locked="0" defaultSize="0" autoLine="0" autoPict="0">
                <anchor moveWithCells="1">
                  <from>
                    <xdr:col>4</xdr:col>
                    <xdr:colOff>114300</xdr:colOff>
                    <xdr:row>25</xdr:row>
                    <xdr:rowOff>63500</xdr:rowOff>
                  </from>
                  <to>
                    <xdr:col>6</xdr:col>
                    <xdr:colOff>419100</xdr:colOff>
                    <xdr:row>26</xdr:row>
                    <xdr:rowOff>114300</xdr:rowOff>
                  </to>
                </anchor>
              </controlPr>
            </control>
          </mc:Choice>
        </mc:AlternateContent>
        <mc:AlternateContent xmlns:mc="http://schemas.openxmlformats.org/markup-compatibility/2006">
          <mc:Choice Requires="x14">
            <control shapeId="1032" r:id="rId8" name="Drop Down 8">
              <controlPr locked="0" defaultSize="0" autoLine="0" autoPict="0">
                <anchor moveWithCells="1">
                  <from>
                    <xdr:col>4</xdr:col>
                    <xdr:colOff>101600</xdr:colOff>
                    <xdr:row>35</xdr:row>
                    <xdr:rowOff>50800</xdr:rowOff>
                  </from>
                  <to>
                    <xdr:col>6</xdr:col>
                    <xdr:colOff>406400</xdr:colOff>
                    <xdr:row>36</xdr:row>
                    <xdr:rowOff>101600</xdr:rowOff>
                  </to>
                </anchor>
              </controlPr>
            </control>
          </mc:Choice>
        </mc:AlternateContent>
        <mc:AlternateContent xmlns:mc="http://schemas.openxmlformats.org/markup-compatibility/2006">
          <mc:Choice Requires="x14">
            <control shapeId="1033" r:id="rId9" name="Drop Down 9">
              <controlPr locked="0" defaultSize="0" autoLine="0" autoPict="0">
                <anchor moveWithCells="1">
                  <from>
                    <xdr:col>4</xdr:col>
                    <xdr:colOff>101600</xdr:colOff>
                    <xdr:row>38</xdr:row>
                    <xdr:rowOff>50800</xdr:rowOff>
                  </from>
                  <to>
                    <xdr:col>6</xdr:col>
                    <xdr:colOff>406400</xdr:colOff>
                    <xdr:row>39</xdr:row>
                    <xdr:rowOff>101600</xdr:rowOff>
                  </to>
                </anchor>
              </controlPr>
            </control>
          </mc:Choice>
        </mc:AlternateContent>
        <mc:AlternateContent xmlns:mc="http://schemas.openxmlformats.org/markup-compatibility/2006">
          <mc:Choice Requires="x14">
            <control shapeId="1034" r:id="rId10" name="Drop Down 10">
              <controlPr locked="0" defaultSize="0" autoLine="0" autoPict="0">
                <anchor moveWithCells="1">
                  <from>
                    <xdr:col>5</xdr:col>
                    <xdr:colOff>101600</xdr:colOff>
                    <xdr:row>18</xdr:row>
                    <xdr:rowOff>63500</xdr:rowOff>
                  </from>
                  <to>
                    <xdr:col>7</xdr:col>
                    <xdr:colOff>444500</xdr:colOff>
                    <xdr:row>19</xdr:row>
                    <xdr:rowOff>127000</xdr:rowOff>
                  </to>
                </anchor>
              </controlPr>
            </control>
          </mc:Choice>
        </mc:AlternateContent>
        <mc:AlternateContent xmlns:mc="http://schemas.openxmlformats.org/markup-compatibility/2006">
          <mc:Choice Requires="x14">
            <control shapeId="1050" r:id="rId11" name="Drop Down 26">
              <controlPr locked="0" defaultSize="0" autoLine="0" autoPict="0">
                <anchor moveWithCells="1">
                  <from>
                    <xdr:col>7</xdr:col>
                    <xdr:colOff>38100</xdr:colOff>
                    <xdr:row>63</xdr:row>
                    <xdr:rowOff>76200</xdr:rowOff>
                  </from>
                  <to>
                    <xdr:col>8</xdr:col>
                    <xdr:colOff>228600</xdr:colOff>
                    <xdr:row>64</xdr:row>
                    <xdr:rowOff>139700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12"/>
  <sheetViews>
    <sheetView showGridLines="0" zoomScaleNormal="100" zoomScaleSheetLayoutView="100" workbookViewId="0">
      <selection activeCell="A2" sqref="A2"/>
    </sheetView>
  </sheetViews>
  <sheetFormatPr defaultColWidth="8.85546875" defaultRowHeight="12.95"/>
  <cols>
    <col min="1" max="1" width="4.42578125" customWidth="1"/>
    <col min="5" max="5" width="9" customWidth="1"/>
    <col min="6" max="6" width="8.7109375" customWidth="1"/>
    <col min="7" max="7" width="12.42578125" customWidth="1"/>
    <col min="8" max="8" width="9.85546875" customWidth="1"/>
    <col min="9" max="9" width="10.28515625" bestFit="1" customWidth="1"/>
    <col min="10" max="10" width="11.28515625" customWidth="1"/>
    <col min="11" max="11" width="10.28515625" bestFit="1" customWidth="1"/>
    <col min="12" max="13" width="9.42578125" customWidth="1"/>
    <col min="17" max="17" width="0" hidden="1" customWidth="1"/>
    <col min="18" max="18" width="18.85546875" hidden="1" customWidth="1"/>
    <col min="19" max="19" width="25.42578125" hidden="1" customWidth="1"/>
  </cols>
  <sheetData>
    <row r="1" spans="1:14" ht="17.100000000000001" thickBot="1">
      <c r="A1" s="697" t="s">
        <v>201</v>
      </c>
      <c r="B1" s="698"/>
      <c r="C1" s="698"/>
      <c r="D1" s="698"/>
      <c r="E1" s="698"/>
      <c r="F1" s="698"/>
      <c r="G1" s="698"/>
      <c r="H1" s="698"/>
      <c r="I1" s="698"/>
      <c r="J1" s="698"/>
      <c r="K1" s="698"/>
      <c r="L1" s="698"/>
      <c r="M1" s="698"/>
      <c r="N1" s="699"/>
    </row>
    <row r="2" spans="1:14">
      <c r="A2" s="23"/>
      <c r="B2" s="24"/>
      <c r="C2" s="25"/>
      <c r="D2" s="700" t="s">
        <v>202</v>
      </c>
      <c r="E2" s="701"/>
      <c r="F2" s="701"/>
      <c r="G2" s="701"/>
      <c r="H2" s="701"/>
      <c r="I2" s="701"/>
      <c r="J2" s="701"/>
      <c r="K2" s="701"/>
      <c r="L2" s="701"/>
      <c r="M2" s="701"/>
      <c r="N2" s="702"/>
    </row>
    <row r="3" spans="1:14">
      <c r="A3" s="23"/>
      <c r="B3" s="24"/>
      <c r="C3" s="25"/>
      <c r="D3" s="700"/>
      <c r="E3" s="701"/>
      <c r="F3" s="701"/>
      <c r="G3" s="701"/>
      <c r="H3" s="701"/>
      <c r="I3" s="701"/>
      <c r="J3" s="701"/>
      <c r="K3" s="701"/>
      <c r="L3" s="701"/>
      <c r="M3" s="701"/>
      <c r="N3" s="702"/>
    </row>
    <row r="4" spans="1:14">
      <c r="A4" s="23"/>
      <c r="B4" s="24"/>
      <c r="C4" s="25"/>
      <c r="D4" s="703"/>
      <c r="E4" s="704"/>
      <c r="F4" s="704"/>
      <c r="G4" s="704"/>
      <c r="H4" s="704"/>
      <c r="I4" s="704"/>
      <c r="J4" s="704"/>
      <c r="K4" s="704"/>
      <c r="L4" s="704"/>
      <c r="M4" s="704"/>
      <c r="N4" s="705"/>
    </row>
    <row r="5" spans="1:14">
      <c r="A5" s="23"/>
      <c r="B5" s="24"/>
      <c r="C5" s="24"/>
      <c r="D5" s="706" t="s">
        <v>203</v>
      </c>
      <c r="E5" s="707"/>
      <c r="F5" s="707"/>
      <c r="G5" s="707"/>
      <c r="H5" s="707"/>
      <c r="I5" s="707"/>
      <c r="J5" s="707"/>
      <c r="K5" s="707"/>
      <c r="L5" s="707"/>
      <c r="M5" s="707"/>
      <c r="N5" s="708"/>
    </row>
    <row r="6" spans="1:14">
      <c r="A6" s="26"/>
      <c r="B6" s="24"/>
      <c r="C6" s="24"/>
      <c r="D6" s="709"/>
      <c r="E6" s="710"/>
      <c r="F6" s="710"/>
      <c r="G6" s="710"/>
      <c r="H6" s="710"/>
      <c r="I6" s="710"/>
      <c r="J6" s="710"/>
      <c r="K6" s="710"/>
      <c r="L6" s="710"/>
      <c r="M6" s="710"/>
      <c r="N6" s="711"/>
    </row>
    <row r="7" spans="1:14">
      <c r="A7" s="27"/>
      <c r="B7" s="17"/>
      <c r="C7" s="17"/>
      <c r="D7" s="709"/>
      <c r="E7" s="710"/>
      <c r="F7" s="710"/>
      <c r="G7" s="710"/>
      <c r="H7" s="710"/>
      <c r="I7" s="710"/>
      <c r="J7" s="710"/>
      <c r="K7" s="710"/>
      <c r="L7" s="710"/>
      <c r="M7" s="710"/>
      <c r="N7" s="711"/>
    </row>
    <row r="8" spans="1:14" ht="14.1" thickBot="1">
      <c r="A8" s="27"/>
      <c r="B8" s="17"/>
      <c r="C8" s="17"/>
      <c r="D8" s="709"/>
      <c r="E8" s="710"/>
      <c r="F8" s="710"/>
      <c r="G8" s="710"/>
      <c r="H8" s="710"/>
      <c r="I8" s="710"/>
      <c r="J8" s="710"/>
      <c r="K8" s="710"/>
      <c r="L8" s="710"/>
      <c r="M8" s="710"/>
      <c r="N8" s="711"/>
    </row>
    <row r="9" spans="1:14" ht="14.1" thickBot="1">
      <c r="A9" s="381"/>
      <c r="B9" s="28"/>
      <c r="C9" s="28"/>
      <c r="D9" s="29"/>
      <c r="E9" s="29"/>
      <c r="F9" s="29"/>
      <c r="G9" s="29"/>
      <c r="H9" s="29"/>
      <c r="I9" s="29"/>
      <c r="J9" s="29"/>
      <c r="K9" s="29"/>
      <c r="L9" s="29"/>
      <c r="M9" s="29"/>
      <c r="N9" s="382"/>
    </row>
    <row r="10" spans="1:14" ht="13.35" customHeight="1" thickBot="1">
      <c r="A10" s="714" t="s">
        <v>204</v>
      </c>
      <c r="B10" s="715"/>
      <c r="C10" s="715"/>
      <c r="D10" s="715"/>
      <c r="E10" s="715"/>
      <c r="F10" s="715"/>
      <c r="G10" s="715"/>
      <c r="H10" s="715"/>
      <c r="I10" s="715"/>
      <c r="J10" s="715"/>
      <c r="K10" s="715"/>
      <c r="L10" s="715"/>
      <c r="M10" s="715"/>
      <c r="N10" s="716"/>
    </row>
    <row r="11" spans="1:14">
      <c r="A11" s="723" t="s">
        <v>205</v>
      </c>
      <c r="B11" s="724"/>
      <c r="C11" s="749" t="str">
        <f>+INPUT!F12</f>
        <v>ABC</v>
      </c>
      <c r="D11" s="749"/>
      <c r="E11" s="749"/>
      <c r="F11" s="749"/>
      <c r="G11" s="749"/>
      <c r="H11" s="749"/>
      <c r="I11" s="749"/>
      <c r="J11" s="750"/>
      <c r="K11" s="383" t="s">
        <v>206</v>
      </c>
      <c r="L11" s="384"/>
      <c r="M11" s="753">
        <f>+INPUT!F13</f>
        <v>123</v>
      </c>
      <c r="N11" s="754"/>
    </row>
    <row r="12" spans="1:14" ht="14.1" thickBot="1">
      <c r="A12" s="725"/>
      <c r="B12" s="726"/>
      <c r="C12" s="751"/>
      <c r="D12" s="751"/>
      <c r="E12" s="751"/>
      <c r="F12" s="751"/>
      <c r="G12" s="751"/>
      <c r="H12" s="751"/>
      <c r="I12" s="751"/>
      <c r="J12" s="752"/>
      <c r="K12" s="385" t="s">
        <v>207</v>
      </c>
      <c r="L12" s="386"/>
      <c r="M12" s="727">
        <f>+INPUT!F14</f>
        <v>123</v>
      </c>
      <c r="N12" s="728"/>
    </row>
    <row r="13" spans="1:14">
      <c r="A13" s="731" t="s">
        <v>208</v>
      </c>
      <c r="B13" s="732"/>
      <c r="C13" s="732"/>
      <c r="D13" s="733"/>
      <c r="E13" s="717" t="str">
        <f>+INPUT!U66</f>
        <v>non-NSPS affected 300 tph Natural gas-fired, Drum mix asphalt plant (100 mmBtu/hr heat input, w/silofill, with RAP, sulfur=n/a%)</v>
      </c>
      <c r="F13" s="718"/>
      <c r="G13" s="718"/>
      <c r="H13" s="718"/>
      <c r="I13" s="718"/>
      <c r="J13" s="719"/>
      <c r="K13" s="385" t="s">
        <v>209</v>
      </c>
      <c r="L13" s="387"/>
      <c r="M13" s="729" t="str">
        <f>+INPUT!F15</f>
        <v>Metropolis</v>
      </c>
      <c r="N13" s="730"/>
    </row>
    <row r="14" spans="1:14" ht="14.1" thickBot="1">
      <c r="A14" s="734"/>
      <c r="B14" s="735"/>
      <c r="C14" s="735"/>
      <c r="D14" s="736"/>
      <c r="E14" s="720"/>
      <c r="F14" s="721"/>
      <c r="G14" s="721"/>
      <c r="H14" s="721"/>
      <c r="I14" s="721"/>
      <c r="J14" s="722"/>
      <c r="K14" s="388" t="s">
        <v>210</v>
      </c>
      <c r="L14" s="389"/>
      <c r="M14" s="712" t="str">
        <f>+INPUT!F16</f>
        <v>Wake</v>
      </c>
      <c r="N14" s="713"/>
    </row>
    <row r="15" spans="1:14">
      <c r="A15" s="782" t="s">
        <v>211</v>
      </c>
      <c r="B15" s="783"/>
      <c r="C15" s="783"/>
      <c r="D15" s="788">
        <f>+INPUT!F52</f>
        <v>250000</v>
      </c>
      <c r="E15" s="764"/>
      <c r="F15" s="773" t="s">
        <v>212</v>
      </c>
      <c r="G15" s="786" t="s">
        <v>213</v>
      </c>
      <c r="H15" s="787"/>
      <c r="I15" s="790">
        <f>+IF(+INPUT!F53=24*INPUT!F30,"n/a",INPUT!F53)</f>
        <v>0</v>
      </c>
      <c r="J15" s="761"/>
      <c r="K15" s="789" t="s">
        <v>214</v>
      </c>
      <c r="L15" s="390"/>
      <c r="M15" s="390"/>
      <c r="N15" s="391"/>
    </row>
    <row r="16" spans="1:14" ht="12.75" customHeight="1" thickBot="1">
      <c r="A16" s="784"/>
      <c r="B16" s="785"/>
      <c r="C16" s="785"/>
      <c r="D16" s="721"/>
      <c r="E16" s="721"/>
      <c r="F16" s="722"/>
      <c r="G16" s="784"/>
      <c r="H16" s="785"/>
      <c r="I16" s="721"/>
      <c r="J16" s="721"/>
      <c r="K16" s="722"/>
      <c r="L16" s="392"/>
      <c r="M16" s="392"/>
      <c r="N16" s="393"/>
    </row>
    <row r="17" spans="1:19">
      <c r="A17" s="767" t="s">
        <v>215</v>
      </c>
      <c r="B17" s="761"/>
      <c r="C17" s="761"/>
      <c r="D17" s="761"/>
      <c r="E17" s="791" t="str">
        <f>+INPUT!F17</f>
        <v>J.Q. Engineer</v>
      </c>
      <c r="F17" s="762"/>
      <c r="G17" s="394"/>
      <c r="H17" s="392"/>
      <c r="I17" s="392"/>
      <c r="J17" s="392"/>
      <c r="K17" s="392"/>
      <c r="L17" s="392"/>
      <c r="M17" s="392"/>
      <c r="N17" s="393"/>
    </row>
    <row r="18" spans="1:19" ht="14.1" thickBot="1">
      <c r="A18" s="766"/>
      <c r="B18" s="721"/>
      <c r="C18" s="721"/>
      <c r="D18" s="721"/>
      <c r="E18" s="721"/>
      <c r="F18" s="722"/>
      <c r="G18" s="395"/>
      <c r="H18" s="396"/>
      <c r="I18" s="396"/>
      <c r="J18" s="396"/>
      <c r="K18" s="396"/>
      <c r="L18" s="396"/>
      <c r="M18" s="396"/>
      <c r="N18" s="397"/>
    </row>
    <row r="19" spans="1:19" ht="14.1" thickBot="1">
      <c r="A19" s="779" t="s">
        <v>216</v>
      </c>
      <c r="B19" s="780"/>
      <c r="C19" s="780"/>
      <c r="D19" s="780"/>
      <c r="E19" s="780"/>
      <c r="F19" s="780"/>
      <c r="G19" s="780"/>
      <c r="H19" s="780"/>
      <c r="I19" s="780"/>
      <c r="J19" s="780"/>
      <c r="K19" s="780"/>
      <c r="L19" s="780"/>
      <c r="M19" s="780"/>
      <c r="N19" s="781"/>
    </row>
    <row r="20" spans="1:19">
      <c r="A20" s="760" t="s">
        <v>217</v>
      </c>
      <c r="B20" s="761"/>
      <c r="C20" s="761"/>
      <c r="D20" s="761"/>
      <c r="E20" s="761"/>
      <c r="F20" s="762"/>
      <c r="G20" s="737" t="s">
        <v>218</v>
      </c>
      <c r="H20" s="738"/>
      <c r="I20" s="739" t="s">
        <v>219</v>
      </c>
      <c r="J20" s="740"/>
      <c r="K20" s="740"/>
      <c r="L20" s="741"/>
      <c r="M20" s="771"/>
      <c r="N20" s="772"/>
    </row>
    <row r="21" spans="1:19" ht="14.1" thickBot="1">
      <c r="A21" s="763"/>
      <c r="B21" s="764"/>
      <c r="C21" s="764"/>
      <c r="D21" s="764"/>
      <c r="E21" s="764"/>
      <c r="F21" s="765"/>
      <c r="G21" s="792" t="s">
        <v>220</v>
      </c>
      <c r="H21" s="793"/>
      <c r="I21" s="794" t="s">
        <v>221</v>
      </c>
      <c r="J21" s="795"/>
      <c r="K21" s="796" t="s">
        <v>220</v>
      </c>
      <c r="L21" s="797"/>
      <c r="M21" s="798"/>
      <c r="N21" s="799"/>
    </row>
    <row r="22" spans="1:19" ht="14.1" thickBot="1">
      <c r="A22" s="766"/>
      <c r="B22" s="721"/>
      <c r="C22" s="721"/>
      <c r="D22" s="721"/>
      <c r="E22" s="721"/>
      <c r="F22" s="722"/>
      <c r="G22" s="398" t="s">
        <v>112</v>
      </c>
      <c r="H22" s="399" t="s">
        <v>222</v>
      </c>
      <c r="I22" s="400" t="s">
        <v>112</v>
      </c>
      <c r="J22" s="401" t="s">
        <v>222</v>
      </c>
      <c r="K22" s="400" t="s">
        <v>112</v>
      </c>
      <c r="L22" s="402" t="s">
        <v>222</v>
      </c>
      <c r="M22" s="403"/>
      <c r="N22" s="404"/>
    </row>
    <row r="23" spans="1:19">
      <c r="A23" s="405" t="s">
        <v>223</v>
      </c>
      <c r="B23" s="406"/>
      <c r="C23" s="407"/>
      <c r="D23" s="408"/>
      <c r="E23" s="408"/>
      <c r="F23" s="408"/>
      <c r="G23" s="409">
        <f>+INPUT!H130</f>
        <v>8402.4067142857148</v>
      </c>
      <c r="H23" s="410">
        <f>+INPUT!N130</f>
        <v>3502.0408359805169</v>
      </c>
      <c r="I23" s="411"/>
      <c r="J23" s="412">
        <f>+INPUT!J130</f>
        <v>274.43280725576307</v>
      </c>
      <c r="K23" s="411"/>
      <c r="L23" s="413">
        <f>+INPUT!N130</f>
        <v>3502.0408359805169</v>
      </c>
      <c r="M23" s="414"/>
      <c r="N23" s="415"/>
    </row>
    <row r="24" spans="1:19" ht="15">
      <c r="A24" s="416" t="s">
        <v>224</v>
      </c>
      <c r="B24" s="417"/>
      <c r="C24" s="418"/>
      <c r="D24" s="419"/>
      <c r="E24" s="419"/>
      <c r="F24" s="419"/>
      <c r="G24" s="420">
        <f>+INPUT!H131</f>
        <v>1951.0287142857142</v>
      </c>
      <c r="H24" s="421">
        <f>+INPUT!N131</f>
        <v>813.96666931385005</v>
      </c>
      <c r="I24" s="422"/>
      <c r="J24" s="423">
        <f>+INPUT!J131</f>
        <v>66.604310112905367</v>
      </c>
      <c r="K24" s="422"/>
      <c r="L24" s="424">
        <f>+INPUT!N131</f>
        <v>813.96666931385005</v>
      </c>
      <c r="M24" s="414"/>
      <c r="N24" s="415"/>
    </row>
    <row r="25" spans="1:19" ht="15">
      <c r="A25" s="416" t="s">
        <v>225</v>
      </c>
      <c r="B25" s="417"/>
      <c r="C25" s="418"/>
      <c r="D25" s="419"/>
      <c r="E25" s="419"/>
      <c r="F25" s="419"/>
      <c r="G25" s="422"/>
      <c r="H25" s="425"/>
      <c r="I25" s="422"/>
      <c r="J25" s="426"/>
      <c r="K25" s="422"/>
      <c r="L25" s="427"/>
      <c r="M25" s="414"/>
      <c r="N25" s="415"/>
    </row>
    <row r="26" spans="1:19">
      <c r="A26" s="416" t="s">
        <v>226</v>
      </c>
      <c r="B26" s="417"/>
      <c r="C26" s="418"/>
      <c r="D26" s="419"/>
      <c r="E26" s="419"/>
      <c r="F26" s="419"/>
      <c r="G26" s="420">
        <f>+INPUT!H132</f>
        <v>5.1008403361344534</v>
      </c>
      <c r="H26" s="421">
        <f>+INPUT!N132</f>
        <v>22.225112044817926</v>
      </c>
      <c r="I26" s="422"/>
      <c r="J26" s="423">
        <f>+INPUT!J132</f>
        <v>22.341680672268907</v>
      </c>
      <c r="K26" s="422"/>
      <c r="L26" s="424">
        <f>+INPUT!N132</f>
        <v>22.225112044817926</v>
      </c>
      <c r="M26" s="414"/>
      <c r="N26" s="415"/>
    </row>
    <row r="27" spans="1:19">
      <c r="A27" s="416" t="s">
        <v>227</v>
      </c>
      <c r="B27" s="417"/>
      <c r="C27" s="418"/>
      <c r="D27" s="419"/>
      <c r="E27" s="419"/>
      <c r="F27" s="419"/>
      <c r="G27" s="420">
        <f>+INPUT!H134</f>
        <v>9.2285714285714278</v>
      </c>
      <c r="H27" s="421">
        <f>+INPUT!N134</f>
        <v>9.5071428571428562</v>
      </c>
      <c r="I27" s="422"/>
      <c r="J27" s="423">
        <f>+INPUT!J134</f>
        <v>40.421142857142854</v>
      </c>
      <c r="K27" s="422"/>
      <c r="L27" s="424">
        <f>+INPUT!N134</f>
        <v>9.5071428571428562</v>
      </c>
      <c r="M27" s="414"/>
      <c r="N27" s="415"/>
    </row>
    <row r="28" spans="1:19">
      <c r="A28" s="416" t="s">
        <v>228</v>
      </c>
      <c r="B28" s="417"/>
      <c r="C28" s="418"/>
      <c r="D28" s="419"/>
      <c r="E28" s="419"/>
      <c r="F28" s="419"/>
      <c r="G28" s="420">
        <f>+INPUT!H133</f>
        <v>39.762267083869887</v>
      </c>
      <c r="H28" s="421">
        <f>+INPUT!N133</f>
        <v>17.983087475421975</v>
      </c>
      <c r="I28" s="422"/>
      <c r="J28" s="423">
        <f>+INPUT!J133</f>
        <v>174.1587298273501</v>
      </c>
      <c r="K28" s="422"/>
      <c r="L28" s="424">
        <f>+INPUT!N133</f>
        <v>17.983087475421975</v>
      </c>
      <c r="M28" s="428"/>
      <c r="N28" s="415"/>
      <c r="R28" s="501" t="s">
        <v>229</v>
      </c>
    </row>
    <row r="29" spans="1:19">
      <c r="A29" s="517" t="s">
        <v>230</v>
      </c>
      <c r="B29" s="518"/>
      <c r="C29" s="518"/>
      <c r="D29" s="518"/>
      <c r="E29" s="518"/>
      <c r="F29" s="519"/>
      <c r="G29" s="420">
        <f>+INPUT!H135</f>
        <v>12.202517982427691</v>
      </c>
      <c r="H29" s="421">
        <f>+INPUT!N135</f>
        <v>5.1806348736305861</v>
      </c>
      <c r="I29" s="411"/>
      <c r="J29" s="429">
        <f>+INPUT!J135</f>
        <v>53.447028763033295</v>
      </c>
      <c r="K29" s="422"/>
      <c r="L29" s="424">
        <f>+INPUT!N135</f>
        <v>5.1806348736305861</v>
      </c>
      <c r="M29" s="414"/>
      <c r="N29" s="415"/>
      <c r="R29" s="501" t="s">
        <v>231</v>
      </c>
    </row>
    <row r="30" spans="1:19">
      <c r="A30" s="517" t="s">
        <v>232</v>
      </c>
      <c r="B30" s="518"/>
      <c r="C30" s="518"/>
      <c r="D30" s="518"/>
      <c r="E30" s="518"/>
      <c r="F30" s="419"/>
      <c r="G30" s="420">
        <f>+INPUT!H136</f>
        <v>1.6338878511128072</v>
      </c>
      <c r="H30" s="520">
        <f>+INPUT!N136</f>
        <v>0.68078660463033647</v>
      </c>
      <c r="I30" s="422"/>
      <c r="J30" s="521">
        <f>+INPUT!J136</f>
        <v>7.1564287878740966</v>
      </c>
      <c r="K30" s="422"/>
      <c r="L30" s="423">
        <f>+INPUT!N136</f>
        <v>0.68078660463033647</v>
      </c>
      <c r="M30" s="516"/>
      <c r="N30" s="415"/>
      <c r="R30" s="502" t="s">
        <v>233</v>
      </c>
      <c r="S30" s="502" t="s">
        <v>234</v>
      </c>
    </row>
    <row r="31" spans="1:19" ht="14.1" thickBot="1">
      <c r="A31" s="511" t="s">
        <v>235</v>
      </c>
      <c r="B31" s="512"/>
      <c r="C31" s="512" t="str">
        <f>IF(INPUT!T55 = "Batch mix", "(xylene)", "(formaldehyde)")</f>
        <v>(formaldehyde)</v>
      </c>
      <c r="D31" s="512"/>
      <c r="E31" s="512"/>
      <c r="F31" s="513"/>
      <c r="G31" s="522">
        <f>IF(C31 = "(xylene)", G80, G53)</f>
        <v>0.94405525443425742</v>
      </c>
      <c r="H31" s="527">
        <f>IF(C31 = "(xylene)", R31, S31)</f>
        <v>0.39335635601427393</v>
      </c>
      <c r="I31" s="525"/>
      <c r="J31" s="514">
        <f>IF(C31="(xylene)", R37, S37)</f>
        <v>4.1349620144220474</v>
      </c>
      <c r="K31" s="525"/>
      <c r="L31" s="526">
        <f>IF(C31="(xylene)", R41, S41)</f>
        <v>0.39335635601427393</v>
      </c>
      <c r="M31" s="515"/>
      <c r="N31" s="430"/>
      <c r="R31" s="132">
        <f>H80/2000</f>
        <v>2.7764734007444041E-2</v>
      </c>
      <c r="S31" s="132">
        <f>H53/2000</f>
        <v>0.39335635601427393</v>
      </c>
    </row>
    <row r="32" spans="1:19" ht="17.100000000000001" thickBot="1">
      <c r="A32" s="755" t="s">
        <v>236</v>
      </c>
      <c r="B32" s="756"/>
      <c r="C32" s="756"/>
      <c r="D32" s="756"/>
      <c r="E32" s="757"/>
      <c r="F32" s="757"/>
      <c r="G32" s="757"/>
      <c r="H32" s="757"/>
      <c r="I32" s="757"/>
      <c r="J32" s="757"/>
      <c r="K32" s="757"/>
      <c r="L32" s="757"/>
      <c r="M32" s="758"/>
      <c r="N32" s="759"/>
    </row>
    <row r="33" spans="1:19" ht="14.1" thickBot="1">
      <c r="A33" s="714" t="s">
        <v>237</v>
      </c>
      <c r="B33" s="715"/>
      <c r="C33" s="715"/>
      <c r="D33" s="715"/>
      <c r="E33" s="715"/>
      <c r="F33" s="715"/>
      <c r="G33" s="715"/>
      <c r="H33" s="715"/>
      <c r="I33" s="715"/>
      <c r="J33" s="715"/>
      <c r="K33" s="715"/>
      <c r="L33" s="715"/>
      <c r="M33" s="715"/>
      <c r="N33" s="716"/>
    </row>
    <row r="34" spans="1:19" ht="14.1" thickBot="1">
      <c r="A34" s="746"/>
      <c r="B34" s="747"/>
      <c r="C34" s="747"/>
      <c r="D34" s="747"/>
      <c r="E34" s="747"/>
      <c r="F34" s="747"/>
      <c r="G34" s="747"/>
      <c r="H34" s="747"/>
      <c r="I34" s="747"/>
      <c r="J34" s="747"/>
      <c r="K34" s="747"/>
      <c r="L34" s="748"/>
      <c r="M34" s="744" t="s">
        <v>238</v>
      </c>
      <c r="N34" s="745"/>
      <c r="R34" s="501" t="s">
        <v>239</v>
      </c>
    </row>
    <row r="35" spans="1:19">
      <c r="A35" s="800" t="s">
        <v>240</v>
      </c>
      <c r="B35" s="806"/>
      <c r="C35" s="806"/>
      <c r="D35" s="806"/>
      <c r="E35" s="955"/>
      <c r="F35" s="742" t="s">
        <v>241</v>
      </c>
      <c r="G35" s="744" t="s">
        <v>218</v>
      </c>
      <c r="H35" s="745"/>
      <c r="I35" s="744" t="s">
        <v>219</v>
      </c>
      <c r="J35" s="806"/>
      <c r="K35" s="806"/>
      <c r="L35" s="806"/>
      <c r="M35" s="801" t="s">
        <v>242</v>
      </c>
      <c r="N35" s="802"/>
      <c r="P35" s="326"/>
      <c r="R35" s="501" t="s">
        <v>243</v>
      </c>
    </row>
    <row r="36" spans="1:19" ht="14.1" thickBot="1">
      <c r="A36" s="956"/>
      <c r="B36" s="957"/>
      <c r="C36" s="957"/>
      <c r="D36" s="957"/>
      <c r="E36" s="958"/>
      <c r="F36" s="743"/>
      <c r="G36" s="768" t="s">
        <v>220</v>
      </c>
      <c r="H36" s="769"/>
      <c r="I36" s="768" t="s">
        <v>221</v>
      </c>
      <c r="J36" s="770"/>
      <c r="K36" s="807" t="s">
        <v>220</v>
      </c>
      <c r="L36" s="808"/>
      <c r="M36" s="803" t="str">
        <f>+CONCATENATE("with ",INPUT!T57,")")</f>
        <v>with Uncontrolled)</v>
      </c>
      <c r="N36" s="804"/>
      <c r="R36" s="501" t="s">
        <v>244</v>
      </c>
      <c r="S36" s="501" t="s">
        <v>245</v>
      </c>
    </row>
    <row r="37" spans="1:19" ht="12.75" customHeight="1" thickBot="1">
      <c r="A37" s="959"/>
      <c r="B37" s="808"/>
      <c r="C37" s="808"/>
      <c r="D37" s="808"/>
      <c r="E37" s="769"/>
      <c r="F37" s="743"/>
      <c r="G37" s="351" t="s">
        <v>112</v>
      </c>
      <c r="H37" s="352" t="s">
        <v>246</v>
      </c>
      <c r="I37" s="353" t="s">
        <v>112</v>
      </c>
      <c r="J37" s="352" t="s">
        <v>246</v>
      </c>
      <c r="K37" s="354" t="s">
        <v>112</v>
      </c>
      <c r="L37" s="92" t="s">
        <v>246</v>
      </c>
      <c r="M37" s="805"/>
      <c r="N37" s="804"/>
      <c r="R37" s="524">
        <f>J80/2000</f>
        <v>0.2918628838862517</v>
      </c>
      <c r="S37" s="524">
        <f>J53/2000</f>
        <v>4.1349620144220474</v>
      </c>
    </row>
    <row r="38" spans="1:19">
      <c r="A38" s="774" t="str">
        <f>+'TOXIC Calculations'!B15</f>
        <v>Acetaldehyde (TH)</v>
      </c>
      <c r="B38" s="775"/>
      <c r="C38" s="775"/>
      <c r="D38" s="775"/>
      <c r="E38" s="776"/>
      <c r="F38" s="355" t="str">
        <f>+'TOXIC Calculations'!C15</f>
        <v>75070</v>
      </c>
      <c r="G38" s="362">
        <f>+'TOXIC Calculations'!S15</f>
        <v>0</v>
      </c>
      <c r="H38" s="363">
        <f>+INPUT!$F$52/INPUT!$F$30*G38</f>
        <v>0</v>
      </c>
      <c r="I38" s="363">
        <f>+G38</f>
        <v>0</v>
      </c>
      <c r="J38" s="364">
        <f>+I38*8760</f>
        <v>0</v>
      </c>
      <c r="K38" s="363">
        <f>+G38</f>
        <v>0</v>
      </c>
      <c r="L38" s="363">
        <f>+H38</f>
        <v>0</v>
      </c>
      <c r="M38" s="809">
        <f>+'TOXIC Calculations'!R15</f>
        <v>0</v>
      </c>
      <c r="N38" s="810"/>
    </row>
    <row r="39" spans="1:19">
      <c r="A39" s="774" t="str">
        <f>+'TOXIC Calculations'!B16</f>
        <v>Acrolein (TH)</v>
      </c>
      <c r="B39" s="775"/>
      <c r="C39" s="775"/>
      <c r="D39" s="775"/>
      <c r="E39" s="776"/>
      <c r="F39" s="356" t="str">
        <f>+'TOXIC Calculations'!C16</f>
        <v>107028</v>
      </c>
      <c r="G39" s="365">
        <f>+'TOXIC Calculations'!S16</f>
        <v>0</v>
      </c>
      <c r="H39" s="366">
        <f>+INPUT!$F$52/INPUT!$F$30*G39</f>
        <v>0</v>
      </c>
      <c r="I39" s="366">
        <f>+G39</f>
        <v>0</v>
      </c>
      <c r="J39" s="367">
        <f>+I39*8760</f>
        <v>0</v>
      </c>
      <c r="K39" s="366">
        <f>+G39</f>
        <v>0</v>
      </c>
      <c r="L39" s="366">
        <f t="shared" ref="L39:L81" si="0">+H39</f>
        <v>0</v>
      </c>
      <c r="M39" s="777">
        <f>+'TOXIC Calculations'!R16</f>
        <v>0</v>
      </c>
      <c r="N39" s="778"/>
      <c r="R39" s="501" t="s">
        <v>247</v>
      </c>
    </row>
    <row r="40" spans="1:19">
      <c r="A40" s="774" t="str">
        <f>+'TOXIC Calculations'!B49</f>
        <v>Antimony unlisted compounds  (H)</v>
      </c>
      <c r="B40" s="775"/>
      <c r="C40" s="775"/>
      <c r="D40" s="775"/>
      <c r="E40" s="776"/>
      <c r="F40" s="356" t="str">
        <f>+'TOXIC Calculations'!C49</f>
        <v>SBC-other</v>
      </c>
      <c r="G40" s="365">
        <f>+'TOXIC Calculations'!S49</f>
        <v>5.3999999999999998E-5</v>
      </c>
      <c r="H40" s="366">
        <f>+INPUT!$F$52/INPUT!$F$30*G40</f>
        <v>4.4999999999999998E-2</v>
      </c>
      <c r="I40" s="366">
        <f t="shared" ref="I40:I52" si="1">+G40</f>
        <v>5.3999999999999998E-5</v>
      </c>
      <c r="J40" s="367">
        <f t="shared" ref="J40:J52" si="2">+I40*8760</f>
        <v>0.47303999999999996</v>
      </c>
      <c r="K40" s="366">
        <f t="shared" ref="K40:K52" si="3">+G40</f>
        <v>5.3999999999999998E-5</v>
      </c>
      <c r="L40" s="366">
        <f t="shared" si="0"/>
        <v>4.4999999999999998E-2</v>
      </c>
      <c r="M40" s="777">
        <f>+'TOXIC Calculations'!R49</f>
        <v>1.8E-7</v>
      </c>
      <c r="N40" s="778"/>
      <c r="R40" s="501" t="s">
        <v>244</v>
      </c>
      <c r="S40" s="501" t="s">
        <v>248</v>
      </c>
    </row>
    <row r="41" spans="1:19">
      <c r="A41" s="774" t="str">
        <f>+'TOXIC Calculations'!B32</f>
        <v>Arsenic unlisted cmpds (comp. of ASC) (TH)</v>
      </c>
      <c r="B41" s="775"/>
      <c r="C41" s="775"/>
      <c r="D41" s="775"/>
      <c r="E41" s="776"/>
      <c r="F41" s="356" t="str">
        <f>+'TOXIC Calculations'!C32</f>
        <v xml:space="preserve">ASC-other  </v>
      </c>
      <c r="G41" s="365">
        <f>+'TOXIC Calculations'!S32</f>
        <v>1.6800000000000002E-4</v>
      </c>
      <c r="H41" s="366">
        <f>+INPUT!$F$52/INPUT!$F$30*G41</f>
        <v>0.14000000000000001</v>
      </c>
      <c r="I41" s="366">
        <f t="shared" si="1"/>
        <v>1.6800000000000002E-4</v>
      </c>
      <c r="J41" s="367">
        <f t="shared" si="2"/>
        <v>1.4716800000000001</v>
      </c>
      <c r="K41" s="366">
        <f t="shared" si="3"/>
        <v>1.6800000000000002E-4</v>
      </c>
      <c r="L41" s="366">
        <f t="shared" si="0"/>
        <v>0.14000000000000001</v>
      </c>
      <c r="M41" s="777">
        <f>+'TOXIC Calculations'!R32</f>
        <v>5.6000000000000004E-7</v>
      </c>
      <c r="N41" s="778"/>
      <c r="R41" s="523">
        <f>L80/2000</f>
        <v>2.7764734007444041E-2</v>
      </c>
      <c r="S41" s="523">
        <f>L53/2000</f>
        <v>0.39335635601427393</v>
      </c>
    </row>
    <row r="42" spans="1:19">
      <c r="A42" s="774" t="str">
        <f>+'TOXIC Calculations'!B33</f>
        <v>Benzene (TH)</v>
      </c>
      <c r="B42" s="775"/>
      <c r="C42" s="775"/>
      <c r="D42" s="775"/>
      <c r="E42" s="776"/>
      <c r="F42" s="356" t="str">
        <f>+'TOXIC Calculations'!C33</f>
        <v>71432</v>
      </c>
      <c r="G42" s="365">
        <f>+'TOXIC Calculations'!S33</f>
        <v>0.11797105875836522</v>
      </c>
      <c r="H42" s="366">
        <f>+INPUT!$F$52/INPUT!$F$30*G42</f>
        <v>98.309215631971028</v>
      </c>
      <c r="I42" s="366">
        <f t="shared" si="1"/>
        <v>0.11797105875836522</v>
      </c>
      <c r="J42" s="367">
        <f t="shared" si="2"/>
        <v>1033.4264747232794</v>
      </c>
      <c r="K42" s="366">
        <f t="shared" si="3"/>
        <v>0.11797105875836522</v>
      </c>
      <c r="L42" s="366">
        <f t="shared" si="0"/>
        <v>98.309215631971028</v>
      </c>
      <c r="M42" s="777">
        <f>+'TOXIC Calculations'!R33</f>
        <v>3.9323686252788406E-4</v>
      </c>
      <c r="N42" s="778"/>
    </row>
    <row r="43" spans="1:19">
      <c r="A43" s="774" t="str">
        <f>+'TOXIC Calculations'!B34</f>
        <v>Benzo(a)pyrene  (T)</v>
      </c>
      <c r="B43" s="775"/>
      <c r="C43" s="775"/>
      <c r="D43" s="775"/>
      <c r="E43" s="776"/>
      <c r="F43" s="356" t="str">
        <f>+'TOXIC Calculations'!C34</f>
        <v>50328</v>
      </c>
      <c r="G43" s="365">
        <f>+'TOXIC Calculations'!S34</f>
        <v>4.1960400260762578E-6</v>
      </c>
      <c r="H43" s="366">
        <f>+INPUT!$F$52/INPUT!$F$30*G43</f>
        <v>3.496700021730215E-3</v>
      </c>
      <c r="I43" s="366">
        <f t="shared" si="1"/>
        <v>4.1960400260762578E-6</v>
      </c>
      <c r="J43" s="367">
        <f t="shared" si="2"/>
        <v>3.6757310628428019E-2</v>
      </c>
      <c r="K43" s="366">
        <f t="shared" si="3"/>
        <v>4.1960400260762578E-6</v>
      </c>
      <c r="L43" s="366">
        <f t="shared" si="0"/>
        <v>3.496700021730215E-3</v>
      </c>
      <c r="M43" s="777">
        <f>+'TOXIC Calculations'!R34</f>
        <v>1.3986800086920861E-8</v>
      </c>
      <c r="N43" s="778"/>
    </row>
    <row r="44" spans="1:19">
      <c r="A44" s="774" t="str">
        <f>+'TOXIC Calculations'!B36</f>
        <v>Beryllium metal (unreacted) (TH)</v>
      </c>
      <c r="B44" s="775"/>
      <c r="C44" s="775"/>
      <c r="D44" s="775"/>
      <c r="E44" s="776"/>
      <c r="F44" s="356">
        <f>+'TOXIC Calculations'!C36</f>
        <v>7440417</v>
      </c>
      <c r="G44" s="365">
        <f>+'TOXIC Calculations'!S36</f>
        <v>0</v>
      </c>
      <c r="H44" s="366">
        <f>+INPUT!$F$52/INPUT!$F$30*G44</f>
        <v>0</v>
      </c>
      <c r="I44" s="366">
        <f t="shared" si="1"/>
        <v>0</v>
      </c>
      <c r="J44" s="367">
        <f t="shared" si="2"/>
        <v>0</v>
      </c>
      <c r="K44" s="366">
        <f t="shared" si="3"/>
        <v>0</v>
      </c>
      <c r="L44" s="366">
        <f t="shared" si="0"/>
        <v>0</v>
      </c>
      <c r="M44" s="777">
        <f>+'TOXIC Calculations'!R36</f>
        <v>0</v>
      </c>
      <c r="N44" s="778"/>
    </row>
    <row r="45" spans="1:19">
      <c r="A45" s="774" t="str">
        <f>+'TOXIC Calculations'!B37</f>
        <v>Cadmium metal (elemental unreacted) (TH)</v>
      </c>
      <c r="B45" s="775"/>
      <c r="C45" s="775"/>
      <c r="D45" s="775"/>
      <c r="E45" s="776"/>
      <c r="F45" s="356">
        <f>+'TOXIC Calculations'!C37</f>
        <v>7440439</v>
      </c>
      <c r="G45" s="365">
        <f>+'TOXIC Calculations'!S37</f>
        <v>1.2300000000000001E-4</v>
      </c>
      <c r="H45" s="366">
        <f>+INPUT!$F$52/INPUT!$F$30*G45</f>
        <v>0.10250000000000001</v>
      </c>
      <c r="I45" s="366">
        <f t="shared" si="1"/>
        <v>1.2300000000000001E-4</v>
      </c>
      <c r="J45" s="367">
        <f t="shared" si="2"/>
        <v>1.07748</v>
      </c>
      <c r="K45" s="366">
        <f t="shared" si="3"/>
        <v>1.2300000000000001E-4</v>
      </c>
      <c r="L45" s="366">
        <f t="shared" si="0"/>
        <v>0.10250000000000001</v>
      </c>
      <c r="M45" s="777">
        <f>+'TOXIC Calculations'!R37</f>
        <v>4.0999999999999999E-7</v>
      </c>
      <c r="N45" s="778"/>
    </row>
    <row r="46" spans="1:19">
      <c r="A46" s="774" t="str">
        <f>+'TOXIC Calculations'!B30</f>
        <v>Carbon disulfide (TH)</v>
      </c>
      <c r="B46" s="775"/>
      <c r="C46" s="775"/>
      <c r="D46" s="775"/>
      <c r="E46" s="776"/>
      <c r="F46" s="356" t="str">
        <f>+'TOXIC Calculations'!C30</f>
        <v>75150</v>
      </c>
      <c r="G46" s="365">
        <f>+'TOXIC Calculations'!S30</f>
        <v>3.9892729782872201E-4</v>
      </c>
      <c r="H46" s="366">
        <f>+INPUT!$F$52/INPUT!$F$30*G46</f>
        <v>0.33243941485726836</v>
      </c>
      <c r="I46" s="366">
        <f t="shared" si="1"/>
        <v>3.9892729782872201E-4</v>
      </c>
      <c r="J46" s="367">
        <f t="shared" si="2"/>
        <v>3.4946031289796049</v>
      </c>
      <c r="K46" s="366">
        <f t="shared" si="3"/>
        <v>3.9892729782872201E-4</v>
      </c>
      <c r="L46" s="366">
        <f t="shared" si="0"/>
        <v>0.33243941485726836</v>
      </c>
      <c r="M46" s="777">
        <f>+'TOXIC Calculations'!R30</f>
        <v>1.3297576594290734E-6</v>
      </c>
      <c r="N46" s="778"/>
    </row>
    <row r="47" spans="1:19" ht="18" customHeight="1">
      <c r="A47" s="774" t="str">
        <f>+'TOXIC Calculations'!B50</f>
        <v>Chromium unlisted cmpds (add w/chrom acid to get CRC) (H)</v>
      </c>
      <c r="B47" s="775"/>
      <c r="C47" s="775"/>
      <c r="D47" s="775"/>
      <c r="E47" s="776"/>
      <c r="F47" s="356" t="str">
        <f>+'TOXIC Calculations'!C50</f>
        <v>CRC-other</v>
      </c>
      <c r="G47" s="365">
        <f>+'TOXIC Calculations'!S50</f>
        <v>1.5150000000000001E-3</v>
      </c>
      <c r="H47" s="366">
        <f>+INPUT!$F$52/INPUT!$F$30*G47</f>
        <v>1.2625000000000002</v>
      </c>
      <c r="I47" s="366">
        <f t="shared" si="1"/>
        <v>1.5150000000000001E-3</v>
      </c>
      <c r="J47" s="367">
        <f t="shared" si="2"/>
        <v>13.2714</v>
      </c>
      <c r="K47" s="366">
        <f t="shared" si="3"/>
        <v>1.5150000000000001E-3</v>
      </c>
      <c r="L47" s="366">
        <f t="shared" si="0"/>
        <v>1.2625000000000002</v>
      </c>
      <c r="M47" s="777">
        <f>+'TOXIC Calculations'!R50</f>
        <v>5.0499999999999999E-6</v>
      </c>
      <c r="N47" s="778"/>
    </row>
    <row r="48" spans="1:19">
      <c r="A48" s="774" t="s">
        <v>249</v>
      </c>
      <c r="B48" s="775"/>
      <c r="C48" s="775"/>
      <c r="D48" s="775"/>
      <c r="E48" s="776"/>
      <c r="F48" s="356">
        <v>7738945</v>
      </c>
      <c r="G48" s="365">
        <f>+'TOXIC Calculations'!S25</f>
        <v>1.35E-4</v>
      </c>
      <c r="H48" s="366">
        <f>+INPUT!$F$52/INPUT!$F$30*G48</f>
        <v>0.1125</v>
      </c>
      <c r="I48" s="366">
        <f t="shared" si="1"/>
        <v>1.35E-4</v>
      </c>
      <c r="J48" s="367">
        <f t="shared" si="2"/>
        <v>1.1826000000000001</v>
      </c>
      <c r="K48" s="366">
        <f t="shared" si="3"/>
        <v>1.35E-4</v>
      </c>
      <c r="L48" s="366">
        <f t="shared" si="0"/>
        <v>0.1125</v>
      </c>
      <c r="M48" s="777">
        <f>+'TOXIC Calculations'!R25</f>
        <v>4.4999999999999998E-7</v>
      </c>
      <c r="N48" s="778"/>
    </row>
    <row r="49" spans="1:14">
      <c r="A49" s="774" t="str">
        <f>+'TOXIC Calculations'!B51</f>
        <v>Cobalt unlisted compounds (H)</v>
      </c>
      <c r="B49" s="775"/>
      <c r="C49" s="775"/>
      <c r="D49" s="775"/>
      <c r="E49" s="776"/>
      <c r="F49" s="356" t="str">
        <f>+'TOXIC Calculations'!C51</f>
        <v xml:space="preserve">COC-other </v>
      </c>
      <c r="G49" s="365">
        <f>+'TOXIC Calculations'!S51</f>
        <v>7.7999999999999999E-6</v>
      </c>
      <c r="H49" s="366">
        <f>+INPUT!$F$52/INPUT!$F$30*G49</f>
        <v>6.5000000000000006E-3</v>
      </c>
      <c r="I49" s="366">
        <f t="shared" si="1"/>
        <v>7.7999999999999999E-6</v>
      </c>
      <c r="J49" s="367">
        <f t="shared" si="2"/>
        <v>6.8328E-2</v>
      </c>
      <c r="K49" s="366">
        <f t="shared" si="3"/>
        <v>7.7999999999999999E-6</v>
      </c>
      <c r="L49" s="366">
        <f t="shared" si="0"/>
        <v>6.5000000000000006E-3</v>
      </c>
      <c r="M49" s="777">
        <f>+'TOXIC Calculations'!R51</f>
        <v>2.6000000000000001E-8</v>
      </c>
      <c r="N49" s="778"/>
    </row>
    <row r="50" spans="1:14">
      <c r="A50" s="774" t="str">
        <f>+'TOXIC Calculations'!B55</f>
        <v>Cumene (H)</v>
      </c>
      <c r="B50" s="775"/>
      <c r="C50" s="775"/>
      <c r="D50" s="775"/>
      <c r="E50" s="776"/>
      <c r="F50" s="356" t="str">
        <f>+'TOXIC Calculations'!C55</f>
        <v>98828</v>
      </c>
      <c r="G50" s="365">
        <f>+'TOXIC Calculations'!S55</f>
        <v>7.3278684222518643E-4</v>
      </c>
      <c r="H50" s="366">
        <f>+INPUT!$F$52/INPUT!$F$30*G50</f>
        <v>0.61065570185432205</v>
      </c>
      <c r="I50" s="366">
        <f t="shared" si="1"/>
        <v>7.3278684222518643E-4</v>
      </c>
      <c r="J50" s="367">
        <f t="shared" si="2"/>
        <v>6.4192127378926331</v>
      </c>
      <c r="K50" s="366">
        <f t="shared" si="3"/>
        <v>7.3278684222518643E-4</v>
      </c>
      <c r="L50" s="366">
        <f t="shared" si="0"/>
        <v>0.61065570185432205</v>
      </c>
      <c r="M50" s="777">
        <f>+'TOXIC Calculations'!R55</f>
        <v>2.4426228074172882E-6</v>
      </c>
      <c r="N50" s="778"/>
    </row>
    <row r="51" spans="1:14">
      <c r="A51" s="774" t="str">
        <f>+'TOXIC Calculations'!B52</f>
        <v>Ethyl benzene (H)</v>
      </c>
      <c r="B51" s="775"/>
      <c r="C51" s="775"/>
      <c r="D51" s="775"/>
      <c r="E51" s="776"/>
      <c r="F51" s="356" t="str">
        <f>+'TOXIC Calculations'!C52</f>
        <v>100414</v>
      </c>
      <c r="G51" s="365">
        <f>+'TOXIC Calculations'!S52</f>
        <v>7.4607047987519132E-2</v>
      </c>
      <c r="H51" s="366">
        <f>+INPUT!$F$52/INPUT!$F$30*G51</f>
        <v>62.172539989599279</v>
      </c>
      <c r="I51" s="366">
        <f t="shared" si="1"/>
        <v>7.4607047987519132E-2</v>
      </c>
      <c r="J51" s="367">
        <f t="shared" si="2"/>
        <v>653.5577403706676</v>
      </c>
      <c r="K51" s="366">
        <f t="shared" si="3"/>
        <v>7.4607047987519132E-2</v>
      </c>
      <c r="L51" s="366">
        <f t="shared" si="0"/>
        <v>62.172539989599279</v>
      </c>
      <c r="M51" s="777">
        <f>+'TOXIC Calculations'!R52</f>
        <v>2.4869015995839709E-4</v>
      </c>
      <c r="N51" s="778"/>
    </row>
    <row r="52" spans="1:14">
      <c r="A52" s="774" t="str">
        <f>+'TOXIC Calculations'!B56</f>
        <v>Ethyl chloride (chloroethane) (H)</v>
      </c>
      <c r="B52" s="775"/>
      <c r="C52" s="775"/>
      <c r="D52" s="775"/>
      <c r="E52" s="776"/>
      <c r="F52" s="356" t="str">
        <f>+'TOXIC Calculations'!C56</f>
        <v>75003</v>
      </c>
      <c r="G52" s="365">
        <f>+'TOXIC Calculations'!S56</f>
        <v>1.3989566987935379E-6</v>
      </c>
      <c r="H52" s="366">
        <f>+INPUT!$F$52/INPUT!$F$30*G52</f>
        <v>1.165797248994615E-3</v>
      </c>
      <c r="I52" s="366">
        <f t="shared" si="1"/>
        <v>1.3989566987935379E-6</v>
      </c>
      <c r="J52" s="367">
        <f t="shared" si="2"/>
        <v>1.2254860681431392E-2</v>
      </c>
      <c r="K52" s="366">
        <f t="shared" si="3"/>
        <v>1.3989566987935379E-6</v>
      </c>
      <c r="L52" s="366">
        <f t="shared" si="0"/>
        <v>1.165797248994615E-3</v>
      </c>
      <c r="M52" s="777">
        <f>+'TOXIC Calculations'!R56</f>
        <v>4.6631889959784596E-9</v>
      </c>
      <c r="N52" s="778"/>
    </row>
    <row r="53" spans="1:14">
      <c r="A53" s="774" t="str">
        <f>+'TOXIC Calculations'!B17</f>
        <v>Formaldehyde (TH)</v>
      </c>
      <c r="B53" s="775"/>
      <c r="C53" s="775"/>
      <c r="D53" s="775"/>
      <c r="E53" s="776"/>
      <c r="F53" s="356" t="str">
        <f>+'TOXIC Calculations'!C17</f>
        <v>50000</v>
      </c>
      <c r="G53" s="365">
        <f>+'TOXIC Calculations'!S17</f>
        <v>0.94405525443425742</v>
      </c>
      <c r="H53" s="366">
        <f>+INPUT!$F$52/INPUT!$F$30*G53</f>
        <v>786.71271202854791</v>
      </c>
      <c r="I53" s="366">
        <f>+G53</f>
        <v>0.94405525443425742</v>
      </c>
      <c r="J53" s="367">
        <f>+I53*8760</f>
        <v>8269.9240288440942</v>
      </c>
      <c r="K53" s="366">
        <f>+G53</f>
        <v>0.94405525443425742</v>
      </c>
      <c r="L53" s="366">
        <f t="shared" si="0"/>
        <v>786.71271202854791</v>
      </c>
      <c r="M53" s="777">
        <f>+'TOXIC Calculations'!R17</f>
        <v>3.1468508481141914E-3</v>
      </c>
      <c r="N53" s="778"/>
    </row>
    <row r="54" spans="1:14">
      <c r="A54" s="774" t="str">
        <f>+'TOXIC Calculations'!B38</f>
        <v>Hexachlorodibenzo-p-dioxin 1,2,3,6,7,8 (TH)</v>
      </c>
      <c r="B54" s="775"/>
      <c r="C54" s="775"/>
      <c r="D54" s="775"/>
      <c r="E54" s="776"/>
      <c r="F54" s="356" t="str">
        <f>+'TOXIC Calculations'!C38</f>
        <v>57653857</v>
      </c>
      <c r="G54" s="365">
        <f>+'TOXIC Calculations'!S38</f>
        <v>0</v>
      </c>
      <c r="H54" s="366">
        <f>+INPUT!$F$52/INPUT!$F$30*G54</f>
        <v>0</v>
      </c>
      <c r="I54" s="366">
        <f t="shared" ref="I54:I68" si="4">+G54</f>
        <v>0</v>
      </c>
      <c r="J54" s="367">
        <f t="shared" ref="J54:J68" si="5">+I54*8760</f>
        <v>0</v>
      </c>
      <c r="K54" s="366">
        <f t="shared" ref="K54:K68" si="6">+G54</f>
        <v>0</v>
      </c>
      <c r="L54" s="366">
        <f t="shared" si="0"/>
        <v>0</v>
      </c>
      <c r="M54" s="777">
        <f>+'TOXIC Calculations'!R38</f>
        <v>0</v>
      </c>
      <c r="N54" s="778"/>
    </row>
    <row r="55" spans="1:14">
      <c r="A55" s="774" t="str">
        <f>+'TOXIC Calculations'!B26</f>
        <v>Hexane, n- (TH)</v>
      </c>
      <c r="B55" s="775"/>
      <c r="C55" s="775"/>
      <c r="D55" s="775"/>
      <c r="E55" s="776"/>
      <c r="F55" s="356" t="str">
        <f>+'TOXIC Calculations'!C26</f>
        <v>110543</v>
      </c>
      <c r="G55" s="365">
        <f>+'TOXIC Calculations'!S26</f>
        <v>0.28190257477564051</v>
      </c>
      <c r="H55" s="366">
        <f>+INPUT!$F$52/INPUT!$F$30*G55</f>
        <v>234.91881231303378</v>
      </c>
      <c r="I55" s="366">
        <f t="shared" si="4"/>
        <v>0.28190257477564051</v>
      </c>
      <c r="J55" s="367">
        <f t="shared" si="5"/>
        <v>2469.4665550346108</v>
      </c>
      <c r="K55" s="366">
        <f t="shared" si="6"/>
        <v>0.28190257477564051</v>
      </c>
      <c r="L55" s="366">
        <f t="shared" si="0"/>
        <v>234.91881231303378</v>
      </c>
      <c r="M55" s="777">
        <f>+'TOXIC Calculations'!R26</f>
        <v>9.3967524925213505E-4</v>
      </c>
      <c r="N55" s="778"/>
    </row>
    <row r="56" spans="1:14">
      <c r="A56" s="774" t="str">
        <f>+'TOXIC Calculations'!B39</f>
        <v>Hydrogen Chloride (hydrochloric acid) (TH)</v>
      </c>
      <c r="B56" s="775"/>
      <c r="C56" s="775"/>
      <c r="D56" s="775"/>
      <c r="E56" s="813"/>
      <c r="F56" s="356" t="str">
        <f>+'TOXIC Calculations'!C39</f>
        <v>7647010</v>
      </c>
      <c r="G56" s="365">
        <f>+'TOXIC Calculations'!S39</f>
        <v>0</v>
      </c>
      <c r="H56" s="366">
        <f>+INPUT!$F$52/INPUT!$F$30*G56</f>
        <v>0</v>
      </c>
      <c r="I56" s="366">
        <f t="shared" si="4"/>
        <v>0</v>
      </c>
      <c r="J56" s="367">
        <f t="shared" si="5"/>
        <v>0</v>
      </c>
      <c r="K56" s="366">
        <f t="shared" si="6"/>
        <v>0</v>
      </c>
      <c r="L56" s="366">
        <f t="shared" si="0"/>
        <v>0</v>
      </c>
      <c r="M56" s="777">
        <f>+'TOXIC Calculations'!R39</f>
        <v>0</v>
      </c>
      <c r="N56" s="778"/>
    </row>
    <row r="57" spans="1:14">
      <c r="A57" s="774" t="str">
        <f>+'TOXIC Calculations'!B35</f>
        <v>Hydrogen Sulfide (T)</v>
      </c>
      <c r="B57" s="775"/>
      <c r="C57" s="775"/>
      <c r="D57" s="775"/>
      <c r="E57" s="813"/>
      <c r="F57" s="356">
        <v>7783064</v>
      </c>
      <c r="G57" s="365">
        <f>+'TOXIC Calculations'!S35</f>
        <v>1.6416E-2</v>
      </c>
      <c r="H57" s="366">
        <f>+INPUT!$F$52/INPUT!$F$30*G57</f>
        <v>13.680000000000001</v>
      </c>
      <c r="I57" s="366">
        <f t="shared" si="4"/>
        <v>1.6416E-2</v>
      </c>
      <c r="J57" s="367">
        <f t="shared" si="5"/>
        <v>143.80416</v>
      </c>
      <c r="K57" s="366">
        <f t="shared" si="6"/>
        <v>1.6416E-2</v>
      </c>
      <c r="L57" s="366">
        <f t="shared" si="0"/>
        <v>13.680000000000001</v>
      </c>
      <c r="M57" s="811">
        <f>+'TOXIC Calculations'!R35</f>
        <v>5.4719999999999998E-5</v>
      </c>
      <c r="N57" s="812"/>
    </row>
    <row r="58" spans="1:14">
      <c r="A58" s="774" t="str">
        <f>+'TOXIC Calculations'!B53</f>
        <v>Lead unlisted compounds (H)</v>
      </c>
      <c r="B58" s="775"/>
      <c r="C58" s="775"/>
      <c r="D58" s="775"/>
      <c r="E58" s="776"/>
      <c r="F58" s="356" t="str">
        <f>+'TOXIC Calculations'!C53</f>
        <v xml:space="preserve">PBC-other  </v>
      </c>
      <c r="G58" s="365">
        <f>+'TOXIC Calculations'!S53</f>
        <v>1.8599999999999999E-4</v>
      </c>
      <c r="H58" s="366">
        <f>+INPUT!$F$52/INPUT!$F$30*G58</f>
        <v>0.155</v>
      </c>
      <c r="I58" s="366">
        <f t="shared" si="4"/>
        <v>1.8599999999999999E-4</v>
      </c>
      <c r="J58" s="367">
        <f t="shared" si="5"/>
        <v>1.6293599999999999</v>
      </c>
      <c r="K58" s="366">
        <f t="shared" si="6"/>
        <v>1.8599999999999999E-4</v>
      </c>
      <c r="L58" s="366">
        <f t="shared" si="0"/>
        <v>0.155</v>
      </c>
      <c r="M58" s="777">
        <f>+'TOXIC Calculations'!R53</f>
        <v>6.1999999999999999E-7</v>
      </c>
      <c r="N58" s="778"/>
    </row>
    <row r="59" spans="1:14">
      <c r="A59" s="774" t="str">
        <f>+'TOXIC Calculations'!B27</f>
        <v>Manganese unlisted compounds (T)</v>
      </c>
      <c r="B59" s="775"/>
      <c r="C59" s="775"/>
      <c r="D59" s="775"/>
      <c r="E59" s="776"/>
      <c r="F59" s="356" t="str">
        <f>+'TOXIC Calculations'!C27</f>
        <v xml:space="preserve">MNC-other  </v>
      </c>
      <c r="G59" s="365">
        <f>+'TOXIC Calculations'!S27</f>
        <v>2.3100000000000004E-3</v>
      </c>
      <c r="H59" s="366">
        <f>+INPUT!$F$52/INPUT!$F$30*G59</f>
        <v>1.9250000000000005</v>
      </c>
      <c r="I59" s="366">
        <f t="shared" si="4"/>
        <v>2.3100000000000004E-3</v>
      </c>
      <c r="J59" s="367">
        <f t="shared" si="5"/>
        <v>20.235600000000005</v>
      </c>
      <c r="K59" s="366">
        <f t="shared" si="6"/>
        <v>2.3100000000000004E-3</v>
      </c>
      <c r="L59" s="366">
        <f t="shared" si="0"/>
        <v>1.9250000000000005</v>
      </c>
      <c r="M59" s="777">
        <f>+'TOXIC Calculations'!R27</f>
        <v>7.7000000000000008E-6</v>
      </c>
      <c r="N59" s="778"/>
    </row>
    <row r="60" spans="1:14">
      <c r="A60" s="774" t="str">
        <f>+'TOXIC Calculations'!B28</f>
        <v>Mercury, vapor  (TH)</v>
      </c>
      <c r="B60" s="775"/>
      <c r="C60" s="775"/>
      <c r="D60" s="775"/>
      <c r="E60" s="776"/>
      <c r="F60" s="356">
        <f>+'TOXIC Calculations'!C28</f>
        <v>7439976</v>
      </c>
      <c r="G60" s="365">
        <f>+'TOXIC Calculations'!S28</f>
        <v>7.1999999999999988E-5</v>
      </c>
      <c r="H60" s="366">
        <f>+INPUT!$F$52/INPUT!$F$30*G60</f>
        <v>5.9999999999999991E-2</v>
      </c>
      <c r="I60" s="366">
        <f t="shared" si="4"/>
        <v>7.1999999999999988E-5</v>
      </c>
      <c r="J60" s="367">
        <f t="shared" si="5"/>
        <v>0.63071999999999995</v>
      </c>
      <c r="K60" s="366">
        <f t="shared" si="6"/>
        <v>7.1999999999999988E-5</v>
      </c>
      <c r="L60" s="366">
        <f t="shared" si="0"/>
        <v>5.9999999999999991E-2</v>
      </c>
      <c r="M60" s="777">
        <f>+'TOXIC Calculations'!R28</f>
        <v>2.3999999999999998E-7</v>
      </c>
      <c r="N60" s="778"/>
    </row>
    <row r="61" spans="1:14">
      <c r="A61" s="774" t="str">
        <f>+'TOXIC Calculations'!B54</f>
        <v>Methyl bromide (H)</v>
      </c>
      <c r="B61" s="775"/>
      <c r="C61" s="775"/>
      <c r="D61" s="775"/>
      <c r="E61" s="776"/>
      <c r="F61" s="356" t="str">
        <f>+'TOXIC Calculations'!C54</f>
        <v>74839</v>
      </c>
      <c r="G61" s="365">
        <f>+'TOXIC Calculations'!S54</f>
        <v>1.5960190377598034E-4</v>
      </c>
      <c r="H61" s="366">
        <f>+INPUT!$F$52/INPUT!$F$30*G61</f>
        <v>0.13300158647998361</v>
      </c>
      <c r="I61" s="366">
        <f t="shared" si="4"/>
        <v>1.5960190377598034E-4</v>
      </c>
      <c r="J61" s="367">
        <f t="shared" si="5"/>
        <v>1.3981126770775878</v>
      </c>
      <c r="K61" s="366">
        <f t="shared" si="6"/>
        <v>1.5960190377598034E-4</v>
      </c>
      <c r="L61" s="366">
        <f t="shared" si="0"/>
        <v>0.13300158647998361</v>
      </c>
      <c r="M61" s="777">
        <f>+'TOXIC Calculations'!R54</f>
        <v>5.3200634591993452E-7</v>
      </c>
      <c r="N61" s="778"/>
    </row>
    <row r="62" spans="1:14">
      <c r="A62" s="774" t="str">
        <f>+'TOXIC Calculations'!B57</f>
        <v>Methyl chloride (H)</v>
      </c>
      <c r="B62" s="775"/>
      <c r="C62" s="775"/>
      <c r="D62" s="775"/>
      <c r="E62" s="776"/>
      <c r="F62" s="356" t="str">
        <f>+'TOXIC Calculations'!C57</f>
        <v>74873</v>
      </c>
      <c r="G62" s="365">
        <f>+'TOXIC Calculations'!S57</f>
        <v>9.9925478485252711E-5</v>
      </c>
      <c r="H62" s="366">
        <f>+INPUT!$F$52/INPUT!$F$30*G62</f>
        <v>8.3271232071043935E-2</v>
      </c>
      <c r="I62" s="366">
        <f t="shared" si="4"/>
        <v>9.9925478485252711E-5</v>
      </c>
      <c r="J62" s="367">
        <f t="shared" si="5"/>
        <v>0.87534719153081375</v>
      </c>
      <c r="K62" s="366">
        <f t="shared" si="6"/>
        <v>9.9925478485252711E-5</v>
      </c>
      <c r="L62" s="366">
        <f t="shared" si="0"/>
        <v>8.3271232071043935E-2</v>
      </c>
      <c r="M62" s="777">
        <f>+'TOXIC Calculations'!R57</f>
        <v>3.3308492828417569E-7</v>
      </c>
      <c r="N62" s="778"/>
    </row>
    <row r="63" spans="1:14">
      <c r="A63" s="774" t="str">
        <f>+'TOXIC Calculations'!B20</f>
        <v>Methyl chloroform (TH)</v>
      </c>
      <c r="B63" s="775"/>
      <c r="C63" s="775"/>
      <c r="D63" s="775"/>
      <c r="E63" s="776"/>
      <c r="F63" s="356" t="str">
        <f>+'TOXIC Calculations'!C20</f>
        <v>71556</v>
      </c>
      <c r="G63" s="365">
        <f>+'TOXIC Calculations'!S20</f>
        <v>1.44E-2</v>
      </c>
      <c r="H63" s="366">
        <f>+INPUT!$F$52/INPUT!$F$30*G63</f>
        <v>12</v>
      </c>
      <c r="I63" s="366">
        <f t="shared" si="4"/>
        <v>1.44E-2</v>
      </c>
      <c r="J63" s="367">
        <f t="shared" si="5"/>
        <v>126.14399999999999</v>
      </c>
      <c r="K63" s="366">
        <f t="shared" si="6"/>
        <v>1.44E-2</v>
      </c>
      <c r="L63" s="366">
        <f t="shared" si="0"/>
        <v>12</v>
      </c>
      <c r="M63" s="777">
        <f>+'TOXIC Calculations'!R20</f>
        <v>4.8000000000000001E-5</v>
      </c>
      <c r="N63" s="778"/>
    </row>
    <row r="64" spans="1:14">
      <c r="A64" s="774" t="str">
        <f>+'TOXIC Calculations'!B21</f>
        <v>Methyl ethyl ketone (TH)</v>
      </c>
      <c r="B64" s="775"/>
      <c r="C64" s="775"/>
      <c r="D64" s="775"/>
      <c r="E64" s="776"/>
      <c r="F64" s="356" t="str">
        <f>+'TOXIC Calculations'!C21</f>
        <v>78933</v>
      </c>
      <c r="G64" s="365">
        <f>+'TOXIC Calculations'!S21</f>
        <v>1.0877159448759058E-3</v>
      </c>
      <c r="H64" s="366">
        <f>+INPUT!$F$52/INPUT!$F$30*G64</f>
        <v>0.90642995406325488</v>
      </c>
      <c r="I64" s="366">
        <f t="shared" si="4"/>
        <v>1.0877159448759058E-3</v>
      </c>
      <c r="J64" s="367">
        <f t="shared" si="5"/>
        <v>9.5283916771129338</v>
      </c>
      <c r="K64" s="366">
        <f t="shared" si="6"/>
        <v>1.0877159448759058E-3</v>
      </c>
      <c r="L64" s="366">
        <f t="shared" si="0"/>
        <v>0.90642995406325488</v>
      </c>
      <c r="M64" s="777">
        <f>+'TOXIC Calculations'!R21</f>
        <v>3.6257198162530195E-6</v>
      </c>
      <c r="N64" s="778"/>
    </row>
    <row r="65" spans="1:14">
      <c r="A65" s="774" t="str">
        <f>+'TOXIC Calculations'!B24</f>
        <v>Methylene chloride (TH)</v>
      </c>
      <c r="B65" s="775"/>
      <c r="C65" s="775"/>
      <c r="D65" s="775"/>
      <c r="E65" s="776"/>
      <c r="F65" s="356" t="str">
        <f>+'TOXIC Calculations'!C24</f>
        <v>75092</v>
      </c>
      <c r="G65" s="365">
        <f>+'TOXIC Calculations'!S24</f>
        <v>5.2704880280128639E-6</v>
      </c>
      <c r="H65" s="366">
        <f>+INPUT!$F$52/INPUT!$F$30*G65</f>
        <v>4.3920733566773871E-3</v>
      </c>
      <c r="I65" s="366">
        <f t="shared" si="4"/>
        <v>5.2704880280128639E-6</v>
      </c>
      <c r="J65" s="367">
        <f t="shared" si="5"/>
        <v>4.6169475125392691E-2</v>
      </c>
      <c r="K65" s="366">
        <f t="shared" si="6"/>
        <v>5.2704880280128639E-6</v>
      </c>
      <c r="L65" s="366">
        <f t="shared" si="0"/>
        <v>4.3920733566773871E-3</v>
      </c>
      <c r="M65" s="777">
        <f>+'TOXIC Calculations'!R24</f>
        <v>1.7568293426709546E-8</v>
      </c>
      <c r="N65" s="778"/>
    </row>
    <row r="66" spans="1:14">
      <c r="A66" s="774" t="str">
        <f>+'TOXIC Calculations'!B42</f>
        <v>Napthalene  (H)</v>
      </c>
      <c r="B66" s="775"/>
      <c r="C66" s="775"/>
      <c r="D66" s="775"/>
      <c r="E66" s="776"/>
      <c r="F66" s="356" t="str">
        <f>+'TOXIC Calculations'!C42</f>
        <v>91203</v>
      </c>
      <c r="G66" s="365">
        <f>+'TOXIC Calculations'!S42</f>
        <v>2.8422776144246421E-2</v>
      </c>
      <c r="H66" s="366">
        <f>+INPUT!$F$52/INPUT!$F$30*G66</f>
        <v>23.685646786872017</v>
      </c>
      <c r="I66" s="366">
        <f t="shared" si="4"/>
        <v>2.8422776144246421E-2</v>
      </c>
      <c r="J66" s="367">
        <f t="shared" si="5"/>
        <v>248.98351902359863</v>
      </c>
      <c r="K66" s="366">
        <f t="shared" si="6"/>
        <v>2.8422776144246421E-2</v>
      </c>
      <c r="L66" s="366">
        <f t="shared" si="0"/>
        <v>23.685646786872017</v>
      </c>
      <c r="M66" s="777">
        <f>+'TOXIC Calculations'!R42</f>
        <v>9.4742587147488068E-5</v>
      </c>
      <c r="N66" s="778"/>
    </row>
    <row r="67" spans="1:14">
      <c r="A67" s="774" t="str">
        <f>+'TOXIC Calculations'!B29</f>
        <v>Nickel metal (TH)</v>
      </c>
      <c r="B67" s="775"/>
      <c r="C67" s="775"/>
      <c r="D67" s="775"/>
      <c r="E67" s="776"/>
      <c r="F67" s="356">
        <f>+'TOXIC Calculations'!C29</f>
        <v>7440020</v>
      </c>
      <c r="G67" s="365">
        <f>+'TOXIC Calculations'!S29</f>
        <v>1.89E-2</v>
      </c>
      <c r="H67" s="366">
        <f>+INPUT!$F$52/INPUT!$F$30*G67</f>
        <v>15.75</v>
      </c>
      <c r="I67" s="366">
        <f t="shared" si="4"/>
        <v>1.89E-2</v>
      </c>
      <c r="J67" s="367">
        <f t="shared" si="5"/>
        <v>165.56399999999999</v>
      </c>
      <c r="K67" s="366">
        <f t="shared" si="6"/>
        <v>1.89E-2</v>
      </c>
      <c r="L67" s="366">
        <f t="shared" si="0"/>
        <v>15.75</v>
      </c>
      <c r="M67" s="777">
        <f>+'TOXIC Calculations'!R29</f>
        <v>6.3E-5</v>
      </c>
      <c r="N67" s="778"/>
    </row>
    <row r="68" spans="1:14">
      <c r="A68" s="774" t="str">
        <f>+'TOXIC Calculations'!B40</f>
        <v>Perchloroethylene (tetrachloroethylene) (TH)</v>
      </c>
      <c r="B68" s="775"/>
      <c r="C68" s="775"/>
      <c r="D68" s="775"/>
      <c r="E68" s="776"/>
      <c r="F68" s="356" t="str">
        <f>+'TOXIC Calculations'!C40</f>
        <v>127184</v>
      </c>
      <c r="G68" s="365">
        <f>+'TOXIC Calculations'!S40</f>
        <v>5.1295078955763059E-5</v>
      </c>
      <c r="H68" s="366">
        <f>+INPUT!$F$52/INPUT!$F$30*G68</f>
        <v>4.2745899129802555E-2</v>
      </c>
      <c r="I68" s="366">
        <f t="shared" si="4"/>
        <v>5.1295078955763059E-5</v>
      </c>
      <c r="J68" s="367">
        <f t="shared" si="5"/>
        <v>0.44934489165248442</v>
      </c>
      <c r="K68" s="366">
        <f t="shared" si="6"/>
        <v>5.1295078955763059E-5</v>
      </c>
      <c r="L68" s="366">
        <f t="shared" si="0"/>
        <v>4.2745899129802555E-2</v>
      </c>
      <c r="M68" s="777">
        <f>+'TOXIC Calculations'!R40</f>
        <v>1.7098359651921019E-7</v>
      </c>
      <c r="N68" s="778"/>
    </row>
    <row r="69" spans="1:14">
      <c r="A69" s="774" t="str">
        <f>+'TOXIC Calculations'!B18</f>
        <v>Phenol (TH)</v>
      </c>
      <c r="B69" s="775"/>
      <c r="C69" s="775"/>
      <c r="D69" s="775"/>
      <c r="E69" s="776"/>
      <c r="F69" s="356" t="str">
        <f>+'TOXIC Calculations'!C18</f>
        <v>108952</v>
      </c>
      <c r="G69" s="365">
        <f>+'TOXIC Calculations'!S18</f>
        <v>6.4440314381303656E-4</v>
      </c>
      <c r="H69" s="366">
        <f>+INPUT!$F$52/INPUT!$F$30*G69</f>
        <v>0.53700261984419717</v>
      </c>
      <c r="I69" s="366">
        <f t="shared" ref="I69:I81" si="7">+G69</f>
        <v>6.4440314381303656E-4</v>
      </c>
      <c r="J69" s="367">
        <f t="shared" ref="J69:J81" si="8">+I69*8760</f>
        <v>5.6449715398022002</v>
      </c>
      <c r="K69" s="366">
        <f>+G69</f>
        <v>6.4440314381303656E-4</v>
      </c>
      <c r="L69" s="366">
        <f t="shared" si="0"/>
        <v>0.53700261984419717</v>
      </c>
      <c r="M69" s="777">
        <f>+'TOXIC Calculations'!R18</f>
        <v>2.1480104793767886E-6</v>
      </c>
      <c r="N69" s="778"/>
    </row>
    <row r="70" spans="1:14">
      <c r="A70" s="774" t="str">
        <f>+'TOXIC Calculations'!B43</f>
        <v>Phosphorus Metal, Yellow or White (H)</v>
      </c>
      <c r="B70" s="775"/>
      <c r="C70" s="775"/>
      <c r="D70" s="775"/>
      <c r="E70" s="776"/>
      <c r="F70" s="356" t="str">
        <f>+'TOXIC Calculations'!C43</f>
        <v>7723140</v>
      </c>
      <c r="G70" s="365">
        <f>+'TOXIC Calculations'!S43</f>
        <v>8.3999999999999995E-3</v>
      </c>
      <c r="H70" s="366">
        <f>+INPUT!$F$52/INPUT!$F$30*G70</f>
        <v>7</v>
      </c>
      <c r="I70" s="366">
        <f t="shared" si="7"/>
        <v>8.3999999999999995E-3</v>
      </c>
      <c r="J70" s="367">
        <f t="shared" si="8"/>
        <v>73.583999999999989</v>
      </c>
      <c r="K70" s="366">
        <f t="shared" ref="K70:L74" si="9">+G70</f>
        <v>8.3999999999999995E-3</v>
      </c>
      <c r="L70" s="366">
        <f t="shared" si="9"/>
        <v>7</v>
      </c>
      <c r="M70" s="777">
        <f>+'TOXIC Calculations'!R43</f>
        <v>2.8E-5</v>
      </c>
      <c r="N70" s="778"/>
    </row>
    <row r="71" spans="1:14">
      <c r="A71" s="774" t="str">
        <f>+'TOXIC Calculations'!B44</f>
        <v>Polycyclic Organic Matter  (H)</v>
      </c>
      <c r="B71" s="775"/>
      <c r="C71" s="775"/>
      <c r="D71" s="775"/>
      <c r="E71" s="776"/>
      <c r="F71" s="356" t="str">
        <f>+'TOXIC Calculations'!C44</f>
        <v>POM</v>
      </c>
      <c r="G71" s="365">
        <f>+'TOXIC Calculations'!S44</f>
        <v>5.7000000000000002E-2</v>
      </c>
      <c r="H71" s="366">
        <f>+INPUT!$F$52/INPUT!$F$30*G71</f>
        <v>47.500000000000007</v>
      </c>
      <c r="I71" s="366">
        <f t="shared" si="7"/>
        <v>5.7000000000000002E-2</v>
      </c>
      <c r="J71" s="367">
        <f t="shared" si="8"/>
        <v>499.32</v>
      </c>
      <c r="K71" s="366">
        <f t="shared" si="9"/>
        <v>5.7000000000000002E-2</v>
      </c>
      <c r="L71" s="366">
        <f t="shared" si="9"/>
        <v>47.500000000000007</v>
      </c>
      <c r="M71" s="777">
        <f>+'TOXIC Calculations'!R44</f>
        <v>1.9000000000000001E-4</v>
      </c>
      <c r="N71" s="778"/>
    </row>
    <row r="72" spans="1:14">
      <c r="A72" s="774" t="str">
        <f>+'TOXIC Calculations'!B45</f>
        <v>Propionaldehyde (H)</v>
      </c>
      <c r="B72" s="775"/>
      <c r="C72" s="775"/>
      <c r="D72" s="775"/>
      <c r="E72" s="776"/>
      <c r="F72" s="356" t="str">
        <f>+'TOXIC Calculations'!C45</f>
        <v>123386</v>
      </c>
      <c r="G72" s="365">
        <f>+'TOXIC Calculations'!S45</f>
        <v>0</v>
      </c>
      <c r="H72" s="366">
        <f>+INPUT!$F$52/INPUT!$F$30*G72</f>
        <v>0</v>
      </c>
      <c r="I72" s="366">
        <f t="shared" si="7"/>
        <v>0</v>
      </c>
      <c r="J72" s="367">
        <f t="shared" si="8"/>
        <v>0</v>
      </c>
      <c r="K72" s="366">
        <f t="shared" si="9"/>
        <v>0</v>
      </c>
      <c r="L72" s="366">
        <f t="shared" si="9"/>
        <v>0</v>
      </c>
      <c r="M72" s="777">
        <f>+'TOXIC Calculations'!R45</f>
        <v>0</v>
      </c>
      <c r="N72" s="778"/>
    </row>
    <row r="73" spans="1:14">
      <c r="A73" s="774" t="str">
        <f>+'TOXIC Calculations'!B46</f>
        <v>Quinone (H)</v>
      </c>
      <c r="B73" s="775"/>
      <c r="C73" s="775"/>
      <c r="D73" s="775"/>
      <c r="E73" s="776"/>
      <c r="F73" s="356" t="str">
        <f>+'TOXIC Calculations'!C46</f>
        <v>106514</v>
      </c>
      <c r="G73" s="365">
        <f>+'TOXIC Calculations'!S46</f>
        <v>0</v>
      </c>
      <c r="H73" s="366">
        <f>+INPUT!$F$52/INPUT!$F$30*G73</f>
        <v>0</v>
      </c>
      <c r="I73" s="366">
        <f t="shared" si="7"/>
        <v>0</v>
      </c>
      <c r="J73" s="367">
        <f t="shared" si="8"/>
        <v>0</v>
      </c>
      <c r="K73" s="366">
        <f t="shared" si="9"/>
        <v>0</v>
      </c>
      <c r="L73" s="366">
        <f t="shared" si="9"/>
        <v>0</v>
      </c>
      <c r="M73" s="777">
        <f>+'TOXIC Calculations'!R46</f>
        <v>0</v>
      </c>
      <c r="N73" s="778"/>
    </row>
    <row r="74" spans="1:14">
      <c r="A74" s="774" t="str">
        <f>+'TOXIC Calculations'!B47</f>
        <v>Selenium compounds (H)</v>
      </c>
      <c r="B74" s="775"/>
      <c r="C74" s="775"/>
      <c r="D74" s="775"/>
      <c r="E74" s="776"/>
      <c r="F74" s="356" t="str">
        <f>+'TOXIC Calculations'!C47</f>
        <v>SEC</v>
      </c>
      <c r="G74" s="365">
        <f>+'TOXIC Calculations'!S47</f>
        <v>1.0499999999999999E-4</v>
      </c>
      <c r="H74" s="366">
        <f>+INPUT!$F$52/INPUT!$F$30*G74</f>
        <v>8.7499999999999994E-2</v>
      </c>
      <c r="I74" s="366">
        <f t="shared" si="7"/>
        <v>1.0499999999999999E-4</v>
      </c>
      <c r="J74" s="367">
        <f t="shared" si="8"/>
        <v>0.91979999999999995</v>
      </c>
      <c r="K74" s="366">
        <f t="shared" si="9"/>
        <v>1.0499999999999999E-4</v>
      </c>
      <c r="L74" s="366">
        <f t="shared" si="9"/>
        <v>8.7499999999999994E-2</v>
      </c>
      <c r="M74" s="777">
        <f>+'TOXIC Calculations'!R47</f>
        <v>3.4999999999999998E-7</v>
      </c>
      <c r="N74" s="778"/>
    </row>
    <row r="75" spans="1:14">
      <c r="A75" s="774" t="str">
        <f>+'TOXIC Calculations'!B19</f>
        <v>Styrene (TH)</v>
      </c>
      <c r="B75" s="775"/>
      <c r="C75" s="775"/>
      <c r="D75" s="775"/>
      <c r="E75" s="776"/>
      <c r="F75" s="356" t="str">
        <f>+'TOXIC Calculations'!C19</f>
        <v>100425</v>
      </c>
      <c r="G75" s="365">
        <f>+'TOXIC Calculations'!S19</f>
        <v>1.5404016008974689E-4</v>
      </c>
      <c r="H75" s="366">
        <f>+INPUT!$F$52/INPUT!$F$30*G75</f>
        <v>0.12836680007478907</v>
      </c>
      <c r="I75" s="366">
        <f t="shared" si="7"/>
        <v>1.5404016008974689E-4</v>
      </c>
      <c r="J75" s="367">
        <f t="shared" si="8"/>
        <v>1.3493918023861828</v>
      </c>
      <c r="K75" s="366">
        <f>+G75</f>
        <v>1.5404016008974689E-4</v>
      </c>
      <c r="L75" s="366">
        <f t="shared" si="0"/>
        <v>0.12836680007478907</v>
      </c>
      <c r="M75" s="777">
        <f>+'TOXIC Calculations'!R19</f>
        <v>5.1346720029915633E-7</v>
      </c>
      <c r="N75" s="778"/>
    </row>
    <row r="76" spans="1:14">
      <c r="A76" s="774" t="str">
        <f>+'TOXIC Calculations'!B31</f>
        <v>Tetrachlorodibenzo-p-dioxin, 2,3,7,8-  (TH)</v>
      </c>
      <c r="B76" s="775"/>
      <c r="C76" s="775"/>
      <c r="D76" s="775"/>
      <c r="E76" s="776"/>
      <c r="F76" s="356" t="str">
        <f>+'TOXIC Calculations'!C31</f>
        <v>1746016</v>
      </c>
      <c r="G76" s="365">
        <f>+'TOXIC Calculations'!S31</f>
        <v>0</v>
      </c>
      <c r="H76" s="366">
        <f>+INPUT!$F$52/INPUT!$F$30*G76</f>
        <v>0</v>
      </c>
      <c r="I76" s="366">
        <f t="shared" si="7"/>
        <v>0</v>
      </c>
      <c r="J76" s="367">
        <f t="shared" si="8"/>
        <v>0</v>
      </c>
      <c r="K76" s="366">
        <f t="shared" ref="K76:L78" si="10">+G76</f>
        <v>0</v>
      </c>
      <c r="L76" s="366">
        <f t="shared" si="10"/>
        <v>0</v>
      </c>
      <c r="M76" s="777">
        <f>+'TOXIC Calculations'!R31</f>
        <v>0</v>
      </c>
      <c r="N76" s="778"/>
    </row>
    <row r="77" spans="1:14">
      <c r="A77" s="774" t="str">
        <f>+'TOXIC Calculations'!B22</f>
        <v>Toluene (TH)</v>
      </c>
      <c r="B77" s="775"/>
      <c r="C77" s="775"/>
      <c r="D77" s="775"/>
      <c r="E77" s="776"/>
      <c r="F77" s="356" t="str">
        <f>+'TOXIC Calculations'!C22</f>
        <v>108883</v>
      </c>
      <c r="G77" s="365">
        <f>+'TOXIC Calculations'!S22</f>
        <v>4.7609216912633527E-2</v>
      </c>
      <c r="H77" s="366">
        <f>+INPUT!$F$52/INPUT!$F$30*G77</f>
        <v>39.674347427194611</v>
      </c>
      <c r="I77" s="366">
        <f t="shared" si="7"/>
        <v>4.7609216912633527E-2</v>
      </c>
      <c r="J77" s="367">
        <f t="shared" si="8"/>
        <v>417.05674015466968</v>
      </c>
      <c r="K77" s="366">
        <f t="shared" si="10"/>
        <v>4.7609216912633527E-2</v>
      </c>
      <c r="L77" s="366">
        <f t="shared" si="10"/>
        <v>39.674347427194611</v>
      </c>
      <c r="M77" s="777">
        <f>+'TOXIC Calculations'!R22</f>
        <v>1.5869738970877842E-4</v>
      </c>
      <c r="N77" s="778"/>
    </row>
    <row r="78" spans="1:14">
      <c r="A78" s="774" t="str">
        <f>+'TOXIC Calculations'!B41</f>
        <v>Trichloroethylene (TH)</v>
      </c>
      <c r="B78" s="775"/>
      <c r="C78" s="775"/>
      <c r="D78" s="775"/>
      <c r="E78" s="776"/>
      <c r="F78" s="356" t="str">
        <f>+'TOXIC Calculations'!C41</f>
        <v>79016</v>
      </c>
      <c r="G78" s="365">
        <f>+'TOXIC Calculations'!S41</f>
        <v>0</v>
      </c>
      <c r="H78" s="366">
        <f>+INPUT!$F$52/INPUT!$F$30*G78</f>
        <v>0</v>
      </c>
      <c r="I78" s="366">
        <f t="shared" si="7"/>
        <v>0</v>
      </c>
      <c r="J78" s="367">
        <f t="shared" si="8"/>
        <v>0</v>
      </c>
      <c r="K78" s="366">
        <f t="shared" si="10"/>
        <v>0</v>
      </c>
      <c r="L78" s="366">
        <f t="shared" si="10"/>
        <v>0</v>
      </c>
      <c r="M78" s="777">
        <f>+'TOXIC Calculations'!R41</f>
        <v>0</v>
      </c>
      <c r="N78" s="778"/>
    </row>
    <row r="79" spans="1:14">
      <c r="A79" s="774" t="str">
        <f>+'TOXIC Calculations'!B48</f>
        <v>Trimethylpentane, 2,2,4- (H)</v>
      </c>
      <c r="B79" s="775"/>
      <c r="C79" s="775"/>
      <c r="D79" s="775"/>
      <c r="E79" s="776"/>
      <c r="F79" s="356" t="str">
        <f>+'TOXIC Calculations'!C48</f>
        <v>540841</v>
      </c>
      <c r="G79" s="365">
        <f>+'TOXIC Calculations'!S48</f>
        <v>1.201804235848743E-2</v>
      </c>
      <c r="H79" s="366">
        <f>+INPUT!$F$52/INPUT!$F$30*G79</f>
        <v>10.015035298739527</v>
      </c>
      <c r="I79" s="366">
        <f t="shared" si="7"/>
        <v>1.201804235848743E-2</v>
      </c>
      <c r="J79" s="367">
        <f t="shared" si="8"/>
        <v>105.2780510603499</v>
      </c>
      <c r="K79" s="366">
        <f>+G79</f>
        <v>1.201804235848743E-2</v>
      </c>
      <c r="L79" s="366">
        <f>+H79</f>
        <v>10.015035298739527</v>
      </c>
      <c r="M79" s="777">
        <f>+'TOXIC Calculations'!R48</f>
        <v>4.0060141194958102E-5</v>
      </c>
      <c r="N79" s="778"/>
    </row>
    <row r="80" spans="1:14">
      <c r="A80" s="774" t="str">
        <f>+'TOXIC Calculations'!B23</f>
        <v>Xylene (TH)</v>
      </c>
      <c r="B80" s="775"/>
      <c r="C80" s="775"/>
      <c r="D80" s="775"/>
      <c r="E80" s="776"/>
      <c r="F80" s="356" t="str">
        <f>+'TOXIC Calculations'!C23</f>
        <v>1330207</v>
      </c>
      <c r="G80" s="365">
        <f>+'TOXIC Calculations'!S23</f>
        <v>6.6635361617865693E-2</v>
      </c>
      <c r="H80" s="366">
        <f>+INPUT!$F$52/INPUT!$F$30*G80</f>
        <v>55.529468014888081</v>
      </c>
      <c r="I80" s="366">
        <f t="shared" si="7"/>
        <v>6.6635361617865693E-2</v>
      </c>
      <c r="J80" s="367">
        <f t="shared" si="8"/>
        <v>583.72576777250345</v>
      </c>
      <c r="K80" s="366">
        <f>+G80</f>
        <v>6.6635361617865693E-2</v>
      </c>
      <c r="L80" s="366">
        <f>+H80</f>
        <v>55.529468014888081</v>
      </c>
      <c r="M80" s="777">
        <f>+'TOXIC Calculations'!R23</f>
        <v>2.2211787205955231E-4</v>
      </c>
      <c r="N80" s="778"/>
    </row>
    <row r="81" spans="1:14" ht="14.1" thickBot="1">
      <c r="A81" s="835" t="str">
        <f>+'TOXIC Calculations'!B58</f>
        <v>Xylene, o- (H)</v>
      </c>
      <c r="B81" s="836"/>
      <c r="C81" s="836"/>
      <c r="D81" s="836"/>
      <c r="E81" s="837"/>
      <c r="F81" s="357" t="str">
        <f>+'TOXIC Calculations'!C58</f>
        <v>95476</v>
      </c>
      <c r="G81" s="368">
        <f>+'TOXIC Calculations'!S58</f>
        <v>1.6455944689462857E-3</v>
      </c>
      <c r="H81" s="369">
        <f>+INPUT!$F$52/INPUT!$F$30*G81</f>
        <v>1.3713287241219048</v>
      </c>
      <c r="I81" s="369">
        <f t="shared" si="7"/>
        <v>1.6455944689462857E-3</v>
      </c>
      <c r="J81" s="370">
        <f t="shared" si="8"/>
        <v>14.415407547969462</v>
      </c>
      <c r="K81" s="369">
        <f>+G81</f>
        <v>1.6455944689462857E-3</v>
      </c>
      <c r="L81" s="369">
        <f t="shared" si="0"/>
        <v>1.3713287241219048</v>
      </c>
      <c r="M81" s="838">
        <f>+'TOXIC Calculations'!R58</f>
        <v>5.4853148964876187E-6</v>
      </c>
      <c r="N81" s="839"/>
    </row>
    <row r="82" spans="1:14" ht="14.1" thickBot="1">
      <c r="A82" s="714" t="s">
        <v>250</v>
      </c>
      <c r="B82" s="715"/>
      <c r="C82" s="715"/>
      <c r="D82" s="715"/>
      <c r="E82" s="715"/>
      <c r="F82" s="715"/>
      <c r="G82" s="715"/>
      <c r="H82" s="715"/>
      <c r="I82" s="715"/>
      <c r="J82" s="715"/>
      <c r="K82" s="715"/>
      <c r="L82" s="715"/>
      <c r="M82" s="715"/>
      <c r="N82" s="716"/>
    </row>
    <row r="83" spans="1:14" ht="12.75" customHeight="1">
      <c r="A83" s="825" t="str">
        <f>+CONCATENATE("Expected actual emissions after controls and limitations consisting of an annual production limit of ",ROUND(+INPUT!F52,0)," tons ",+INPUT!U70)</f>
        <v>Expected actual emissions after controls and limitations consisting of an annual production limit of 250000 tons and a daily production limit of 0 tons.</v>
      </c>
      <c r="B83" s="826"/>
      <c r="C83" s="826"/>
      <c r="D83" s="826"/>
      <c r="E83" s="826"/>
      <c r="F83" s="826"/>
      <c r="G83" s="826"/>
      <c r="H83" s="826"/>
      <c r="I83" s="826"/>
      <c r="J83" s="826"/>
      <c r="K83" s="826"/>
      <c r="L83" s="827"/>
      <c r="M83" s="744" t="s">
        <v>238</v>
      </c>
      <c r="N83" s="745"/>
    </row>
    <row r="84" spans="1:14" ht="12.75" customHeight="1">
      <c r="A84" s="828"/>
      <c r="B84" s="829"/>
      <c r="C84" s="829"/>
      <c r="D84" s="829"/>
      <c r="E84" s="829"/>
      <c r="F84" s="829"/>
      <c r="G84" s="829"/>
      <c r="H84" s="829"/>
      <c r="I84" s="829"/>
      <c r="J84" s="829"/>
      <c r="K84" s="829"/>
      <c r="L84" s="830"/>
      <c r="M84" s="801" t="s">
        <v>242</v>
      </c>
      <c r="N84" s="802"/>
    </row>
    <row r="85" spans="1:14" ht="12.75" customHeight="1">
      <c r="A85" s="831"/>
      <c r="B85" s="832"/>
      <c r="C85" s="832"/>
      <c r="D85" s="832"/>
      <c r="E85" s="832"/>
      <c r="F85" s="832"/>
      <c r="G85" s="832"/>
      <c r="H85" s="832"/>
      <c r="I85" s="832"/>
      <c r="J85" s="832"/>
      <c r="K85" s="832"/>
      <c r="L85" s="833"/>
      <c r="M85" s="803" t="str">
        <f>+CONCATENATE("with ",INPUT!T57,")")</f>
        <v>with Uncontrolled)</v>
      </c>
      <c r="N85" s="804"/>
    </row>
    <row r="86" spans="1:14" ht="12.75" customHeight="1" thickBot="1">
      <c r="A86" s="820" t="s">
        <v>251</v>
      </c>
      <c r="B86" s="821"/>
      <c r="C86" s="821"/>
      <c r="D86" s="821"/>
      <c r="E86" s="822"/>
      <c r="F86" s="358" t="s">
        <v>252</v>
      </c>
      <c r="G86" s="348" t="s">
        <v>112</v>
      </c>
      <c r="H86" s="348" t="s">
        <v>253</v>
      </c>
      <c r="I86" s="348" t="s">
        <v>246</v>
      </c>
      <c r="J86" s="817" t="s">
        <v>254</v>
      </c>
      <c r="K86" s="818"/>
      <c r="L86" s="819"/>
      <c r="M86" s="823"/>
      <c r="N86" s="824"/>
    </row>
    <row r="87" spans="1:14">
      <c r="A87" s="774" t="str">
        <f>+'TOXIC Calculations'!B15</f>
        <v>Acetaldehyde (TH)</v>
      </c>
      <c r="B87" s="775"/>
      <c r="C87" s="775"/>
      <c r="D87" s="775"/>
      <c r="E87" s="776"/>
      <c r="F87" s="355" t="str">
        <f>+'TOXIC Calculations'!C15</f>
        <v>75070</v>
      </c>
      <c r="G87" s="359">
        <f>+'TOXIC Calculations'!S15</f>
        <v>0</v>
      </c>
      <c r="H87" s="359">
        <f>+'TOXIC Calculations'!V15</f>
        <v>0</v>
      </c>
      <c r="I87" s="359">
        <f>+'TOXIC Calculations'!W15</f>
        <v>0</v>
      </c>
      <c r="J87" s="834" t="str">
        <f>+'TOXIC Calculations'!AC15</f>
        <v>NO. Based on facility-wide potential.</v>
      </c>
      <c r="K87" s="834"/>
      <c r="L87" s="810"/>
      <c r="M87" s="814">
        <f>+'TOXIC Calculations'!R15</f>
        <v>0</v>
      </c>
      <c r="N87" s="815"/>
    </row>
    <row r="88" spans="1:14">
      <c r="A88" s="774" t="str">
        <f>+'TOXIC Calculations'!B16</f>
        <v>Acrolein (TH)</v>
      </c>
      <c r="B88" s="775"/>
      <c r="C88" s="775"/>
      <c r="D88" s="775"/>
      <c r="E88" s="776"/>
      <c r="F88" s="356" t="str">
        <f>+'TOXIC Calculations'!C16</f>
        <v>107028</v>
      </c>
      <c r="G88" s="360">
        <f>+'TOXIC Calculations'!S16</f>
        <v>0</v>
      </c>
      <c r="H88" s="360">
        <f>+'TOXIC Calculations'!V16</f>
        <v>0</v>
      </c>
      <c r="I88" s="360">
        <f>+'TOXIC Calculations'!W16</f>
        <v>0</v>
      </c>
      <c r="J88" s="816" t="str">
        <f>+'TOXIC Calculations'!AC16</f>
        <v>NO. Based on facility-wide potential.</v>
      </c>
      <c r="K88" s="816"/>
      <c r="L88" s="778"/>
      <c r="M88" s="814">
        <f>+'TOXIC Calculations'!R16</f>
        <v>0</v>
      </c>
      <c r="N88" s="815"/>
    </row>
    <row r="89" spans="1:14">
      <c r="A89" s="774" t="str">
        <f>+'TOXIC Calculations'!B32</f>
        <v>Arsenic unlisted cmpds (comp. of ASC) (TH)</v>
      </c>
      <c r="B89" s="775"/>
      <c r="C89" s="775"/>
      <c r="D89" s="775"/>
      <c r="E89" s="776"/>
      <c r="F89" s="356" t="str">
        <f>+'TOXIC Calculations'!C32</f>
        <v xml:space="preserve">ASC-other  </v>
      </c>
      <c r="G89" s="360">
        <f>+'TOXIC Calculations'!S32</f>
        <v>1.6800000000000002E-4</v>
      </c>
      <c r="H89" s="360">
        <f>+'TOXIC Calculations'!V32</f>
        <v>0</v>
      </c>
      <c r="I89" s="360">
        <f>+'TOXIC Calculations'!W32</f>
        <v>0.14000000000000001</v>
      </c>
      <c r="J89" s="816" t="str">
        <f>+'TOXIC Calculations'!AC32</f>
        <v>YES. Modeling required</v>
      </c>
      <c r="K89" s="816"/>
      <c r="L89" s="778"/>
      <c r="M89" s="814">
        <f>+'TOXIC Calculations'!R32</f>
        <v>5.6000000000000004E-7</v>
      </c>
      <c r="N89" s="815"/>
    </row>
    <row r="90" spans="1:14">
      <c r="A90" s="774" t="str">
        <f>+'TOXIC Calculations'!B33</f>
        <v>Benzene (TH)</v>
      </c>
      <c r="B90" s="775"/>
      <c r="C90" s="775"/>
      <c r="D90" s="775"/>
      <c r="E90" s="776"/>
      <c r="F90" s="356" t="str">
        <f>+'TOXIC Calculations'!C33</f>
        <v>71432</v>
      </c>
      <c r="G90" s="360">
        <f>+'TOXIC Calculations'!S33</f>
        <v>0.11797105875836522</v>
      </c>
      <c r="H90" s="360">
        <f>+'TOXIC Calculations'!V33</f>
        <v>0</v>
      </c>
      <c r="I90" s="360">
        <f>+'TOXIC Calculations'!W33</f>
        <v>98.309215631971014</v>
      </c>
      <c r="J90" s="816" t="str">
        <f>+'TOXIC Calculations'!AC33</f>
        <v>YES. Modeling required</v>
      </c>
      <c r="K90" s="816"/>
      <c r="L90" s="778"/>
      <c r="M90" s="814">
        <f>+'TOXIC Calculations'!R33</f>
        <v>3.9323686252788406E-4</v>
      </c>
      <c r="N90" s="815"/>
    </row>
    <row r="91" spans="1:14">
      <c r="A91" s="774" t="str">
        <f>+'TOXIC Calculations'!B34</f>
        <v>Benzo(a)pyrene  (T)</v>
      </c>
      <c r="B91" s="775"/>
      <c r="C91" s="775"/>
      <c r="D91" s="775"/>
      <c r="E91" s="776"/>
      <c r="F91" s="356" t="str">
        <f>+'TOXIC Calculations'!C34</f>
        <v>50328</v>
      </c>
      <c r="G91" s="360">
        <f>+'TOXIC Calculations'!S34</f>
        <v>4.1960400260762578E-6</v>
      </c>
      <c r="H91" s="360">
        <f>+'TOXIC Calculations'!V34</f>
        <v>0</v>
      </c>
      <c r="I91" s="360">
        <f>+'TOXIC Calculations'!W34</f>
        <v>3.496700021730215E-3</v>
      </c>
      <c r="J91" s="816" t="str">
        <f>+'TOXIC Calculations'!AC34</f>
        <v>NO. Based on facility-wide potential.</v>
      </c>
      <c r="K91" s="816"/>
      <c r="L91" s="778"/>
      <c r="M91" s="814">
        <f>+'TOXIC Calculations'!R34</f>
        <v>1.3986800086920861E-8</v>
      </c>
      <c r="N91" s="815"/>
    </row>
    <row r="92" spans="1:14">
      <c r="A92" s="774" t="str">
        <f>+'TOXIC Calculations'!B36</f>
        <v>Beryllium metal (unreacted) (TH)</v>
      </c>
      <c r="B92" s="775"/>
      <c r="C92" s="775"/>
      <c r="D92" s="775"/>
      <c r="E92" s="776"/>
      <c r="F92" s="356">
        <f>+'TOXIC Calculations'!C36</f>
        <v>7440417</v>
      </c>
      <c r="G92" s="360">
        <f>+'TOXIC Calculations'!S36</f>
        <v>0</v>
      </c>
      <c r="H92" s="360">
        <f>+'TOXIC Calculations'!V36</f>
        <v>0</v>
      </c>
      <c r="I92" s="360">
        <f>+'TOXIC Calculations'!W36</f>
        <v>0</v>
      </c>
      <c r="J92" s="816" t="str">
        <f>+'TOXIC Calculations'!AC36</f>
        <v>NO. Based on facility-wide potential.</v>
      </c>
      <c r="K92" s="816"/>
      <c r="L92" s="778"/>
      <c r="M92" s="814">
        <f>+'TOXIC Calculations'!R36</f>
        <v>0</v>
      </c>
      <c r="N92" s="815"/>
    </row>
    <row r="93" spans="1:14">
      <c r="A93" s="774" t="str">
        <f>+'TOXIC Calculations'!B37</f>
        <v>Cadmium metal (elemental unreacted) (TH)</v>
      </c>
      <c r="B93" s="775"/>
      <c r="C93" s="775"/>
      <c r="D93" s="775"/>
      <c r="E93" s="776"/>
      <c r="F93" s="356">
        <f>+'TOXIC Calculations'!C37</f>
        <v>7440439</v>
      </c>
      <c r="G93" s="360">
        <f>+'TOXIC Calculations'!S37</f>
        <v>1.2300000000000001E-4</v>
      </c>
      <c r="H93" s="360">
        <f>+'TOXIC Calculations'!V37</f>
        <v>0</v>
      </c>
      <c r="I93" s="360">
        <f>+'TOXIC Calculations'!W37</f>
        <v>0.10249999999999999</v>
      </c>
      <c r="J93" s="816" t="str">
        <f>+'TOXIC Calculations'!AC37</f>
        <v>NO. Because of operating restriction</v>
      </c>
      <c r="K93" s="816"/>
      <c r="L93" s="778"/>
      <c r="M93" s="814">
        <f>+'TOXIC Calculations'!R37</f>
        <v>4.0999999999999999E-7</v>
      </c>
      <c r="N93" s="815"/>
    </row>
    <row r="94" spans="1:14">
      <c r="A94" s="774" t="str">
        <f>+'TOXIC Calculations'!B30</f>
        <v>Carbon disulfide (TH)</v>
      </c>
      <c r="B94" s="775"/>
      <c r="C94" s="775"/>
      <c r="D94" s="775"/>
      <c r="E94" s="776"/>
      <c r="F94" s="356" t="str">
        <f>+'TOXIC Calculations'!C30</f>
        <v>75150</v>
      </c>
      <c r="G94" s="360">
        <f>+'TOXIC Calculations'!S30</f>
        <v>3.9892729782872201E-4</v>
      </c>
      <c r="H94" s="360">
        <f>+'TOXIC Calculations'!V30</f>
        <v>0</v>
      </c>
      <c r="I94" s="360">
        <f>+'TOXIC Calculations'!W30</f>
        <v>0.33243941485726836</v>
      </c>
      <c r="J94" s="816" t="str">
        <f>+'TOXIC Calculations'!AC30</f>
        <v>NO. Based on facility-wide potential.</v>
      </c>
      <c r="K94" s="816"/>
      <c r="L94" s="778"/>
      <c r="M94" s="814">
        <f>+'TOXIC Calculations'!R30</f>
        <v>1.3297576594290734E-6</v>
      </c>
      <c r="N94" s="815"/>
    </row>
    <row r="95" spans="1:14">
      <c r="A95" s="774" t="str">
        <f>+'TOXIC Calculations'!B25</f>
        <v>Soluble Chromate compounds as Chrome (VI) (TH)</v>
      </c>
      <c r="B95" s="775"/>
      <c r="C95" s="775"/>
      <c r="D95" s="775"/>
      <c r="E95" s="776"/>
      <c r="F95" s="356" t="str">
        <f>+'TOXIC Calculations'!C25</f>
        <v>SOLCR6</v>
      </c>
      <c r="G95" s="360">
        <f>+'TOXIC Calculations'!S25</f>
        <v>1.35E-4</v>
      </c>
      <c r="H95" s="360">
        <f>+'TOXIC Calculations'!V25</f>
        <v>0</v>
      </c>
      <c r="I95" s="360">
        <f>+'TOXIC Calculations'!W25</f>
        <v>0.11249999999999999</v>
      </c>
      <c r="J95" s="816" t="str">
        <f>+'TOXIC Calculations'!AC25</f>
        <v>NO. Based on facility-wide potential.</v>
      </c>
      <c r="K95" s="816"/>
      <c r="L95" s="778"/>
      <c r="M95" s="814">
        <f>+'TOXIC Calculations'!R25</f>
        <v>4.4999999999999998E-7</v>
      </c>
      <c r="N95" s="815"/>
    </row>
    <row r="96" spans="1:14">
      <c r="A96" s="774" t="str">
        <f>+'TOXIC Calculations'!B17</f>
        <v>Formaldehyde (TH)</v>
      </c>
      <c r="B96" s="775"/>
      <c r="C96" s="775"/>
      <c r="D96" s="775"/>
      <c r="E96" s="776"/>
      <c r="F96" s="356" t="str">
        <f>+'TOXIC Calculations'!C17</f>
        <v>50000</v>
      </c>
      <c r="G96" s="360">
        <f>+'TOXIC Calculations'!S17</f>
        <v>0.94405525443425742</v>
      </c>
      <c r="H96" s="360">
        <f>+'TOXIC Calculations'!V17</f>
        <v>0</v>
      </c>
      <c r="I96" s="360">
        <f>+'TOXIC Calculations'!W17</f>
        <v>786.7127120285478</v>
      </c>
      <c r="J96" s="816" t="str">
        <f>+'TOXIC Calculations'!AC17</f>
        <v>YES. Modeling required</v>
      </c>
      <c r="K96" s="816"/>
      <c r="L96" s="778"/>
      <c r="M96" s="814">
        <f>+'TOXIC Calculations'!R17</f>
        <v>3.1468508481141914E-3</v>
      </c>
      <c r="N96" s="815"/>
    </row>
    <row r="97" spans="1:14">
      <c r="A97" s="774" t="str">
        <f>+'TOXIC Calculations'!B26</f>
        <v>Hexane, n- (TH)</v>
      </c>
      <c r="B97" s="775"/>
      <c r="C97" s="775"/>
      <c r="D97" s="775"/>
      <c r="E97" s="776"/>
      <c r="F97" s="356" t="str">
        <f>+'TOXIC Calculations'!C26</f>
        <v>110543</v>
      </c>
      <c r="G97" s="360">
        <f>+'TOXIC Calculations'!S26</f>
        <v>0.28190257477564051</v>
      </c>
      <c r="H97" s="360">
        <f>+'TOXIC Calculations'!V26</f>
        <v>0</v>
      </c>
      <c r="I97" s="360">
        <f>+'TOXIC Calculations'!W26</f>
        <v>234.91881231303375</v>
      </c>
      <c r="J97" s="816" t="str">
        <f>+'TOXIC Calculations'!AC26</f>
        <v>NO. Based on facility-wide potential.</v>
      </c>
      <c r="K97" s="816"/>
      <c r="L97" s="778"/>
      <c r="M97" s="814">
        <f>+'TOXIC Calculations'!R26</f>
        <v>9.3967524925213505E-4</v>
      </c>
      <c r="N97" s="815"/>
    </row>
    <row r="98" spans="1:14">
      <c r="A98" s="774" t="str">
        <f>+'TOXIC Calculations'!B38</f>
        <v>Hexachlorodibenzo-p-dioxin 1,2,3,6,7,8 (TH)</v>
      </c>
      <c r="B98" s="775"/>
      <c r="C98" s="775"/>
      <c r="D98" s="775"/>
      <c r="E98" s="776"/>
      <c r="F98" s="356" t="str">
        <f>+'TOXIC Calculations'!C38</f>
        <v>57653857</v>
      </c>
      <c r="G98" s="360">
        <f>+'TOXIC Calculations'!S38</f>
        <v>0</v>
      </c>
      <c r="H98" s="360">
        <f>+'TOXIC Calculations'!V38</f>
        <v>0</v>
      </c>
      <c r="I98" s="360">
        <f>+'TOXIC Calculations'!W38</f>
        <v>0</v>
      </c>
      <c r="J98" s="816" t="str">
        <f>+'TOXIC Calculations'!AC38</f>
        <v>NO. Based on facility-wide potential.</v>
      </c>
      <c r="K98" s="816"/>
      <c r="L98" s="778"/>
      <c r="M98" s="814">
        <f>+'TOXIC Calculations'!R38</f>
        <v>0</v>
      </c>
      <c r="N98" s="815"/>
    </row>
    <row r="99" spans="1:14">
      <c r="A99" s="774" t="str">
        <f>+'TOXIC Calculations'!B35</f>
        <v>Hydrogen Sulfide (T)</v>
      </c>
      <c r="B99" s="775"/>
      <c r="C99" s="775"/>
      <c r="D99" s="775"/>
      <c r="E99" s="813"/>
      <c r="F99" s="356">
        <v>7783064</v>
      </c>
      <c r="G99" s="360">
        <f>+'TOXIC Calculations'!S35</f>
        <v>1.6416E-2</v>
      </c>
      <c r="H99" s="360">
        <f>+'TOXIC Calculations'!V35</f>
        <v>0</v>
      </c>
      <c r="I99" s="360">
        <f>+'TOXIC Calculations'!W35</f>
        <v>13.68</v>
      </c>
      <c r="J99" s="840" t="str">
        <f>+'TOXIC Calculations'!AC35</f>
        <v>NO. Based on facility-wide potential.</v>
      </c>
      <c r="K99" s="841"/>
      <c r="L99" s="842"/>
      <c r="M99" s="843">
        <f>+'TOXIC Calculations'!R35</f>
        <v>5.4719999999999998E-5</v>
      </c>
      <c r="N99" s="844"/>
    </row>
    <row r="100" spans="1:14">
      <c r="A100" s="774" t="str">
        <f>+'TOXIC Calculations'!B27</f>
        <v>Manganese unlisted compounds (T)</v>
      </c>
      <c r="B100" s="775"/>
      <c r="C100" s="775"/>
      <c r="D100" s="775"/>
      <c r="E100" s="776"/>
      <c r="F100" s="356" t="str">
        <f>+'TOXIC Calculations'!C27</f>
        <v xml:space="preserve">MNC-other  </v>
      </c>
      <c r="G100" s="360">
        <f>+'TOXIC Calculations'!S27</f>
        <v>2.3100000000000004E-3</v>
      </c>
      <c r="H100" s="360">
        <f>+'TOXIC Calculations'!V27</f>
        <v>0</v>
      </c>
      <c r="I100" s="360">
        <f>+'TOXIC Calculations'!W27</f>
        <v>1.9250000000000003</v>
      </c>
      <c r="J100" s="816" t="str">
        <f>+'TOXIC Calculations'!AC27</f>
        <v>NO. Based on facility-wide potential.</v>
      </c>
      <c r="K100" s="816"/>
      <c r="L100" s="778"/>
      <c r="M100" s="814">
        <f>+'TOXIC Calculations'!R27</f>
        <v>7.7000000000000008E-6</v>
      </c>
      <c r="N100" s="815"/>
    </row>
    <row r="101" spans="1:14">
      <c r="A101" s="774" t="str">
        <f>+'TOXIC Calculations'!B28</f>
        <v>Mercury, vapor  (TH)</v>
      </c>
      <c r="B101" s="775"/>
      <c r="C101" s="775"/>
      <c r="D101" s="775"/>
      <c r="E101" s="776"/>
      <c r="F101" s="356">
        <f>+'TOXIC Calculations'!C28</f>
        <v>7439976</v>
      </c>
      <c r="G101" s="360">
        <f>+'TOXIC Calculations'!S28</f>
        <v>7.1999999999999988E-5</v>
      </c>
      <c r="H101" s="360">
        <f>+'TOXIC Calculations'!V28</f>
        <v>0</v>
      </c>
      <c r="I101" s="360">
        <f>+'TOXIC Calculations'!W28</f>
        <v>0.06</v>
      </c>
      <c r="J101" s="816" t="str">
        <f>+'TOXIC Calculations'!AC28</f>
        <v>NO. Based on facility-wide potential.</v>
      </c>
      <c r="K101" s="816"/>
      <c r="L101" s="778"/>
      <c r="M101" s="814">
        <f>+'TOXIC Calculations'!R28</f>
        <v>2.3999999999999998E-7</v>
      </c>
      <c r="N101" s="815"/>
    </row>
    <row r="102" spans="1:14">
      <c r="A102" s="774" t="str">
        <f>+'TOXIC Calculations'!B24</f>
        <v>Methylene chloride (TH)</v>
      </c>
      <c r="B102" s="775"/>
      <c r="C102" s="775"/>
      <c r="D102" s="775"/>
      <c r="E102" s="776"/>
      <c r="F102" s="356" t="str">
        <f>+'TOXIC Calculations'!C24</f>
        <v>75092</v>
      </c>
      <c r="G102" s="360">
        <f>+'TOXIC Calculations'!S24</f>
        <v>5.2704880280128639E-6</v>
      </c>
      <c r="H102" s="360">
        <f>+'TOXIC Calculations'!V24</f>
        <v>0</v>
      </c>
      <c r="I102" s="360">
        <f>+'TOXIC Calculations'!W24</f>
        <v>4.3920733566773862E-3</v>
      </c>
      <c r="J102" s="816" t="str">
        <f>+'TOXIC Calculations'!AC24</f>
        <v>NO. Based on facility-wide potential.</v>
      </c>
      <c r="K102" s="816"/>
      <c r="L102" s="778"/>
      <c r="M102" s="814">
        <f>+'TOXIC Calculations'!R24</f>
        <v>1.7568293426709546E-8</v>
      </c>
      <c r="N102" s="815"/>
    </row>
    <row r="103" spans="1:14">
      <c r="A103" s="774" t="str">
        <f>+'TOXIC Calculations'!B20</f>
        <v>Methyl chloroform (TH)</v>
      </c>
      <c r="B103" s="775"/>
      <c r="C103" s="775"/>
      <c r="D103" s="775"/>
      <c r="E103" s="776"/>
      <c r="F103" s="356" t="str">
        <f>+'TOXIC Calculations'!C20</f>
        <v>71556</v>
      </c>
      <c r="G103" s="360">
        <f>+'TOXIC Calculations'!S20</f>
        <v>1.44E-2</v>
      </c>
      <c r="H103" s="360">
        <f>+'TOXIC Calculations'!V20</f>
        <v>0</v>
      </c>
      <c r="I103" s="360">
        <f>+'TOXIC Calculations'!W20</f>
        <v>12</v>
      </c>
      <c r="J103" s="816" t="str">
        <f>+'TOXIC Calculations'!AC20</f>
        <v>NO. Based on facility-wide potential.</v>
      </c>
      <c r="K103" s="816"/>
      <c r="L103" s="778"/>
      <c r="M103" s="814">
        <f>+'TOXIC Calculations'!R20</f>
        <v>4.8000000000000001E-5</v>
      </c>
      <c r="N103" s="815"/>
    </row>
    <row r="104" spans="1:14">
      <c r="A104" s="774" t="str">
        <f>+'TOXIC Calculations'!B21</f>
        <v>Methyl ethyl ketone (TH)</v>
      </c>
      <c r="B104" s="775"/>
      <c r="C104" s="775"/>
      <c r="D104" s="775"/>
      <c r="E104" s="776"/>
      <c r="F104" s="356" t="str">
        <f>+'TOXIC Calculations'!C21</f>
        <v>78933</v>
      </c>
      <c r="G104" s="360">
        <f>+'TOXIC Calculations'!S21</f>
        <v>1.0877159448759058E-3</v>
      </c>
      <c r="H104" s="360">
        <f>+'TOXIC Calculations'!V21</f>
        <v>0</v>
      </c>
      <c r="I104" s="360">
        <f>+'TOXIC Calculations'!W21</f>
        <v>0.90642995406325488</v>
      </c>
      <c r="J104" s="816" t="str">
        <f>+'TOXIC Calculations'!AC21</f>
        <v>NO. Based on facility-wide potential.</v>
      </c>
      <c r="K104" s="816"/>
      <c r="L104" s="778"/>
      <c r="M104" s="814">
        <f>+'TOXIC Calculations'!R21</f>
        <v>3.6257198162530195E-6</v>
      </c>
      <c r="N104" s="815"/>
    </row>
    <row r="105" spans="1:14">
      <c r="A105" s="774" t="str">
        <f>+'TOXIC Calculations'!B29</f>
        <v>Nickel metal (TH)</v>
      </c>
      <c r="B105" s="775"/>
      <c r="C105" s="775"/>
      <c r="D105" s="775"/>
      <c r="E105" s="776"/>
      <c r="F105" s="356">
        <f>+'TOXIC Calculations'!C29</f>
        <v>7440020</v>
      </c>
      <c r="G105" s="360">
        <f>+'TOXIC Calculations'!S29</f>
        <v>1.89E-2</v>
      </c>
      <c r="H105" s="360">
        <f>+'TOXIC Calculations'!V29</f>
        <v>0</v>
      </c>
      <c r="I105" s="360">
        <f>+'TOXIC Calculations'!W29</f>
        <v>15.75</v>
      </c>
      <c r="J105" s="816" t="str">
        <f>+'TOXIC Calculations'!AC29</f>
        <v>NO. Because of operating restriction</v>
      </c>
      <c r="K105" s="816"/>
      <c r="L105" s="778"/>
      <c r="M105" s="814">
        <f>+'TOXIC Calculations'!R29</f>
        <v>6.3E-5</v>
      </c>
      <c r="N105" s="815"/>
    </row>
    <row r="106" spans="1:14">
      <c r="A106" s="774" t="str">
        <f>+'TOXIC Calculations'!B40</f>
        <v>Perchloroethylene (tetrachloroethylene) (TH)</v>
      </c>
      <c r="B106" s="775"/>
      <c r="C106" s="775"/>
      <c r="D106" s="775"/>
      <c r="E106" s="776"/>
      <c r="F106" s="356" t="str">
        <f>+'TOXIC Calculations'!C40</f>
        <v>127184</v>
      </c>
      <c r="G106" s="360">
        <f>+'TOXIC Calculations'!S40</f>
        <v>5.1295078955763059E-5</v>
      </c>
      <c r="H106" s="360">
        <f>+'TOXIC Calculations'!V40</f>
        <v>0</v>
      </c>
      <c r="I106" s="360">
        <f>+'TOXIC Calculations'!W40</f>
        <v>4.2745899129802548E-2</v>
      </c>
      <c r="J106" s="816" t="str">
        <f>+'TOXIC Calculations'!AC40</f>
        <v>NO. Based on facility-wide potential.</v>
      </c>
      <c r="K106" s="816"/>
      <c r="L106" s="778"/>
      <c r="M106" s="814">
        <f>+'TOXIC Calculations'!R40</f>
        <v>1.7098359651921019E-7</v>
      </c>
      <c r="N106" s="815"/>
    </row>
    <row r="107" spans="1:14">
      <c r="A107" s="774" t="str">
        <f>+'TOXIC Calculations'!B18</f>
        <v>Phenol (TH)</v>
      </c>
      <c r="B107" s="775"/>
      <c r="C107" s="775"/>
      <c r="D107" s="775"/>
      <c r="E107" s="776"/>
      <c r="F107" s="356" t="str">
        <f>+'TOXIC Calculations'!C18</f>
        <v>108952</v>
      </c>
      <c r="G107" s="360">
        <f>+'TOXIC Calculations'!S18</f>
        <v>6.4440314381303656E-4</v>
      </c>
      <c r="H107" s="360">
        <f>+'TOXIC Calculations'!V18</f>
        <v>0</v>
      </c>
      <c r="I107" s="360">
        <f>+'TOXIC Calculations'!W18</f>
        <v>0.53700261984419717</v>
      </c>
      <c r="J107" s="816" t="str">
        <f>+'TOXIC Calculations'!AC18</f>
        <v>NO. Based on facility-wide potential.</v>
      </c>
      <c r="K107" s="816"/>
      <c r="L107" s="778"/>
      <c r="M107" s="814">
        <f>+'TOXIC Calculations'!R18</f>
        <v>2.1480104793767886E-6</v>
      </c>
      <c r="N107" s="815"/>
    </row>
    <row r="108" spans="1:14">
      <c r="A108" s="774" t="str">
        <f>+'TOXIC Calculations'!B19</f>
        <v>Styrene (TH)</v>
      </c>
      <c r="B108" s="775"/>
      <c r="C108" s="775"/>
      <c r="D108" s="775"/>
      <c r="E108" s="776"/>
      <c r="F108" s="356" t="str">
        <f>+'TOXIC Calculations'!C19</f>
        <v>100425</v>
      </c>
      <c r="G108" s="360">
        <f>+'TOXIC Calculations'!S19</f>
        <v>1.5404016008974689E-4</v>
      </c>
      <c r="H108" s="360">
        <f>+'TOXIC Calculations'!V19</f>
        <v>0</v>
      </c>
      <c r="I108" s="360">
        <f>+'TOXIC Calculations'!W19</f>
        <v>0.12836680007478909</v>
      </c>
      <c r="J108" s="816" t="str">
        <f>+'TOXIC Calculations'!AC19</f>
        <v>NO. Based on facility-wide potential.</v>
      </c>
      <c r="K108" s="816"/>
      <c r="L108" s="778"/>
      <c r="M108" s="814">
        <f>+'TOXIC Calculations'!R19</f>
        <v>5.1346720029915633E-7</v>
      </c>
      <c r="N108" s="815"/>
    </row>
    <row r="109" spans="1:14">
      <c r="A109" s="774" t="str">
        <f>+'TOXIC Calculations'!B31</f>
        <v>Tetrachlorodibenzo-p-dioxin, 2,3,7,8-  (TH)</v>
      </c>
      <c r="B109" s="775"/>
      <c r="C109" s="775"/>
      <c r="D109" s="775"/>
      <c r="E109" s="776"/>
      <c r="F109" s="356" t="str">
        <f>+'TOXIC Calculations'!C31</f>
        <v>1746016</v>
      </c>
      <c r="G109" s="360">
        <f>+'TOXIC Calculations'!S31</f>
        <v>0</v>
      </c>
      <c r="H109" s="360">
        <f>+'TOXIC Calculations'!V31</f>
        <v>0</v>
      </c>
      <c r="I109" s="360">
        <f>+'TOXIC Calculations'!W31</f>
        <v>0</v>
      </c>
      <c r="J109" s="816" t="str">
        <f>+'TOXIC Calculations'!AC31</f>
        <v>NO. Based on facility-wide potential.</v>
      </c>
      <c r="K109" s="816"/>
      <c r="L109" s="778"/>
      <c r="M109" s="814">
        <f>+'TOXIC Calculations'!R31</f>
        <v>0</v>
      </c>
      <c r="N109" s="815"/>
    </row>
    <row r="110" spans="1:14">
      <c r="A110" s="774" t="str">
        <f>+'TOXIC Calculations'!B22</f>
        <v>Toluene (TH)</v>
      </c>
      <c r="B110" s="775"/>
      <c r="C110" s="775"/>
      <c r="D110" s="775"/>
      <c r="E110" s="776"/>
      <c r="F110" s="356" t="str">
        <f>+'TOXIC Calculations'!C22</f>
        <v>108883</v>
      </c>
      <c r="G110" s="360">
        <f>+'TOXIC Calculations'!S22</f>
        <v>4.7609216912633527E-2</v>
      </c>
      <c r="H110" s="360">
        <f>+'TOXIC Calculations'!V22</f>
        <v>0</v>
      </c>
      <c r="I110" s="360">
        <f>+'TOXIC Calculations'!W22</f>
        <v>39.674347427194604</v>
      </c>
      <c r="J110" s="816" t="str">
        <f>+'TOXIC Calculations'!AC22</f>
        <v>NO. Based on facility-wide potential.</v>
      </c>
      <c r="K110" s="816"/>
      <c r="L110" s="778"/>
      <c r="M110" s="814">
        <f>+'TOXIC Calculations'!R22</f>
        <v>1.5869738970877842E-4</v>
      </c>
      <c r="N110" s="815"/>
    </row>
    <row r="111" spans="1:14">
      <c r="A111" s="774" t="str">
        <f>+'TOXIC Calculations'!B41</f>
        <v>Trichloroethylene (TH)</v>
      </c>
      <c r="B111" s="775"/>
      <c r="C111" s="775"/>
      <c r="D111" s="775"/>
      <c r="E111" s="776"/>
      <c r="F111" s="356" t="str">
        <f>+'TOXIC Calculations'!C41</f>
        <v>79016</v>
      </c>
      <c r="G111" s="360">
        <f>+'TOXIC Calculations'!S41</f>
        <v>0</v>
      </c>
      <c r="H111" s="360">
        <f>+'TOXIC Calculations'!V41</f>
        <v>0</v>
      </c>
      <c r="I111" s="360">
        <f>+'TOXIC Calculations'!W41</f>
        <v>0</v>
      </c>
      <c r="J111" s="816" t="str">
        <f>+'TOXIC Calculations'!AC41</f>
        <v>NO. Based on facility-wide potential.</v>
      </c>
      <c r="K111" s="816"/>
      <c r="L111" s="778"/>
      <c r="M111" s="848">
        <f>+'TOXIC Calculations'!R41</f>
        <v>0</v>
      </c>
      <c r="N111" s="842"/>
    </row>
    <row r="112" spans="1:14" ht="14.1" thickBot="1">
      <c r="A112" s="835" t="str">
        <f>+'TOXIC Calculations'!B23</f>
        <v>Xylene (TH)</v>
      </c>
      <c r="B112" s="836"/>
      <c r="C112" s="836"/>
      <c r="D112" s="836"/>
      <c r="E112" s="837"/>
      <c r="F112" s="357" t="str">
        <f>+'TOXIC Calculations'!C23</f>
        <v>1330207</v>
      </c>
      <c r="G112" s="361">
        <f>+'TOXIC Calculations'!S23</f>
        <v>6.6635361617865693E-2</v>
      </c>
      <c r="H112" s="361">
        <f>+'TOXIC Calculations'!V23</f>
        <v>0</v>
      </c>
      <c r="I112" s="361">
        <f>+'TOXIC Calculations'!W23</f>
        <v>55.529468014888074</v>
      </c>
      <c r="J112" s="847" t="str">
        <f>+'TOXIC Calculations'!AC23</f>
        <v>NO. Based on facility-wide potential.</v>
      </c>
      <c r="K112" s="847"/>
      <c r="L112" s="839"/>
      <c r="M112" s="845">
        <f>+'TOXIC Calculations'!R23</f>
        <v>2.2211787205955231E-4</v>
      </c>
      <c r="N112" s="846"/>
    </row>
  </sheetData>
  <sheetProtection password="A767" sheet="1"/>
  <mergeCells count="215">
    <mergeCell ref="M112:N112"/>
    <mergeCell ref="J112:L112"/>
    <mergeCell ref="M110:N110"/>
    <mergeCell ref="J110:L110"/>
    <mergeCell ref="M104:N104"/>
    <mergeCell ref="J104:L104"/>
    <mergeCell ref="M103:N103"/>
    <mergeCell ref="J103:L103"/>
    <mergeCell ref="J105:L105"/>
    <mergeCell ref="M111:N111"/>
    <mergeCell ref="J111:L111"/>
    <mergeCell ref="M106:N106"/>
    <mergeCell ref="J106:L106"/>
    <mergeCell ref="M109:N109"/>
    <mergeCell ref="J109:L109"/>
    <mergeCell ref="M108:N108"/>
    <mergeCell ref="J107:L107"/>
    <mergeCell ref="J108:L108"/>
    <mergeCell ref="A107:E107"/>
    <mergeCell ref="M98:N98"/>
    <mergeCell ref="J98:L98"/>
    <mergeCell ref="M93:N93"/>
    <mergeCell ref="J93:L93"/>
    <mergeCell ref="M97:N97"/>
    <mergeCell ref="J97:L97"/>
    <mergeCell ref="J99:L99"/>
    <mergeCell ref="M99:N99"/>
    <mergeCell ref="M105:N105"/>
    <mergeCell ref="M95:N95"/>
    <mergeCell ref="J95:L95"/>
    <mergeCell ref="M40:N40"/>
    <mergeCell ref="M66:N66"/>
    <mergeCell ref="M70:N70"/>
    <mergeCell ref="M71:N71"/>
    <mergeCell ref="M47:N47"/>
    <mergeCell ref="M49:N49"/>
    <mergeCell ref="M51:N51"/>
    <mergeCell ref="M63:N63"/>
    <mergeCell ref="A112:E112"/>
    <mergeCell ref="A102:E102"/>
    <mergeCell ref="A95:E95"/>
    <mergeCell ref="A97:E97"/>
    <mergeCell ref="A103:E103"/>
    <mergeCell ref="A104:E104"/>
    <mergeCell ref="A110:E110"/>
    <mergeCell ref="A111:E111"/>
    <mergeCell ref="A98:E98"/>
    <mergeCell ref="A106:E106"/>
    <mergeCell ref="A109:E109"/>
    <mergeCell ref="A99:E99"/>
    <mergeCell ref="A108:E108"/>
    <mergeCell ref="A100:E100"/>
    <mergeCell ref="A101:E101"/>
    <mergeCell ref="A105:E105"/>
    <mergeCell ref="A46:E46"/>
    <mergeCell ref="A62:E62"/>
    <mergeCell ref="A68:E68"/>
    <mergeCell ref="A63:E63"/>
    <mergeCell ref="A59:E59"/>
    <mergeCell ref="M107:N107"/>
    <mergeCell ref="J86:L86"/>
    <mergeCell ref="A86:E86"/>
    <mergeCell ref="M92:N92"/>
    <mergeCell ref="J92:L92"/>
    <mergeCell ref="M91:N91"/>
    <mergeCell ref="J89:L89"/>
    <mergeCell ref="M94:N94"/>
    <mergeCell ref="J94:L94"/>
    <mergeCell ref="M85:N86"/>
    <mergeCell ref="A83:L85"/>
    <mergeCell ref="M88:N88"/>
    <mergeCell ref="M96:N96"/>
    <mergeCell ref="J88:L88"/>
    <mergeCell ref="J96:L96"/>
    <mergeCell ref="J87:L87"/>
    <mergeCell ref="A91:E91"/>
    <mergeCell ref="A87:E87"/>
    <mergeCell ref="M87:N87"/>
    <mergeCell ref="M84:N84"/>
    <mergeCell ref="M102:N102"/>
    <mergeCell ref="J102:L102"/>
    <mergeCell ref="M101:N101"/>
    <mergeCell ref="J101:L101"/>
    <mergeCell ref="M100:N100"/>
    <mergeCell ref="J100:L100"/>
    <mergeCell ref="A88:E88"/>
    <mergeCell ref="A96:E96"/>
    <mergeCell ref="A94:E94"/>
    <mergeCell ref="A92:E92"/>
    <mergeCell ref="A93:E93"/>
    <mergeCell ref="A89:E89"/>
    <mergeCell ref="A90:E90"/>
    <mergeCell ref="J90:L90"/>
    <mergeCell ref="M89:N89"/>
    <mergeCell ref="J91:L91"/>
    <mergeCell ref="M90:N90"/>
    <mergeCell ref="A48:E48"/>
    <mergeCell ref="A55:E55"/>
    <mergeCell ref="A79:E79"/>
    <mergeCell ref="A77:E77"/>
    <mergeCell ref="A58:E58"/>
    <mergeCell ref="A61:E61"/>
    <mergeCell ref="A50:E50"/>
    <mergeCell ref="A74:E74"/>
    <mergeCell ref="A82:N82"/>
    <mergeCell ref="A78:E78"/>
    <mergeCell ref="A66:E66"/>
    <mergeCell ref="A70:E70"/>
    <mergeCell ref="A71:E71"/>
    <mergeCell ref="A81:E81"/>
    <mergeCell ref="A49:E49"/>
    <mergeCell ref="A51:E51"/>
    <mergeCell ref="A56:E56"/>
    <mergeCell ref="M56:N56"/>
    <mergeCell ref="M72:N72"/>
    <mergeCell ref="M74:N74"/>
    <mergeCell ref="M61:N61"/>
    <mergeCell ref="M50:N50"/>
    <mergeCell ref="M81:N81"/>
    <mergeCell ref="A64:E64"/>
    <mergeCell ref="M76:N76"/>
    <mergeCell ref="M67:N67"/>
    <mergeCell ref="M52:N52"/>
    <mergeCell ref="M62:N62"/>
    <mergeCell ref="M83:N83"/>
    <mergeCell ref="M68:N68"/>
    <mergeCell ref="M80:N80"/>
    <mergeCell ref="M75:N75"/>
    <mergeCell ref="A76:E76"/>
    <mergeCell ref="A57:E57"/>
    <mergeCell ref="A52:E52"/>
    <mergeCell ref="M64:N64"/>
    <mergeCell ref="M65:N65"/>
    <mergeCell ref="M77:N77"/>
    <mergeCell ref="A72:E72"/>
    <mergeCell ref="A73:E73"/>
    <mergeCell ref="A60:E60"/>
    <mergeCell ref="A67:E67"/>
    <mergeCell ref="A80:E80"/>
    <mergeCell ref="A65:E65"/>
    <mergeCell ref="M78:N78"/>
    <mergeCell ref="M79:N79"/>
    <mergeCell ref="A69:E69"/>
    <mergeCell ref="A75:E75"/>
    <mergeCell ref="M73:N73"/>
    <mergeCell ref="A35:E37"/>
    <mergeCell ref="M35:N35"/>
    <mergeCell ref="M36:N37"/>
    <mergeCell ref="G35:H35"/>
    <mergeCell ref="I35:L35"/>
    <mergeCell ref="K36:L36"/>
    <mergeCell ref="M46:N46"/>
    <mergeCell ref="M38:N38"/>
    <mergeCell ref="M42:N42"/>
    <mergeCell ref="M39:N39"/>
    <mergeCell ref="M53:N53"/>
    <mergeCell ref="M69:N69"/>
    <mergeCell ref="M48:N48"/>
    <mergeCell ref="M57:N57"/>
    <mergeCell ref="M59:N59"/>
    <mergeCell ref="M60:N60"/>
    <mergeCell ref="M55:N55"/>
    <mergeCell ref="A41:E41"/>
    <mergeCell ref="A42:E42"/>
    <mergeCell ref="A43:E43"/>
    <mergeCell ref="A47:E47"/>
    <mergeCell ref="A44:E44"/>
    <mergeCell ref="A45:E45"/>
    <mergeCell ref="M58:N58"/>
    <mergeCell ref="M43:N43"/>
    <mergeCell ref="M44:N44"/>
    <mergeCell ref="M41:N41"/>
    <mergeCell ref="M45:N45"/>
    <mergeCell ref="A19:N19"/>
    <mergeCell ref="A15:C16"/>
    <mergeCell ref="G15:H16"/>
    <mergeCell ref="D15:E16"/>
    <mergeCell ref="K15:K16"/>
    <mergeCell ref="I15:J16"/>
    <mergeCell ref="M54:N54"/>
    <mergeCell ref="A54:E54"/>
    <mergeCell ref="A40:E40"/>
    <mergeCell ref="E17:F18"/>
    <mergeCell ref="G21:H21"/>
    <mergeCell ref="I21:J21"/>
    <mergeCell ref="K21:L21"/>
    <mergeCell ref="M21:N21"/>
    <mergeCell ref="A38:E38"/>
    <mergeCell ref="A39:E39"/>
    <mergeCell ref="A53:E53"/>
    <mergeCell ref="G20:H20"/>
    <mergeCell ref="I20:L20"/>
    <mergeCell ref="F35:F37"/>
    <mergeCell ref="M34:N34"/>
    <mergeCell ref="A34:L34"/>
    <mergeCell ref="C11:J12"/>
    <mergeCell ref="M11:N11"/>
    <mergeCell ref="A32:N32"/>
    <mergeCell ref="A20:F22"/>
    <mergeCell ref="A17:D18"/>
    <mergeCell ref="G36:H36"/>
    <mergeCell ref="I36:J36"/>
    <mergeCell ref="M20:N20"/>
    <mergeCell ref="F15:F16"/>
    <mergeCell ref="A33:N33"/>
    <mergeCell ref="A1:N1"/>
    <mergeCell ref="D2:N4"/>
    <mergeCell ref="D5:N8"/>
    <mergeCell ref="M14:N14"/>
    <mergeCell ref="A10:N10"/>
    <mergeCell ref="E13:J14"/>
    <mergeCell ref="A11:B12"/>
    <mergeCell ref="M12:N12"/>
    <mergeCell ref="M13:N13"/>
    <mergeCell ref="A13:D14"/>
  </mergeCells>
  <phoneticPr fontId="0" type="noConversion"/>
  <printOptions horizontalCentered="1"/>
  <pageMargins left="0.25" right="0.25" top="0.35" bottom="0.25" header="0" footer="0"/>
  <pageSetup scale="78"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60"/>
  <sheetViews>
    <sheetView view="pageBreakPreview" zoomScaleNormal="100" zoomScaleSheetLayoutView="100" workbookViewId="0">
      <selection activeCell="J38" sqref="J38"/>
    </sheetView>
  </sheetViews>
  <sheetFormatPr defaultColWidth="9.140625" defaultRowHeight="11.1"/>
  <cols>
    <col min="1" max="1" width="14.28515625" style="34" customWidth="1"/>
    <col min="2" max="2" width="28.140625" style="34" customWidth="1"/>
    <col min="3" max="3" width="9.7109375" style="146" bestFit="1" customWidth="1"/>
    <col min="4" max="5" width="8" style="34" bestFit="1" customWidth="1"/>
    <col min="6" max="6" width="7.42578125" style="34" bestFit="1" customWidth="1"/>
    <col min="7" max="7" width="6.42578125" style="34" bestFit="1" customWidth="1"/>
    <col min="8" max="8" width="5.42578125" style="34" bestFit="1" customWidth="1"/>
    <col min="9" max="9" width="6" style="34" bestFit="1" customWidth="1"/>
    <col min="10" max="11" width="9.85546875" style="146" bestFit="1" customWidth="1"/>
    <col min="12" max="15" width="9.85546875" style="146" customWidth="1"/>
    <col min="16" max="16" width="11" style="34" bestFit="1" customWidth="1"/>
    <col min="17" max="19" width="9.85546875" style="34" bestFit="1" customWidth="1"/>
    <col min="20" max="21" width="10" style="34" bestFit="1" customWidth="1"/>
    <col min="22" max="22" width="11.28515625" style="34" customWidth="1"/>
    <col min="23" max="23" width="10.140625" style="34" customWidth="1"/>
    <col min="24" max="24" width="9.140625" style="34"/>
    <col min="25" max="25" width="10" style="34" customWidth="1"/>
    <col min="26" max="26" width="10.7109375" style="34" customWidth="1"/>
    <col min="27" max="27" width="1.85546875" style="159" customWidth="1"/>
    <col min="28" max="33" width="9.140625" style="34" hidden="1" customWidth="1"/>
    <col min="34" max="35" width="9.140625" style="34" customWidth="1"/>
    <col min="36" max="16384" width="9.140625" style="34"/>
  </cols>
  <sheetData>
    <row r="1" spans="1:33">
      <c r="A1" s="855" t="s">
        <v>255</v>
      </c>
      <c r="B1" s="856"/>
      <c r="C1" s="857"/>
      <c r="D1" s="858"/>
    </row>
    <row r="2" spans="1:33">
      <c r="A2" s="849"/>
      <c r="B2" s="850"/>
      <c r="C2" s="859"/>
      <c r="D2" s="860"/>
    </row>
    <row r="3" spans="1:33">
      <c r="A3" s="861"/>
      <c r="B3" s="859"/>
      <c r="C3" s="859"/>
      <c r="D3" s="860"/>
    </row>
    <row r="4" spans="1:33">
      <c r="A4" s="849" t="s">
        <v>256</v>
      </c>
      <c r="B4" s="850"/>
      <c r="C4" s="850"/>
      <c r="D4" s="851"/>
    </row>
    <row r="5" spans="1:33">
      <c r="A5" s="849"/>
      <c r="B5" s="850"/>
      <c r="C5" s="850"/>
      <c r="D5" s="851"/>
    </row>
    <row r="6" spans="1:33">
      <c r="A6" s="849"/>
      <c r="B6" s="850"/>
      <c r="C6" s="850"/>
      <c r="D6" s="851"/>
    </row>
    <row r="7" spans="1:33" ht="12.95">
      <c r="A7" s="849"/>
      <c r="B7" s="850"/>
      <c r="C7" s="850"/>
      <c r="D7" s="851"/>
      <c r="AC7" s="105">
        <f>+INPUT!T12</f>
        <v>2</v>
      </c>
      <c r="AD7" s="543" t="s">
        <v>15</v>
      </c>
      <c r="AG7" s="34">
        <f>COUNTIF(Z15:Z41,"NOTE 1")</f>
        <v>22</v>
      </c>
    </row>
    <row r="8" spans="1:33" ht="14.1" thickBot="1">
      <c r="A8" s="852"/>
      <c r="B8" s="853"/>
      <c r="C8" s="853"/>
      <c r="D8" s="854"/>
      <c r="AC8" s="543">
        <v>1</v>
      </c>
      <c r="AD8" s="543" t="s">
        <v>17</v>
      </c>
      <c r="AG8" s="34">
        <f>COUNTIF(Z15:Z41,"NOTE 2")</f>
        <v>2</v>
      </c>
    </row>
    <row r="9" spans="1:33" s="159" customFormat="1" ht="14.1" thickBot="1">
      <c r="B9" s="39"/>
      <c r="C9" s="32"/>
      <c r="D9" s="32"/>
      <c r="E9" s="32"/>
      <c r="F9" s="32"/>
      <c r="G9" s="32"/>
      <c r="H9" s="32"/>
      <c r="I9" s="32"/>
      <c r="J9" s="147"/>
      <c r="K9" s="147"/>
      <c r="L9" s="147"/>
      <c r="M9" s="147"/>
      <c r="N9" s="147"/>
      <c r="O9" s="147"/>
      <c r="Q9" s="147"/>
      <c r="R9" s="147"/>
      <c r="S9" s="147"/>
      <c r="T9" s="147"/>
      <c r="U9" s="147"/>
      <c r="V9" s="147"/>
      <c r="W9" s="147"/>
      <c r="X9" s="32"/>
      <c r="Y9" s="32"/>
      <c r="Z9" s="98"/>
      <c r="AA9" s="32"/>
      <c r="AC9" s="543">
        <v>2</v>
      </c>
      <c r="AD9" s="543" t="s">
        <v>19</v>
      </c>
      <c r="AG9" s="34">
        <f>COUNTIF(Z15:Z41,"NOTE 3")</f>
        <v>3</v>
      </c>
    </row>
    <row r="10" spans="1:33">
      <c r="A10" s="172"/>
      <c r="B10" s="175"/>
      <c r="C10" s="175"/>
      <c r="D10" s="175"/>
      <c r="E10" s="175"/>
      <c r="F10" s="175"/>
      <c r="G10" s="175"/>
      <c r="H10" s="175"/>
      <c r="I10" s="181"/>
      <c r="J10" s="862" t="s">
        <v>257</v>
      </c>
      <c r="K10" s="868"/>
      <c r="L10" s="862" t="s">
        <v>258</v>
      </c>
      <c r="M10" s="863"/>
      <c r="N10" s="873" t="s">
        <v>259</v>
      </c>
      <c r="O10" s="868"/>
      <c r="P10" s="862" t="s">
        <v>260</v>
      </c>
      <c r="Q10" s="863"/>
      <c r="R10" s="862" t="s">
        <v>261</v>
      </c>
      <c r="S10" s="863"/>
      <c r="T10" s="172"/>
      <c r="U10" s="175"/>
      <c r="V10" s="175"/>
      <c r="W10" s="884" t="str">
        <f>+IF(INPUT!T12=1,"Actual Emissions, (lb/year)","Controlled w/Limitations Emission Rate (lb/year)")</f>
        <v>Controlled w/Limitations Emission Rate (lb/year)</v>
      </c>
      <c r="X10" s="175"/>
      <c r="Y10" s="175"/>
      <c r="Z10" s="176"/>
    </row>
    <row r="11" spans="1:33" ht="11.25" customHeight="1">
      <c r="A11" s="177"/>
      <c r="B11" s="136"/>
      <c r="C11" s="136"/>
      <c r="D11" s="136"/>
      <c r="E11" s="136"/>
      <c r="F11" s="136"/>
      <c r="G11" s="136"/>
      <c r="H11" s="136"/>
      <c r="I11" s="182"/>
      <c r="J11" s="864" t="s">
        <v>124</v>
      </c>
      <c r="K11" s="866" t="s">
        <v>262</v>
      </c>
      <c r="L11" s="876" t="s">
        <v>263</v>
      </c>
      <c r="M11" s="877" t="s">
        <v>264</v>
      </c>
      <c r="N11" s="879" t="s">
        <v>263</v>
      </c>
      <c r="O11" s="876" t="s">
        <v>265</v>
      </c>
      <c r="P11" s="864" t="s">
        <v>266</v>
      </c>
      <c r="Q11" s="869" t="s">
        <v>267</v>
      </c>
      <c r="R11" s="864" t="s">
        <v>124</v>
      </c>
      <c r="S11" s="869" t="s">
        <v>262</v>
      </c>
      <c r="T11" s="874" t="s">
        <v>268</v>
      </c>
      <c r="U11" s="871" t="s">
        <v>269</v>
      </c>
      <c r="V11" s="871" t="s">
        <v>270</v>
      </c>
      <c r="W11" s="871"/>
      <c r="X11" s="871" t="s">
        <v>271</v>
      </c>
      <c r="Y11" s="871" t="s">
        <v>272</v>
      </c>
      <c r="Z11" s="881" t="s">
        <v>273</v>
      </c>
      <c r="AA11" s="136"/>
      <c r="AB11" s="34" t="s">
        <v>274</v>
      </c>
      <c r="AC11" s="34" t="s">
        <v>275</v>
      </c>
    </row>
    <row r="12" spans="1:33" ht="11.25" customHeight="1">
      <c r="A12" s="177"/>
      <c r="B12" s="136"/>
      <c r="C12" s="32"/>
      <c r="D12" s="136" t="s">
        <v>276</v>
      </c>
      <c r="E12" s="136" t="s">
        <v>276</v>
      </c>
      <c r="F12" s="136"/>
      <c r="G12" s="136"/>
      <c r="H12" s="136"/>
      <c r="I12" s="182"/>
      <c r="J12" s="864"/>
      <c r="K12" s="866"/>
      <c r="L12" s="803"/>
      <c r="M12" s="878"/>
      <c r="N12" s="880"/>
      <c r="O12" s="803"/>
      <c r="P12" s="864"/>
      <c r="Q12" s="869"/>
      <c r="R12" s="864"/>
      <c r="S12" s="869"/>
      <c r="T12" s="874"/>
      <c r="U12" s="871"/>
      <c r="V12" s="871"/>
      <c r="W12" s="871"/>
      <c r="X12" s="871"/>
      <c r="Y12" s="871"/>
      <c r="Z12" s="881"/>
      <c r="AA12" s="136"/>
      <c r="AB12" s="34" t="s">
        <v>277</v>
      </c>
      <c r="AC12" s="34" t="s">
        <v>278</v>
      </c>
    </row>
    <row r="13" spans="1:33" ht="12" customHeight="1" thickBot="1">
      <c r="A13" s="177"/>
      <c r="B13" s="136"/>
      <c r="C13" s="32"/>
      <c r="D13" s="136" t="s">
        <v>279</v>
      </c>
      <c r="E13" s="136" t="s">
        <v>280</v>
      </c>
      <c r="F13" s="136"/>
      <c r="G13" s="136"/>
      <c r="H13" s="136"/>
      <c r="I13" s="182"/>
      <c r="J13" s="864"/>
      <c r="K13" s="866"/>
      <c r="L13" s="803"/>
      <c r="M13" s="878"/>
      <c r="N13" s="880"/>
      <c r="O13" s="803"/>
      <c r="P13" s="864"/>
      <c r="Q13" s="869"/>
      <c r="R13" s="864"/>
      <c r="S13" s="869"/>
      <c r="T13" s="874"/>
      <c r="U13" s="871"/>
      <c r="V13" s="871"/>
      <c r="W13" s="885"/>
      <c r="X13" s="871"/>
      <c r="Y13" s="871"/>
      <c r="Z13" s="881"/>
      <c r="AA13" s="136"/>
      <c r="AB13" s="34" t="s">
        <v>281</v>
      </c>
      <c r="AC13" s="34" t="s">
        <v>282</v>
      </c>
    </row>
    <row r="14" spans="1:33" ht="12" customHeight="1" thickBot="1">
      <c r="A14" s="179"/>
      <c r="B14" s="158" t="s">
        <v>129</v>
      </c>
      <c r="C14" s="158" t="s">
        <v>150</v>
      </c>
      <c r="D14" s="160" t="s">
        <v>257</v>
      </c>
      <c r="E14" s="160" t="s">
        <v>283</v>
      </c>
      <c r="F14" s="160" t="s">
        <v>284</v>
      </c>
      <c r="G14" s="160" t="s">
        <v>285</v>
      </c>
      <c r="H14" s="160" t="s">
        <v>284</v>
      </c>
      <c r="I14" s="183" t="s">
        <v>285</v>
      </c>
      <c r="J14" s="865"/>
      <c r="K14" s="867"/>
      <c r="L14" s="803"/>
      <c r="M14" s="878"/>
      <c r="N14" s="880"/>
      <c r="O14" s="803"/>
      <c r="P14" s="865"/>
      <c r="Q14" s="870"/>
      <c r="R14" s="865"/>
      <c r="S14" s="870"/>
      <c r="T14" s="875"/>
      <c r="U14" s="872"/>
      <c r="V14" s="872"/>
      <c r="W14" s="886"/>
      <c r="X14" s="883"/>
      <c r="Y14" s="883"/>
      <c r="Z14" s="882"/>
      <c r="AA14" s="160"/>
    </row>
    <row r="15" spans="1:33">
      <c r="A15" s="172"/>
      <c r="B15" s="173" t="s">
        <v>152</v>
      </c>
      <c r="C15" s="174" t="s">
        <v>153</v>
      </c>
      <c r="D15" s="174" t="s">
        <v>286</v>
      </c>
      <c r="E15" s="174" t="s">
        <v>287</v>
      </c>
      <c r="F15" s="174">
        <v>6.8</v>
      </c>
      <c r="G15" s="174" t="s">
        <v>288</v>
      </c>
      <c r="H15" s="343"/>
      <c r="I15" s="187"/>
      <c r="J15" s="294">
        <f>IF(AND(type=1,fuel=1),+'HAPTAP Factors'!F11,IF(AND(type=1,fuel=2),+'HAPTAP Factors'!F11,IF(AND(type=1,fuel=3),+'HAPTAP Factors'!G11,IF(AND(type=2,fuel=1),+'HAPTAP Factors'!I11,IF(AND(type=2,fuel=2),+'HAPTAP Factors'!J11,IF(AND(type=2,fuel=3),+'HAPTAP Factors'!K11))))))</f>
        <v>0</v>
      </c>
      <c r="K15" s="295">
        <f>+J15*INPUT!$F$30</f>
        <v>0</v>
      </c>
      <c r="L15" s="296"/>
      <c r="M15" s="331"/>
      <c r="N15" s="327"/>
      <c r="O15" s="331"/>
      <c r="P15" s="327"/>
      <c r="Q15" s="297" t="s">
        <v>289</v>
      </c>
      <c r="R15" s="294">
        <f t="shared" ref="R15:R59" si="0">+J15+P15</f>
        <v>0</v>
      </c>
      <c r="S15" s="295">
        <f>+R15*INPUT!$F$30</f>
        <v>0</v>
      </c>
      <c r="T15" s="294">
        <f>+S15*24</f>
        <v>0</v>
      </c>
      <c r="U15" s="298">
        <f>+S15*8760</f>
        <v>0</v>
      </c>
      <c r="V15" s="298">
        <f>+R15*INPUT!$F$53</f>
        <v>0</v>
      </c>
      <c r="W15" s="298">
        <f>+R15*INPUT!$F$52</f>
        <v>0</v>
      </c>
      <c r="X15" s="174" t="str">
        <f>IF(S15&gt;F15,"Yes","No")</f>
        <v>No</v>
      </c>
      <c r="Y15" s="341"/>
      <c r="Z15" s="176" t="str">
        <f>IF(X15="No",'TOXIC Calculations'!$AB$11,IF(Y15="No",'TOXIC Calculations'!$AB$12,'TOXIC Calculations'!$AB$13))</f>
        <v>NOTE 1</v>
      </c>
      <c r="AA15" s="32"/>
      <c r="AC15" s="34" t="str">
        <f>+IF(Z15="NOTE 1",$AC$11,IF(Z15="NOTE 2",+$AC$12,+$AC$13))</f>
        <v>NO. Based on facility-wide potential.</v>
      </c>
    </row>
    <row r="16" spans="1:33" ht="12" thickBot="1">
      <c r="A16" s="177"/>
      <c r="B16" s="39" t="s">
        <v>156</v>
      </c>
      <c r="C16" s="32" t="s">
        <v>157</v>
      </c>
      <c r="D16" s="32" t="s">
        <v>286</v>
      </c>
      <c r="E16" s="32" t="s">
        <v>287</v>
      </c>
      <c r="F16" s="32">
        <v>0.02</v>
      </c>
      <c r="G16" s="32" t="s">
        <v>288</v>
      </c>
      <c r="H16" s="344"/>
      <c r="I16" s="189"/>
      <c r="J16" s="299">
        <f>IF(AND(type=1,fuel=1),+'HAPTAP Factors'!F17,IF(AND(type=1,fuel=2),+'HAPTAP Factors'!F17,IF(AND(type=1,fuel=3),+'HAPTAP Factors'!G17,IF(AND(type=2,fuel=1),+'HAPTAP Factors'!I17,IF(AND(type=2,fuel=2),+'HAPTAP Factors'!J17,IF(AND(type=2,fuel=3),+'HAPTAP Factors'!K17))))))</f>
        <v>0</v>
      </c>
      <c r="K16" s="300">
        <f>+J16*INPUT!$F$30</f>
        <v>0</v>
      </c>
      <c r="L16" s="301"/>
      <c r="M16" s="332"/>
      <c r="N16" s="313"/>
      <c r="O16" s="332"/>
      <c r="P16" s="313"/>
      <c r="Q16" s="302" t="s">
        <v>289</v>
      </c>
      <c r="R16" s="299">
        <f t="shared" si="0"/>
        <v>0</v>
      </c>
      <c r="S16" s="300">
        <f>+R16*INPUT!$F$30</f>
        <v>0</v>
      </c>
      <c r="T16" s="299">
        <f t="shared" ref="T16:T59" si="1">+S16*24</f>
        <v>0</v>
      </c>
      <c r="U16" s="303">
        <f>+S16*8760</f>
        <v>0</v>
      </c>
      <c r="V16" s="303">
        <f>+R16*INPUT!$F$53</f>
        <v>0</v>
      </c>
      <c r="W16" s="303">
        <f>+R16*INPUT!$F$52</f>
        <v>0</v>
      </c>
      <c r="X16" s="32" t="str">
        <f>IF(S16&gt;F16,"Yes","No")</f>
        <v>No</v>
      </c>
      <c r="Y16" s="342"/>
      <c r="Z16" s="178" t="str">
        <f>IF(X16="No",'TOXIC Calculations'!$AB$11,IF(Y16="No",'TOXIC Calculations'!$AB$12,'TOXIC Calculations'!$AB$13))</f>
        <v>NOTE 1</v>
      </c>
      <c r="AA16" s="32"/>
      <c r="AC16" s="34" t="str">
        <f t="shared" ref="AC16:AC41" si="2">+IF(Z16="NOTE 1",$AC$11,IF(Z16="NOTE 2",+$AC$12,+$AC$13))</f>
        <v>NO. Based on facility-wide potential.</v>
      </c>
    </row>
    <row r="17" spans="1:29" ht="12" thickBot="1">
      <c r="A17" s="177"/>
      <c r="B17" s="39" t="s">
        <v>182</v>
      </c>
      <c r="C17" s="32" t="s">
        <v>183</v>
      </c>
      <c r="D17" s="32" t="s">
        <v>286</v>
      </c>
      <c r="E17" s="32" t="s">
        <v>286</v>
      </c>
      <c r="F17" s="32">
        <v>0.04</v>
      </c>
      <c r="G17" s="32" t="s">
        <v>288</v>
      </c>
      <c r="H17" s="344"/>
      <c r="I17" s="189"/>
      <c r="J17" s="306">
        <f>IF(AND(type=1,fuel=1),+'HAPTAP Factors'!F126,IF(AND(type=1,fuel=2),+'HAPTAP Factors'!F126,IF(AND(type=1,fuel=3),+'HAPTAP Factors'!G126,IF(AND(type=2,fuel=1),+'HAPTAP Factors'!I126,IF(AND(type=2,fuel=2),+'HAPTAP Factors'!J126,IF(AND(type=2,fuel=3),+'HAPTAP Factors'!K126))))))</f>
        <v>3.0999999999999999E-3</v>
      </c>
      <c r="K17" s="307">
        <f>+J17*INPUT!$F$30</f>
        <v>0.92999999999999994</v>
      </c>
      <c r="L17" s="294">
        <f>+'Silo and loadout calculations'!F26</f>
        <v>4.4896749868257723E-5</v>
      </c>
      <c r="M17" s="295">
        <f>+'Silo and loadout calculations'!H26</f>
        <v>1.3469024960477317E-2</v>
      </c>
      <c r="N17" s="298">
        <f>+'Silo and loadout calculations'!G26</f>
        <v>1.9540982459338305E-6</v>
      </c>
      <c r="O17" s="295">
        <f>+'Silo and loadout calculations'!I26</f>
        <v>5.8622947378014919E-4</v>
      </c>
      <c r="P17" s="333">
        <f>+'Silo and loadout calculations'!J26</f>
        <v>4.6850848114191554E-5</v>
      </c>
      <c r="Q17" s="295">
        <f>+P17*INPUT!$F$30</f>
        <v>1.4055254434257466E-2</v>
      </c>
      <c r="R17" s="299">
        <f t="shared" si="0"/>
        <v>3.1468508481141914E-3</v>
      </c>
      <c r="S17" s="300">
        <f>+R17*INPUT!$F$30</f>
        <v>0.94405525443425742</v>
      </c>
      <c r="T17" s="299">
        <f t="shared" si="1"/>
        <v>22.657326106422179</v>
      </c>
      <c r="U17" s="303">
        <f>+S17*8760</f>
        <v>8269.9240288440942</v>
      </c>
      <c r="V17" s="303">
        <f>+R17*INPUT!$F$53</f>
        <v>0</v>
      </c>
      <c r="W17" s="303">
        <f>+R17*INPUT!$F$52</f>
        <v>786.7127120285478</v>
      </c>
      <c r="X17" s="32" t="str">
        <f>IF(S17&gt;F17,"Yes","No")</f>
        <v>Yes</v>
      </c>
      <c r="Y17" s="342"/>
      <c r="Z17" s="178" t="str">
        <f>IF(X17="No",'TOXIC Calculations'!$AB$11,IF(Y17="No",'TOXIC Calculations'!$AB$12,'TOXIC Calculations'!$AB$13))</f>
        <v>NOTE 3</v>
      </c>
      <c r="AA17" s="32"/>
      <c r="AC17" s="34" t="str">
        <f t="shared" si="2"/>
        <v>YES. Modeling required</v>
      </c>
    </row>
    <row r="18" spans="1:29">
      <c r="A18" s="177"/>
      <c r="B18" s="39" t="s">
        <v>173</v>
      </c>
      <c r="C18" s="32" t="s">
        <v>174</v>
      </c>
      <c r="D18" s="32" t="s">
        <v>287</v>
      </c>
      <c r="E18" s="32" t="s">
        <v>286</v>
      </c>
      <c r="F18" s="32">
        <v>0.24</v>
      </c>
      <c r="G18" s="32" t="s">
        <v>112</v>
      </c>
      <c r="H18" s="344"/>
      <c r="I18" s="189"/>
      <c r="J18" s="301"/>
      <c r="K18" s="323"/>
      <c r="L18" s="299">
        <f>+'Silo and loadout calculations'!F18</f>
        <v>0</v>
      </c>
      <c r="M18" s="300">
        <f>+'Silo and loadout calculations'!H18</f>
        <v>0</v>
      </c>
      <c r="N18" s="303">
        <f>+'Silo and loadout calculations'!G18</f>
        <v>2.1480104793767886E-6</v>
      </c>
      <c r="O18" s="300">
        <f>+'Silo and loadout calculations'!I18</f>
        <v>6.4440314381303656E-4</v>
      </c>
      <c r="P18" s="299">
        <f>+'Silo and loadout calculations'!J18</f>
        <v>2.1480104793767886E-6</v>
      </c>
      <c r="Q18" s="300">
        <f>+P18*INPUT!$F$30</f>
        <v>6.4440314381303656E-4</v>
      </c>
      <c r="R18" s="299">
        <f t="shared" si="0"/>
        <v>2.1480104793767886E-6</v>
      </c>
      <c r="S18" s="300">
        <f>+R18*INPUT!$F$30</f>
        <v>6.4440314381303656E-4</v>
      </c>
      <c r="T18" s="299">
        <f t="shared" si="1"/>
        <v>1.5465675451512877E-2</v>
      </c>
      <c r="U18" s="303">
        <f>+S18*8760</f>
        <v>5.6449715398022002</v>
      </c>
      <c r="V18" s="303">
        <f>+R18*INPUT!$F$53</f>
        <v>0</v>
      </c>
      <c r="W18" s="303">
        <f>+R18*INPUT!$F$52</f>
        <v>0.53700261984419717</v>
      </c>
      <c r="X18" s="32" t="str">
        <f>IF(S18&gt;F18,"Yes","No")</f>
        <v>No</v>
      </c>
      <c r="Y18" s="342"/>
      <c r="Z18" s="178" t="str">
        <f>IF(X18="No",'TOXIC Calculations'!$AB$11,IF(Y18="No",'TOXIC Calculations'!$AB$12,'TOXIC Calculations'!$AB$13))</f>
        <v>NOTE 1</v>
      </c>
      <c r="AA18" s="98"/>
      <c r="AC18" s="34" t="str">
        <f t="shared" si="2"/>
        <v>NO. Based on facility-wide potential.</v>
      </c>
    </row>
    <row r="19" spans="1:29" ht="12" thickBot="1">
      <c r="A19" s="177"/>
      <c r="B19" s="39" t="s">
        <v>180</v>
      </c>
      <c r="C19" s="32" t="s">
        <v>181</v>
      </c>
      <c r="D19" s="32" t="s">
        <v>287</v>
      </c>
      <c r="E19" s="32" t="s">
        <v>286</v>
      </c>
      <c r="F19" s="32">
        <v>2.7</v>
      </c>
      <c r="G19" s="32" t="s">
        <v>112</v>
      </c>
      <c r="H19" s="344"/>
      <c r="I19" s="189"/>
      <c r="J19" s="304"/>
      <c r="K19" s="323"/>
      <c r="L19" s="299">
        <f>+'Silo and loadout calculations'!F32</f>
        <v>3.5136586853419085E-7</v>
      </c>
      <c r="M19" s="300">
        <f>+'Silo and loadout calculations'!H32</f>
        <v>1.0540976056025725E-4</v>
      </c>
      <c r="N19" s="303">
        <f>+'Silo and loadout calculations'!G32</f>
        <v>1.621013317649655E-7</v>
      </c>
      <c r="O19" s="300">
        <f>+'Silo and loadout calculations'!I32</f>
        <v>4.8630399529489652E-5</v>
      </c>
      <c r="P19" s="299">
        <f>+'Silo and loadout calculations'!J32</f>
        <v>5.1346720029915633E-7</v>
      </c>
      <c r="Q19" s="300">
        <f>+P19*INPUT!$F$30</f>
        <v>1.5404016008974689E-4</v>
      </c>
      <c r="R19" s="299">
        <f t="shared" si="0"/>
        <v>5.1346720029915633E-7</v>
      </c>
      <c r="S19" s="300">
        <f>+R19*INPUT!$F$30</f>
        <v>1.5404016008974689E-4</v>
      </c>
      <c r="T19" s="299">
        <f t="shared" si="1"/>
        <v>3.6969638421539253E-3</v>
      </c>
      <c r="U19" s="303">
        <f>+S19*8760</f>
        <v>1.3493918023861828</v>
      </c>
      <c r="V19" s="303">
        <f>+R19*INPUT!$F$53</f>
        <v>0</v>
      </c>
      <c r="W19" s="303">
        <f>+R19*INPUT!$F$52</f>
        <v>0.12836680007478909</v>
      </c>
      <c r="X19" s="32" t="str">
        <f>IF(S19&gt;F19,"Yes","No")</f>
        <v>No</v>
      </c>
      <c r="Y19" s="342"/>
      <c r="Z19" s="178" t="str">
        <f>IF(X19="No",'TOXIC Calculations'!$AB$11,IF(Y19="No",'TOXIC Calculations'!$AB$12,'TOXIC Calculations'!$AB$13))</f>
        <v>NOTE 1</v>
      </c>
      <c r="AA19" s="32"/>
      <c r="AC19" s="34" t="str">
        <f t="shared" si="2"/>
        <v>NO. Based on facility-wide potential.</v>
      </c>
    </row>
    <row r="20" spans="1:29">
      <c r="A20" s="172"/>
      <c r="B20" s="173" t="s">
        <v>199</v>
      </c>
      <c r="C20" s="174" t="s">
        <v>200</v>
      </c>
      <c r="D20" s="174" t="s">
        <v>286</v>
      </c>
      <c r="E20" s="174" t="s">
        <v>286</v>
      </c>
      <c r="F20" s="174">
        <v>64</v>
      </c>
      <c r="G20" s="174" t="s">
        <v>288</v>
      </c>
      <c r="H20" s="174">
        <v>250</v>
      </c>
      <c r="I20" s="176" t="s">
        <v>290</v>
      </c>
      <c r="J20" s="294">
        <f>IF(AND(type=1,fuel=1),+'HAPTAP Factors'!F160,IF(AND(type=1,fuel=2),+'HAPTAP Factors'!F160,IF(AND(type=1,fuel=3),+'HAPTAP Factors'!G160,IF(AND(type=2,fuel=1),+'HAPTAP Factors'!I160,IF(AND(type=2,fuel=2),+'HAPTAP Factors'!J160,IF(AND(type=2,fuel=3),+'HAPTAP Factors'!K160))))))</f>
        <v>4.8000000000000001E-5</v>
      </c>
      <c r="K20" s="298">
        <f>+J20*INPUT!$F$30</f>
        <v>1.44E-2</v>
      </c>
      <c r="L20" s="299">
        <f>+'Silo and loadout calculations'!F29</f>
        <v>0</v>
      </c>
      <c r="M20" s="300">
        <f>+'Silo and loadout calculations'!H29</f>
        <v>0</v>
      </c>
      <c r="N20" s="303">
        <f>+'Silo and loadout calculations'!G29</f>
        <v>0</v>
      </c>
      <c r="O20" s="300">
        <f>+'Silo and loadout calculations'!I29</f>
        <v>0</v>
      </c>
      <c r="P20" s="329">
        <f>+'Silo and loadout calculations'!J29</f>
        <v>0</v>
      </c>
      <c r="Q20" s="295">
        <f>+P20*INPUT!$F$30</f>
        <v>0</v>
      </c>
      <c r="R20" s="294">
        <f t="shared" si="0"/>
        <v>4.8000000000000001E-5</v>
      </c>
      <c r="S20" s="295">
        <f>+R20*INPUT!$F$30</f>
        <v>1.44E-2</v>
      </c>
      <c r="T20" s="294">
        <f t="shared" si="1"/>
        <v>0.34560000000000002</v>
      </c>
      <c r="U20" s="298">
        <f t="shared" ref="U20:U30" si="3">+S20*8760</f>
        <v>126.14399999999999</v>
      </c>
      <c r="V20" s="298">
        <f>+R20*INPUT!$F$53</f>
        <v>0</v>
      </c>
      <c r="W20" s="298">
        <f>+R20*INPUT!$F$52</f>
        <v>12</v>
      </c>
      <c r="X20" s="174" t="str">
        <f>IF(S20&gt;F20,"Hourly",IF(T20&gt;H20,"Daily","No"))</f>
        <v>No</v>
      </c>
      <c r="Y20" s="174" t="str">
        <f>IF(S20&gt;F20,"Hourly",IF(V20&gt;H20,"Daily","No"))</f>
        <v>No</v>
      </c>
      <c r="Z20" s="176" t="str">
        <f>IF(X20="No",'TOXIC Calculations'!$AB$11,IF(Y20="No",'TOXIC Calculations'!$AB$12,'TOXIC Calculations'!$AB$13))</f>
        <v>NOTE 1</v>
      </c>
      <c r="AA20" s="32"/>
      <c r="AC20" s="34" t="str">
        <f t="shared" si="2"/>
        <v>NO. Based on facility-wide potential.</v>
      </c>
    </row>
    <row r="21" spans="1:29">
      <c r="A21" s="177"/>
      <c r="B21" s="39" t="s">
        <v>158</v>
      </c>
      <c r="C21" s="32" t="s">
        <v>159</v>
      </c>
      <c r="D21" s="32" t="s">
        <v>286</v>
      </c>
      <c r="E21" s="32" t="s">
        <v>286</v>
      </c>
      <c r="F21" s="32">
        <v>22.4</v>
      </c>
      <c r="G21" s="32" t="s">
        <v>288</v>
      </c>
      <c r="H21" s="32">
        <v>78</v>
      </c>
      <c r="I21" s="178" t="s">
        <v>253</v>
      </c>
      <c r="J21" s="299">
        <f>IF(AND(type=1,fuel=1),+'HAPTAP Factors'!F161,IF(AND(type=1,fuel=2),+'HAPTAP Factors'!F161,IF(AND(type=1,fuel=3),+'HAPTAP Factors'!G161,IF(AND(type=2,fuel=1),+'HAPTAP Factors'!I161,IF(AND(type=2,fuel=2),+'HAPTAP Factors'!J161,IF(AND(type=2,fuel=3),+'HAPTAP Factors'!K161))))))</f>
        <v>0</v>
      </c>
      <c r="K21" s="303">
        <f>+J21*INPUT!$F$30</f>
        <v>0</v>
      </c>
      <c r="L21" s="299">
        <f>+'Silo and loadout calculations'!F21</f>
        <v>2.5376423838580454E-6</v>
      </c>
      <c r="M21" s="300">
        <f>+'Silo and loadout calculations'!H21</f>
        <v>7.6129271515741365E-4</v>
      </c>
      <c r="N21" s="303">
        <f>+'Silo and loadout calculations'!G21</f>
        <v>1.0880774323949739E-6</v>
      </c>
      <c r="O21" s="300">
        <f>+'Silo and loadout calculations'!I21</f>
        <v>3.2642322971849217E-4</v>
      </c>
      <c r="P21" s="328">
        <f>+'Silo and loadout calculations'!J21</f>
        <v>3.6257198162530195E-6</v>
      </c>
      <c r="Q21" s="300">
        <f>+P21*INPUT!$F$30</f>
        <v>1.0877159448759058E-3</v>
      </c>
      <c r="R21" s="299">
        <f t="shared" si="0"/>
        <v>3.6257198162530195E-6</v>
      </c>
      <c r="S21" s="300">
        <f>+R21*INPUT!$F$30</f>
        <v>1.0877159448759058E-3</v>
      </c>
      <c r="T21" s="299">
        <f t="shared" si="1"/>
        <v>2.6105182677021738E-2</v>
      </c>
      <c r="U21" s="303">
        <f t="shared" si="3"/>
        <v>9.5283916771129338</v>
      </c>
      <c r="V21" s="303">
        <f>+R21*INPUT!$F$53</f>
        <v>0</v>
      </c>
      <c r="W21" s="303">
        <f>+R21*INPUT!$F$52</f>
        <v>0.90642995406325488</v>
      </c>
      <c r="X21" s="32" t="str">
        <f>IF(S21&gt;F21,"Hourly",IF(T21&gt;H21,"Daily","No"))</f>
        <v>No</v>
      </c>
      <c r="Y21" s="32" t="str">
        <f>IF(S21&gt;F21,"Hourly",IF(V21&gt;H21,"Daily","No"))</f>
        <v>No</v>
      </c>
      <c r="Z21" s="178" t="str">
        <f>IF(X21="No",'TOXIC Calculations'!$AB$11,IF(Y21="No",'TOXIC Calculations'!$AB$12,'TOXIC Calculations'!$AB$13))</f>
        <v>NOTE 1</v>
      </c>
      <c r="AA21" s="32"/>
      <c r="AC21" s="34" t="str">
        <f t="shared" si="2"/>
        <v>NO. Based on facility-wide potential.</v>
      </c>
    </row>
    <row r="22" spans="1:29">
      <c r="A22" s="177"/>
      <c r="B22" s="39" t="s">
        <v>188</v>
      </c>
      <c r="C22" s="32" t="s">
        <v>189</v>
      </c>
      <c r="D22" s="32" t="s">
        <v>286</v>
      </c>
      <c r="E22" s="32" t="s">
        <v>286</v>
      </c>
      <c r="F22" s="32">
        <v>14.4</v>
      </c>
      <c r="G22" s="32" t="s">
        <v>288</v>
      </c>
      <c r="H22" s="32">
        <v>98</v>
      </c>
      <c r="I22" s="178" t="s">
        <v>253</v>
      </c>
      <c r="J22" s="299">
        <f>IF(AND(type=1,fuel=1),+'HAPTAP Factors'!F217,IF(AND(type=1,fuel=2),+'HAPTAP Factors'!F217,IF(AND(type=1,fuel=3),+'HAPTAP Factors'!G217,IF(AND(type=2,fuel=1),+'HAPTAP Factors'!I217,IF(AND(type=2,fuel=2),+'HAPTAP Factors'!J217,IF(AND(type=2,fuel=3),+'HAPTAP Factors'!K217))))))</f>
        <v>1.4999999999999999E-4</v>
      </c>
      <c r="K22" s="303">
        <f>+J22*INPUT!$F$30</f>
        <v>4.4999999999999998E-2</v>
      </c>
      <c r="L22" s="299">
        <f>+'Silo and loadout calculations'!F33</f>
        <v>4.0342007127999696E-6</v>
      </c>
      <c r="M22" s="300">
        <f>+'Silo and loadout calculations'!H33</f>
        <v>1.210260213839991E-3</v>
      </c>
      <c r="N22" s="303">
        <f>+'Silo and loadout calculations'!G33</f>
        <v>4.6631889959784591E-6</v>
      </c>
      <c r="O22" s="300">
        <f>+'Silo and loadout calculations'!I33</f>
        <v>1.3989566987935378E-3</v>
      </c>
      <c r="P22" s="328">
        <f>+'Silo and loadout calculations'!J33</f>
        <v>8.6973897087784295E-6</v>
      </c>
      <c r="Q22" s="300">
        <f>+P22*INPUT!$F$30</f>
        <v>2.6092169126335288E-3</v>
      </c>
      <c r="R22" s="299">
        <f t="shared" si="0"/>
        <v>1.5869738970877842E-4</v>
      </c>
      <c r="S22" s="300">
        <f>+R22*INPUT!$F$30</f>
        <v>4.7609216912633527E-2</v>
      </c>
      <c r="T22" s="299">
        <f t="shared" si="1"/>
        <v>1.1426212059032046</v>
      </c>
      <c r="U22" s="303">
        <f t="shared" si="3"/>
        <v>417.05674015466968</v>
      </c>
      <c r="V22" s="303">
        <f>+R22*INPUT!$F$53</f>
        <v>0</v>
      </c>
      <c r="W22" s="303">
        <f>+R22*INPUT!$F$52</f>
        <v>39.674347427194604</v>
      </c>
      <c r="X22" s="32" t="str">
        <f>IF(S22&gt;F22,"Hourly",IF(T22&gt;H22,"Daily","No"))</f>
        <v>No</v>
      </c>
      <c r="Y22" s="32" t="str">
        <f>IF(S22&gt;F22,"Hourly",IF(V22&gt;H22,"Daily","No"))</f>
        <v>No</v>
      </c>
      <c r="Z22" s="178" t="str">
        <f>IF(X22="No",'TOXIC Calculations'!$AB$11,IF(Y22="No",'TOXIC Calculations'!$AB$12,'TOXIC Calculations'!$AB$13))</f>
        <v>NOTE 1</v>
      </c>
      <c r="AA22" s="32"/>
      <c r="AC22" s="34" t="str">
        <f t="shared" si="2"/>
        <v>NO. Based on facility-wide potential.</v>
      </c>
    </row>
    <row r="23" spans="1:29" ht="12" thickBot="1">
      <c r="A23" s="179"/>
      <c r="B23" s="45" t="s">
        <v>195</v>
      </c>
      <c r="C23" s="158" t="s">
        <v>196</v>
      </c>
      <c r="D23" s="158" t="s">
        <v>286</v>
      </c>
      <c r="E23" s="158" t="s">
        <v>286</v>
      </c>
      <c r="F23" s="158">
        <v>16.399999999999999</v>
      </c>
      <c r="G23" s="158" t="s">
        <v>288</v>
      </c>
      <c r="H23" s="158">
        <v>57</v>
      </c>
      <c r="I23" s="180" t="s">
        <v>253</v>
      </c>
      <c r="J23" s="306">
        <f>IF(AND(type=1,fuel=1),+'HAPTAP Factors'!F236,IF(AND(type=1,fuel=2),+'HAPTAP Factors'!F236,IF(AND(type=1,fuel=3),+'HAPTAP Factors'!G236,IF(AND(type=2,fuel=1),+'HAPTAP Factors'!I236,IF(AND(type=2,fuel=2),+'HAPTAP Factors'!J236,IF(AND(type=2,fuel=3),+'HAPTAP Factors'!K236))))))</f>
        <v>2.0000000000000001E-4</v>
      </c>
      <c r="K23" s="308">
        <f>+J23*INPUT!$F$30</f>
        <v>6.0000000000000005E-2</v>
      </c>
      <c r="L23" s="306">
        <f>+'Silo and loadout calculations'!F36</f>
        <v>1.3013550686451516E-5</v>
      </c>
      <c r="M23" s="307">
        <f>+'Silo and loadout calculations'!H36</f>
        <v>3.9040652059354549E-3</v>
      </c>
      <c r="N23" s="308">
        <f>+'Silo and loadout calculations'!G36</f>
        <v>9.1043213731008009E-6</v>
      </c>
      <c r="O23" s="307">
        <f>+'Silo and loadout calculations'!I36</f>
        <v>2.7312964119302402E-3</v>
      </c>
      <c r="P23" s="330">
        <f>+'Silo and loadout calculations'!J36</f>
        <v>2.2117872059552315E-5</v>
      </c>
      <c r="Q23" s="307">
        <f>+P23*INPUT!$F$30</f>
        <v>6.6353616178656946E-3</v>
      </c>
      <c r="R23" s="306">
        <f t="shared" si="0"/>
        <v>2.2211787205955231E-4</v>
      </c>
      <c r="S23" s="307">
        <f>+R23*INPUT!$F$30</f>
        <v>6.6635361617865693E-2</v>
      </c>
      <c r="T23" s="306">
        <f t="shared" si="1"/>
        <v>1.5992486788287765</v>
      </c>
      <c r="U23" s="308">
        <f t="shared" si="3"/>
        <v>583.72576777250345</v>
      </c>
      <c r="V23" s="308">
        <f>+R23*INPUT!$F$53</f>
        <v>0</v>
      </c>
      <c r="W23" s="308">
        <f>+R23*INPUT!$F$52</f>
        <v>55.529468014888074</v>
      </c>
      <c r="X23" s="158" t="str">
        <f>IF(S23&gt;F23,"Hourly",IF(T23&gt;H23,"Daily","No"))</f>
        <v>No</v>
      </c>
      <c r="Y23" s="158" t="str">
        <f>IF(S23&gt;F23,"Hourly",IF(V23&gt;H23,"Daily","No"))</f>
        <v>No</v>
      </c>
      <c r="Z23" s="180" t="str">
        <f>IF(X23="No",'TOXIC Calculations'!$AB$11,IF(Y23="No",'TOXIC Calculations'!$AB$12,'TOXIC Calculations'!$AB$13))</f>
        <v>NOTE 1</v>
      </c>
      <c r="AA23" s="32"/>
      <c r="AC23" s="34" t="str">
        <f t="shared" si="2"/>
        <v>NO. Based on facility-wide potential.</v>
      </c>
    </row>
    <row r="24" spans="1:29" ht="12" thickBot="1">
      <c r="A24" s="168"/>
      <c r="B24" s="169" t="s">
        <v>162</v>
      </c>
      <c r="C24" s="170" t="s">
        <v>163</v>
      </c>
      <c r="D24" s="170" t="s">
        <v>287</v>
      </c>
      <c r="E24" s="170" t="s">
        <v>286</v>
      </c>
      <c r="F24" s="170">
        <v>0.39</v>
      </c>
      <c r="G24" s="170" t="s">
        <v>112</v>
      </c>
      <c r="H24" s="170">
        <v>1600</v>
      </c>
      <c r="I24" s="171" t="s">
        <v>291</v>
      </c>
      <c r="J24" s="309"/>
      <c r="K24" s="325"/>
      <c r="L24" s="310">
        <f>+'Silo and loadout calculations'!F30</f>
        <v>1.7568293426709546E-8</v>
      </c>
      <c r="M24" s="311">
        <f>+'Silo and loadout calculations'!H30</f>
        <v>5.2704880280128639E-6</v>
      </c>
      <c r="N24" s="312">
        <f>+'Silo and loadout calculations'!G30</f>
        <v>0</v>
      </c>
      <c r="O24" s="311">
        <f>+'Silo and loadout calculations'!I30</f>
        <v>0</v>
      </c>
      <c r="P24" s="312">
        <f>+'Silo and loadout calculations'!J30</f>
        <v>1.7568293426709546E-8</v>
      </c>
      <c r="Q24" s="311">
        <f>+P24*INPUT!$F$30</f>
        <v>5.2704880280128639E-6</v>
      </c>
      <c r="R24" s="310">
        <f t="shared" si="0"/>
        <v>1.7568293426709546E-8</v>
      </c>
      <c r="S24" s="311">
        <f>+R24*INPUT!$F$30</f>
        <v>5.2704880280128639E-6</v>
      </c>
      <c r="T24" s="310">
        <f t="shared" si="1"/>
        <v>1.2649171267230873E-4</v>
      </c>
      <c r="U24" s="312">
        <f t="shared" si="3"/>
        <v>4.6169475125392691E-2</v>
      </c>
      <c r="V24" s="312">
        <f>+R24*INPUT!$F$53</f>
        <v>0</v>
      </c>
      <c r="W24" s="312">
        <f>+R24*INPUT!$F$52</f>
        <v>4.3920733566773862E-3</v>
      </c>
      <c r="X24" s="170" t="str">
        <f>IF(S24&gt;F24,"Hourly",IF(U24&gt;H24,"Yearly","No"))</f>
        <v>No</v>
      </c>
      <c r="Y24" s="170" t="str">
        <f>IF(S24&gt;F24,"Hourly",IF(W24&gt;H24,"Yearly","No"))</f>
        <v>No</v>
      </c>
      <c r="Z24" s="171" t="str">
        <f>IF(X24="No",'TOXIC Calculations'!$AB$11,IF(Y24="No",'TOXIC Calculations'!$AB$12,'TOXIC Calculations'!$AB$13))</f>
        <v>NOTE 1</v>
      </c>
      <c r="AA24" s="32"/>
      <c r="AC24" s="34" t="str">
        <f t="shared" si="2"/>
        <v>NO. Based on facility-wide potential.</v>
      </c>
    </row>
    <row r="25" spans="1:29" ht="12" thickBot="1">
      <c r="A25" s="172"/>
      <c r="B25" s="173" t="s">
        <v>292</v>
      </c>
      <c r="C25" s="174" t="s">
        <v>293</v>
      </c>
      <c r="D25" s="174" t="s">
        <v>286</v>
      </c>
      <c r="E25" s="174" t="s">
        <v>287</v>
      </c>
      <c r="F25" s="174">
        <v>1.2999999999999999E-2</v>
      </c>
      <c r="G25" s="174" t="s">
        <v>290</v>
      </c>
      <c r="H25" s="343"/>
      <c r="I25" s="187"/>
      <c r="J25" s="294">
        <f>IF(AND(type=1,fuel=1),+'HAPTAP Factors'!F69,IF(AND(type=1,fuel=2),+'HAPTAP Factors'!F69,IF(AND(type=1,fuel=3),+'HAPTAP Factors'!G69,IF(AND(type=2,fuel=1),+'HAPTAP Factors'!I69,IF(AND(type=2,fuel=2),+'HAPTAP Factors'!J69,IF(AND(type=2,fuel=3),+'HAPTAP Factors'!K69))))))</f>
        <v>4.4999999999999998E-7</v>
      </c>
      <c r="K25" s="295">
        <f>+J25*INPUT!$F$30</f>
        <v>1.35E-4</v>
      </c>
      <c r="L25" s="296"/>
      <c r="M25" s="331"/>
      <c r="N25" s="327"/>
      <c r="O25" s="331"/>
      <c r="P25" s="327"/>
      <c r="Q25" s="297" t="s">
        <v>289</v>
      </c>
      <c r="R25" s="294">
        <f t="shared" si="0"/>
        <v>4.4999999999999998E-7</v>
      </c>
      <c r="S25" s="295">
        <f>+R25*INPUT!$F$30</f>
        <v>1.35E-4</v>
      </c>
      <c r="T25" s="294">
        <f t="shared" si="1"/>
        <v>3.2399999999999998E-3</v>
      </c>
      <c r="U25" s="298">
        <f t="shared" si="3"/>
        <v>1.1826000000000001</v>
      </c>
      <c r="V25" s="298">
        <f>+R25*INPUT!$F$53</f>
        <v>0</v>
      </c>
      <c r="W25" s="298">
        <f>+R25*INPUT!$F$52</f>
        <v>0.11249999999999999</v>
      </c>
      <c r="X25" s="174" t="str">
        <f t="shared" ref="X25:X30" si="4">IF(T25&gt;F25,"Yes","No")</f>
        <v>No</v>
      </c>
      <c r="Y25" s="174" t="str">
        <f t="shared" ref="Y25:Y30" si="5">IF(V25&gt;F25,"Yes","No")</f>
        <v>No</v>
      </c>
      <c r="Z25" s="176" t="str">
        <f>IF(X25="No",'TOXIC Calculations'!$AB$11,IF(Y25="No",'TOXIC Calculations'!$AB$12,'TOXIC Calculations'!$AB$13))</f>
        <v>NOTE 1</v>
      </c>
      <c r="AA25" s="32"/>
      <c r="AC25" s="34" t="str">
        <f t="shared" si="2"/>
        <v>NO. Based on facility-wide potential.</v>
      </c>
    </row>
    <row r="26" spans="1:29" ht="12" thickBot="1">
      <c r="A26" s="177"/>
      <c r="B26" s="39" t="s">
        <v>190</v>
      </c>
      <c r="C26" s="32" t="s">
        <v>191</v>
      </c>
      <c r="D26" s="32" t="s">
        <v>286</v>
      </c>
      <c r="E26" s="32" t="s">
        <v>286</v>
      </c>
      <c r="F26" s="32">
        <v>23</v>
      </c>
      <c r="G26" s="32" t="s">
        <v>290</v>
      </c>
      <c r="H26" s="344"/>
      <c r="I26" s="189"/>
      <c r="J26" s="299">
        <f>IF(AND(type=1,fuel=1),+'HAPTAP Factors'!F137,IF(AND(type=1,fuel=2),+'HAPTAP Factors'!F137,IF(AND(type=1,fuel=3),+'HAPTAP Factors'!G137,IF(AND(type=2,fuel=1),+'HAPTAP Factors'!I137,IF(AND(type=2,fuel=2),+'HAPTAP Factors'!J137,IF(AND(type=2,fuel=3),+'HAPTAP Factors'!K137))))))+'Silo and loadout calculations'!J27</f>
        <v>9.2983762462606754E-4</v>
      </c>
      <c r="K26" s="300">
        <f>+J26*INPUT!$F$30</f>
        <v>0.27895128738782027</v>
      </c>
      <c r="L26" s="310">
        <f>+'Silo and loadout calculations'!F27</f>
        <v>6.5067753432257581E-6</v>
      </c>
      <c r="M26" s="311">
        <f>+'Silo and loadout calculations'!H27</f>
        <v>1.9520326029677274E-3</v>
      </c>
      <c r="N26" s="312">
        <f>+'Silo and loadout calculations'!G27</f>
        <v>3.330849282841757E-6</v>
      </c>
      <c r="O26" s="311">
        <f>+'Silo and loadout calculations'!I27</f>
        <v>9.9925478485252714E-4</v>
      </c>
      <c r="P26" s="196">
        <f>+'Silo and loadout calculations'!J27</f>
        <v>9.8376246260675143E-6</v>
      </c>
      <c r="Q26" s="311">
        <f>+P26*INPUT!$F$30</f>
        <v>2.9512873878202541E-3</v>
      </c>
      <c r="R26" s="299">
        <f t="shared" si="0"/>
        <v>9.3967524925213505E-4</v>
      </c>
      <c r="S26" s="300">
        <f>+R26*INPUT!$F$30</f>
        <v>0.28190257477564051</v>
      </c>
      <c r="T26" s="299">
        <f t="shared" si="1"/>
        <v>6.7656617946153723</v>
      </c>
      <c r="U26" s="303">
        <f t="shared" si="3"/>
        <v>2469.4665550346108</v>
      </c>
      <c r="V26" s="303">
        <f>+R26*INPUT!$F$53</f>
        <v>0</v>
      </c>
      <c r="W26" s="303">
        <f>+R26*INPUT!$F$52</f>
        <v>234.91881231303375</v>
      </c>
      <c r="X26" s="32" t="str">
        <f t="shared" si="4"/>
        <v>No</v>
      </c>
      <c r="Y26" s="32" t="str">
        <f t="shared" si="5"/>
        <v>No</v>
      </c>
      <c r="Z26" s="178" t="str">
        <f>IF(X26="No",'TOXIC Calculations'!$AB$11,IF(Y26="No",'TOXIC Calculations'!$AB$12,'TOXIC Calculations'!$AB$13))</f>
        <v>NOTE 1</v>
      </c>
      <c r="AA26" s="32"/>
      <c r="AC26" s="34" t="str">
        <f t="shared" si="2"/>
        <v>NO. Based on facility-wide potential.</v>
      </c>
    </row>
    <row r="27" spans="1:29">
      <c r="A27" s="177"/>
      <c r="B27" s="39" t="s">
        <v>197</v>
      </c>
      <c r="C27" s="32" t="s">
        <v>198</v>
      </c>
      <c r="D27" s="32" t="s">
        <v>286</v>
      </c>
      <c r="E27" s="32" t="s">
        <v>287</v>
      </c>
      <c r="F27" s="32">
        <v>0.63</v>
      </c>
      <c r="G27" s="32" t="s">
        <v>294</v>
      </c>
      <c r="H27" s="344"/>
      <c r="I27" s="189"/>
      <c r="J27" s="299">
        <f>IF(AND(type=1,fuel=1),+'HAPTAP Factors'!F149,IF(AND(type=1,fuel=2),+'HAPTAP Factors'!F149,IF(AND(type=1,fuel=3),+'HAPTAP Factors'!G149,IF(AND(type=2,fuel=1),+'HAPTAP Factors'!I149,IF(AND(type=2,fuel=2),+'HAPTAP Factors'!J149,IF(AND(type=2,fuel=3),+'HAPTAP Factors'!K149))))))</f>
        <v>7.7000000000000008E-6</v>
      </c>
      <c r="K27" s="300">
        <f>+J27*INPUT!$F$30</f>
        <v>2.3100000000000004E-3</v>
      </c>
      <c r="L27" s="301"/>
      <c r="M27" s="332"/>
      <c r="N27" s="313"/>
      <c r="O27" s="332"/>
      <c r="P27" s="313"/>
      <c r="Q27" s="302" t="s">
        <v>289</v>
      </c>
      <c r="R27" s="299">
        <f t="shared" si="0"/>
        <v>7.7000000000000008E-6</v>
      </c>
      <c r="S27" s="300">
        <f>+R27*INPUT!$F$30</f>
        <v>2.3100000000000004E-3</v>
      </c>
      <c r="T27" s="299">
        <f t="shared" si="1"/>
        <v>5.544000000000001E-2</v>
      </c>
      <c r="U27" s="303">
        <f t="shared" si="3"/>
        <v>20.235600000000005</v>
      </c>
      <c r="V27" s="303">
        <f>+R27*INPUT!$F$53</f>
        <v>0</v>
      </c>
      <c r="W27" s="303">
        <f>+R27*INPUT!$F$52</f>
        <v>1.9250000000000003</v>
      </c>
      <c r="X27" s="32" t="str">
        <f t="shared" si="4"/>
        <v>No</v>
      </c>
      <c r="Y27" s="32" t="str">
        <f t="shared" si="5"/>
        <v>No</v>
      </c>
      <c r="Z27" s="178" t="str">
        <f>IF(X27="No",'TOXIC Calculations'!$AB$11,IF(Y27="No",'TOXIC Calculations'!$AB$12,'TOXIC Calculations'!$AB$13))</f>
        <v>NOTE 1</v>
      </c>
      <c r="AA27" s="32"/>
      <c r="AC27" s="34" t="str">
        <f t="shared" si="2"/>
        <v>NO. Based on facility-wide potential.</v>
      </c>
    </row>
    <row r="28" spans="1:29" s="30" customFormat="1">
      <c r="A28" s="136"/>
      <c r="B28" s="39" t="s">
        <v>295</v>
      </c>
      <c r="C28" s="32">
        <v>7439976</v>
      </c>
      <c r="D28" s="32" t="s">
        <v>286</v>
      </c>
      <c r="E28" s="32" t="s">
        <v>287</v>
      </c>
      <c r="F28" s="32">
        <v>1.2999999999999999E-2</v>
      </c>
      <c r="G28" s="32" t="s">
        <v>253</v>
      </c>
      <c r="H28" s="344"/>
      <c r="I28" s="189"/>
      <c r="J28" s="299">
        <f>IF(AND(type=1,fuel=1),+'HAPTAP Factors'!F152,IF(AND(type=1,fuel=2),+'HAPTAP Factors'!F152,IF(AND(type=1,fuel=3),+'HAPTAP Factors'!G152,IF(AND(type=2,fuel=1),+'HAPTAP Factors'!I152,IF(AND(type=2,fuel=2),+'HAPTAP Factors'!J152,IF(AND(type=2,fuel=3),+'HAPTAP Factors'!K152))))))</f>
        <v>2.3999999999999998E-7</v>
      </c>
      <c r="K28" s="300">
        <f>+J28*INPUT!$F$30</f>
        <v>7.1999999999999988E-5</v>
      </c>
      <c r="L28" s="301"/>
      <c r="M28" s="332"/>
      <c r="N28" s="313"/>
      <c r="O28" s="332"/>
      <c r="P28" s="313"/>
      <c r="Q28" s="302" t="s">
        <v>289</v>
      </c>
      <c r="R28" s="303">
        <f t="shared" si="0"/>
        <v>2.3999999999999998E-7</v>
      </c>
      <c r="S28" s="300">
        <f>+R28*INPUT!$F$30</f>
        <v>7.1999999999999988E-5</v>
      </c>
      <c r="T28" s="303">
        <f>+S28*24</f>
        <v>1.7279999999999997E-3</v>
      </c>
      <c r="U28" s="303">
        <f>+S28*8760</f>
        <v>0.63071999999999995</v>
      </c>
      <c r="V28" s="303">
        <f>+R28*INPUT!$F$53</f>
        <v>0</v>
      </c>
      <c r="W28" s="303">
        <f>+R28*INPUT!$F$52</f>
        <v>0.06</v>
      </c>
      <c r="X28" s="32" t="str">
        <f t="shared" si="4"/>
        <v>No</v>
      </c>
      <c r="Y28" s="32" t="str">
        <f t="shared" si="5"/>
        <v>No</v>
      </c>
      <c r="Z28" s="178" t="str">
        <f>IF(X28="No",'TOXIC Calculations'!$AB$11,IF(Y28="No",'TOXIC Calculations'!$AB$12,'TOXIC Calculations'!$AB$13))</f>
        <v>NOTE 1</v>
      </c>
      <c r="AA28" s="32"/>
      <c r="AC28" s="34" t="str">
        <f t="shared" si="2"/>
        <v>NO. Based on facility-wide potential.</v>
      </c>
    </row>
    <row r="29" spans="1:29" ht="12" thickBot="1">
      <c r="A29" s="177"/>
      <c r="B29" s="39" t="s">
        <v>167</v>
      </c>
      <c r="C29" s="32">
        <v>7440020</v>
      </c>
      <c r="D29" s="32" t="s">
        <v>286</v>
      </c>
      <c r="E29" s="32" t="s">
        <v>287</v>
      </c>
      <c r="F29" s="32">
        <v>0.13</v>
      </c>
      <c r="G29" s="32" t="s">
        <v>290</v>
      </c>
      <c r="H29" s="344"/>
      <c r="I29" s="189"/>
      <c r="J29" s="306">
        <f>IF(AND(type=1,fuel=1),+'HAPTAP Factors'!F174,IF(AND(type=1,fuel=2),+'HAPTAP Factors'!F174,IF(AND(type=1,fuel=3),+'HAPTAP Factors'!G174,IF(AND(type=2,fuel=1),+'HAPTAP Factors'!I174,IF(AND(type=2,fuel=2),+'HAPTAP Factors'!J174,IF(AND(type=2,fuel=3),+'HAPTAP Factors'!K174))))))</f>
        <v>6.3E-5</v>
      </c>
      <c r="K29" s="307">
        <f>+J29*INPUT!$F$30</f>
        <v>1.89E-2</v>
      </c>
      <c r="L29" s="301"/>
      <c r="M29" s="332"/>
      <c r="N29" s="313"/>
      <c r="O29" s="332"/>
      <c r="P29" s="313"/>
      <c r="Q29" s="302" t="s">
        <v>289</v>
      </c>
      <c r="R29" s="299">
        <f t="shared" si="0"/>
        <v>6.3E-5</v>
      </c>
      <c r="S29" s="300">
        <f>+R29*INPUT!$F$30</f>
        <v>1.89E-2</v>
      </c>
      <c r="T29" s="299">
        <f t="shared" si="1"/>
        <v>0.4536</v>
      </c>
      <c r="U29" s="303">
        <f t="shared" si="3"/>
        <v>165.56399999999999</v>
      </c>
      <c r="V29" s="303">
        <f>+R29*INPUT!$F$53</f>
        <v>0</v>
      </c>
      <c r="W29" s="303">
        <f>+R29*INPUT!$F$52</f>
        <v>15.75</v>
      </c>
      <c r="X29" s="32" t="str">
        <f t="shared" si="4"/>
        <v>Yes</v>
      </c>
      <c r="Y29" s="32" t="str">
        <f t="shared" si="5"/>
        <v>No</v>
      </c>
      <c r="Z29" s="178" t="str">
        <f>IF(X29="No",'TOXIC Calculations'!$AB$11,IF(Y29="No",'TOXIC Calculations'!$AB$12,'TOXIC Calculations'!$AB$13))</f>
        <v>NOTE 2</v>
      </c>
      <c r="AA29" s="32"/>
      <c r="AC29" s="34" t="str">
        <f t="shared" si="2"/>
        <v>NO. Because of operating restriction</v>
      </c>
    </row>
    <row r="30" spans="1:29" ht="12" thickBot="1">
      <c r="A30" s="179"/>
      <c r="B30" s="45" t="s">
        <v>178</v>
      </c>
      <c r="C30" s="158" t="s">
        <v>179</v>
      </c>
      <c r="D30" s="158" t="s">
        <v>287</v>
      </c>
      <c r="E30" s="158" t="s">
        <v>286</v>
      </c>
      <c r="F30" s="158">
        <v>3.9</v>
      </c>
      <c r="G30" s="158" t="s">
        <v>253</v>
      </c>
      <c r="H30" s="345"/>
      <c r="I30" s="191"/>
      <c r="J30" s="305"/>
      <c r="K30" s="324"/>
      <c r="L30" s="310">
        <f>+'Silo and loadout calculations'!F22</f>
        <v>1.0410840549161212E-6</v>
      </c>
      <c r="M30" s="311">
        <f>+'Silo and loadout calculations'!H22</f>
        <v>3.1232521647483639E-4</v>
      </c>
      <c r="N30" s="312">
        <f>+'Silo and loadout calculations'!G22</f>
        <v>2.8867360451295225E-7</v>
      </c>
      <c r="O30" s="311">
        <f>+'Silo and loadout calculations'!I22</f>
        <v>8.6602081353885673E-5</v>
      </c>
      <c r="P30" s="310">
        <f>+'Silo and loadout calculations'!J22</f>
        <v>1.3297576594290734E-6</v>
      </c>
      <c r="Q30" s="311">
        <f>+P30*INPUT!$F$30</f>
        <v>3.9892729782872201E-4</v>
      </c>
      <c r="R30" s="306">
        <f t="shared" si="0"/>
        <v>1.3297576594290734E-6</v>
      </c>
      <c r="S30" s="307">
        <f>+R30*INPUT!$F$30</f>
        <v>3.9892729782872201E-4</v>
      </c>
      <c r="T30" s="306">
        <f t="shared" si="1"/>
        <v>9.5742551478893278E-3</v>
      </c>
      <c r="U30" s="308">
        <f t="shared" si="3"/>
        <v>3.4946031289796049</v>
      </c>
      <c r="V30" s="308">
        <f>+R30*INPUT!$F$53</f>
        <v>0</v>
      </c>
      <c r="W30" s="308">
        <f>+R30*INPUT!$F$52</f>
        <v>0.33243941485726836</v>
      </c>
      <c r="X30" s="158" t="str">
        <f t="shared" si="4"/>
        <v>No</v>
      </c>
      <c r="Y30" s="158" t="str">
        <f t="shared" si="5"/>
        <v>No</v>
      </c>
      <c r="Z30" s="180" t="str">
        <f>IF(X30="No",'TOXIC Calculations'!$AB$11,IF(Y30="No",'TOXIC Calculations'!$AB$12,'TOXIC Calculations'!$AB$13))</f>
        <v>NOTE 1</v>
      </c>
      <c r="AA30" s="98"/>
      <c r="AC30" s="34" t="str">
        <f t="shared" si="2"/>
        <v>NO. Based on facility-wide potential.</v>
      </c>
    </row>
    <row r="31" spans="1:29">
      <c r="A31" s="172"/>
      <c r="B31" s="173" t="s">
        <v>184</v>
      </c>
      <c r="C31" s="174" t="s">
        <v>185</v>
      </c>
      <c r="D31" s="174" t="s">
        <v>286</v>
      </c>
      <c r="E31" s="174" t="s">
        <v>287</v>
      </c>
      <c r="F31" s="174">
        <v>2.0000000000000001E-4</v>
      </c>
      <c r="G31" s="174" t="s">
        <v>296</v>
      </c>
      <c r="H31" s="343"/>
      <c r="I31" s="187"/>
      <c r="J31" s="294">
        <f>IF(AND(type=1,fuel=1),+'HAPTAP Factors'!F214,IF(AND(type=1,fuel=2),+'HAPTAP Factors'!F214,IF(AND(type=1,fuel=3),+'HAPTAP Factors'!G214,IF(AND(type=2,fuel=1),+'HAPTAP Factors'!I214,IF(AND(type=2,fuel=2),+'HAPTAP Factors'!J214,IF(AND(type=2,fuel=3),+'HAPTAP Factors'!K214))))))</f>
        <v>0</v>
      </c>
      <c r="K31" s="295">
        <f>+J31*INPUT!$F$30</f>
        <v>0</v>
      </c>
      <c r="L31" s="296"/>
      <c r="M31" s="331"/>
      <c r="N31" s="327"/>
      <c r="O31" s="331"/>
      <c r="P31" s="327"/>
      <c r="Q31" s="297" t="s">
        <v>289</v>
      </c>
      <c r="R31" s="294">
        <f t="shared" si="0"/>
        <v>0</v>
      </c>
      <c r="S31" s="295">
        <f>+R31*INPUT!$F$30</f>
        <v>0</v>
      </c>
      <c r="T31" s="294">
        <f t="shared" si="1"/>
        <v>0</v>
      </c>
      <c r="U31" s="298">
        <f t="shared" ref="U31:U41" si="6">+S31*8760</f>
        <v>0</v>
      </c>
      <c r="V31" s="298">
        <f>+R31*INPUT!$F$53</f>
        <v>0</v>
      </c>
      <c r="W31" s="298">
        <f>+R31*INPUT!$F$52</f>
        <v>0</v>
      </c>
      <c r="X31" s="174" t="str">
        <f t="shared" ref="X31:X41" si="7">IF(U31&gt;F31,"Yes","No")</f>
        <v>No</v>
      </c>
      <c r="Y31" s="174" t="str">
        <f t="shared" ref="Y31:Y41" si="8">IF(W31&gt;F31,"Yes","No")</f>
        <v>No</v>
      </c>
      <c r="Z31" s="176" t="str">
        <f>IF(X31="No",'TOXIC Calculations'!$AB$11,IF(Y31="No",'TOXIC Calculations'!$AB$12,'TOXIC Calculations'!$AB$13))</f>
        <v>NOTE 1</v>
      </c>
      <c r="AA31" s="32"/>
      <c r="AC31" s="34" t="str">
        <f t="shared" si="2"/>
        <v>NO. Based on facility-wide potential.</v>
      </c>
    </row>
    <row r="32" spans="1:29" ht="12" thickBot="1">
      <c r="A32" s="177"/>
      <c r="B32" s="39" t="s">
        <v>297</v>
      </c>
      <c r="C32" s="32" t="s">
        <v>298</v>
      </c>
      <c r="D32" s="32" t="s">
        <v>286</v>
      </c>
      <c r="E32" s="32" t="s">
        <v>287</v>
      </c>
      <c r="F32" s="32">
        <v>1.6E-2</v>
      </c>
      <c r="G32" s="32" t="s">
        <v>296</v>
      </c>
      <c r="H32" s="344"/>
      <c r="I32" s="189"/>
      <c r="J32" s="299">
        <f>IF(AND(type=1,fuel=1),+'HAPTAP Factors'!F29,IF(AND(type=1,fuel=2),+'HAPTAP Factors'!F29,IF(AND(type=1,fuel=3),+'HAPTAP Factors'!G29,IF(AND(type=2,fuel=1),+'HAPTAP Factors'!I29,IF(AND(type=2,fuel=2),+'HAPTAP Factors'!J29,IF(AND(type=2,fuel=3),+'HAPTAP Factors'!K29))))))</f>
        <v>5.6000000000000004E-7</v>
      </c>
      <c r="K32" s="300">
        <f>+J32*INPUT!$F$30</f>
        <v>1.6800000000000002E-4</v>
      </c>
      <c r="L32" s="301"/>
      <c r="M32" s="332"/>
      <c r="N32" s="313"/>
      <c r="O32" s="332"/>
      <c r="P32" s="313"/>
      <c r="Q32" s="302" t="s">
        <v>289</v>
      </c>
      <c r="R32" s="299">
        <f t="shared" si="0"/>
        <v>5.6000000000000004E-7</v>
      </c>
      <c r="S32" s="300">
        <f>+R32*INPUT!$F$30</f>
        <v>1.6800000000000002E-4</v>
      </c>
      <c r="T32" s="299">
        <f t="shared" si="1"/>
        <v>4.0320000000000009E-3</v>
      </c>
      <c r="U32" s="303">
        <f t="shared" si="6"/>
        <v>1.4716800000000001</v>
      </c>
      <c r="V32" s="303">
        <f>+R32*INPUT!$F$53</f>
        <v>0</v>
      </c>
      <c r="W32" s="303">
        <f>+R32*INPUT!$F$52</f>
        <v>0.14000000000000001</v>
      </c>
      <c r="X32" s="32" t="str">
        <f t="shared" si="7"/>
        <v>Yes</v>
      </c>
      <c r="Y32" s="32" t="str">
        <f t="shared" si="8"/>
        <v>Yes</v>
      </c>
      <c r="Z32" s="178" t="str">
        <f>IF(X32="No",'TOXIC Calculations'!$AB$11,IF(Y32="No",'TOXIC Calculations'!$AB$12,'TOXIC Calculations'!$AB$13))</f>
        <v>NOTE 3</v>
      </c>
      <c r="AA32" s="32"/>
      <c r="AC32" s="34" t="str">
        <f t="shared" si="2"/>
        <v>YES. Modeling required</v>
      </c>
    </row>
    <row r="33" spans="1:31" ht="12" thickBot="1">
      <c r="A33" s="177"/>
      <c r="B33" s="39" t="s">
        <v>165</v>
      </c>
      <c r="C33" s="32" t="s">
        <v>166</v>
      </c>
      <c r="D33" s="32" t="s">
        <v>286</v>
      </c>
      <c r="E33" s="32" t="s">
        <v>286</v>
      </c>
      <c r="F33" s="32">
        <v>8.1</v>
      </c>
      <c r="G33" s="32" t="s">
        <v>296</v>
      </c>
      <c r="H33" s="344"/>
      <c r="I33" s="189"/>
      <c r="J33" s="299">
        <f>IF(AND(type=1,fuel=1),+'HAPTAP Factors'!F32,IF(AND(type=1,fuel=2),+'HAPTAP Factors'!F32,IF(AND(type=1,fuel=3),+'HAPTAP Factors'!G32,IF(AND(type=2,fuel=1),+'HAPTAP Factors'!I32,IF(AND(type=2,fuel=2),+'HAPTAP Factors'!J32,IF(AND(type=2,fuel=3),+'HAPTAP Factors'!K32))))))</f>
        <v>3.8999999999999999E-4</v>
      </c>
      <c r="K33" s="300">
        <f>+J33*INPUT!$F$30</f>
        <v>0.11699999999999999</v>
      </c>
      <c r="L33" s="310">
        <f>+'Silo and loadout calculations'!F19</f>
        <v>2.0821681098322425E-6</v>
      </c>
      <c r="M33" s="311">
        <f>+'Silo and loadout calculations'!H19</f>
        <v>6.2465043294967278E-4</v>
      </c>
      <c r="N33" s="312">
        <f>+'Silo and loadout calculations'!G19</f>
        <v>1.154694418051809E-6</v>
      </c>
      <c r="O33" s="311">
        <f>+'Silo and loadout calculations'!I19</f>
        <v>3.4640832541554269E-4</v>
      </c>
      <c r="P33" s="184">
        <f>+'Silo and loadout calculations'!J19</f>
        <v>3.2368625278840512E-6</v>
      </c>
      <c r="Q33" s="295">
        <f>+P33*INPUT!$F$30</f>
        <v>9.7105875836521536E-4</v>
      </c>
      <c r="R33" s="299">
        <f t="shared" si="0"/>
        <v>3.9323686252788406E-4</v>
      </c>
      <c r="S33" s="300">
        <f>+R33*INPUT!$F$30</f>
        <v>0.11797105875836522</v>
      </c>
      <c r="T33" s="299">
        <f t="shared" si="1"/>
        <v>2.8313054102007653</v>
      </c>
      <c r="U33" s="303">
        <f t="shared" si="6"/>
        <v>1033.4264747232794</v>
      </c>
      <c r="V33" s="303">
        <f>+R33*INPUT!$F$53</f>
        <v>0</v>
      </c>
      <c r="W33" s="303">
        <f>+R33*INPUT!$F$52</f>
        <v>98.309215631971014</v>
      </c>
      <c r="X33" s="32" t="str">
        <f t="shared" si="7"/>
        <v>Yes</v>
      </c>
      <c r="Y33" s="32" t="str">
        <f t="shared" si="8"/>
        <v>Yes</v>
      </c>
      <c r="Z33" s="178" t="str">
        <f>IF(X33="No",'TOXIC Calculations'!$AB$11,IF(Y33="No",'TOXIC Calculations'!$AB$12,'TOXIC Calculations'!$AB$13))</f>
        <v>NOTE 3</v>
      </c>
      <c r="AA33" s="32"/>
      <c r="AC33" s="34" t="str">
        <f t="shared" si="2"/>
        <v>YES. Modeling required</v>
      </c>
    </row>
    <row r="34" spans="1:31" ht="12" thickBot="1">
      <c r="A34" s="177"/>
      <c r="B34" s="39" t="s">
        <v>168</v>
      </c>
      <c r="C34" s="32" t="s">
        <v>169</v>
      </c>
      <c r="D34" s="32" t="s">
        <v>286</v>
      </c>
      <c r="E34" s="32" t="s">
        <v>286</v>
      </c>
      <c r="F34" s="32">
        <v>2.2000000000000002</v>
      </c>
      <c r="G34" s="32" t="s">
        <v>296</v>
      </c>
      <c r="H34" s="344"/>
      <c r="I34" s="189"/>
      <c r="J34" s="299">
        <f>IF(AND(type=1,fuel=1),+'HAPTAP Factors'!F34,IF(AND(type=1,fuel=2),+'HAPTAP Factors'!F34,IF(AND(type=1,fuel=3),+'HAPTAP Factors'!G34,IF(AND(type=2,fuel=1),+'HAPTAP Factors'!I34,IF(AND(type=2,fuel=2),+'HAPTAP Factors'!J34,IF(AND(type=2,fuel=3),+'HAPTAP Factors'!K34))))))</f>
        <v>9.8000000000000001E-9</v>
      </c>
      <c r="K34" s="300">
        <f>+J34*INPUT!$F$30</f>
        <v>2.9400000000000002E-6</v>
      </c>
      <c r="L34" s="310">
        <f>+'Silo and loadout calculations'!F16</f>
        <v>0</v>
      </c>
      <c r="M34" s="311">
        <f>+'Silo and loadout calculations'!H16</f>
        <v>0</v>
      </c>
      <c r="N34" s="312">
        <f>+'Silo and loadout calculations'!G16</f>
        <v>4.1868000869208597E-9</v>
      </c>
      <c r="O34" s="311">
        <f>+'Silo and loadout calculations'!I16</f>
        <v>1.256040026076258E-6</v>
      </c>
      <c r="P34" s="185">
        <f>+'Silo and loadout calculations'!J16</f>
        <v>4.1868000869208597E-9</v>
      </c>
      <c r="Q34" s="307">
        <f>+P34*INPUT!$F$30</f>
        <v>1.256040026076258E-6</v>
      </c>
      <c r="R34" s="299">
        <f t="shared" si="0"/>
        <v>1.3986800086920861E-8</v>
      </c>
      <c r="S34" s="300">
        <f>+R34*INPUT!$F$30</f>
        <v>4.1960400260762578E-6</v>
      </c>
      <c r="T34" s="299">
        <f t="shared" si="1"/>
        <v>1.0070496062583019E-4</v>
      </c>
      <c r="U34" s="303">
        <f t="shared" si="6"/>
        <v>3.6757310628428019E-2</v>
      </c>
      <c r="V34" s="303">
        <f>+R34*INPUT!$F$53</f>
        <v>0</v>
      </c>
      <c r="W34" s="303">
        <f>+R34*INPUT!$F$52</f>
        <v>3.496700021730215E-3</v>
      </c>
      <c r="X34" s="32" t="str">
        <f t="shared" si="7"/>
        <v>No</v>
      </c>
      <c r="Y34" s="32" t="str">
        <f t="shared" si="8"/>
        <v>No</v>
      </c>
      <c r="Z34" s="178" t="str">
        <f>IF(X34="No",'TOXIC Calculations'!$AB$11,IF(Y34="No",'TOXIC Calculations'!$AB$12,'TOXIC Calculations'!$AB$13))</f>
        <v>NOTE 1</v>
      </c>
      <c r="AA34" s="32"/>
      <c r="AC34" s="34" t="str">
        <f t="shared" si="2"/>
        <v>NO. Based on facility-wide potential.</v>
      </c>
    </row>
    <row r="35" spans="1:31">
      <c r="A35" s="177"/>
      <c r="B35" s="39" t="s">
        <v>194</v>
      </c>
      <c r="C35" s="32">
        <v>7783064</v>
      </c>
      <c r="D35" s="32" t="s">
        <v>286</v>
      </c>
      <c r="E35" s="32" t="s">
        <v>286</v>
      </c>
      <c r="F35" s="32">
        <v>1.7</v>
      </c>
      <c r="G35" s="32" t="s">
        <v>253</v>
      </c>
      <c r="H35" s="344"/>
      <c r="I35" s="189"/>
      <c r="J35" s="299">
        <f>IF(AND(type=1,fuel=1),+'HAPTAP Factors'!F145,IF(AND(type=1,fuel=2),+'HAPTAP Factors'!F145,IF(AND(type=1,fuel=3),+'HAPTAP Factors'!G145,IF(AND(type=2,fuel=1),+'HAPTAP Factors'!I145,IF(AND(type=2,fuel=2),+'HAPTAP Factors'!J145,IF(AND(type=2,fuel=3),+'HAPTAP Factors'!K145))))))</f>
        <v>5.1799999999999999E-5</v>
      </c>
      <c r="K35" s="300">
        <f>+J35*INPUT!$F$30</f>
        <v>1.554E-2</v>
      </c>
      <c r="L35" s="299">
        <f>+'Silo and loadout calculations'!F38</f>
        <v>1.46E-6</v>
      </c>
      <c r="M35" s="300">
        <f>+'Silo and loadout calculations'!H38</f>
        <v>4.3800000000000002E-4</v>
      </c>
      <c r="N35" s="303">
        <f>+'Silo and loadout calculations'!G38</f>
        <v>1.46E-6</v>
      </c>
      <c r="O35" s="300">
        <f>+'Silo and loadout calculations'!I38</f>
        <v>4.3800000000000002E-4</v>
      </c>
      <c r="P35" s="328">
        <f>+'Silo and loadout calculations'!J38</f>
        <v>2.92E-6</v>
      </c>
      <c r="Q35" s="300">
        <f>+P35*INPUT!$F$30</f>
        <v>8.7600000000000004E-4</v>
      </c>
      <c r="R35" s="299">
        <f>+J35+P35</f>
        <v>5.4719999999999998E-5</v>
      </c>
      <c r="S35" s="300">
        <f>+R35*INPUT!$F$30</f>
        <v>1.6416E-2</v>
      </c>
      <c r="T35" s="299">
        <f>+S35*24</f>
        <v>0.393984</v>
      </c>
      <c r="U35" s="303">
        <f>+S35*8760</f>
        <v>143.80416</v>
      </c>
      <c r="V35" s="303">
        <f>+R35*INPUT!$F$53</f>
        <v>0</v>
      </c>
      <c r="W35" s="303">
        <f>+R35*INPUT!$F$52</f>
        <v>13.68</v>
      </c>
      <c r="X35" s="32" t="str">
        <f>IF(T35&gt;F35,"Yes","No")</f>
        <v>No</v>
      </c>
      <c r="Y35" s="32" t="str">
        <f>IF(V35&gt;F35,"Yes","No")</f>
        <v>No</v>
      </c>
      <c r="Z35" s="178" t="str">
        <f>IF(X35="No",'TOXIC Calculations'!$AB$11,IF(Y35="No",'TOXIC Calculations'!$AB$12,'TOXIC Calculations'!$AB$13))</f>
        <v>NOTE 1</v>
      </c>
      <c r="AA35" s="32"/>
      <c r="AC35" s="34" t="str">
        <f>+IF(Z35="NOTE 1",$AC$11,IF(Z35="NOTE 2",+$AC$12,+$AC$13))</f>
        <v>NO. Based on facility-wide potential.</v>
      </c>
    </row>
    <row r="36" spans="1:31">
      <c r="A36" s="177"/>
      <c r="B36" s="39" t="s">
        <v>172</v>
      </c>
      <c r="C36" s="32">
        <v>7440417</v>
      </c>
      <c r="D36" s="32" t="s">
        <v>286</v>
      </c>
      <c r="E36" s="32" t="s">
        <v>287</v>
      </c>
      <c r="F36" s="32">
        <v>0.28000000000000003</v>
      </c>
      <c r="G36" s="32" t="s">
        <v>296</v>
      </c>
      <c r="H36" s="344"/>
      <c r="I36" s="189"/>
      <c r="J36" s="299">
        <f>IF(AND(type=1,fuel=1),+'HAPTAP Factors'!F37,IF(AND(type=1,fuel=2),+'HAPTAP Factors'!F37,IF(AND(type=1,fuel=3),+'HAPTAP Factors'!G37,IF(AND(type=2,fuel=1),+'HAPTAP Factors'!I37,IF(AND(type=2,fuel=2),+'HAPTAP Factors'!J37,IF(AND(type=2,fuel=3),+'HAPTAP Factors'!K37))))))</f>
        <v>0</v>
      </c>
      <c r="K36" s="300">
        <f>+J36*INPUT!$F$30</f>
        <v>0</v>
      </c>
      <c r="L36" s="301"/>
      <c r="M36" s="332"/>
      <c r="N36" s="313"/>
      <c r="O36" s="332"/>
      <c r="P36" s="313"/>
      <c r="Q36" s="302" t="s">
        <v>289</v>
      </c>
      <c r="R36" s="299">
        <f t="shared" si="0"/>
        <v>0</v>
      </c>
      <c r="S36" s="300">
        <f>+R36*INPUT!$F$30</f>
        <v>0</v>
      </c>
      <c r="T36" s="299">
        <f t="shared" si="1"/>
        <v>0</v>
      </c>
      <c r="U36" s="303">
        <f t="shared" si="6"/>
        <v>0</v>
      </c>
      <c r="V36" s="303">
        <f>+R36*INPUT!$F$53</f>
        <v>0</v>
      </c>
      <c r="W36" s="303">
        <f>+R36*INPUT!$F$52</f>
        <v>0</v>
      </c>
      <c r="X36" s="32" t="str">
        <f t="shared" si="7"/>
        <v>No</v>
      </c>
      <c r="Y36" s="32" t="str">
        <f t="shared" si="8"/>
        <v>No</v>
      </c>
      <c r="Z36" s="178" t="str">
        <f>IF(X36="No",'TOXIC Calculations'!$AB$11,IF(Y36="No",'TOXIC Calculations'!$AB$12,'TOXIC Calculations'!$AB$13))</f>
        <v>NOTE 1</v>
      </c>
      <c r="AA36" s="32"/>
      <c r="AC36" s="34" t="str">
        <f t="shared" si="2"/>
        <v>NO. Based on facility-wide potential.</v>
      </c>
    </row>
    <row r="37" spans="1:31">
      <c r="A37" s="177"/>
      <c r="B37" s="39" t="s">
        <v>176</v>
      </c>
      <c r="C37" s="32">
        <v>7440439</v>
      </c>
      <c r="D37" s="32" t="s">
        <v>286</v>
      </c>
      <c r="E37" s="32" t="s">
        <v>287</v>
      </c>
      <c r="F37" s="32">
        <v>0.37</v>
      </c>
      <c r="G37" s="32" t="s">
        <v>296</v>
      </c>
      <c r="H37" s="344"/>
      <c r="I37" s="189"/>
      <c r="J37" s="299">
        <f>IF(AND(type=1,fuel=1),+'HAPTAP Factors'!F47,IF(AND(type=1,fuel=2),+'HAPTAP Factors'!F47,IF(AND(type=1,fuel=3),+'HAPTAP Factors'!G47,IF(AND(type=2,fuel=1),+'HAPTAP Factors'!I47,IF(AND(type=2,fuel=2),+'HAPTAP Factors'!J47,IF(AND(type=2,fuel=3),+'HAPTAP Factors'!K47))))))</f>
        <v>4.0999999999999999E-7</v>
      </c>
      <c r="K37" s="300">
        <f>+J37*INPUT!$F$30</f>
        <v>1.2300000000000001E-4</v>
      </c>
      <c r="L37" s="301"/>
      <c r="M37" s="332"/>
      <c r="N37" s="313"/>
      <c r="O37" s="332"/>
      <c r="P37" s="313"/>
      <c r="Q37" s="302" t="s">
        <v>289</v>
      </c>
      <c r="R37" s="299">
        <f t="shared" si="0"/>
        <v>4.0999999999999999E-7</v>
      </c>
      <c r="S37" s="300">
        <f>+R37*INPUT!$F$30</f>
        <v>1.2300000000000001E-4</v>
      </c>
      <c r="T37" s="299">
        <f t="shared" si="1"/>
        <v>2.9520000000000002E-3</v>
      </c>
      <c r="U37" s="303">
        <f t="shared" si="6"/>
        <v>1.07748</v>
      </c>
      <c r="V37" s="303">
        <f>+R37*INPUT!$F$53</f>
        <v>0</v>
      </c>
      <c r="W37" s="303">
        <f>+R37*INPUT!$F$52</f>
        <v>0.10249999999999999</v>
      </c>
      <c r="X37" s="32" t="str">
        <f t="shared" si="7"/>
        <v>Yes</v>
      </c>
      <c r="Y37" s="32" t="str">
        <f t="shared" si="8"/>
        <v>No</v>
      </c>
      <c r="Z37" s="178" t="str">
        <f>IF(X37="No",'TOXIC Calculations'!$AB$11,IF(Y37="No",'TOXIC Calculations'!$AB$12,'TOXIC Calculations'!$AB$13))</f>
        <v>NOTE 2</v>
      </c>
      <c r="AA37" s="32"/>
      <c r="AC37" s="34" t="str">
        <f t="shared" si="2"/>
        <v>NO. Because of operating restriction</v>
      </c>
    </row>
    <row r="38" spans="1:31" ht="12" thickBot="1">
      <c r="A38" s="177"/>
      <c r="B38" s="39" t="s">
        <v>186</v>
      </c>
      <c r="C38" s="32" t="s">
        <v>187</v>
      </c>
      <c r="D38" s="32" t="s">
        <v>286</v>
      </c>
      <c r="E38" s="32" t="s">
        <v>287</v>
      </c>
      <c r="F38" s="32">
        <v>5.1000000000000004E-3</v>
      </c>
      <c r="G38" s="32" t="s">
        <v>296</v>
      </c>
      <c r="H38" s="344"/>
      <c r="I38" s="189"/>
      <c r="J38" s="299">
        <f>IF(AND(type=1,fuel=1),+'HAPTAP Factors'!F132,IF(AND(type=1,fuel=2),+'HAPTAP Factors'!F132,IF(AND(type=1,fuel=3),+'HAPTAP Factors'!G132,IF(AND(type=2,fuel=1),+'HAPTAP Factors'!I132,IF(AND(type=2,fuel=2),+'HAPTAP Factors'!J132,IF(AND(type=2,fuel=3),+'HAPTAP Factors'!K132))))))</f>
        <v>0</v>
      </c>
      <c r="K38" s="300">
        <f>+J38*INPUT!$F$30</f>
        <v>0</v>
      </c>
      <c r="L38" s="301"/>
      <c r="M38" s="332"/>
      <c r="N38" s="313"/>
      <c r="O38" s="332"/>
      <c r="P38" s="313"/>
      <c r="Q38" s="302" t="s">
        <v>289</v>
      </c>
      <c r="R38" s="299">
        <f t="shared" si="0"/>
        <v>0</v>
      </c>
      <c r="S38" s="300">
        <f>+R38*INPUT!$F$30</f>
        <v>0</v>
      </c>
      <c r="T38" s="299">
        <f t="shared" si="1"/>
        <v>0</v>
      </c>
      <c r="U38" s="303">
        <f t="shared" si="6"/>
        <v>0</v>
      </c>
      <c r="V38" s="303">
        <f>+R38*INPUT!$F$53</f>
        <v>0</v>
      </c>
      <c r="W38" s="303">
        <f>+R38*INPUT!$F$52</f>
        <v>0</v>
      </c>
      <c r="X38" s="32" t="str">
        <f t="shared" si="7"/>
        <v>No</v>
      </c>
      <c r="Y38" s="32" t="str">
        <f t="shared" si="8"/>
        <v>No</v>
      </c>
      <c r="Z38" s="178" t="str">
        <f>IF(X38="No",'TOXIC Calculations'!$AB$11,IF(Y38="No",'TOXIC Calculations'!$AB$12,'TOXIC Calculations'!$AB$13))</f>
        <v>NOTE 1</v>
      </c>
      <c r="AA38" s="32"/>
      <c r="AC38" s="34" t="str">
        <f t="shared" si="2"/>
        <v>NO. Based on facility-wide potential.</v>
      </c>
    </row>
    <row r="39" spans="1:31" ht="12" thickBot="1">
      <c r="A39" s="177"/>
      <c r="B39" s="39" t="s">
        <v>299</v>
      </c>
      <c r="C39" s="1" t="s">
        <v>300</v>
      </c>
      <c r="D39" s="32" t="s">
        <v>286</v>
      </c>
      <c r="E39" s="32" t="s">
        <v>287</v>
      </c>
      <c r="F39" s="32">
        <v>0.18</v>
      </c>
      <c r="G39" s="32" t="s">
        <v>112</v>
      </c>
      <c r="H39" s="344"/>
      <c r="I39" s="189"/>
      <c r="J39" s="306">
        <f>IF(AND(type=1,fuel=1),+'HAPTAP Factors'!F139,IF(AND(type=1,fuel=2),+'HAPTAP Factors'!F139,IF(AND(type=1,fuel=3),+'HAPTAP Factors'!G139,IF(AND(type=2,fuel=1),+'HAPTAP Factors'!I139,IF(AND(type=2,fuel=2),+'HAPTAP Factors'!J139,IF(AND(type=2,fuel=3),+'HAPTAP Factors'!K139))))))</f>
        <v>0</v>
      </c>
      <c r="K39" s="307">
        <f>+J39*INPUT!$F$30</f>
        <v>0</v>
      </c>
      <c r="L39" s="301"/>
      <c r="M39" s="332"/>
      <c r="N39" s="313"/>
      <c r="O39" s="332"/>
      <c r="P39" s="313"/>
      <c r="Q39" s="302"/>
      <c r="R39" s="299">
        <f>+J39+P39</f>
        <v>0</v>
      </c>
      <c r="S39" s="300">
        <f>+R39*INPUT!$F$30</f>
        <v>0</v>
      </c>
      <c r="T39" s="299">
        <f t="shared" si="1"/>
        <v>0</v>
      </c>
      <c r="U39" s="303">
        <f t="shared" si="6"/>
        <v>0</v>
      </c>
      <c r="V39" s="303">
        <f>+R39*INPUT!$F$53</f>
        <v>0</v>
      </c>
      <c r="W39" s="303">
        <f>+R39*INPUT!$F$52</f>
        <v>0</v>
      </c>
      <c r="X39" s="32" t="str">
        <f>IF(S39&gt;F39,"Yes","No")</f>
        <v>No</v>
      </c>
      <c r="Y39" s="528"/>
      <c r="Z39" s="178" t="str">
        <f>IF(X39="No",'TOXIC Calculations'!$AB$11,IF(Y39="No",'TOXIC Calculations'!$AB$12,'TOXIC Calculations'!$AB$13))</f>
        <v>NOTE 1</v>
      </c>
      <c r="AA39" s="32"/>
      <c r="AC39" s="34" t="str">
        <f t="shared" si="2"/>
        <v>NO. Based on facility-wide potential.</v>
      </c>
    </row>
    <row r="40" spans="1:31" ht="12" thickBot="1">
      <c r="A40" s="177"/>
      <c r="B40" s="39" t="s">
        <v>170</v>
      </c>
      <c r="C40" s="32" t="s">
        <v>171</v>
      </c>
      <c r="D40" s="32" t="s">
        <v>287</v>
      </c>
      <c r="E40" s="32" t="s">
        <v>286</v>
      </c>
      <c r="F40" s="32">
        <v>13000</v>
      </c>
      <c r="G40" s="32" t="s">
        <v>296</v>
      </c>
      <c r="H40" s="344"/>
      <c r="I40" s="189"/>
      <c r="J40" s="304"/>
      <c r="K40" s="323"/>
      <c r="L40" s="310">
        <f>+'Silo and loadout calculations'!F31</f>
        <v>0</v>
      </c>
      <c r="M40" s="311">
        <f>+'Silo and loadout calculations'!H31</f>
        <v>0</v>
      </c>
      <c r="N40" s="312">
        <f>+'Silo and loadout calculations'!G31</f>
        <v>1.7098359651921019E-7</v>
      </c>
      <c r="O40" s="311">
        <f>+'Silo and loadout calculations'!I31</f>
        <v>5.1295078955763059E-5</v>
      </c>
      <c r="P40" s="294">
        <f>+'Silo and loadout calculations'!J31</f>
        <v>1.7098359651921019E-7</v>
      </c>
      <c r="Q40" s="295">
        <f>+P40*INPUT!$F$30</f>
        <v>5.1295078955763059E-5</v>
      </c>
      <c r="R40" s="299">
        <f t="shared" si="0"/>
        <v>1.7098359651921019E-7</v>
      </c>
      <c r="S40" s="300">
        <f>+R40*INPUT!$F$30</f>
        <v>5.1295078955763059E-5</v>
      </c>
      <c r="T40" s="299">
        <f t="shared" si="1"/>
        <v>1.2310818949383133E-3</v>
      </c>
      <c r="U40" s="303">
        <f t="shared" si="6"/>
        <v>0.44934489165248442</v>
      </c>
      <c r="V40" s="303">
        <f>+R40*INPUT!$F$53</f>
        <v>0</v>
      </c>
      <c r="W40" s="303">
        <f>+R40*INPUT!$F$52</f>
        <v>4.2745899129802548E-2</v>
      </c>
      <c r="X40" s="32" t="str">
        <f t="shared" si="7"/>
        <v>No</v>
      </c>
      <c r="Y40" s="32" t="str">
        <f t="shared" si="8"/>
        <v>No</v>
      </c>
      <c r="Z40" s="178" t="str">
        <f>IF(X40="No",'TOXIC Calculations'!$AB$11,IF(Y40="No",'TOXIC Calculations'!$AB$12,'TOXIC Calculations'!$AB$13))</f>
        <v>NOTE 1</v>
      </c>
      <c r="AA40" s="98"/>
      <c r="AC40" s="34" t="str">
        <f t="shared" si="2"/>
        <v>NO. Based on facility-wide potential.</v>
      </c>
    </row>
    <row r="41" spans="1:31" ht="12" thickBot="1">
      <c r="A41" s="179"/>
      <c r="B41" s="45" t="s">
        <v>192</v>
      </c>
      <c r="C41" s="158" t="s">
        <v>193</v>
      </c>
      <c r="D41" s="158" t="s">
        <v>287</v>
      </c>
      <c r="E41" s="158" t="s">
        <v>286</v>
      </c>
      <c r="F41" s="158">
        <v>4000</v>
      </c>
      <c r="G41" s="158" t="s">
        <v>296</v>
      </c>
      <c r="H41" s="345"/>
      <c r="I41" s="191"/>
      <c r="J41" s="305"/>
      <c r="K41" s="324"/>
      <c r="L41" s="310">
        <f>+'Silo and loadout calculations'!F34</f>
        <v>0</v>
      </c>
      <c r="M41" s="311">
        <f>+'Silo and loadout calculations'!H34</f>
        <v>0</v>
      </c>
      <c r="N41" s="312">
        <f>+'Silo and loadout calculations'!G34</f>
        <v>0</v>
      </c>
      <c r="O41" s="311">
        <f>+'Silo and loadout calculations'!I34</f>
        <v>0</v>
      </c>
      <c r="P41" s="306">
        <f>+'Silo and loadout calculations'!J34</f>
        <v>0</v>
      </c>
      <c r="Q41" s="307">
        <f>+P41*INPUT!$F$30</f>
        <v>0</v>
      </c>
      <c r="R41" s="306">
        <f t="shared" si="0"/>
        <v>0</v>
      </c>
      <c r="S41" s="307">
        <f>+R41*INPUT!$F$30</f>
        <v>0</v>
      </c>
      <c r="T41" s="306">
        <f t="shared" si="1"/>
        <v>0</v>
      </c>
      <c r="U41" s="308">
        <f t="shared" si="6"/>
        <v>0</v>
      </c>
      <c r="V41" s="308">
        <f>+R41*INPUT!$F$53</f>
        <v>0</v>
      </c>
      <c r="W41" s="308">
        <f>+R41*INPUT!$F$52</f>
        <v>0</v>
      </c>
      <c r="X41" s="158" t="str">
        <f t="shared" si="7"/>
        <v>No</v>
      </c>
      <c r="Y41" s="158" t="str">
        <f t="shared" si="8"/>
        <v>No</v>
      </c>
      <c r="Z41" s="180" t="str">
        <f>IF(X41="No",'TOXIC Calculations'!$AB$11,IF(Y41="No",'TOXIC Calculations'!$AB$12,'TOXIC Calculations'!$AB$13))</f>
        <v>NOTE 1</v>
      </c>
      <c r="AA41" s="349"/>
      <c r="AB41" s="350"/>
      <c r="AC41" s="350" t="str">
        <f t="shared" si="2"/>
        <v>NO. Based on facility-wide potential.</v>
      </c>
      <c r="AD41" s="350"/>
      <c r="AE41" s="350"/>
    </row>
    <row r="42" spans="1:31" ht="12" thickBot="1">
      <c r="A42" s="177"/>
      <c r="B42" s="39" t="s">
        <v>301</v>
      </c>
      <c r="C42" s="32" t="s">
        <v>302</v>
      </c>
      <c r="D42" s="32" t="s">
        <v>286</v>
      </c>
      <c r="E42" s="32" t="s">
        <v>286</v>
      </c>
      <c r="F42" s="343"/>
      <c r="G42" s="186"/>
      <c r="H42" s="186"/>
      <c r="I42" s="187"/>
      <c r="J42" s="299">
        <f>IF(AND(type=1,fuel=1),+'HAPTAP Factors'!F173,IF(AND(type=1,fuel=2),+'HAPTAP Factors'!F173,IF(AND(type=1,fuel=3),+'HAPTAP Factors'!G173,IF(AND(type=2,fuel=1),+'HAPTAP Factors'!I173,IF(AND(type=2,fuel=2),+'HAPTAP Factors'!J173,IF(AND(type=2,fuel=3),+'HAPTAP Factors'!K173))))))</f>
        <v>9.0000000000000006E-5</v>
      </c>
      <c r="K42" s="303">
        <f>+J42*INPUT!$F$30</f>
        <v>2.7000000000000003E-2</v>
      </c>
      <c r="L42" s="310">
        <f>+'Silo and loadout calculations'!F17</f>
        <v>2.4671523176397665E-6</v>
      </c>
      <c r="M42" s="311">
        <f>+'Silo and loadout calculations'!H17</f>
        <v>7.4014569529192993E-4</v>
      </c>
      <c r="N42" s="312">
        <f>+'Silo and loadout calculations'!G17</f>
        <v>2.2754348298482932E-6</v>
      </c>
      <c r="O42" s="311">
        <f>+'Silo and loadout calculations'!I17</f>
        <v>6.8263044895448799E-4</v>
      </c>
      <c r="P42" s="196">
        <f>+'Silo and loadout calculations'!J17</f>
        <v>4.7425871474880597E-6</v>
      </c>
      <c r="Q42" s="311">
        <f>+P42*INPUT!$F$30</f>
        <v>1.4227761442464179E-3</v>
      </c>
      <c r="R42" s="294">
        <f t="shared" si="0"/>
        <v>9.4742587147488068E-5</v>
      </c>
      <c r="S42" s="295">
        <f>+R42*INPUT!$F$30</f>
        <v>2.8422776144246421E-2</v>
      </c>
      <c r="T42" s="294">
        <f t="shared" si="1"/>
        <v>0.68214662746191412</v>
      </c>
      <c r="U42" s="298">
        <f t="shared" ref="U42:U58" si="9">+S42*8760</f>
        <v>248.98351902359863</v>
      </c>
      <c r="V42" s="298">
        <f>+R42*INPUT!$F$53</f>
        <v>0</v>
      </c>
      <c r="W42" s="295">
        <f>+R42*INPUT!$F$52</f>
        <v>23.685646786872017</v>
      </c>
      <c r="X42" s="188"/>
      <c r="Y42" s="188"/>
      <c r="Z42" s="189"/>
      <c r="AA42" s="32"/>
    </row>
    <row r="43" spans="1:31">
      <c r="A43" s="177"/>
      <c r="B43" s="39" t="s">
        <v>303</v>
      </c>
      <c r="C43" s="32" t="s">
        <v>304</v>
      </c>
      <c r="D43" s="32" t="s">
        <v>286</v>
      </c>
      <c r="E43" s="32" t="s">
        <v>287</v>
      </c>
      <c r="F43" s="344"/>
      <c r="G43" s="188"/>
      <c r="H43" s="188"/>
      <c r="I43" s="189"/>
      <c r="J43" s="299">
        <f>IF(AND(type=1,fuel=1),+'HAPTAP Factors'!F195,IF(AND(type=1,fuel=2),+'HAPTAP Factors'!F195,IF(AND(type=1,fuel=3),+'HAPTAP Factors'!G195,IF(AND(type=2,fuel=1),+'HAPTAP Factors'!I195,IF(AND(type=2,fuel=2),+'HAPTAP Factors'!J195,IF(AND(type=2,fuel=3),+'HAPTAP Factors'!K195))))))</f>
        <v>2.8E-5</v>
      </c>
      <c r="K43" s="303">
        <f>+J43*INPUT!$F$30</f>
        <v>8.3999999999999995E-3</v>
      </c>
      <c r="L43" s="301"/>
      <c r="M43" s="332"/>
      <c r="N43" s="313"/>
      <c r="O43" s="332"/>
      <c r="P43" s="313"/>
      <c r="Q43" s="302" t="s">
        <v>289</v>
      </c>
      <c r="R43" s="299">
        <f t="shared" si="0"/>
        <v>2.8E-5</v>
      </c>
      <c r="S43" s="300">
        <f>+R43*INPUT!$F$30</f>
        <v>8.3999999999999995E-3</v>
      </c>
      <c r="T43" s="299">
        <f t="shared" si="1"/>
        <v>0.2016</v>
      </c>
      <c r="U43" s="303">
        <f t="shared" si="9"/>
        <v>73.583999999999989</v>
      </c>
      <c r="V43" s="303">
        <f>+R43*INPUT!$F$53</f>
        <v>0</v>
      </c>
      <c r="W43" s="300">
        <f>+R43*INPUT!$F$52</f>
        <v>7</v>
      </c>
      <c r="X43" s="188"/>
      <c r="Y43" s="188"/>
      <c r="Z43" s="189"/>
      <c r="AA43" s="32"/>
    </row>
    <row r="44" spans="1:31">
      <c r="A44" s="177"/>
      <c r="B44" s="39" t="s">
        <v>305</v>
      </c>
      <c r="C44" s="32" t="s">
        <v>306</v>
      </c>
      <c r="D44" s="32" t="s">
        <v>286</v>
      </c>
      <c r="E44" s="32" t="s">
        <v>287</v>
      </c>
      <c r="F44" s="344"/>
      <c r="G44" s="188"/>
      <c r="H44" s="188"/>
      <c r="I44" s="189"/>
      <c r="J44" s="299">
        <f>IF(AND(type=1,fuel=1),+'HAPTAP Factors'!F198,IF(AND(type=1,fuel=2),+'HAPTAP Factors'!F198,IF(AND(type=1,fuel=3),+'HAPTAP Factors'!G198,IF(AND(type=2,fuel=1),+'HAPTAP Factors'!I198,IF(AND(type=2,fuel=2),+'HAPTAP Factors'!J198,IF(AND(type=2,fuel=3),+'HAPTAP Factors'!K198))))))</f>
        <v>1.9000000000000001E-4</v>
      </c>
      <c r="K44" s="303">
        <f>+J44*INPUT!$F$30</f>
        <v>5.7000000000000002E-2</v>
      </c>
      <c r="L44" s="301"/>
      <c r="M44" s="332"/>
      <c r="N44" s="313"/>
      <c r="O44" s="332"/>
      <c r="P44" s="313"/>
      <c r="Q44" s="302" t="s">
        <v>289</v>
      </c>
      <c r="R44" s="299">
        <f t="shared" si="0"/>
        <v>1.9000000000000001E-4</v>
      </c>
      <c r="S44" s="300">
        <f>+R44*INPUT!$F$30</f>
        <v>5.7000000000000002E-2</v>
      </c>
      <c r="T44" s="299">
        <f t="shared" si="1"/>
        <v>1.3680000000000001</v>
      </c>
      <c r="U44" s="303">
        <f t="shared" si="9"/>
        <v>499.32</v>
      </c>
      <c r="V44" s="303">
        <f>+R44*INPUT!$F$53</f>
        <v>0</v>
      </c>
      <c r="W44" s="300">
        <f>+R44*INPUT!$F$52</f>
        <v>47.5</v>
      </c>
      <c r="X44" s="188"/>
      <c r="Y44" s="188"/>
      <c r="Z44" s="189"/>
      <c r="AA44" s="32"/>
    </row>
    <row r="45" spans="1:31">
      <c r="A45" s="177"/>
      <c r="B45" s="39" t="s">
        <v>307</v>
      </c>
      <c r="C45" s="32" t="s">
        <v>308</v>
      </c>
      <c r="D45" s="32" t="s">
        <v>286</v>
      </c>
      <c r="E45" s="32" t="s">
        <v>287</v>
      </c>
      <c r="F45" s="344"/>
      <c r="G45" s="188"/>
      <c r="H45" s="188"/>
      <c r="I45" s="189"/>
      <c r="J45" s="299">
        <f>IF(AND(type=1,fuel=1),+'HAPTAP Factors'!F201,IF(AND(type=1,fuel=2),+'HAPTAP Factors'!F201,IF(AND(type=1,fuel=3),+'HAPTAP Factors'!G201,IF(AND(type=2,fuel=1),+'HAPTAP Factors'!I201,IF(AND(type=2,fuel=2),+'HAPTAP Factors'!J201,IF(AND(type=2,fuel=3),+'HAPTAP Factors'!K201))))))</f>
        <v>0</v>
      </c>
      <c r="K45" s="303">
        <f>+J45*INPUT!$F$30</f>
        <v>0</v>
      </c>
      <c r="L45" s="301"/>
      <c r="M45" s="332"/>
      <c r="N45" s="313"/>
      <c r="O45" s="332"/>
      <c r="P45" s="313"/>
      <c r="Q45" s="302" t="s">
        <v>289</v>
      </c>
      <c r="R45" s="299">
        <f t="shared" si="0"/>
        <v>0</v>
      </c>
      <c r="S45" s="300">
        <f>+R45*INPUT!$F$30</f>
        <v>0</v>
      </c>
      <c r="T45" s="299">
        <f t="shared" si="1"/>
        <v>0</v>
      </c>
      <c r="U45" s="303">
        <f t="shared" si="9"/>
        <v>0</v>
      </c>
      <c r="V45" s="303">
        <f>+R45*INPUT!$F$53</f>
        <v>0</v>
      </c>
      <c r="W45" s="300">
        <f>+R45*INPUT!$F$52</f>
        <v>0</v>
      </c>
      <c r="X45" s="188"/>
      <c r="Y45" s="188"/>
      <c r="Z45" s="189"/>
      <c r="AA45" s="32"/>
    </row>
    <row r="46" spans="1:31">
      <c r="A46" s="177"/>
      <c r="B46" s="39" t="s">
        <v>309</v>
      </c>
      <c r="C46" s="32" t="s">
        <v>310</v>
      </c>
      <c r="D46" s="32" t="s">
        <v>286</v>
      </c>
      <c r="E46" s="32" t="s">
        <v>287</v>
      </c>
      <c r="F46" s="344"/>
      <c r="G46" s="188"/>
      <c r="H46" s="188"/>
      <c r="I46" s="189"/>
      <c r="J46" s="299">
        <f>IF(AND(type=1,fuel=1),+'HAPTAP Factors'!F207,IF(AND(type=1,fuel=2),+'HAPTAP Factors'!F207,IF(AND(type=1,fuel=3),+'HAPTAP Factors'!G207,IF(AND(type=2,fuel=1),+'HAPTAP Factors'!I207,IF(AND(type=2,fuel=2),+'HAPTAP Factors'!J207,IF(AND(type=2,fuel=3),+'HAPTAP Factors'!K207))))))</f>
        <v>0</v>
      </c>
      <c r="K46" s="303">
        <f>+J46*INPUT!$F$30</f>
        <v>0</v>
      </c>
      <c r="L46" s="301"/>
      <c r="M46" s="332"/>
      <c r="N46" s="313"/>
      <c r="O46" s="332"/>
      <c r="P46" s="313"/>
      <c r="Q46" s="302" t="s">
        <v>289</v>
      </c>
      <c r="R46" s="299">
        <f t="shared" si="0"/>
        <v>0</v>
      </c>
      <c r="S46" s="300">
        <f>+R46*INPUT!$F$30</f>
        <v>0</v>
      </c>
      <c r="T46" s="299">
        <f t="shared" si="1"/>
        <v>0</v>
      </c>
      <c r="U46" s="303">
        <f t="shared" si="9"/>
        <v>0</v>
      </c>
      <c r="V46" s="303">
        <f>+R46*INPUT!$F$53</f>
        <v>0</v>
      </c>
      <c r="W46" s="300">
        <f>+R46*INPUT!$F$52</f>
        <v>0</v>
      </c>
      <c r="X46" s="188"/>
      <c r="Y46" s="188"/>
      <c r="Z46" s="189"/>
      <c r="AA46" s="32"/>
    </row>
    <row r="47" spans="1:31" ht="12" thickBot="1">
      <c r="A47" s="177"/>
      <c r="B47" s="39" t="s">
        <v>311</v>
      </c>
      <c r="C47" s="32" t="s">
        <v>312</v>
      </c>
      <c r="D47" s="32" t="s">
        <v>286</v>
      </c>
      <c r="E47" s="32" t="s">
        <v>287</v>
      </c>
      <c r="F47" s="344"/>
      <c r="G47" s="188"/>
      <c r="H47" s="188"/>
      <c r="I47" s="189"/>
      <c r="J47" s="299">
        <f>IF(AND(type=1,fuel=1),+'HAPTAP Factors'!F208,IF(AND(type=1,fuel=2),+'HAPTAP Factors'!F208,IF(AND(type=1,fuel=3),+'HAPTAP Factors'!G208,IF(AND(type=2,fuel=1),+'HAPTAP Factors'!I208,IF(AND(type=2,fuel=2),+'HAPTAP Factors'!J208,IF(AND(type=2,fuel=3),+'HAPTAP Factors'!K208))))))</f>
        <v>3.4999999999999998E-7</v>
      </c>
      <c r="K47" s="303">
        <f>+J47*INPUT!$F$30</f>
        <v>1.0499999999999999E-4</v>
      </c>
      <c r="L47" s="301"/>
      <c r="M47" s="332"/>
      <c r="N47" s="313"/>
      <c r="O47" s="332"/>
      <c r="P47" s="313"/>
      <c r="Q47" s="302" t="s">
        <v>289</v>
      </c>
      <c r="R47" s="299">
        <f t="shared" si="0"/>
        <v>3.4999999999999998E-7</v>
      </c>
      <c r="S47" s="300">
        <f>+R47*INPUT!$F$30</f>
        <v>1.0499999999999999E-4</v>
      </c>
      <c r="T47" s="299">
        <f t="shared" si="1"/>
        <v>2.5199999999999997E-3</v>
      </c>
      <c r="U47" s="303">
        <f t="shared" si="9"/>
        <v>0.91979999999999995</v>
      </c>
      <c r="V47" s="303">
        <f>+R47*INPUT!$F$53</f>
        <v>0</v>
      </c>
      <c r="W47" s="300">
        <f>+R47*INPUT!$F$52</f>
        <v>8.7499999999999994E-2</v>
      </c>
      <c r="X47" s="188"/>
      <c r="Y47" s="188"/>
      <c r="Z47" s="189"/>
      <c r="AA47" s="32"/>
    </row>
    <row r="48" spans="1:31" ht="12" thickBot="1">
      <c r="A48" s="177"/>
      <c r="B48" s="39" t="s">
        <v>313</v>
      </c>
      <c r="C48" s="32" t="s">
        <v>314</v>
      </c>
      <c r="D48" s="32" t="s">
        <v>286</v>
      </c>
      <c r="E48" s="32" t="s">
        <v>286</v>
      </c>
      <c r="F48" s="344"/>
      <c r="G48" s="188"/>
      <c r="H48" s="188"/>
      <c r="I48" s="189"/>
      <c r="J48" s="299">
        <f>IF(AND(type=1,fuel=1),+'HAPTAP Factors'!F231,IF(AND(type=1,fuel=2),+'HAPTAP Factors'!F231,IF(AND(type=1,fuel=3),+'HAPTAP Factors'!G231,IF(AND(type=2,fuel=1),+'HAPTAP Factors'!I231,IF(AND(type=2,fuel=2),+'HAPTAP Factors'!J231,IF(AND(type=2,fuel=3),+'HAPTAP Factors'!K231))))))</f>
        <v>4.0000000000000003E-5</v>
      </c>
      <c r="K48" s="303">
        <f>+J48*INPUT!$F$30</f>
        <v>1.2E-2</v>
      </c>
      <c r="L48" s="310">
        <f>+'Silo and loadout calculations'!F35</f>
        <v>2.0171003563999849E-8</v>
      </c>
      <c r="M48" s="311">
        <f>+'Silo and loadout calculations'!H35</f>
        <v>6.0513010691999552E-6</v>
      </c>
      <c r="N48" s="312">
        <f>+'Silo and loadout calculations'!G35</f>
        <v>3.9970191394101082E-8</v>
      </c>
      <c r="O48" s="311">
        <f>+'Silo and loadout calculations'!I35</f>
        <v>1.1991057418230324E-5</v>
      </c>
      <c r="P48" s="196">
        <f>+'Silo and loadout calculations'!J35</f>
        <v>6.0141194958100935E-8</v>
      </c>
      <c r="Q48" s="311">
        <f>+P48*INPUT!$F$30</f>
        <v>1.804235848743028E-5</v>
      </c>
      <c r="R48" s="299">
        <f t="shared" si="0"/>
        <v>4.0060141194958102E-5</v>
      </c>
      <c r="S48" s="300">
        <f>+R48*INPUT!$F$30</f>
        <v>1.201804235848743E-2</v>
      </c>
      <c r="T48" s="299">
        <f t="shared" si="1"/>
        <v>0.28843301660369836</v>
      </c>
      <c r="U48" s="303">
        <f t="shared" si="9"/>
        <v>105.2780510603499</v>
      </c>
      <c r="V48" s="303">
        <f>+R48*INPUT!$F$53</f>
        <v>0</v>
      </c>
      <c r="W48" s="300">
        <f>+R48*INPUT!$F$52</f>
        <v>10.015035298739525</v>
      </c>
      <c r="X48" s="188"/>
      <c r="Y48" s="188"/>
      <c r="Z48" s="189"/>
      <c r="AA48" s="32"/>
    </row>
    <row r="49" spans="1:27">
      <c r="A49" s="177"/>
      <c r="B49" s="39" t="s">
        <v>315</v>
      </c>
      <c r="C49" s="32" t="s">
        <v>316</v>
      </c>
      <c r="D49" s="32" t="s">
        <v>286</v>
      </c>
      <c r="E49" s="32" t="s">
        <v>287</v>
      </c>
      <c r="F49" s="344"/>
      <c r="G49" s="188"/>
      <c r="H49" s="188"/>
      <c r="I49" s="189"/>
      <c r="J49" s="299">
        <f>IF(AND(type=1,fuel=1),+'HAPTAP Factors'!F28,IF(AND(type=1,fuel=2),+'HAPTAP Factors'!F28,IF(AND(type=1,fuel=3),+'HAPTAP Factors'!G28,IF(AND(type=2,fuel=1),+'HAPTAP Factors'!I28,IF(AND(type=2,fuel=2),+'HAPTAP Factors'!J28,IF(AND(type=2,fuel=3),+'HAPTAP Factors'!K28))))))</f>
        <v>1.8E-7</v>
      </c>
      <c r="K49" s="303">
        <f>+J49*INPUT!$F$30</f>
        <v>5.3999999999999998E-5</v>
      </c>
      <c r="L49" s="301"/>
      <c r="M49" s="332"/>
      <c r="N49" s="313"/>
      <c r="O49" s="332"/>
      <c r="P49" s="313"/>
      <c r="Q49" s="302" t="s">
        <v>289</v>
      </c>
      <c r="R49" s="299">
        <f t="shared" si="0"/>
        <v>1.8E-7</v>
      </c>
      <c r="S49" s="300">
        <f>+R49*INPUT!$F$30</f>
        <v>5.3999999999999998E-5</v>
      </c>
      <c r="T49" s="299">
        <f t="shared" si="1"/>
        <v>1.2959999999999998E-3</v>
      </c>
      <c r="U49" s="303">
        <f t="shared" si="9"/>
        <v>0.47303999999999996</v>
      </c>
      <c r="V49" s="303">
        <f>+R49*INPUT!$F$53</f>
        <v>0</v>
      </c>
      <c r="W49" s="300">
        <f>+R49*INPUT!$F$52</f>
        <v>4.4999999999999998E-2</v>
      </c>
      <c r="X49" s="188"/>
      <c r="Y49" s="188"/>
      <c r="Z49" s="189"/>
      <c r="AA49" s="32"/>
    </row>
    <row r="50" spans="1:27">
      <c r="A50" s="177"/>
      <c r="B50" s="39" t="s">
        <v>317</v>
      </c>
      <c r="C50" s="32" t="s">
        <v>318</v>
      </c>
      <c r="D50" s="32" t="s">
        <v>286</v>
      </c>
      <c r="E50" s="32" t="s">
        <v>287</v>
      </c>
      <c r="F50" s="344"/>
      <c r="G50" s="188"/>
      <c r="H50" s="188"/>
      <c r="I50" s="189"/>
      <c r="J50" s="299">
        <f>IF(AND(type=1,fuel=1),+'HAPTAP Factors'!F67,IF(AND(type=1,fuel=2),+'HAPTAP Factors'!F67,IF(AND(type=1,fuel=3),+'HAPTAP Factors'!G67,IF(AND(type=2,fuel=1),+'HAPTAP Factors'!I67,IF(AND(type=2,fuel=2),+'HAPTAP Factors'!J67,IF(AND(type=2,fuel=3),+'HAPTAP Factors'!K67))))))</f>
        <v>5.0499999999999999E-6</v>
      </c>
      <c r="K50" s="303">
        <f>+J50*INPUT!$F$30</f>
        <v>1.5150000000000001E-3</v>
      </c>
      <c r="L50" s="301"/>
      <c r="M50" s="332"/>
      <c r="N50" s="313"/>
      <c r="O50" s="332"/>
      <c r="P50" s="313"/>
      <c r="Q50" s="302" t="s">
        <v>289</v>
      </c>
      <c r="R50" s="299">
        <f t="shared" si="0"/>
        <v>5.0499999999999999E-6</v>
      </c>
      <c r="S50" s="300">
        <f>+R50*INPUT!$F$30</f>
        <v>1.5150000000000001E-3</v>
      </c>
      <c r="T50" s="299">
        <f t="shared" si="1"/>
        <v>3.6360000000000003E-2</v>
      </c>
      <c r="U50" s="303">
        <f t="shared" si="9"/>
        <v>13.2714</v>
      </c>
      <c r="V50" s="303">
        <f>+R50*INPUT!$F$53</f>
        <v>0</v>
      </c>
      <c r="W50" s="300">
        <f>+R50*INPUT!$F$52</f>
        <v>1.2625</v>
      </c>
      <c r="X50" s="188"/>
      <c r="Y50" s="188"/>
      <c r="Z50" s="189"/>
      <c r="AA50" s="32"/>
    </row>
    <row r="51" spans="1:27" ht="12" thickBot="1">
      <c r="A51" s="177"/>
      <c r="B51" s="39" t="s">
        <v>319</v>
      </c>
      <c r="C51" s="32" t="s">
        <v>320</v>
      </c>
      <c r="D51" s="32" t="s">
        <v>286</v>
      </c>
      <c r="E51" s="32" t="s">
        <v>287</v>
      </c>
      <c r="F51" s="344"/>
      <c r="G51" s="188"/>
      <c r="H51" s="188"/>
      <c r="I51" s="189"/>
      <c r="J51" s="299">
        <f>IF(AND(type=1,fuel=1),+'HAPTAP Factors'!F71,IF(AND(type=1,fuel=2),+'HAPTAP Factors'!F71,IF(AND(type=1,fuel=3),+'HAPTAP Factors'!G71,IF(AND(type=2,fuel=1),+'HAPTAP Factors'!I71,IF(AND(type=2,fuel=2),+'HAPTAP Factors'!J71,IF(AND(type=2,fuel=3),+'HAPTAP Factors'!K71))))))</f>
        <v>2.6000000000000001E-8</v>
      </c>
      <c r="K51" s="303">
        <f>+J51*INPUT!$F$30</f>
        <v>7.7999999999999999E-6</v>
      </c>
      <c r="L51" s="301"/>
      <c r="M51" s="332"/>
      <c r="N51" s="313"/>
      <c r="O51" s="332"/>
      <c r="P51" s="313"/>
      <c r="Q51" s="302" t="s">
        <v>289</v>
      </c>
      <c r="R51" s="299">
        <f t="shared" si="0"/>
        <v>2.6000000000000001E-8</v>
      </c>
      <c r="S51" s="300">
        <f>+R51*INPUT!$F$30</f>
        <v>7.7999999999999999E-6</v>
      </c>
      <c r="T51" s="299">
        <f t="shared" si="1"/>
        <v>1.872E-4</v>
      </c>
      <c r="U51" s="303">
        <f t="shared" si="9"/>
        <v>6.8328E-2</v>
      </c>
      <c r="V51" s="303">
        <f>+R51*INPUT!$F$53</f>
        <v>0</v>
      </c>
      <c r="W51" s="300">
        <f>+R51*INPUT!$F$52</f>
        <v>6.5000000000000006E-3</v>
      </c>
      <c r="X51" s="188"/>
      <c r="Y51" s="188"/>
      <c r="Z51" s="189"/>
      <c r="AA51" s="32"/>
    </row>
    <row r="52" spans="1:27" ht="12" thickBot="1">
      <c r="A52" s="177"/>
      <c r="B52" s="39" t="s">
        <v>321</v>
      </c>
      <c r="C52" s="32" t="s">
        <v>322</v>
      </c>
      <c r="D52" s="32" t="s">
        <v>286</v>
      </c>
      <c r="E52" s="32" t="s">
        <v>286</v>
      </c>
      <c r="F52" s="344"/>
      <c r="G52" s="188"/>
      <c r="H52" s="188"/>
      <c r="I52" s="189"/>
      <c r="J52" s="299">
        <f>IF(AND(type=1,fuel=1),+'HAPTAP Factors'!F112,IF(AND(type=1,fuel=2),+'HAPTAP Factors'!F112,IF(AND(type=1,fuel=3),+'HAPTAP Factors'!G112,IF(AND(type=2,fuel=1),+'HAPTAP Factors'!I112,IF(AND(type=2,fuel=2),+'HAPTAP Factors'!J112,IF(AND(type=2,fuel=3),+'HAPTAP Factors'!K112))))))</f>
        <v>2.4000000000000001E-4</v>
      </c>
      <c r="K52" s="303">
        <f>+J52*INPUT!$F$30</f>
        <v>7.2000000000000008E-2</v>
      </c>
      <c r="L52" s="310">
        <f>+'Silo and loadout calculations'!F24</f>
        <v>2.4725746304257873E-6</v>
      </c>
      <c r="M52" s="311">
        <f>+'Silo and loadout calculations'!H24</f>
        <v>7.4177238912773614E-4</v>
      </c>
      <c r="N52" s="312">
        <f>+'Silo and loadout calculations'!G24</f>
        <v>6.2175853279712794E-6</v>
      </c>
      <c r="O52" s="311">
        <f>+'Silo and loadout calculations'!I24</f>
        <v>1.8652755983913838E-3</v>
      </c>
      <c r="P52" s="196">
        <f>+'Silo and loadout calculations'!J24</f>
        <v>8.6901599583970662E-6</v>
      </c>
      <c r="Q52" s="311">
        <f>+P52*INPUT!$F$30</f>
        <v>2.6070479875191198E-3</v>
      </c>
      <c r="R52" s="299">
        <f t="shared" si="0"/>
        <v>2.4869015995839709E-4</v>
      </c>
      <c r="S52" s="300">
        <f>+R52*INPUT!$F$30</f>
        <v>7.4607047987519132E-2</v>
      </c>
      <c r="T52" s="299">
        <f t="shared" si="1"/>
        <v>1.7905691517004592</v>
      </c>
      <c r="U52" s="303">
        <f t="shared" si="9"/>
        <v>653.5577403706676</v>
      </c>
      <c r="V52" s="303">
        <f>+R52*INPUT!$F$53</f>
        <v>0</v>
      </c>
      <c r="W52" s="300">
        <f>+R52*INPUT!$F$52</f>
        <v>62.172539989599272</v>
      </c>
      <c r="X52" s="188"/>
      <c r="Y52" s="188"/>
      <c r="Z52" s="189"/>
      <c r="AA52" s="32"/>
    </row>
    <row r="53" spans="1:27" ht="12" thickBot="1">
      <c r="A53" s="177"/>
      <c r="B53" s="39" t="s">
        <v>323</v>
      </c>
      <c r="C53" s="32" t="s">
        <v>324</v>
      </c>
      <c r="D53" s="32" t="s">
        <v>286</v>
      </c>
      <c r="E53" s="32" t="s">
        <v>287</v>
      </c>
      <c r="F53" s="344"/>
      <c r="G53" s="188"/>
      <c r="H53" s="188"/>
      <c r="I53" s="189"/>
      <c r="J53" s="299">
        <f>IF(AND(type=1,fuel=1),+'HAPTAP Factors'!F146,IF(AND(type=1,fuel=2),+'HAPTAP Factors'!F146,IF(AND(type=1,fuel=3),+'HAPTAP Factors'!G146,IF(AND(type=2,fuel=1),+'HAPTAP Factors'!I146,IF(AND(type=2,fuel=2),+'HAPTAP Factors'!J146,IF(AND(type=2,fuel=3),+'HAPTAP Factors'!K146))))))</f>
        <v>6.1999999999999999E-7</v>
      </c>
      <c r="K53" s="303">
        <f>+J53*INPUT!$F$30</f>
        <v>1.8599999999999999E-4</v>
      </c>
      <c r="L53" s="301"/>
      <c r="M53" s="332"/>
      <c r="N53" s="313"/>
      <c r="O53" s="332"/>
      <c r="P53" s="313"/>
      <c r="Q53" s="302" t="s">
        <v>289</v>
      </c>
      <c r="R53" s="299">
        <f t="shared" si="0"/>
        <v>6.1999999999999999E-7</v>
      </c>
      <c r="S53" s="300">
        <f>+R53*INPUT!$F$30</f>
        <v>1.8599999999999999E-4</v>
      </c>
      <c r="T53" s="299">
        <f t="shared" si="1"/>
        <v>4.4640000000000001E-3</v>
      </c>
      <c r="U53" s="303">
        <f t="shared" si="9"/>
        <v>1.6293599999999999</v>
      </c>
      <c r="V53" s="303">
        <f>+R53*INPUT!$F$53</f>
        <v>0</v>
      </c>
      <c r="W53" s="300">
        <f>+R53*INPUT!$F$52</f>
        <v>0.155</v>
      </c>
      <c r="X53" s="188"/>
      <c r="Y53" s="188"/>
      <c r="Z53" s="189"/>
      <c r="AA53" s="32"/>
    </row>
    <row r="54" spans="1:27">
      <c r="A54" s="177"/>
      <c r="B54" s="39" t="s">
        <v>325</v>
      </c>
      <c r="C54" s="32" t="s">
        <v>326</v>
      </c>
      <c r="D54" s="32" t="s">
        <v>287</v>
      </c>
      <c r="E54" s="32" t="s">
        <v>286</v>
      </c>
      <c r="F54" s="346"/>
      <c r="G54" s="192"/>
      <c r="H54" s="192"/>
      <c r="I54" s="193"/>
      <c r="J54" s="304"/>
      <c r="K54" s="323"/>
      <c r="L54" s="294">
        <f>+'Silo and loadout calculations'!F20</f>
        <v>3.1883199181806206E-7</v>
      </c>
      <c r="M54" s="295">
        <f>+'Silo and loadout calculations'!H20</f>
        <v>9.5649597545418614E-5</v>
      </c>
      <c r="N54" s="298">
        <f>+'Silo and loadout calculations'!G20</f>
        <v>2.131743541018724E-7</v>
      </c>
      <c r="O54" s="295">
        <f>+'Silo and loadout calculations'!I20</f>
        <v>6.3952306230561715E-5</v>
      </c>
      <c r="P54" s="298">
        <f>+'Silo and loadout calculations'!J20</f>
        <v>5.3200634591993452E-7</v>
      </c>
      <c r="Q54" s="295">
        <f>+P54*INPUT!$F$30</f>
        <v>1.5960190377598034E-4</v>
      </c>
      <c r="R54" s="299">
        <f t="shared" si="0"/>
        <v>5.3200634591993452E-7</v>
      </c>
      <c r="S54" s="300">
        <f>+R54*INPUT!$F$30</f>
        <v>1.5960190377598034E-4</v>
      </c>
      <c r="T54" s="299">
        <f t="shared" si="1"/>
        <v>3.830445690623528E-3</v>
      </c>
      <c r="U54" s="303">
        <f t="shared" si="9"/>
        <v>1.3981126770775878</v>
      </c>
      <c r="V54" s="303">
        <f>+R54*INPUT!$F$53</f>
        <v>0</v>
      </c>
      <c r="W54" s="300">
        <f>+R54*INPUT!$F$52</f>
        <v>0.13300158647998364</v>
      </c>
      <c r="X54" s="192"/>
      <c r="Y54" s="192"/>
      <c r="Z54" s="189"/>
    </row>
    <row r="55" spans="1:27">
      <c r="A55" s="177"/>
      <c r="B55" s="39" t="s">
        <v>327</v>
      </c>
      <c r="C55" s="32" t="s">
        <v>328</v>
      </c>
      <c r="D55" s="32" t="s">
        <v>287</v>
      </c>
      <c r="E55" s="32" t="s">
        <v>286</v>
      </c>
      <c r="F55" s="346"/>
      <c r="G55" s="192"/>
      <c r="H55" s="192"/>
      <c r="I55" s="193"/>
      <c r="J55" s="304"/>
      <c r="K55" s="323"/>
      <c r="L55" s="299">
        <f>+'Silo and loadout calculations'!F23</f>
        <v>0</v>
      </c>
      <c r="M55" s="300">
        <f>+'Silo and loadout calculations'!H23</f>
        <v>0</v>
      </c>
      <c r="N55" s="303">
        <f>+'Silo and loadout calculations'!G23</f>
        <v>2.4426228074172882E-6</v>
      </c>
      <c r="O55" s="300">
        <f>+'Silo and loadout calculations'!I23</f>
        <v>7.3278684222518643E-4</v>
      </c>
      <c r="P55" s="303">
        <f>+'Silo and loadout calculations'!J23</f>
        <v>2.4426228074172882E-6</v>
      </c>
      <c r="Q55" s="300">
        <f>+P55*INPUT!$F$30</f>
        <v>7.3278684222518643E-4</v>
      </c>
      <c r="R55" s="299">
        <f t="shared" si="0"/>
        <v>2.4426228074172882E-6</v>
      </c>
      <c r="S55" s="300">
        <f>+R55*INPUT!$F$30</f>
        <v>7.3278684222518643E-4</v>
      </c>
      <c r="T55" s="299">
        <f t="shared" si="1"/>
        <v>1.7586884213404475E-2</v>
      </c>
      <c r="U55" s="303">
        <f t="shared" si="9"/>
        <v>6.4192127378926331</v>
      </c>
      <c r="V55" s="303">
        <f>+R55*INPUT!$F$53</f>
        <v>0</v>
      </c>
      <c r="W55" s="300">
        <f>+R55*INPUT!$F$52</f>
        <v>0.61065570185432205</v>
      </c>
      <c r="X55" s="192"/>
      <c r="Y55" s="192"/>
      <c r="Z55" s="189"/>
    </row>
    <row r="56" spans="1:27">
      <c r="A56" s="177"/>
      <c r="B56" s="39" t="s">
        <v>329</v>
      </c>
      <c r="C56" s="32" t="s">
        <v>330</v>
      </c>
      <c r="D56" s="32" t="s">
        <v>287</v>
      </c>
      <c r="E56" s="32" t="s">
        <v>286</v>
      </c>
      <c r="F56" s="346"/>
      <c r="G56" s="192"/>
      <c r="H56" s="192"/>
      <c r="I56" s="193"/>
      <c r="J56" s="304"/>
      <c r="K56" s="323"/>
      <c r="L56" s="299">
        <f>+'Silo and loadout calculations'!F25</f>
        <v>0</v>
      </c>
      <c r="M56" s="300">
        <f>+'Silo and loadout calculations'!H25</f>
        <v>0</v>
      </c>
      <c r="N56" s="303">
        <f>+'Silo and loadout calculations'!G25</f>
        <v>4.6631889959784596E-9</v>
      </c>
      <c r="O56" s="300">
        <f>+'Silo and loadout calculations'!I25</f>
        <v>1.3989566987935379E-6</v>
      </c>
      <c r="P56" s="303">
        <f>+'Silo and loadout calculations'!J25</f>
        <v>4.6631889959784596E-9</v>
      </c>
      <c r="Q56" s="300">
        <f>+P56*INPUT!$F$30</f>
        <v>1.3989566987935379E-6</v>
      </c>
      <c r="R56" s="299">
        <f t="shared" si="0"/>
        <v>4.6631889959784596E-9</v>
      </c>
      <c r="S56" s="300">
        <f>+R56*INPUT!$F$30</f>
        <v>1.3989566987935379E-6</v>
      </c>
      <c r="T56" s="299">
        <f t="shared" si="1"/>
        <v>3.357496077104491E-5</v>
      </c>
      <c r="U56" s="303">
        <f t="shared" si="9"/>
        <v>1.2254860681431392E-2</v>
      </c>
      <c r="V56" s="303">
        <f>+R56*INPUT!$F$53</f>
        <v>0</v>
      </c>
      <c r="W56" s="300">
        <f>+R56*INPUT!$F$52</f>
        <v>1.165797248994615E-3</v>
      </c>
      <c r="X56" s="192"/>
      <c r="Y56" s="192"/>
      <c r="Z56" s="189"/>
    </row>
    <row r="57" spans="1:27">
      <c r="A57" s="177"/>
      <c r="B57" s="39" t="s">
        <v>331</v>
      </c>
      <c r="C57" s="32" t="s">
        <v>332</v>
      </c>
      <c r="D57" s="32" t="s">
        <v>287</v>
      </c>
      <c r="E57" s="32" t="s">
        <v>286</v>
      </c>
      <c r="F57" s="346"/>
      <c r="G57" s="192"/>
      <c r="H57" s="192"/>
      <c r="I57" s="193"/>
      <c r="J57" s="304"/>
      <c r="K57" s="323"/>
      <c r="L57" s="299">
        <f>+'Silo and loadout calculations'!F28</f>
        <v>0</v>
      </c>
      <c r="M57" s="300">
        <f>+'Silo and loadout calculations'!H28</f>
        <v>0</v>
      </c>
      <c r="N57" s="303">
        <f>+'Silo and loadout calculations'!G28</f>
        <v>3.3308492828417569E-7</v>
      </c>
      <c r="O57" s="300">
        <f>+'Silo and loadout calculations'!I28</f>
        <v>9.9925478485252711E-5</v>
      </c>
      <c r="P57" s="303">
        <f>+'Silo and loadout calculations'!J28</f>
        <v>3.3308492828417569E-7</v>
      </c>
      <c r="Q57" s="300">
        <f>+P57*INPUT!$F$30</f>
        <v>9.9925478485252711E-5</v>
      </c>
      <c r="R57" s="299">
        <f t="shared" si="0"/>
        <v>3.3308492828417569E-7</v>
      </c>
      <c r="S57" s="300">
        <f>+R57*INPUT!$F$30</f>
        <v>9.9925478485252711E-5</v>
      </c>
      <c r="T57" s="299">
        <f t="shared" si="1"/>
        <v>2.398211483646065E-3</v>
      </c>
      <c r="U57" s="303">
        <f t="shared" si="9"/>
        <v>0.87534719153081375</v>
      </c>
      <c r="V57" s="303">
        <f>+R57*INPUT!$F$53</f>
        <v>0</v>
      </c>
      <c r="W57" s="300">
        <f>+R57*INPUT!$F$52</f>
        <v>8.3271232071043921E-2</v>
      </c>
      <c r="X57" s="192"/>
      <c r="Y57" s="192"/>
      <c r="Z57" s="189"/>
    </row>
    <row r="58" spans="1:27" ht="12" thickBot="1">
      <c r="A58" s="179"/>
      <c r="B58" s="45" t="s">
        <v>333</v>
      </c>
      <c r="C58" s="158" t="s">
        <v>334</v>
      </c>
      <c r="D58" s="158" t="s">
        <v>287</v>
      </c>
      <c r="E58" s="158" t="s">
        <v>286</v>
      </c>
      <c r="F58" s="347"/>
      <c r="G58" s="190"/>
      <c r="H58" s="198"/>
      <c r="I58" s="199"/>
      <c r="J58" s="305"/>
      <c r="K58" s="324"/>
      <c r="L58" s="306">
        <f>+'Silo and loadout calculations'!F37</f>
        <v>3.7088619456386816E-6</v>
      </c>
      <c r="M58" s="307">
        <f>+'Silo and loadout calculations'!H37</f>
        <v>1.1126585836916045E-3</v>
      </c>
      <c r="N58" s="308">
        <f>+'Silo and loadout calculations'!G37</f>
        <v>1.7764529508489371E-6</v>
      </c>
      <c r="O58" s="307">
        <f>+'Silo and loadout calculations'!I37</f>
        <v>5.3293588525468109E-4</v>
      </c>
      <c r="P58" s="308">
        <f>+'Silo and loadout calculations'!J37</f>
        <v>5.4853148964876187E-6</v>
      </c>
      <c r="Q58" s="307">
        <f>+P58*INPUT!$F$30</f>
        <v>1.6455944689462857E-3</v>
      </c>
      <c r="R58" s="306">
        <f t="shared" si="0"/>
        <v>5.4853148964876187E-6</v>
      </c>
      <c r="S58" s="307">
        <f>+R58*INPUT!$F$30</f>
        <v>1.6455944689462857E-3</v>
      </c>
      <c r="T58" s="306">
        <f t="shared" si="1"/>
        <v>3.9494267254710856E-2</v>
      </c>
      <c r="U58" s="308">
        <f t="shared" si="9"/>
        <v>14.415407547969462</v>
      </c>
      <c r="V58" s="308">
        <f>+R58*INPUT!$F$53</f>
        <v>0</v>
      </c>
      <c r="W58" s="307">
        <f>+R58*INPUT!$F$52</f>
        <v>1.3713287241219048</v>
      </c>
      <c r="X58" s="190"/>
      <c r="Y58" s="190"/>
      <c r="Z58" s="191"/>
    </row>
    <row r="59" spans="1:27" ht="12" thickBot="1">
      <c r="A59" s="168"/>
      <c r="B59" s="194" t="s">
        <v>139</v>
      </c>
      <c r="C59" s="170"/>
      <c r="D59" s="195"/>
      <c r="E59" s="195"/>
      <c r="F59" s="170"/>
      <c r="G59" s="170"/>
      <c r="H59" s="170"/>
      <c r="I59" s="171"/>
      <c r="J59" s="310">
        <f>IF(AND(type=1,fuel=1),+'HAPTAP Factors'!F244,IF(AND(type=1,fuel=2),+'HAPTAP Factors'!F244,IF(AND(type=1,fuel=3),+'HAPTAP Factors'!G244,IF(AND(type=2,fuel=1),+'HAPTAP Factors'!I244,IF(AND(type=2,fuel=2),+'HAPTAP Factors'!J244,IF(AND(type=2,fuel=3),+'HAPTAP Factors'!K244))))))</f>
        <v>5.3E-3</v>
      </c>
      <c r="K59" s="311">
        <f>+J59*INPUT!$F$30</f>
        <v>1.59</v>
      </c>
      <c r="L59" s="306">
        <f>+'Silo and loadout calculations'!F15</f>
        <v>1.0004167090209602E-4</v>
      </c>
      <c r="M59" s="307">
        <f>+'Silo and loadout calculations'!H15</f>
        <v>3.0012501270628805E-2</v>
      </c>
      <c r="N59" s="308">
        <f>+'Silo and loadout calculations'!G15</f>
        <v>4.6251166140594658E-5</v>
      </c>
      <c r="O59" s="307">
        <f>+'Silo and loadout calculations'!I15</f>
        <v>1.3875349842178397E-2</v>
      </c>
      <c r="P59" s="196">
        <f>+'Silo and loadout calculations'!J15</f>
        <v>1.4629283704269068E-4</v>
      </c>
      <c r="Q59" s="311">
        <f>+P59*INPUT!$F$30</f>
        <v>4.3887851112807207E-2</v>
      </c>
      <c r="R59" s="310">
        <f t="shared" si="0"/>
        <v>5.4462928370426905E-3</v>
      </c>
      <c r="S59" s="311">
        <f>+R59*INPUT!$F$30</f>
        <v>1.6338878511128072</v>
      </c>
      <c r="T59" s="310">
        <f t="shared" si="1"/>
        <v>39.213308426707371</v>
      </c>
      <c r="U59" s="312">
        <f>+S59*8760</f>
        <v>14312.85757574819</v>
      </c>
      <c r="V59" s="312">
        <f>+R59*INPUT!$F$53</f>
        <v>0</v>
      </c>
      <c r="W59" s="312">
        <f>+R59*INPUT!$F$52</f>
        <v>1361.5732092606727</v>
      </c>
      <c r="X59" s="170"/>
      <c r="Y59" s="197"/>
      <c r="Z59" s="171"/>
      <c r="AA59" s="32"/>
    </row>
    <row r="60" spans="1:27" s="159" customFormat="1">
      <c r="B60" s="39"/>
      <c r="C60" s="32"/>
      <c r="D60" s="32"/>
      <c r="E60" s="32"/>
      <c r="F60" s="32"/>
      <c r="G60" s="32"/>
      <c r="H60" s="32"/>
      <c r="I60" s="32"/>
      <c r="J60" s="147"/>
      <c r="K60" s="147"/>
      <c r="L60" s="147"/>
      <c r="M60" s="147"/>
      <c r="N60" s="147"/>
      <c r="O60" s="147"/>
      <c r="Q60" s="147"/>
      <c r="R60" s="147"/>
      <c r="S60" s="147"/>
      <c r="T60" s="147"/>
      <c r="U60" s="147"/>
      <c r="V60" s="147"/>
      <c r="W60" s="147"/>
      <c r="X60" s="32"/>
      <c r="Y60" s="32"/>
      <c r="Z60" s="98"/>
      <c r="AA60" s="32"/>
    </row>
  </sheetData>
  <sheetProtection password="A767" sheet="1"/>
  <mergeCells count="24">
    <mergeCell ref="Z11:Z14"/>
    <mergeCell ref="V11:V14"/>
    <mergeCell ref="X11:X14"/>
    <mergeCell ref="Y11:Y14"/>
    <mergeCell ref="W10:W14"/>
    <mergeCell ref="U11:U14"/>
    <mergeCell ref="P11:P14"/>
    <mergeCell ref="R11:R14"/>
    <mergeCell ref="L10:M10"/>
    <mergeCell ref="N10:O10"/>
    <mergeCell ref="S11:S14"/>
    <mergeCell ref="T11:T14"/>
    <mergeCell ref="L11:L14"/>
    <mergeCell ref="M11:M14"/>
    <mergeCell ref="N11:N14"/>
    <mergeCell ref="O11:O14"/>
    <mergeCell ref="A4:D8"/>
    <mergeCell ref="A1:D3"/>
    <mergeCell ref="R10:S10"/>
    <mergeCell ref="J11:J14"/>
    <mergeCell ref="K11:K14"/>
    <mergeCell ref="J10:K10"/>
    <mergeCell ref="P10:Q10"/>
    <mergeCell ref="Q11:Q14"/>
  </mergeCells>
  <phoneticPr fontId="0" type="noConversion"/>
  <conditionalFormatting sqref="B9:AA9 B60:AA60 L15:O59 B15:K58 P15:AA58">
    <cfRule type="expression" dxfId="4" priority="1" stopIfTrue="1">
      <formula>+$Z9="NOTE 3"</formula>
    </cfRule>
    <cfRule type="expression" dxfId="3" priority="2" stopIfTrue="1">
      <formula>+$Z9="NOTE 2"</formula>
    </cfRule>
  </conditionalFormatting>
  <conditionalFormatting sqref="W10:W14">
    <cfRule type="expression" dxfId="2" priority="3" stopIfTrue="1">
      <formula>$AC$7=1</formula>
    </cfRule>
  </conditionalFormatting>
  <printOptions horizontalCentered="1"/>
  <pageMargins left="0.25" right="0.25" top="0.35" bottom="0.25" header="0" footer="0"/>
  <pageSetup scale="47" fitToHeight="2" orientation="landscape" r:id="rId1"/>
  <headerFooter alignWithMargins="0"/>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workbookViewId="0">
      <selection activeCell="A60" sqref="A60:E60"/>
    </sheetView>
  </sheetViews>
  <sheetFormatPr defaultColWidth="8.85546875" defaultRowHeight="12.95"/>
  <cols>
    <col min="4" max="4" width="9.28515625" customWidth="1"/>
  </cols>
  <sheetData>
    <row r="1" spans="1:8">
      <c r="A1" t="s">
        <v>335</v>
      </c>
    </row>
    <row r="2" spans="1:8">
      <c r="A2" t="s">
        <v>336</v>
      </c>
      <c r="C2">
        <f>+INPUT!F47</f>
        <v>10</v>
      </c>
      <c r="D2" t="s">
        <v>337</v>
      </c>
    </row>
    <row r="3" spans="1:8">
      <c r="A3" t="s">
        <v>338</v>
      </c>
      <c r="C3" s="206">
        <f>+INPUT!F48</f>
        <v>0.5</v>
      </c>
      <c r="D3" t="s">
        <v>339</v>
      </c>
    </row>
    <row r="4" spans="1:8">
      <c r="A4" t="s">
        <v>340</v>
      </c>
    </row>
    <row r="6" spans="1:8">
      <c r="A6" t="s">
        <v>341</v>
      </c>
    </row>
    <row r="7" spans="1:8">
      <c r="A7" t="s">
        <v>342</v>
      </c>
    </row>
    <row r="8" spans="1:8">
      <c r="A8" t="s">
        <v>343</v>
      </c>
      <c r="C8" s="93">
        <v>140</v>
      </c>
      <c r="D8" t="s">
        <v>344</v>
      </c>
    </row>
    <row r="10" spans="1:8">
      <c r="C10" t="s">
        <v>129</v>
      </c>
      <c r="D10" t="s">
        <v>345</v>
      </c>
      <c r="H10" t="s">
        <v>345</v>
      </c>
    </row>
    <row r="11" spans="1:8">
      <c r="C11" s="887"/>
      <c r="D11" s="887" t="s">
        <v>346</v>
      </c>
      <c r="H11" s="887" t="s">
        <v>347</v>
      </c>
    </row>
    <row r="12" spans="1:8">
      <c r="C12" s="888"/>
      <c r="D12" s="888"/>
      <c r="H12" s="888"/>
    </row>
    <row r="13" spans="1:8">
      <c r="C13" s="88" t="s">
        <v>135</v>
      </c>
      <c r="D13">
        <v>142</v>
      </c>
      <c r="E13" t="s">
        <v>348</v>
      </c>
      <c r="F13" t="s">
        <v>349</v>
      </c>
      <c r="H13" s="157">
        <f>+D13*C3/C8</f>
        <v>0.50714285714285712</v>
      </c>
    </row>
    <row r="14" spans="1:8">
      <c r="C14" s="88" t="s">
        <v>137</v>
      </c>
      <c r="D14">
        <v>20</v>
      </c>
      <c r="H14" s="157">
        <f>+D14/$C$8</f>
        <v>0.14285714285714285</v>
      </c>
    </row>
    <row r="15" spans="1:8">
      <c r="C15" s="88" t="s">
        <v>136</v>
      </c>
      <c r="D15">
        <v>5</v>
      </c>
      <c r="H15" s="157">
        <f t="shared" ref="H15:H20" si="0">+D15/$C$8</f>
        <v>3.5714285714285712E-2</v>
      </c>
    </row>
    <row r="16" spans="1:8">
      <c r="C16" s="88" t="s">
        <v>350</v>
      </c>
      <c r="D16">
        <v>0.34</v>
      </c>
      <c r="H16" s="157">
        <f t="shared" si="0"/>
        <v>2.4285714285714288E-3</v>
      </c>
    </row>
    <row r="17" spans="3:8">
      <c r="C17" s="88" t="s">
        <v>351</v>
      </c>
      <c r="D17">
        <v>2</v>
      </c>
      <c r="H17" s="157">
        <f t="shared" si="0"/>
        <v>1.4285714285714285E-2</v>
      </c>
    </row>
    <row r="18" spans="3:8">
      <c r="C18" s="88" t="s">
        <v>352</v>
      </c>
      <c r="D18">
        <v>1.3</v>
      </c>
      <c r="H18" s="157">
        <f t="shared" si="0"/>
        <v>9.285714285714286E-3</v>
      </c>
    </row>
    <row r="19" spans="3:8">
      <c r="C19" s="88" t="s">
        <v>353</v>
      </c>
      <c r="D19">
        <f>+D17+D18</f>
        <v>3.3</v>
      </c>
      <c r="H19" s="157">
        <f t="shared" si="0"/>
        <v>2.357142857142857E-2</v>
      </c>
    </row>
    <row r="20" spans="3:8">
      <c r="C20" s="88" t="s">
        <v>354</v>
      </c>
      <c r="D20">
        <f>+D19</f>
        <v>3.3</v>
      </c>
      <c r="H20" s="157">
        <f t="shared" si="0"/>
        <v>2.357142857142857E-2</v>
      </c>
    </row>
  </sheetData>
  <sheetProtection password="D8A4" sheet="1" objects="1" scenarios="1"/>
  <mergeCells count="3">
    <mergeCell ref="D11:D12"/>
    <mergeCell ref="C11:C12"/>
    <mergeCell ref="H11:H12"/>
  </mergeCells>
  <phoneticPr fontId="0" type="noConversion"/>
  <printOptions horizontalCentered="1"/>
  <pageMargins left="0.25" right="0.25" top="0.35" bottom="0.25" header="0" footer="0"/>
  <pageSetup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9"/>
  <sheetViews>
    <sheetView workbookViewId="0">
      <selection activeCell="D1" sqref="D1"/>
    </sheetView>
  </sheetViews>
  <sheetFormatPr defaultColWidth="8.85546875" defaultRowHeight="12.95"/>
  <cols>
    <col min="2" max="2" width="10.28515625" customWidth="1"/>
    <col min="5" max="5" width="2.42578125" customWidth="1"/>
    <col min="8" max="8" width="2.42578125" customWidth="1"/>
    <col min="9" max="10" width="9.42578125" bestFit="1" customWidth="1"/>
    <col min="11" max="11" width="21.140625" customWidth="1"/>
  </cols>
  <sheetData>
    <row r="1" spans="1:11">
      <c r="A1" s="41" t="s">
        <v>355</v>
      </c>
      <c r="B1" s="540"/>
      <c r="C1" s="540"/>
      <c r="D1" s="540"/>
      <c r="E1" s="540"/>
      <c r="F1" s="540"/>
      <c r="G1" s="540"/>
      <c r="H1" s="540"/>
      <c r="I1" s="540"/>
      <c r="J1" s="540"/>
      <c r="K1" s="541"/>
    </row>
    <row r="2" spans="1:11">
      <c r="A2" s="542"/>
      <c r="B2" s="543"/>
      <c r="C2" s="543"/>
      <c r="D2" s="543"/>
      <c r="E2" s="543"/>
      <c r="F2" s="543"/>
      <c r="G2" s="543"/>
      <c r="H2" s="543"/>
      <c r="I2" s="543"/>
      <c r="J2" s="543"/>
      <c r="K2" s="544"/>
    </row>
    <row r="3" spans="1:11">
      <c r="A3" s="542"/>
      <c r="B3" s="543"/>
      <c r="C3" s="543"/>
      <c r="D3" s="543"/>
      <c r="E3" s="543"/>
      <c r="F3" s="543"/>
      <c r="G3" s="543"/>
      <c r="H3" s="543"/>
      <c r="I3" s="543"/>
      <c r="J3" s="543"/>
      <c r="K3" s="544"/>
    </row>
    <row r="4" spans="1:11">
      <c r="A4" s="149" t="s">
        <v>356</v>
      </c>
      <c r="B4" s="543"/>
      <c r="C4" s="543"/>
      <c r="D4" s="543"/>
      <c r="E4" s="543"/>
      <c r="F4" s="543"/>
      <c r="G4" s="543"/>
      <c r="H4" s="543"/>
      <c r="I4" s="543"/>
      <c r="J4" s="543"/>
      <c r="K4" s="544"/>
    </row>
    <row r="5" spans="1:11" ht="14.1" thickBot="1">
      <c r="A5" s="542"/>
      <c r="B5" s="543"/>
      <c r="C5" s="543"/>
      <c r="D5" s="543"/>
      <c r="E5" s="543"/>
      <c r="F5" s="543"/>
      <c r="G5" s="543"/>
      <c r="H5" s="543"/>
      <c r="I5" s="543"/>
      <c r="J5" s="543"/>
      <c r="K5" s="544"/>
    </row>
    <row r="6" spans="1:11" ht="14.1" thickBot="1">
      <c r="A6" s="542" t="s">
        <v>357</v>
      </c>
      <c r="B6" s="543"/>
      <c r="C6" s="156">
        <f>+INPUT!D41</f>
        <v>65</v>
      </c>
      <c r="D6" s="17" t="s">
        <v>110</v>
      </c>
      <c r="E6" s="543"/>
      <c r="F6" s="543"/>
      <c r="G6" s="543"/>
      <c r="H6" s="543"/>
      <c r="I6" s="543"/>
      <c r="J6" s="543"/>
      <c r="K6" s="544"/>
    </row>
    <row r="7" spans="1:11">
      <c r="A7" s="542" t="s">
        <v>358</v>
      </c>
      <c r="B7" s="543"/>
      <c r="C7" s="53">
        <f>+INPUT!D42</f>
        <v>8760</v>
      </c>
      <c r="D7" s="17" t="s">
        <v>359</v>
      </c>
      <c r="E7" s="543"/>
      <c r="F7" s="543"/>
      <c r="G7" s="543"/>
      <c r="H7" s="543"/>
      <c r="I7" s="543"/>
      <c r="J7" s="543"/>
      <c r="K7" s="544"/>
    </row>
    <row r="8" spans="1:11">
      <c r="A8" s="542"/>
      <c r="B8" s="543"/>
      <c r="C8" s="17"/>
      <c r="D8" s="17"/>
      <c r="E8" s="543"/>
      <c r="F8" s="543"/>
      <c r="G8" s="543"/>
      <c r="H8" s="543"/>
      <c r="I8" s="543"/>
      <c r="J8" s="543"/>
      <c r="K8" s="544"/>
    </row>
    <row r="9" spans="1:11">
      <c r="A9" s="542"/>
      <c r="B9" s="543"/>
      <c r="C9" s="543" t="s">
        <v>360</v>
      </c>
      <c r="D9" s="543"/>
      <c r="E9" s="131"/>
      <c r="F9" s="17" t="s">
        <v>276</v>
      </c>
      <c r="G9" s="543"/>
      <c r="H9" s="131"/>
      <c r="I9" s="543" t="s">
        <v>276</v>
      </c>
      <c r="J9" s="543"/>
      <c r="K9" s="544"/>
    </row>
    <row r="10" spans="1:11">
      <c r="A10" s="542"/>
      <c r="B10" s="543"/>
      <c r="C10" s="543" t="s">
        <v>361</v>
      </c>
      <c r="D10" s="543" t="s">
        <v>361</v>
      </c>
      <c r="E10" s="131"/>
      <c r="F10" s="17" t="s">
        <v>362</v>
      </c>
      <c r="G10" s="17" t="s">
        <v>362</v>
      </c>
      <c r="H10" s="150"/>
      <c r="I10" s="17" t="s">
        <v>363</v>
      </c>
      <c r="J10" s="17" t="s">
        <v>363</v>
      </c>
      <c r="K10" s="544"/>
    </row>
    <row r="11" spans="1:11">
      <c r="A11" s="542"/>
      <c r="B11" s="543"/>
      <c r="C11" s="151" t="s">
        <v>364</v>
      </c>
      <c r="D11" s="151" t="s">
        <v>365</v>
      </c>
      <c r="E11" s="131"/>
      <c r="F11" s="152" t="s">
        <v>364</v>
      </c>
      <c r="G11" s="152" t="s">
        <v>365</v>
      </c>
      <c r="H11" s="153"/>
      <c r="I11" s="152" t="s">
        <v>364</v>
      </c>
      <c r="J11" s="152" t="s">
        <v>365</v>
      </c>
      <c r="K11" s="544"/>
    </row>
    <row r="12" spans="1:11">
      <c r="A12" s="542"/>
      <c r="B12" s="20" t="s">
        <v>366</v>
      </c>
      <c r="C12" s="543">
        <f>0.0054*INPUT!I41</f>
        <v>5.4000000000000003E-3</v>
      </c>
      <c r="D12" s="543">
        <f>0.0024*INPUT!I41</f>
        <v>2.3999999999999998E-3</v>
      </c>
      <c r="E12" s="131"/>
      <c r="F12" s="17">
        <f t="shared" ref="F12:G14" si="0">+$C$6*C12</f>
        <v>0.35100000000000003</v>
      </c>
      <c r="G12" s="17">
        <f t="shared" si="0"/>
        <v>0.156</v>
      </c>
      <c r="H12" s="150"/>
      <c r="I12" s="154">
        <f t="shared" ref="I12:J14" si="1">+F12*$C$7/2000</f>
        <v>1.5373800000000002</v>
      </c>
      <c r="J12" s="154">
        <f t="shared" si="1"/>
        <v>0.68328</v>
      </c>
      <c r="K12" s="544"/>
    </row>
    <row r="13" spans="1:11">
      <c r="A13" s="542"/>
      <c r="B13" s="20" t="s">
        <v>367</v>
      </c>
      <c r="C13" s="543">
        <f>0.025*INPUT!I42</f>
        <v>2.5000000000000001E-2</v>
      </c>
      <c r="D13" s="543">
        <f>0.0087*INPUT!I42</f>
        <v>8.6999999999999994E-3</v>
      </c>
      <c r="E13" s="131"/>
      <c r="F13" s="17">
        <f t="shared" si="0"/>
        <v>1.625</v>
      </c>
      <c r="G13" s="17">
        <f t="shared" si="0"/>
        <v>0.5655</v>
      </c>
      <c r="H13" s="150"/>
      <c r="I13" s="154">
        <f t="shared" si="1"/>
        <v>7.1174999999999997</v>
      </c>
      <c r="J13" s="154">
        <f t="shared" si="1"/>
        <v>2.47689</v>
      </c>
      <c r="K13" s="544"/>
    </row>
    <row r="14" spans="1:11">
      <c r="A14" s="542"/>
      <c r="B14" s="20" t="s">
        <v>368</v>
      </c>
      <c r="C14" s="543">
        <f>0.003*INPUT!I43</f>
        <v>3.0000000000000001E-3</v>
      </c>
      <c r="D14" s="543">
        <f>0.0011*INPUT!I43</f>
        <v>1.1000000000000001E-3</v>
      </c>
      <c r="E14" s="131"/>
      <c r="F14" s="17">
        <f t="shared" si="0"/>
        <v>0.19500000000000001</v>
      </c>
      <c r="G14" s="17">
        <f t="shared" si="0"/>
        <v>7.1500000000000008E-2</v>
      </c>
      <c r="H14" s="150"/>
      <c r="I14" s="154">
        <f t="shared" si="1"/>
        <v>0.85409999999999997</v>
      </c>
      <c r="J14" s="154">
        <f t="shared" si="1"/>
        <v>0.31317</v>
      </c>
      <c r="K14" s="544"/>
    </row>
    <row r="15" spans="1:11">
      <c r="A15" s="542"/>
      <c r="B15" s="543"/>
      <c r="C15" s="543"/>
      <c r="D15" s="543"/>
      <c r="E15" s="131"/>
      <c r="F15" s="17"/>
      <c r="G15" s="17"/>
      <c r="H15" s="150"/>
      <c r="I15" s="17"/>
      <c r="J15" s="17"/>
      <c r="K15" s="544"/>
    </row>
    <row r="16" spans="1:11">
      <c r="A16" s="542"/>
      <c r="B16" s="543"/>
      <c r="C16" s="543"/>
      <c r="D16" s="151" t="s">
        <v>261</v>
      </c>
      <c r="E16" s="155"/>
      <c r="F16" s="142">
        <f>SUM(F12:F14)</f>
        <v>2.1709999999999998</v>
      </c>
      <c r="G16" s="142">
        <f>SUM(G12:G14)</f>
        <v>0.79300000000000004</v>
      </c>
      <c r="H16" s="153"/>
      <c r="I16" s="142">
        <f>SUM(I12:I14)</f>
        <v>9.5089800000000011</v>
      </c>
      <c r="J16" s="142">
        <f>SUM(J12:J14)</f>
        <v>3.4733399999999999</v>
      </c>
      <c r="K16" s="544"/>
    </row>
    <row r="17" spans="1:11" ht="14.1" thickBot="1">
      <c r="A17" s="545"/>
      <c r="B17" s="546"/>
      <c r="C17" s="546"/>
      <c r="D17" s="546"/>
      <c r="E17" s="546"/>
      <c r="F17" s="546"/>
      <c r="G17" s="546"/>
      <c r="H17" s="546"/>
      <c r="I17" s="546"/>
      <c r="J17" s="546"/>
      <c r="K17" s="547"/>
    </row>
    <row r="19" spans="1:11">
      <c r="B19" s="88" t="s">
        <v>369</v>
      </c>
      <c r="C19">
        <f>SUM(C12:C14)</f>
        <v>3.3400000000000006E-2</v>
      </c>
      <c r="D19">
        <f>SUM(D12:D14)</f>
        <v>1.2199999999999999E-2</v>
      </c>
    </row>
  </sheetData>
  <sheetProtection password="D8A4" sheet="1"/>
  <phoneticPr fontId="0" type="noConversion"/>
  <printOptions horizontalCentered="1"/>
  <pageMargins left="0.25" right="0.25" top="0.35" bottom="0.25" header="0" footer="0"/>
  <pageSetup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124"/>
  <sheetViews>
    <sheetView zoomScale="75" zoomScaleNormal="75" workbookViewId="0">
      <selection activeCell="N17" sqref="N17:N20"/>
    </sheetView>
  </sheetViews>
  <sheetFormatPr defaultColWidth="8.85546875" defaultRowHeight="12.95"/>
  <cols>
    <col min="6" max="9" width="9.85546875" bestFit="1" customWidth="1"/>
    <col min="18" max="18" width="19.42578125" customWidth="1"/>
    <col min="19" max="19" width="11.7109375" customWidth="1"/>
    <col min="20" max="20" width="20.140625" customWidth="1"/>
    <col min="21" max="21" width="19.7109375" customWidth="1"/>
    <col min="22" max="22" width="12.140625" customWidth="1"/>
    <col min="23" max="23" width="11.85546875" customWidth="1"/>
  </cols>
  <sheetData>
    <row r="1" spans="4:27">
      <c r="D1" s="90" t="s">
        <v>370</v>
      </c>
      <c r="P1" s="37"/>
      <c r="R1" s="41"/>
      <c r="S1" s="91" t="s">
        <v>59</v>
      </c>
      <c r="T1" s="292">
        <f>+INPUT!F30</f>
        <v>300</v>
      </c>
      <c r="U1" s="541" t="s">
        <v>60</v>
      </c>
    </row>
    <row r="2" spans="4:27">
      <c r="P2" s="37"/>
      <c r="R2" s="542"/>
      <c r="S2" s="20" t="s">
        <v>371</v>
      </c>
      <c r="T2" s="143">
        <f>+INPUT!F52</f>
        <v>250000</v>
      </c>
      <c r="U2" s="144" t="s">
        <v>99</v>
      </c>
    </row>
    <row r="3" spans="4:27">
      <c r="P3" s="37"/>
      <c r="R3" s="542"/>
      <c r="S3" s="20" t="s">
        <v>100</v>
      </c>
      <c r="T3" s="143">
        <f>+INPUT!F53</f>
        <v>0</v>
      </c>
      <c r="U3" s="144" t="s">
        <v>12</v>
      </c>
    </row>
    <row r="4" spans="4:27" ht="14.1" thickBot="1">
      <c r="F4" s="895" t="s">
        <v>372</v>
      </c>
      <c r="G4" s="822"/>
      <c r="H4" s="895" t="s">
        <v>373</v>
      </c>
      <c r="I4" s="822"/>
      <c r="J4" s="895" t="s">
        <v>374</v>
      </c>
      <c r="K4" s="822"/>
      <c r="L4" s="550"/>
      <c r="M4" s="550"/>
      <c r="N4" s="550"/>
      <c r="O4" s="550"/>
      <c r="P4" s="37"/>
      <c r="R4" s="545"/>
      <c r="S4" s="546"/>
      <c r="T4" s="145"/>
      <c r="U4" s="547"/>
    </row>
    <row r="5" spans="4:27">
      <c r="F5" s="93" t="s">
        <v>361</v>
      </c>
      <c r="G5" s="93" t="s">
        <v>361</v>
      </c>
      <c r="H5" s="93" t="s">
        <v>362</v>
      </c>
      <c r="I5" s="93" t="s">
        <v>362</v>
      </c>
      <c r="J5" s="895" t="s">
        <v>361</v>
      </c>
      <c r="K5" s="822"/>
      <c r="L5" s="550"/>
      <c r="M5" s="550"/>
      <c r="N5" s="550"/>
      <c r="P5" s="37"/>
    </row>
    <row r="6" spans="4:27">
      <c r="D6" s="543"/>
      <c r="E6" s="543"/>
      <c r="F6" s="902" t="s">
        <v>375</v>
      </c>
      <c r="G6" s="902" t="s">
        <v>376</v>
      </c>
      <c r="H6" s="902" t="s">
        <v>375</v>
      </c>
      <c r="I6" s="902" t="s">
        <v>376</v>
      </c>
      <c r="J6" s="896" t="str">
        <f>IF(silofill=1,"Silo Filling plus Load Out","Load Out")</f>
        <v>Silo Filling plus Load Out</v>
      </c>
      <c r="K6" s="897"/>
      <c r="L6" s="550"/>
      <c r="M6" s="550"/>
      <c r="N6" s="550"/>
      <c r="O6" s="550"/>
      <c r="P6" s="37"/>
    </row>
    <row r="7" spans="4:27">
      <c r="D7" s="543"/>
      <c r="E7" s="543"/>
      <c r="F7" s="903"/>
      <c r="G7" s="903"/>
      <c r="H7" s="903"/>
      <c r="I7" s="903"/>
      <c r="J7" s="898"/>
      <c r="K7" s="899"/>
      <c r="L7" s="553"/>
      <c r="M7" s="553"/>
      <c r="N7" s="553"/>
      <c r="O7" s="550"/>
      <c r="P7" s="37"/>
    </row>
    <row r="8" spans="4:27">
      <c r="D8" s="543"/>
      <c r="E8" s="17" t="s">
        <v>377</v>
      </c>
      <c r="F8" s="903"/>
      <c r="G8" s="903"/>
      <c r="H8" s="903"/>
      <c r="I8" s="903"/>
      <c r="J8" s="898"/>
      <c r="K8" s="899"/>
      <c r="L8" s="553"/>
      <c r="M8" s="553"/>
      <c r="N8" s="553"/>
      <c r="O8" s="550"/>
      <c r="P8" s="37"/>
    </row>
    <row r="9" spans="4:27" ht="14.1" thickBot="1">
      <c r="D9" s="546" t="s">
        <v>129</v>
      </c>
      <c r="E9" s="548" t="s">
        <v>378</v>
      </c>
      <c r="F9" s="904"/>
      <c r="G9" s="904"/>
      <c r="H9" s="904"/>
      <c r="I9" s="904"/>
      <c r="J9" s="900"/>
      <c r="K9" s="901"/>
      <c r="L9" s="553"/>
      <c r="M9" s="553"/>
      <c r="N9" s="553"/>
      <c r="O9" s="550"/>
      <c r="P9" s="37"/>
      <c r="V9" s="37"/>
      <c r="AA9" s="37"/>
    </row>
    <row r="10" spans="4:27">
      <c r="D10" s="40" t="s">
        <v>133</v>
      </c>
      <c r="E10" s="129"/>
      <c r="F10" s="132">
        <f>+T25</f>
        <v>4.6755781965053663E-4</v>
      </c>
      <c r="G10" s="132">
        <f>+T20</f>
        <v>3.630347863878635E-4</v>
      </c>
      <c r="H10" s="132">
        <f>+$T$1*F10</f>
        <v>0.14026734589516099</v>
      </c>
      <c r="I10" s="132">
        <f>+$T$1*G10</f>
        <v>0.10891043591635904</v>
      </c>
      <c r="J10" s="890">
        <f>IF(silofill=1,+F10+G10,G10)</f>
        <v>8.3059260603840013E-4</v>
      </c>
      <c r="K10" s="890"/>
      <c r="L10" s="551"/>
      <c r="M10" s="551"/>
      <c r="N10" s="551"/>
      <c r="O10" s="132"/>
      <c r="P10" s="37"/>
      <c r="Q10" s="41"/>
      <c r="R10" s="50" t="s">
        <v>379</v>
      </c>
      <c r="S10" s="202">
        <f>+INPUT!F34</f>
        <v>-0.5</v>
      </c>
      <c r="T10" s="540" t="s">
        <v>44</v>
      </c>
      <c r="U10" s="541"/>
      <c r="V10" s="37"/>
      <c r="AA10" s="37"/>
    </row>
    <row r="11" spans="4:27" ht="14.1" thickBot="1">
      <c r="D11" s="40" t="s">
        <v>136</v>
      </c>
      <c r="E11" s="130"/>
      <c r="F11" s="132">
        <f>+T28</f>
        <v>6.3002110466154151E-4</v>
      </c>
      <c r="G11" s="132">
        <f>+T23</f>
        <v>7.2039298442856594E-4</v>
      </c>
      <c r="H11" s="132">
        <f t="shared" ref="H11:H38" si="0">+$T$1*F11</f>
        <v>0.18900633139846246</v>
      </c>
      <c r="I11" s="132">
        <f t="shared" ref="I11:I38" si="1">+$T$1*G11</f>
        <v>0.21611789532856979</v>
      </c>
      <c r="J11" s="890">
        <f t="shared" ref="J11:J37" si="2">IF(silofill=1,+F11+G11,G11)</f>
        <v>1.3504140890901076E-3</v>
      </c>
      <c r="K11" s="890"/>
      <c r="L11" s="551"/>
      <c r="M11" s="551"/>
      <c r="N11" s="551"/>
      <c r="O11" s="132"/>
      <c r="P11" s="37"/>
      <c r="Q11" s="542"/>
      <c r="R11" s="543" t="s">
        <v>380</v>
      </c>
      <c r="S11" s="203">
        <f>+INPUT!F33</f>
        <v>300</v>
      </c>
      <c r="T11" s="543" t="s">
        <v>107</v>
      </c>
      <c r="U11" s="544"/>
      <c r="V11" s="37"/>
      <c r="AA11" s="37"/>
    </row>
    <row r="12" spans="4:27">
      <c r="D12" s="40" t="s">
        <v>138</v>
      </c>
      <c r="E12" s="127"/>
      <c r="F12" s="132">
        <f>+Y57</f>
        <v>6.5067753432257571E-3</v>
      </c>
      <c r="G12" s="132">
        <f>+W57</f>
        <v>2.0873322172475007E-3</v>
      </c>
      <c r="H12" s="132">
        <f t="shared" ref="H12:I15" si="3">+$T$1*F12</f>
        <v>1.9520326029677271</v>
      </c>
      <c r="I12" s="132">
        <f t="shared" si="3"/>
        <v>0.62619966517425019</v>
      </c>
      <c r="J12" s="890">
        <f t="shared" si="2"/>
        <v>8.5941075604732582E-3</v>
      </c>
      <c r="K12" s="890"/>
      <c r="L12" s="551"/>
      <c r="M12" s="551"/>
      <c r="N12" s="551"/>
      <c r="O12" s="132"/>
      <c r="P12" s="37"/>
      <c r="Q12" s="542"/>
      <c r="R12" s="543"/>
      <c r="S12" s="543">
        <f>+S11+460</f>
        <v>760</v>
      </c>
      <c r="T12" s="543" t="s">
        <v>381</v>
      </c>
      <c r="U12" s="544"/>
      <c r="V12" s="37"/>
      <c r="AA12" s="37"/>
    </row>
    <row r="13" spans="4:27">
      <c r="D13" s="40" t="s">
        <v>382</v>
      </c>
      <c r="E13" s="128"/>
      <c r="F13" s="132">
        <f>+Y43</f>
        <v>1.5453591440161175E-5</v>
      </c>
      <c r="G13" s="132">
        <f>+W43</f>
        <v>1.0794662832800303E-5</v>
      </c>
      <c r="H13" s="132">
        <f t="shared" si="3"/>
        <v>4.6360774320483526E-3</v>
      </c>
      <c r="I13" s="132">
        <f t="shared" si="3"/>
        <v>3.2383988498400911E-3</v>
      </c>
      <c r="J13" s="890">
        <f t="shared" si="2"/>
        <v>2.6248254272961478E-5</v>
      </c>
      <c r="K13" s="890"/>
      <c r="L13" s="551"/>
      <c r="M13" s="551"/>
      <c r="N13" s="551"/>
      <c r="O13" s="132"/>
      <c r="P13" s="37"/>
      <c r="Q13" s="542"/>
      <c r="R13" s="543" t="s">
        <v>383</v>
      </c>
      <c r="S13" s="543"/>
      <c r="T13" s="543"/>
      <c r="U13" s="544"/>
      <c r="V13" s="52"/>
      <c r="W13" s="543"/>
      <c r="X13" s="543"/>
      <c r="AA13" s="37"/>
    </row>
    <row r="14" spans="4:27">
      <c r="D14" s="39" t="s">
        <v>384</v>
      </c>
      <c r="E14" s="131"/>
      <c r="F14" s="132">
        <f>+Y78</f>
        <v>8.4588079461934846E-5</v>
      </c>
      <c r="G14" s="132">
        <f>+W78</f>
        <v>3.3308492828417568E-5</v>
      </c>
      <c r="H14" s="132">
        <f t="shared" si="3"/>
        <v>2.5376423838580454E-2</v>
      </c>
      <c r="I14" s="132">
        <f t="shared" si="3"/>
        <v>9.9925478485252701E-3</v>
      </c>
      <c r="J14" s="890">
        <f t="shared" si="2"/>
        <v>1.1789657229035241E-4</v>
      </c>
      <c r="K14" s="890"/>
      <c r="L14" s="551"/>
      <c r="M14" s="551"/>
      <c r="N14" s="551"/>
      <c r="O14" s="132"/>
      <c r="P14" s="37"/>
      <c r="Q14" s="542"/>
      <c r="R14" s="543"/>
      <c r="S14" s="543"/>
      <c r="T14" s="543"/>
      <c r="U14" s="544"/>
      <c r="V14" s="52"/>
      <c r="W14" s="543"/>
      <c r="X14" s="543"/>
      <c r="AA14" s="37"/>
    </row>
    <row r="15" spans="4:27" ht="14.1" thickBot="1">
      <c r="D15" s="133" t="s">
        <v>139</v>
      </c>
      <c r="E15" s="134"/>
      <c r="F15" s="135">
        <f>+F13+F18+F14</f>
        <v>1.0004167090209602E-4</v>
      </c>
      <c r="G15" s="135">
        <f>+G13+G18+G14</f>
        <v>4.6251166140594658E-5</v>
      </c>
      <c r="H15" s="135">
        <f t="shared" si="3"/>
        <v>3.0012501270628805E-2</v>
      </c>
      <c r="I15" s="135">
        <f t="shared" si="3"/>
        <v>1.3875349842178397E-2</v>
      </c>
      <c r="J15" s="890">
        <f t="shared" si="2"/>
        <v>1.4629283704269068E-4</v>
      </c>
      <c r="K15" s="890"/>
      <c r="L15" s="551"/>
      <c r="M15" s="551"/>
      <c r="N15" s="551"/>
      <c r="O15" s="132"/>
      <c r="P15" s="37"/>
      <c r="Q15" s="542"/>
      <c r="R15" s="887" t="s">
        <v>385</v>
      </c>
      <c r="S15" s="887"/>
      <c r="T15" s="887"/>
      <c r="U15" s="544"/>
      <c r="V15" s="52"/>
      <c r="W15" s="543"/>
      <c r="X15" s="543"/>
      <c r="AA15" s="37"/>
    </row>
    <row r="16" spans="4:27">
      <c r="D16" s="40" t="s">
        <v>168</v>
      </c>
      <c r="E16" s="31" t="s">
        <v>169</v>
      </c>
      <c r="F16" s="132">
        <f>+Y41</f>
        <v>0</v>
      </c>
      <c r="G16" s="132">
        <f>+W41</f>
        <v>4.1868000869208597E-9</v>
      </c>
      <c r="H16" s="132">
        <f t="shared" si="0"/>
        <v>0</v>
      </c>
      <c r="I16" s="132">
        <f t="shared" si="1"/>
        <v>1.256040026076258E-6</v>
      </c>
      <c r="J16" s="890">
        <f t="shared" si="2"/>
        <v>4.1868000869208597E-9</v>
      </c>
      <c r="K16" s="890"/>
      <c r="L16" s="551"/>
      <c r="M16" s="551"/>
      <c r="N16" s="551"/>
      <c r="O16" s="132"/>
      <c r="P16" s="37"/>
      <c r="Q16" s="542"/>
      <c r="R16" s="887"/>
      <c r="S16" s="887"/>
      <c r="T16" s="887"/>
      <c r="U16" s="544"/>
      <c r="V16" s="52"/>
      <c r="W16" s="543"/>
      <c r="X16" s="543"/>
      <c r="AA16" s="37"/>
    </row>
    <row r="17" spans="4:27">
      <c r="D17" s="40" t="s">
        <v>301</v>
      </c>
      <c r="E17" s="31" t="s">
        <v>302</v>
      </c>
      <c r="F17" s="132">
        <f>+Y42</f>
        <v>2.4671523176397665E-6</v>
      </c>
      <c r="G17" s="132">
        <f>+W42</f>
        <v>2.2754348298482932E-6</v>
      </c>
      <c r="H17" s="132">
        <f t="shared" si="0"/>
        <v>7.4014569529192993E-4</v>
      </c>
      <c r="I17" s="132">
        <f t="shared" si="1"/>
        <v>6.8263044895448799E-4</v>
      </c>
      <c r="J17" s="890">
        <f t="shared" si="2"/>
        <v>4.7425871474880597E-6</v>
      </c>
      <c r="K17" s="890"/>
      <c r="L17" s="551"/>
      <c r="M17" s="551"/>
      <c r="N17" s="551"/>
      <c r="O17" s="132"/>
      <c r="P17" s="37"/>
      <c r="Q17" s="542"/>
      <c r="R17" s="543"/>
      <c r="S17" s="543"/>
      <c r="T17" s="543"/>
      <c r="U17" s="544"/>
      <c r="V17" s="52"/>
      <c r="W17" s="543"/>
      <c r="X17" s="543"/>
      <c r="AA17" s="37"/>
    </row>
    <row r="18" spans="4:27">
      <c r="D18" s="40" t="s">
        <v>173</v>
      </c>
      <c r="E18" s="31" t="s">
        <v>174</v>
      </c>
      <c r="F18" s="132">
        <f>+Y44</f>
        <v>0</v>
      </c>
      <c r="G18" s="132">
        <f>+W44</f>
        <v>2.1480104793767886E-6</v>
      </c>
      <c r="H18" s="132">
        <f t="shared" si="0"/>
        <v>0</v>
      </c>
      <c r="I18" s="132">
        <f t="shared" si="1"/>
        <v>6.4440314381303656E-4</v>
      </c>
      <c r="J18" s="890">
        <f t="shared" si="2"/>
        <v>2.1480104793767886E-6</v>
      </c>
      <c r="K18" s="890"/>
      <c r="L18" s="551"/>
      <c r="M18" s="551"/>
      <c r="N18" s="551"/>
      <c r="O18" s="132"/>
      <c r="P18" s="37"/>
      <c r="Q18" s="542"/>
      <c r="R18" s="543"/>
      <c r="S18" s="543"/>
      <c r="T18" s="543"/>
      <c r="U18" s="544"/>
      <c r="V18" s="52"/>
      <c r="W18" s="543"/>
      <c r="X18" s="543"/>
      <c r="AA18" s="37"/>
    </row>
    <row r="19" spans="4:27">
      <c r="D19" s="39" t="s">
        <v>165</v>
      </c>
      <c r="E19" s="32" t="s">
        <v>166</v>
      </c>
      <c r="F19" s="132">
        <f t="shared" ref="F19:F27" si="4">+Y58</f>
        <v>2.0821681098322425E-6</v>
      </c>
      <c r="G19" s="132">
        <f t="shared" ref="G19:G27" si="5">+W58</f>
        <v>1.154694418051809E-6</v>
      </c>
      <c r="H19" s="132">
        <f t="shared" si="0"/>
        <v>6.2465043294967278E-4</v>
      </c>
      <c r="I19" s="132">
        <f t="shared" si="1"/>
        <v>3.4640832541554269E-4</v>
      </c>
      <c r="J19" s="890">
        <f t="shared" si="2"/>
        <v>3.2368625278840512E-6</v>
      </c>
      <c r="K19" s="890"/>
      <c r="L19" s="551"/>
      <c r="M19" s="551"/>
      <c r="N19" s="551"/>
      <c r="O19" s="132"/>
      <c r="P19" s="37"/>
      <c r="Q19" s="542"/>
      <c r="R19" s="543" t="s">
        <v>386</v>
      </c>
      <c r="S19" s="543" t="s">
        <v>387</v>
      </c>
      <c r="T19" s="543" t="s">
        <v>388</v>
      </c>
      <c r="U19" s="544"/>
      <c r="V19" s="52"/>
      <c r="W19" s="543"/>
      <c r="X19" s="543"/>
      <c r="AA19" s="37"/>
    </row>
    <row r="20" spans="4:27">
      <c r="D20" s="40" t="s">
        <v>325</v>
      </c>
      <c r="E20" s="31" t="s">
        <v>326</v>
      </c>
      <c r="F20" s="132">
        <f t="shared" si="4"/>
        <v>3.1883199181806206E-7</v>
      </c>
      <c r="G20" s="132">
        <f t="shared" si="5"/>
        <v>2.131743541018724E-7</v>
      </c>
      <c r="H20" s="132">
        <f t="shared" si="0"/>
        <v>9.5649597545418614E-5</v>
      </c>
      <c r="I20" s="132">
        <f t="shared" si="1"/>
        <v>6.3952306230561715E-5</v>
      </c>
      <c r="J20" s="890">
        <f t="shared" si="2"/>
        <v>5.3200634591993452E-7</v>
      </c>
      <c r="K20" s="890"/>
      <c r="L20" s="551"/>
      <c r="M20" s="551"/>
      <c r="N20" s="551"/>
      <c r="O20" s="132"/>
      <c r="P20" s="37"/>
      <c r="Q20" s="542"/>
      <c r="R20" s="887" t="s">
        <v>376</v>
      </c>
      <c r="S20" s="20" t="s">
        <v>133</v>
      </c>
      <c r="T20" s="543">
        <f>0.000181+(0.00141*-V)*EXP((0.0251*oR)-20.43)</f>
        <v>3.630347863878635E-4</v>
      </c>
      <c r="U20" s="544"/>
      <c r="V20" s="52"/>
      <c r="W20" s="543"/>
      <c r="X20" s="543"/>
      <c r="AA20" s="37"/>
    </row>
    <row r="21" spans="4:27">
      <c r="D21" s="40" t="s">
        <v>158</v>
      </c>
      <c r="E21" s="31" t="s">
        <v>159</v>
      </c>
      <c r="F21" s="132">
        <f t="shared" si="4"/>
        <v>2.5376423838580454E-6</v>
      </c>
      <c r="G21" s="132">
        <f t="shared" si="5"/>
        <v>1.0880774323949739E-6</v>
      </c>
      <c r="H21" s="132">
        <f t="shared" si="0"/>
        <v>7.6129271515741365E-4</v>
      </c>
      <c r="I21" s="132">
        <f t="shared" si="1"/>
        <v>3.2642322971849217E-4</v>
      </c>
      <c r="J21" s="890">
        <f t="shared" si="2"/>
        <v>3.6257198162530195E-6</v>
      </c>
      <c r="K21" s="890"/>
      <c r="L21" s="551"/>
      <c r="M21" s="551"/>
      <c r="N21" s="551"/>
      <c r="O21" s="132"/>
      <c r="P21" s="37"/>
      <c r="Q21" s="542"/>
      <c r="R21" s="887"/>
      <c r="S21" s="20" t="s">
        <v>389</v>
      </c>
      <c r="T21" s="543">
        <f>(0.00141*-V)*EXP((0.0251*oR)-20.43)</f>
        <v>1.8203478638786346E-4</v>
      </c>
      <c r="U21" s="544"/>
      <c r="V21" s="52"/>
      <c r="W21" s="543"/>
      <c r="X21" s="543"/>
      <c r="AA21" s="37"/>
    </row>
    <row r="22" spans="4:27">
      <c r="D22" s="39" t="s">
        <v>178</v>
      </c>
      <c r="E22" s="32" t="s">
        <v>179</v>
      </c>
      <c r="F22" s="132">
        <f t="shared" si="4"/>
        <v>1.0410840549161212E-6</v>
      </c>
      <c r="G22" s="132">
        <f t="shared" si="5"/>
        <v>2.8867360451295225E-7</v>
      </c>
      <c r="H22" s="132">
        <f t="shared" si="0"/>
        <v>3.1232521647483639E-4</v>
      </c>
      <c r="I22" s="132">
        <f t="shared" si="1"/>
        <v>8.6602081353885673E-5</v>
      </c>
      <c r="J22" s="890">
        <f t="shared" si="2"/>
        <v>1.3297576594290734E-6</v>
      </c>
      <c r="K22" s="890"/>
      <c r="L22" s="551"/>
      <c r="M22" s="551"/>
      <c r="N22" s="551"/>
      <c r="O22" s="132"/>
      <c r="P22" s="37"/>
      <c r="Q22" s="542"/>
      <c r="R22" s="887"/>
      <c r="S22" s="20" t="s">
        <v>390</v>
      </c>
      <c r="T22" s="543">
        <f>(0.0172*-V)*EXP((0.0251*oR)-20.43)</f>
        <v>2.2205661885611712E-3</v>
      </c>
      <c r="U22" s="544"/>
      <c r="V22" s="52"/>
      <c r="W22" s="543"/>
      <c r="X22" s="543"/>
      <c r="AA22" s="37"/>
    </row>
    <row r="23" spans="4:27">
      <c r="D23" s="39" t="s">
        <v>327</v>
      </c>
      <c r="E23" s="32" t="s">
        <v>328</v>
      </c>
      <c r="F23" s="132">
        <f t="shared" si="4"/>
        <v>0</v>
      </c>
      <c r="G23" s="132">
        <f t="shared" si="5"/>
        <v>2.4426228074172882E-6</v>
      </c>
      <c r="H23" s="132">
        <f t="shared" si="0"/>
        <v>0</v>
      </c>
      <c r="I23" s="132">
        <f t="shared" si="1"/>
        <v>7.3278684222518643E-4</v>
      </c>
      <c r="J23" s="890">
        <f t="shared" si="2"/>
        <v>2.4426228074172882E-6</v>
      </c>
      <c r="K23" s="890"/>
      <c r="L23" s="551"/>
      <c r="M23" s="551"/>
      <c r="N23" s="551"/>
      <c r="O23" s="132"/>
      <c r="P23" s="37"/>
      <c r="Q23" s="542"/>
      <c r="R23" s="887"/>
      <c r="S23" s="20" t="s">
        <v>136</v>
      </c>
      <c r="T23" s="543">
        <f>(0.00558*-V)*EXP((0.0251*oR)-20.43)</f>
        <v>7.2039298442856594E-4</v>
      </c>
      <c r="U23" s="544"/>
      <c r="V23" s="52"/>
      <c r="W23" s="543"/>
      <c r="X23" s="543"/>
      <c r="AA23" s="37"/>
    </row>
    <row r="24" spans="4:27">
      <c r="D24" s="39" t="s">
        <v>321</v>
      </c>
      <c r="E24" s="32" t="s">
        <v>322</v>
      </c>
      <c r="F24" s="132">
        <f t="shared" si="4"/>
        <v>2.4725746304257873E-6</v>
      </c>
      <c r="G24" s="132">
        <f t="shared" si="5"/>
        <v>6.2175853279712794E-6</v>
      </c>
      <c r="H24" s="132">
        <f t="shared" si="0"/>
        <v>7.4177238912773614E-4</v>
      </c>
      <c r="I24" s="132">
        <f t="shared" si="1"/>
        <v>1.8652755983913838E-3</v>
      </c>
      <c r="J24" s="890">
        <f t="shared" si="2"/>
        <v>8.6901599583970662E-6</v>
      </c>
      <c r="K24" s="890"/>
      <c r="L24" s="551"/>
      <c r="M24" s="551"/>
      <c r="N24" s="551"/>
      <c r="O24" s="132"/>
      <c r="P24" s="37"/>
      <c r="Q24" s="542"/>
      <c r="R24" s="543"/>
      <c r="S24" s="543"/>
      <c r="T24" s="543"/>
      <c r="U24" s="544"/>
      <c r="V24" s="52"/>
      <c r="W24" s="543"/>
      <c r="X24" s="543"/>
      <c r="AA24" s="37"/>
    </row>
    <row r="25" spans="4:27">
      <c r="D25" s="39" t="s">
        <v>329</v>
      </c>
      <c r="E25" s="32" t="s">
        <v>330</v>
      </c>
      <c r="F25" s="132">
        <f t="shared" si="4"/>
        <v>0</v>
      </c>
      <c r="G25" s="132">
        <f t="shared" si="5"/>
        <v>4.6631889959784596E-9</v>
      </c>
      <c r="H25" s="132">
        <f t="shared" si="0"/>
        <v>0</v>
      </c>
      <c r="I25" s="132">
        <f t="shared" si="1"/>
        <v>1.3989566987935379E-6</v>
      </c>
      <c r="J25" s="890">
        <f t="shared" si="2"/>
        <v>4.6631889959784596E-9</v>
      </c>
      <c r="K25" s="890"/>
      <c r="L25" s="551"/>
      <c r="M25" s="551"/>
      <c r="N25" s="551"/>
      <c r="O25" s="132"/>
      <c r="P25" s="37"/>
      <c r="Q25" s="542"/>
      <c r="R25" s="887" t="s">
        <v>375</v>
      </c>
      <c r="S25" s="20" t="s">
        <v>133</v>
      </c>
      <c r="T25" s="543">
        <f>0.000332+(0.00105*-V)*EXP((0.0251*oR)-20.43)</f>
        <v>4.6755781965053663E-4</v>
      </c>
      <c r="U25" s="544"/>
      <c r="V25" s="52"/>
      <c r="W25" s="543"/>
      <c r="X25" s="543"/>
      <c r="AA25" s="37"/>
    </row>
    <row r="26" spans="4:27">
      <c r="D26" s="39" t="s">
        <v>182</v>
      </c>
      <c r="E26" s="32" t="s">
        <v>183</v>
      </c>
      <c r="F26" s="132">
        <f t="shared" si="4"/>
        <v>4.4896749868257723E-5</v>
      </c>
      <c r="G26" s="132">
        <f t="shared" si="5"/>
        <v>1.9540982459338305E-6</v>
      </c>
      <c r="H26" s="132">
        <f t="shared" si="0"/>
        <v>1.3469024960477317E-2</v>
      </c>
      <c r="I26" s="132">
        <f t="shared" si="1"/>
        <v>5.8622947378014919E-4</v>
      </c>
      <c r="J26" s="890">
        <f t="shared" si="2"/>
        <v>4.6850848114191554E-5</v>
      </c>
      <c r="K26" s="890"/>
      <c r="L26" s="551"/>
      <c r="M26" s="551"/>
      <c r="N26" s="551"/>
      <c r="O26" s="132"/>
      <c r="P26" s="37"/>
      <c r="Q26" s="542"/>
      <c r="R26" s="887"/>
      <c r="S26" s="20" t="s">
        <v>389</v>
      </c>
      <c r="T26" s="543">
        <f>(0.00105*-V)*EXP((0.0251*oR)-20.43)</f>
        <v>1.3555781965053661E-4</v>
      </c>
      <c r="U26" s="544"/>
      <c r="V26" s="52"/>
      <c r="W26" s="543"/>
      <c r="X26" s="543"/>
      <c r="AA26" s="37"/>
    </row>
    <row r="27" spans="4:27">
      <c r="D27" s="39" t="s">
        <v>190</v>
      </c>
      <c r="E27" s="32" t="s">
        <v>191</v>
      </c>
      <c r="F27" s="132">
        <f t="shared" si="4"/>
        <v>6.5067753432257581E-6</v>
      </c>
      <c r="G27" s="132">
        <f t="shared" si="5"/>
        <v>3.330849282841757E-6</v>
      </c>
      <c r="H27" s="132">
        <f t="shared" si="0"/>
        <v>1.9520326029677274E-3</v>
      </c>
      <c r="I27" s="132">
        <f t="shared" si="1"/>
        <v>9.9925478485252714E-4</v>
      </c>
      <c r="J27" s="890">
        <f t="shared" si="2"/>
        <v>9.8376246260675143E-6</v>
      </c>
      <c r="K27" s="890"/>
      <c r="L27" s="551"/>
      <c r="M27" s="551"/>
      <c r="N27" s="551"/>
      <c r="O27" s="132"/>
      <c r="P27" s="37"/>
      <c r="Q27" s="542"/>
      <c r="R27" s="887"/>
      <c r="S27" s="20" t="s">
        <v>390</v>
      </c>
      <c r="T27" s="543">
        <f>(0.0504*-V)*EXP((0.0251*oR)-20.43)</f>
        <v>6.5067753432257571E-3</v>
      </c>
      <c r="U27" s="544"/>
      <c r="V27" s="52"/>
      <c r="W27" s="543"/>
      <c r="X27" s="543"/>
      <c r="AA27" s="37"/>
    </row>
    <row r="28" spans="4:27" ht="12.75" customHeight="1" thickBot="1">
      <c r="D28" s="39" t="s">
        <v>331</v>
      </c>
      <c r="E28" s="32" t="s">
        <v>332</v>
      </c>
      <c r="F28" s="132">
        <f t="shared" ref="F28:F34" si="6">+Y67</f>
        <v>0</v>
      </c>
      <c r="G28" s="132">
        <f t="shared" ref="G28:G34" si="7">+W67</f>
        <v>3.3308492828417569E-7</v>
      </c>
      <c r="H28" s="132">
        <f t="shared" si="0"/>
        <v>0</v>
      </c>
      <c r="I28" s="132">
        <f t="shared" si="1"/>
        <v>9.9925478485252711E-5</v>
      </c>
      <c r="J28" s="890">
        <f t="shared" si="2"/>
        <v>3.3308492828417569E-7</v>
      </c>
      <c r="K28" s="890"/>
      <c r="L28" s="551"/>
      <c r="M28" s="551"/>
      <c r="N28" s="551"/>
      <c r="O28" s="132"/>
      <c r="P28" s="37"/>
      <c r="Q28" s="545"/>
      <c r="R28" s="672"/>
      <c r="S28" s="51" t="s">
        <v>136</v>
      </c>
      <c r="T28" s="546">
        <f>(0.00488*-V)*EXP((0.0251*oR)-20.43)</f>
        <v>6.3002110466154151E-4</v>
      </c>
      <c r="U28" s="547"/>
      <c r="V28" s="52"/>
      <c r="W28" s="543"/>
      <c r="X28" s="543"/>
      <c r="AA28" s="37"/>
    </row>
    <row r="29" spans="4:27">
      <c r="D29" s="39" t="s">
        <v>199</v>
      </c>
      <c r="E29" s="32" t="s">
        <v>200</v>
      </c>
      <c r="F29" s="132">
        <f t="shared" si="6"/>
        <v>0</v>
      </c>
      <c r="G29" s="132">
        <f t="shared" si="7"/>
        <v>0</v>
      </c>
      <c r="H29" s="132">
        <f t="shared" si="0"/>
        <v>0</v>
      </c>
      <c r="I29" s="132">
        <f t="shared" si="1"/>
        <v>0</v>
      </c>
      <c r="J29" s="890">
        <f t="shared" si="2"/>
        <v>0</v>
      </c>
      <c r="K29" s="890"/>
      <c r="L29" s="551"/>
      <c r="M29" s="551"/>
      <c r="N29" s="551"/>
      <c r="O29" s="132"/>
      <c r="P29" s="37"/>
      <c r="V29" s="37"/>
      <c r="AA29" s="37"/>
    </row>
    <row r="30" spans="4:27" ht="14.1" thickBot="1">
      <c r="D30" s="39" t="s">
        <v>162</v>
      </c>
      <c r="E30" s="32" t="s">
        <v>163</v>
      </c>
      <c r="F30" s="132">
        <f t="shared" si="6"/>
        <v>1.7568293426709546E-8</v>
      </c>
      <c r="G30" s="132">
        <f t="shared" si="7"/>
        <v>0</v>
      </c>
      <c r="H30" s="132">
        <f t="shared" si="0"/>
        <v>5.2704880280128639E-6</v>
      </c>
      <c r="I30" s="132">
        <f t="shared" si="1"/>
        <v>0</v>
      </c>
      <c r="J30" s="890">
        <f t="shared" si="2"/>
        <v>1.7568293426709546E-8</v>
      </c>
      <c r="K30" s="890"/>
      <c r="L30" s="551"/>
      <c r="M30" s="551"/>
      <c r="N30" s="551"/>
      <c r="O30" s="132"/>
      <c r="P30" s="37"/>
      <c r="V30" s="37"/>
      <c r="AA30" s="37"/>
    </row>
    <row r="31" spans="4:27" ht="12.75" customHeight="1">
      <c r="D31" s="39" t="s">
        <v>170</v>
      </c>
      <c r="E31" s="32" t="s">
        <v>171</v>
      </c>
      <c r="F31" s="132">
        <f t="shared" si="6"/>
        <v>0</v>
      </c>
      <c r="G31" s="132">
        <f t="shared" si="7"/>
        <v>1.7098359651921019E-7</v>
      </c>
      <c r="H31" s="132">
        <f t="shared" si="0"/>
        <v>0</v>
      </c>
      <c r="I31" s="132">
        <f t="shared" si="1"/>
        <v>5.1295078955763059E-5</v>
      </c>
      <c r="J31" s="890">
        <f t="shared" si="2"/>
        <v>1.7098359651921019E-7</v>
      </c>
      <c r="K31" s="890"/>
      <c r="L31" s="551"/>
      <c r="M31" s="551"/>
      <c r="N31" s="551"/>
      <c r="O31" s="132"/>
      <c r="P31" s="37"/>
      <c r="Q31" s="41"/>
      <c r="R31" s="540"/>
      <c r="S31" s="540"/>
      <c r="T31" s="540"/>
      <c r="U31" s="541"/>
      <c r="V31" s="37"/>
      <c r="W31" s="41"/>
      <c r="X31" s="540"/>
      <c r="Y31" s="540"/>
      <c r="Z31" s="541"/>
      <c r="AA31" s="37"/>
    </row>
    <row r="32" spans="4:27">
      <c r="D32" s="39" t="s">
        <v>180</v>
      </c>
      <c r="E32" s="32" t="s">
        <v>181</v>
      </c>
      <c r="F32" s="132">
        <f t="shared" si="6"/>
        <v>3.5136586853419085E-7</v>
      </c>
      <c r="G32" s="132">
        <f t="shared" si="7"/>
        <v>1.621013317649655E-7</v>
      </c>
      <c r="H32" s="132">
        <f t="shared" si="0"/>
        <v>1.0540976056025725E-4</v>
      </c>
      <c r="I32" s="132">
        <f t="shared" si="1"/>
        <v>4.8630399529489652E-5</v>
      </c>
      <c r="J32" s="890">
        <f t="shared" si="2"/>
        <v>5.1346720029915633E-7</v>
      </c>
      <c r="K32" s="890"/>
      <c r="L32" s="551"/>
      <c r="M32" s="551"/>
      <c r="N32" s="551"/>
      <c r="O32" s="132"/>
      <c r="P32" s="37"/>
      <c r="Q32" s="542"/>
      <c r="R32" s="543" t="s">
        <v>391</v>
      </c>
      <c r="S32" s="543"/>
      <c r="T32" s="543"/>
      <c r="U32" s="544"/>
      <c r="V32" s="52"/>
      <c r="W32" s="542"/>
      <c r="X32" s="543"/>
      <c r="Y32" s="543"/>
      <c r="Z32" s="544"/>
      <c r="AA32" s="37"/>
    </row>
    <row r="33" spans="4:27" ht="12.75" customHeight="1">
      <c r="D33" s="39" t="s">
        <v>188</v>
      </c>
      <c r="E33" s="32" t="s">
        <v>189</v>
      </c>
      <c r="F33" s="132">
        <f t="shared" si="6"/>
        <v>4.0342007127999696E-6</v>
      </c>
      <c r="G33" s="132">
        <f t="shared" si="7"/>
        <v>4.6631889959784591E-6</v>
      </c>
      <c r="H33" s="132">
        <f t="shared" si="0"/>
        <v>1.210260213839991E-3</v>
      </c>
      <c r="I33" s="132">
        <f t="shared" si="1"/>
        <v>1.3989566987935378E-3</v>
      </c>
      <c r="J33" s="890">
        <f t="shared" si="2"/>
        <v>8.6973897087784295E-6</v>
      </c>
      <c r="K33" s="890"/>
      <c r="L33" s="551"/>
      <c r="M33" s="551"/>
      <c r="N33" s="551"/>
      <c r="O33" s="132"/>
      <c r="P33" s="37"/>
      <c r="Q33" s="542"/>
      <c r="R33" s="887" t="s">
        <v>392</v>
      </c>
      <c r="S33" s="887"/>
      <c r="T33" s="887"/>
      <c r="U33" s="544"/>
      <c r="V33" s="52"/>
      <c r="W33" s="542"/>
      <c r="X33" s="543"/>
      <c r="Y33" s="543"/>
      <c r="Z33" s="544"/>
      <c r="AA33" s="37"/>
    </row>
    <row r="34" spans="4:27">
      <c r="D34" s="39" t="s">
        <v>192</v>
      </c>
      <c r="E34" s="32" t="s">
        <v>193</v>
      </c>
      <c r="F34" s="132">
        <f t="shared" si="6"/>
        <v>0</v>
      </c>
      <c r="G34" s="132">
        <f t="shared" si="7"/>
        <v>0</v>
      </c>
      <c r="H34" s="132">
        <f t="shared" si="0"/>
        <v>0</v>
      </c>
      <c r="I34" s="132">
        <f t="shared" si="1"/>
        <v>0</v>
      </c>
      <c r="J34" s="890">
        <f t="shared" si="2"/>
        <v>0</v>
      </c>
      <c r="K34" s="890"/>
      <c r="L34" s="551"/>
      <c r="M34" s="551"/>
      <c r="N34" s="551"/>
      <c r="O34" s="132"/>
      <c r="P34" s="37"/>
      <c r="Q34" s="542"/>
      <c r="R34" s="887"/>
      <c r="S34" s="887"/>
      <c r="T34" s="887"/>
      <c r="U34" s="544"/>
      <c r="V34" s="52"/>
      <c r="W34" s="542"/>
      <c r="X34" s="543"/>
      <c r="Y34" s="543"/>
      <c r="Z34" s="544"/>
      <c r="AA34" s="37"/>
    </row>
    <row r="35" spans="4:27">
      <c r="D35" s="39" t="s">
        <v>313</v>
      </c>
      <c r="E35" s="32" t="s">
        <v>314</v>
      </c>
      <c r="F35" s="132">
        <f>+Y75</f>
        <v>2.0171003563999849E-8</v>
      </c>
      <c r="G35" s="132">
        <f>+W75</f>
        <v>3.9970191394101082E-8</v>
      </c>
      <c r="H35" s="132">
        <f t="shared" si="0"/>
        <v>6.0513010691999552E-6</v>
      </c>
      <c r="I35" s="132">
        <f t="shared" si="1"/>
        <v>1.1991057418230324E-5</v>
      </c>
      <c r="J35" s="890">
        <f t="shared" si="2"/>
        <v>6.0141194958100935E-8</v>
      </c>
      <c r="K35" s="890"/>
      <c r="L35" s="551"/>
      <c r="M35" s="551"/>
      <c r="N35" s="551"/>
      <c r="O35" s="132"/>
      <c r="P35" s="37"/>
      <c r="Q35" s="542"/>
      <c r="R35" s="543"/>
      <c r="S35" s="543"/>
      <c r="T35" s="915" t="s">
        <v>393</v>
      </c>
      <c r="U35" s="913" t="s">
        <v>394</v>
      </c>
      <c r="V35" s="52"/>
      <c r="W35" s="542"/>
      <c r="X35" s="543"/>
      <c r="Y35" s="543"/>
      <c r="Z35" s="544"/>
      <c r="AA35" s="37"/>
    </row>
    <row r="36" spans="4:27">
      <c r="D36" s="39" t="s">
        <v>195</v>
      </c>
      <c r="E36" s="32" t="s">
        <v>196</v>
      </c>
      <c r="F36" s="132">
        <f>+Y76</f>
        <v>1.3013550686451516E-5</v>
      </c>
      <c r="G36" s="132">
        <f>+W76</f>
        <v>9.1043213731008009E-6</v>
      </c>
      <c r="H36" s="132">
        <f t="shared" si="0"/>
        <v>3.9040652059354549E-3</v>
      </c>
      <c r="I36" s="132">
        <f t="shared" si="1"/>
        <v>2.7312964119302402E-3</v>
      </c>
      <c r="J36" s="890">
        <f t="shared" si="2"/>
        <v>2.2117872059552315E-5</v>
      </c>
      <c r="K36" s="890"/>
      <c r="L36" s="551"/>
      <c r="M36" s="551"/>
      <c r="N36" s="551"/>
      <c r="O36" s="132"/>
      <c r="P36" s="37"/>
      <c r="Q36" s="542"/>
      <c r="R36" s="543"/>
      <c r="S36" s="543"/>
      <c r="T36" s="916"/>
      <c r="U36" s="914" t="s">
        <v>394</v>
      </c>
      <c r="V36" s="52"/>
      <c r="W36" s="542"/>
      <c r="X36" s="543"/>
      <c r="Y36" s="543"/>
      <c r="Z36" s="544"/>
      <c r="AA36" s="37"/>
    </row>
    <row r="37" spans="4:27">
      <c r="D37" s="39" t="s">
        <v>333</v>
      </c>
      <c r="E37" s="32" t="s">
        <v>334</v>
      </c>
      <c r="F37" s="132">
        <f>+Y77</f>
        <v>3.7088619456386816E-6</v>
      </c>
      <c r="G37" s="132">
        <f>+W77</f>
        <v>1.7764529508489371E-6</v>
      </c>
      <c r="H37" s="132">
        <f t="shared" si="0"/>
        <v>1.1126585836916045E-3</v>
      </c>
      <c r="I37" s="132">
        <f t="shared" si="1"/>
        <v>5.3293588525468109E-4</v>
      </c>
      <c r="J37" s="890">
        <f t="shared" si="2"/>
        <v>5.4853148964876187E-6</v>
      </c>
      <c r="K37" s="890"/>
      <c r="L37" s="551"/>
      <c r="M37" s="551"/>
      <c r="N37" s="551"/>
      <c r="O37" s="132"/>
      <c r="P37" s="37"/>
      <c r="Q37" s="542"/>
      <c r="R37" s="543"/>
      <c r="S37" s="543"/>
      <c r="T37" s="916"/>
      <c r="U37" s="914"/>
      <c r="V37" s="52"/>
      <c r="W37" s="542"/>
      <c r="X37" s="543"/>
      <c r="Y37" s="543"/>
      <c r="Z37" s="544"/>
      <c r="AA37" s="37"/>
    </row>
    <row r="38" spans="4:27">
      <c r="D38" s="39" t="s">
        <v>395</v>
      </c>
      <c r="E38">
        <v>7783064</v>
      </c>
      <c r="F38" s="132">
        <f>+Y83</f>
        <v>1.46E-6</v>
      </c>
      <c r="G38" s="132">
        <f>+W83</f>
        <v>1.46E-6</v>
      </c>
      <c r="H38" s="132">
        <f t="shared" si="0"/>
        <v>4.3800000000000002E-4</v>
      </c>
      <c r="I38" s="132">
        <f t="shared" si="1"/>
        <v>4.3800000000000002E-4</v>
      </c>
      <c r="J38" s="890">
        <f>IF(silofill=1,+F38+G38,G38)</f>
        <v>2.92E-6</v>
      </c>
      <c r="K38" s="890"/>
      <c r="L38" s="551"/>
      <c r="M38" s="551"/>
      <c r="N38" s="551"/>
      <c r="O38" s="132"/>
      <c r="P38" s="37"/>
      <c r="Q38" s="542"/>
      <c r="R38" s="543"/>
      <c r="S38" s="543"/>
      <c r="T38" s="887" t="s">
        <v>396</v>
      </c>
      <c r="U38" s="906" t="s">
        <v>396</v>
      </c>
      <c r="V38" s="52"/>
      <c r="W38" s="542"/>
      <c r="X38" s="543"/>
      <c r="Y38" s="543"/>
      <c r="Z38" s="544"/>
      <c r="AA38" s="37"/>
    </row>
    <row r="39" spans="4:27">
      <c r="P39" s="37"/>
      <c r="Q39" s="542"/>
      <c r="R39" s="543"/>
      <c r="S39" s="543"/>
      <c r="T39" s="887"/>
      <c r="U39" s="906"/>
      <c r="V39" s="52"/>
      <c r="W39" s="905" t="s">
        <v>397</v>
      </c>
      <c r="X39" s="887"/>
      <c r="Y39" s="887" t="s">
        <v>398</v>
      </c>
      <c r="Z39" s="906"/>
      <c r="AA39" s="37"/>
    </row>
    <row r="40" spans="4:27">
      <c r="P40" s="37"/>
      <c r="Q40" s="542"/>
      <c r="R40" s="543"/>
      <c r="S40" s="543"/>
      <c r="T40" s="549"/>
      <c r="U40" s="544"/>
      <c r="V40" s="52"/>
      <c r="W40" s="892"/>
      <c r="X40" s="888"/>
      <c r="Y40" s="888"/>
      <c r="Z40" s="893"/>
      <c r="AA40" s="37"/>
    </row>
    <row r="41" spans="4:27">
      <c r="P41" s="37"/>
      <c r="Q41" s="542"/>
      <c r="R41" s="35" t="s">
        <v>168</v>
      </c>
      <c r="S41" s="53" t="s">
        <v>169</v>
      </c>
      <c r="T41" s="17">
        <v>2.3E-3</v>
      </c>
      <c r="U41" s="42">
        <v>0</v>
      </c>
      <c r="V41" s="52"/>
      <c r="W41" s="907">
        <f>+$T$21*T41/100</f>
        <v>4.1868000869208597E-9</v>
      </c>
      <c r="X41" s="821"/>
      <c r="Y41" s="910">
        <f>+$T$26*U41/100</f>
        <v>0</v>
      </c>
      <c r="Z41" s="911"/>
      <c r="AA41" s="37"/>
    </row>
    <row r="42" spans="4:27">
      <c r="P42" s="37"/>
      <c r="Q42" s="542"/>
      <c r="R42" s="35" t="s">
        <v>301</v>
      </c>
      <c r="S42" s="53" t="s">
        <v>302</v>
      </c>
      <c r="T42" s="17">
        <v>1.25</v>
      </c>
      <c r="U42" s="42">
        <v>1.82</v>
      </c>
      <c r="V42" s="52"/>
      <c r="W42" s="907">
        <f>+$T$21*T42/100</f>
        <v>2.2754348298482932E-6</v>
      </c>
      <c r="X42" s="821"/>
      <c r="Y42" s="910">
        <f>+$T$26*U42/100</f>
        <v>2.4671523176397665E-6</v>
      </c>
      <c r="Z42" s="911"/>
      <c r="AA42" s="37"/>
    </row>
    <row r="43" spans="4:27">
      <c r="P43" s="37"/>
      <c r="Q43" s="542"/>
      <c r="R43" s="543"/>
      <c r="S43" s="20" t="s">
        <v>382</v>
      </c>
      <c r="T43" s="17">
        <v>5.93</v>
      </c>
      <c r="U43" s="42">
        <v>11.4</v>
      </c>
      <c r="V43" s="52"/>
      <c r="W43" s="907">
        <f>+$T$21*T43/100</f>
        <v>1.0794662832800303E-5</v>
      </c>
      <c r="X43" s="821"/>
      <c r="Y43" s="910">
        <f>+$T$26*U43/100</f>
        <v>1.5453591440161175E-5</v>
      </c>
      <c r="Z43" s="911"/>
      <c r="AA43" s="37"/>
    </row>
    <row r="44" spans="4:27" ht="14.1" thickBot="1">
      <c r="P44" s="37"/>
      <c r="Q44" s="545"/>
      <c r="R44" s="48" t="s">
        <v>173</v>
      </c>
      <c r="S44" s="54" t="s">
        <v>174</v>
      </c>
      <c r="T44" s="46">
        <v>1.18</v>
      </c>
      <c r="U44" s="49">
        <v>0</v>
      </c>
      <c r="V44" s="52"/>
      <c r="W44" s="908">
        <f>+$T$21*T44/100</f>
        <v>2.1480104793767886E-6</v>
      </c>
      <c r="X44" s="909"/>
      <c r="Y44" s="909">
        <f>+$T$26*U44/100</f>
        <v>0</v>
      </c>
      <c r="Z44" s="912"/>
      <c r="AA44" s="37"/>
    </row>
    <row r="45" spans="4:27">
      <c r="P45" s="37"/>
      <c r="Q45" s="543"/>
      <c r="R45" s="543"/>
      <c r="S45" s="543"/>
      <c r="T45" s="543"/>
      <c r="U45" s="543"/>
      <c r="V45" s="52"/>
      <c r="W45" s="543"/>
      <c r="X45" s="543"/>
      <c r="Y45" s="543"/>
      <c r="AA45" s="37"/>
    </row>
    <row r="46" spans="4:27" ht="14.1" thickBot="1">
      <c r="P46" s="37"/>
      <c r="V46" s="37"/>
      <c r="X46" s="543"/>
      <c r="AA46" s="37"/>
    </row>
    <row r="47" spans="4:27">
      <c r="P47" s="37"/>
      <c r="Q47" s="41"/>
      <c r="R47" s="540"/>
      <c r="S47" s="540"/>
      <c r="T47" s="540"/>
      <c r="U47" s="541"/>
      <c r="V47" s="52"/>
      <c r="W47" s="41"/>
      <c r="X47" s="540"/>
      <c r="Y47" s="540"/>
      <c r="Z47" s="541"/>
      <c r="AA47" s="37"/>
    </row>
    <row r="48" spans="4:27">
      <c r="P48" s="37"/>
      <c r="Q48" s="542"/>
      <c r="R48" s="543" t="s">
        <v>399</v>
      </c>
      <c r="S48" s="543"/>
      <c r="T48" s="543"/>
      <c r="U48" s="544"/>
      <c r="V48" s="52"/>
      <c r="W48" s="542"/>
      <c r="X48" s="543"/>
      <c r="Y48" s="543"/>
      <c r="Z48" s="544"/>
      <c r="AA48" s="37"/>
    </row>
    <row r="49" spans="1:34">
      <c r="P49" s="37"/>
      <c r="Q49" s="542"/>
      <c r="R49" s="543"/>
      <c r="S49" s="543"/>
      <c r="T49" s="543"/>
      <c r="U49" s="544"/>
      <c r="V49" s="52"/>
      <c r="W49" s="542"/>
      <c r="X49" s="543"/>
      <c r="Y49" s="543"/>
      <c r="Z49" s="544"/>
      <c r="AA49" s="37"/>
    </row>
    <row r="50" spans="1:34">
      <c r="P50" s="37"/>
      <c r="Q50" s="542"/>
      <c r="R50" s="887" t="s">
        <v>400</v>
      </c>
      <c r="S50" s="887"/>
      <c r="T50" s="887"/>
      <c r="U50" s="544"/>
      <c r="V50" s="52"/>
      <c r="W50" s="542"/>
      <c r="X50" s="543"/>
      <c r="Y50" s="543"/>
      <c r="Z50" s="544"/>
      <c r="AA50" s="37"/>
    </row>
    <row r="51" spans="1:34">
      <c r="B51" s="38"/>
      <c r="C51" s="38"/>
      <c r="D51" s="38"/>
      <c r="E51" s="38"/>
      <c r="F51" s="38"/>
      <c r="G51" s="38"/>
      <c r="H51" s="38"/>
      <c r="I51" s="38"/>
      <c r="J51" s="38"/>
      <c r="K51" s="38"/>
      <c r="P51" s="37"/>
      <c r="Q51" s="542"/>
      <c r="R51" s="887"/>
      <c r="S51" s="887"/>
      <c r="T51" s="887"/>
      <c r="U51" s="544"/>
      <c r="V51" s="52"/>
      <c r="W51" s="542"/>
      <c r="X51" s="543"/>
      <c r="Y51" s="543"/>
      <c r="Z51" s="544"/>
      <c r="AA51" s="37"/>
    </row>
    <row r="52" spans="1:34">
      <c r="A52" s="38"/>
      <c r="B52" s="38"/>
      <c r="C52" s="38"/>
      <c r="D52" s="38"/>
      <c r="E52" s="38"/>
      <c r="F52" s="38"/>
      <c r="G52" s="38"/>
      <c r="H52" s="38"/>
      <c r="I52" s="38"/>
      <c r="J52" s="38"/>
      <c r="K52" s="38"/>
      <c r="L52" s="38"/>
      <c r="M52" s="38"/>
      <c r="N52" s="38"/>
      <c r="O52" s="38"/>
      <c r="P52" s="37"/>
      <c r="Q52" s="542"/>
      <c r="R52" s="543"/>
      <c r="S52" s="543"/>
      <c r="T52" s="887" t="s">
        <v>393</v>
      </c>
      <c r="U52" s="906" t="s">
        <v>394</v>
      </c>
      <c r="V52" s="52"/>
      <c r="W52" s="542"/>
      <c r="X52" s="543"/>
      <c r="Y52" s="543"/>
      <c r="Z52" s="544"/>
      <c r="AA52" s="37"/>
    </row>
    <row r="53" spans="1:34" s="38" customFormat="1">
      <c r="P53" s="37"/>
      <c r="Q53" s="542"/>
      <c r="R53" s="543"/>
      <c r="S53" s="543"/>
      <c r="T53" s="887"/>
      <c r="U53" s="906"/>
      <c r="V53" s="52"/>
      <c r="W53" s="542"/>
      <c r="X53" s="543"/>
      <c r="Y53" s="543"/>
      <c r="Z53" s="544"/>
      <c r="AA53" s="37"/>
      <c r="AB53"/>
      <c r="AC53"/>
      <c r="AD53"/>
      <c r="AE53"/>
      <c r="AF53"/>
      <c r="AG53"/>
      <c r="AH53"/>
    </row>
    <row r="54" spans="1:34" s="38" customFormat="1">
      <c r="P54" s="37"/>
      <c r="Q54" s="542"/>
      <c r="R54" s="543"/>
      <c r="S54" s="543"/>
      <c r="T54" s="887" t="s">
        <v>401</v>
      </c>
      <c r="U54" s="906" t="s">
        <v>401</v>
      </c>
      <c r="V54" s="52"/>
      <c r="W54" s="542"/>
      <c r="X54" s="543"/>
      <c r="Y54" s="543"/>
      <c r="Z54" s="544"/>
      <c r="AA54" s="37"/>
      <c r="AB54"/>
      <c r="AC54"/>
      <c r="AD54"/>
      <c r="AE54"/>
      <c r="AF54"/>
      <c r="AG54"/>
      <c r="AH54"/>
    </row>
    <row r="55" spans="1:34" s="38" customFormat="1">
      <c r="P55" s="37"/>
      <c r="Q55" s="542"/>
      <c r="R55" s="543"/>
      <c r="S55" s="543"/>
      <c r="T55" s="887"/>
      <c r="U55" s="906"/>
      <c r="V55" s="52"/>
      <c r="W55" s="905" t="s">
        <v>397</v>
      </c>
      <c r="X55" s="887"/>
      <c r="Y55" s="887" t="s">
        <v>398</v>
      </c>
      <c r="Z55" s="906"/>
      <c r="AA55" s="37"/>
      <c r="AB55"/>
      <c r="AC55"/>
      <c r="AD55"/>
      <c r="AE55"/>
      <c r="AF55"/>
      <c r="AG55"/>
      <c r="AH55"/>
    </row>
    <row r="56" spans="1:34" s="38" customFormat="1">
      <c r="P56" s="37"/>
      <c r="Q56" s="542"/>
      <c r="R56" s="543"/>
      <c r="S56" s="543"/>
      <c r="T56" s="549"/>
      <c r="U56" s="544"/>
      <c r="V56" s="52"/>
      <c r="W56" s="892"/>
      <c r="X56" s="888"/>
      <c r="Y56" s="888"/>
      <c r="Z56" s="893"/>
      <c r="AA56" s="37"/>
      <c r="AB56"/>
      <c r="AC56"/>
      <c r="AD56"/>
      <c r="AE56"/>
      <c r="AF56"/>
      <c r="AG56"/>
      <c r="AH56"/>
    </row>
    <row r="57" spans="1:34" s="38" customFormat="1">
      <c r="P57" s="37"/>
      <c r="Q57" s="542"/>
      <c r="R57" s="35" t="s">
        <v>138</v>
      </c>
      <c r="S57" s="36"/>
      <c r="T57" s="17">
        <v>94</v>
      </c>
      <c r="U57" s="42">
        <v>100</v>
      </c>
      <c r="V57" s="52"/>
      <c r="W57" s="805">
        <f>+$T$22*T57/100</f>
        <v>2.0873322172475007E-3</v>
      </c>
      <c r="X57" s="891"/>
      <c r="Y57" s="891">
        <f>+$T$27*U57/100</f>
        <v>6.5067753432257571E-3</v>
      </c>
      <c r="Z57" s="804"/>
      <c r="AA57" s="37"/>
      <c r="AB57"/>
      <c r="AC57"/>
      <c r="AD57"/>
      <c r="AE57"/>
      <c r="AF57"/>
      <c r="AG57"/>
      <c r="AH57"/>
    </row>
    <row r="58" spans="1:34" s="38" customFormat="1">
      <c r="P58" s="37"/>
      <c r="Q58" s="43"/>
      <c r="R58" s="39" t="s">
        <v>165</v>
      </c>
      <c r="S58" s="32" t="s">
        <v>166</v>
      </c>
      <c r="T58" s="22">
        <v>5.1999999999999998E-2</v>
      </c>
      <c r="U58" s="44">
        <v>3.2000000000000001E-2</v>
      </c>
      <c r="V58" s="52"/>
      <c r="W58" s="805">
        <f t="shared" ref="W58:W78" si="8">+$T$22*T58/100</f>
        <v>1.154694418051809E-6</v>
      </c>
      <c r="X58" s="891"/>
      <c r="Y58" s="891">
        <f t="shared" ref="Y58:Y78" si="9">+$T$27*U58/100</f>
        <v>2.0821681098322425E-6</v>
      </c>
      <c r="Z58" s="804"/>
      <c r="AA58" s="37"/>
    </row>
    <row r="59" spans="1:34" s="38" customFormat="1">
      <c r="P59" s="37"/>
      <c r="Q59" s="43"/>
      <c r="R59" s="40" t="s">
        <v>325</v>
      </c>
      <c r="S59" s="31" t="s">
        <v>326</v>
      </c>
      <c r="T59" s="22">
        <v>9.5999999999999992E-3</v>
      </c>
      <c r="U59" s="44">
        <v>4.8999999999999998E-3</v>
      </c>
      <c r="V59" s="52"/>
      <c r="W59" s="805">
        <f t="shared" si="8"/>
        <v>2.131743541018724E-7</v>
      </c>
      <c r="X59" s="891"/>
      <c r="Y59" s="891">
        <f t="shared" si="9"/>
        <v>3.1883199181806206E-7</v>
      </c>
      <c r="Z59" s="804"/>
      <c r="AA59" s="37"/>
    </row>
    <row r="60" spans="1:34" s="38" customFormat="1">
      <c r="P60" s="37"/>
      <c r="Q60" s="43"/>
      <c r="R60" s="40" t="s">
        <v>158</v>
      </c>
      <c r="S60" s="31" t="s">
        <v>159</v>
      </c>
      <c r="T60" s="22">
        <v>4.9000000000000002E-2</v>
      </c>
      <c r="U60" s="44">
        <v>3.9E-2</v>
      </c>
      <c r="V60" s="52"/>
      <c r="W60" s="805">
        <f t="shared" si="8"/>
        <v>1.0880774323949739E-6</v>
      </c>
      <c r="X60" s="891"/>
      <c r="Y60" s="891">
        <f t="shared" si="9"/>
        <v>2.5376423838580454E-6</v>
      </c>
      <c r="Z60" s="804"/>
      <c r="AA60" s="37"/>
    </row>
    <row r="61" spans="1:34" s="38" customFormat="1">
      <c r="P61" s="37"/>
      <c r="Q61" s="43"/>
      <c r="R61" s="39" t="s">
        <v>178</v>
      </c>
      <c r="S61" s="32" t="s">
        <v>179</v>
      </c>
      <c r="T61" s="22">
        <v>1.2999999999999999E-2</v>
      </c>
      <c r="U61" s="44">
        <v>1.6E-2</v>
      </c>
      <c r="V61" s="52"/>
      <c r="W61" s="805">
        <f t="shared" si="8"/>
        <v>2.8867360451295225E-7</v>
      </c>
      <c r="X61" s="891"/>
      <c r="Y61" s="891">
        <f t="shared" si="9"/>
        <v>1.0410840549161212E-6</v>
      </c>
      <c r="Z61" s="804"/>
      <c r="AA61" s="37"/>
    </row>
    <row r="62" spans="1:34" s="38" customFormat="1">
      <c r="P62" s="37"/>
      <c r="Q62" s="43"/>
      <c r="R62" s="39" t="s">
        <v>327</v>
      </c>
      <c r="S62" s="32" t="s">
        <v>328</v>
      </c>
      <c r="T62" s="22">
        <v>0.11</v>
      </c>
      <c r="U62" s="44">
        <v>0</v>
      </c>
      <c r="V62" s="52"/>
      <c r="W62" s="805">
        <f t="shared" si="8"/>
        <v>2.4426228074172882E-6</v>
      </c>
      <c r="X62" s="891"/>
      <c r="Y62" s="891">
        <f t="shared" si="9"/>
        <v>0</v>
      </c>
      <c r="Z62" s="804"/>
      <c r="AA62" s="37"/>
    </row>
    <row r="63" spans="1:34" s="38" customFormat="1">
      <c r="P63" s="37"/>
      <c r="Q63" s="43"/>
      <c r="R63" s="39" t="s">
        <v>321</v>
      </c>
      <c r="S63" s="32" t="s">
        <v>322</v>
      </c>
      <c r="T63" s="22">
        <v>0.28000000000000003</v>
      </c>
      <c r="U63" s="44">
        <v>3.7999999999999999E-2</v>
      </c>
      <c r="V63" s="52"/>
      <c r="W63" s="805">
        <f t="shared" si="8"/>
        <v>6.2175853279712794E-6</v>
      </c>
      <c r="X63" s="891"/>
      <c r="Y63" s="891">
        <f t="shared" si="9"/>
        <v>2.4725746304257873E-6</v>
      </c>
      <c r="Z63" s="804"/>
      <c r="AA63" s="37"/>
    </row>
    <row r="64" spans="1:34" s="38" customFormat="1">
      <c r="P64" s="37"/>
      <c r="Q64" s="43"/>
      <c r="R64" s="39" t="s">
        <v>329</v>
      </c>
      <c r="S64" s="32" t="s">
        <v>330</v>
      </c>
      <c r="T64" s="22">
        <v>2.1000000000000001E-4</v>
      </c>
      <c r="U64" s="44"/>
      <c r="V64" s="52"/>
      <c r="W64" s="805">
        <f t="shared" si="8"/>
        <v>4.6631889959784596E-9</v>
      </c>
      <c r="X64" s="891"/>
      <c r="Y64" s="891">
        <f t="shared" si="9"/>
        <v>0</v>
      </c>
      <c r="Z64" s="804"/>
      <c r="AA64" s="37"/>
    </row>
    <row r="65" spans="1:34" s="38" customFormat="1">
      <c r="P65" s="37"/>
      <c r="Q65" s="43"/>
      <c r="R65" s="39" t="s">
        <v>182</v>
      </c>
      <c r="S65" s="32" t="s">
        <v>183</v>
      </c>
      <c r="T65" s="22">
        <v>8.7999999999999995E-2</v>
      </c>
      <c r="U65" s="44">
        <v>0.69</v>
      </c>
      <c r="V65" s="52"/>
      <c r="W65" s="805">
        <f>+$T$22*T65/100</f>
        <v>1.9540982459338305E-6</v>
      </c>
      <c r="X65" s="891"/>
      <c r="Y65" s="891">
        <f t="shared" si="9"/>
        <v>4.4896749868257723E-5</v>
      </c>
      <c r="Z65" s="804"/>
      <c r="AA65" s="37"/>
    </row>
    <row r="66" spans="1:34" s="38" customFormat="1">
      <c r="P66" s="37"/>
      <c r="Q66" s="43"/>
      <c r="R66" s="39" t="s">
        <v>190</v>
      </c>
      <c r="S66" s="32" t="s">
        <v>191</v>
      </c>
      <c r="T66" s="22">
        <v>0.15</v>
      </c>
      <c r="U66" s="44">
        <v>0.1</v>
      </c>
      <c r="V66" s="52"/>
      <c r="W66" s="805">
        <f t="shared" si="8"/>
        <v>3.330849282841757E-6</v>
      </c>
      <c r="X66" s="891"/>
      <c r="Y66" s="891">
        <f t="shared" si="9"/>
        <v>6.5067753432257581E-6</v>
      </c>
      <c r="Z66" s="804"/>
      <c r="AA66" s="37"/>
    </row>
    <row r="67" spans="1:34" s="38" customFormat="1">
      <c r="P67" s="37"/>
      <c r="Q67" s="43"/>
      <c r="R67" s="39" t="s">
        <v>331</v>
      </c>
      <c r="S67" s="32" t="s">
        <v>332</v>
      </c>
      <c r="T67" s="22">
        <v>1.4999999999999999E-2</v>
      </c>
      <c r="U67" s="44"/>
      <c r="V67" s="52"/>
      <c r="W67" s="805">
        <f t="shared" si="8"/>
        <v>3.3308492828417569E-7</v>
      </c>
      <c r="X67" s="891"/>
      <c r="Y67" s="891">
        <f t="shared" si="9"/>
        <v>0</v>
      </c>
      <c r="Z67" s="804"/>
      <c r="AA67" s="37"/>
    </row>
    <row r="68" spans="1:34" s="38" customFormat="1">
      <c r="P68" s="37"/>
      <c r="Q68" s="43"/>
      <c r="R68" s="39" t="s">
        <v>199</v>
      </c>
      <c r="S68" s="32" t="s">
        <v>200</v>
      </c>
      <c r="T68" s="22">
        <v>0</v>
      </c>
      <c r="U68" s="44">
        <v>0</v>
      </c>
      <c r="V68" s="52"/>
      <c r="W68" s="805">
        <f t="shared" si="8"/>
        <v>0</v>
      </c>
      <c r="X68" s="891"/>
      <c r="Y68" s="891">
        <f t="shared" si="9"/>
        <v>0</v>
      </c>
      <c r="Z68" s="804"/>
      <c r="AA68" s="37"/>
    </row>
    <row r="69" spans="1:34" s="38" customFormat="1">
      <c r="B69"/>
      <c r="C69"/>
      <c r="D69"/>
      <c r="E69"/>
      <c r="F69"/>
      <c r="G69"/>
      <c r="H69"/>
      <c r="I69"/>
      <c r="J69"/>
      <c r="K69"/>
      <c r="P69" s="37"/>
      <c r="Q69" s="43"/>
      <c r="R69" s="39" t="s">
        <v>162</v>
      </c>
      <c r="S69" s="32" t="s">
        <v>163</v>
      </c>
      <c r="T69" s="22">
        <v>0</v>
      </c>
      <c r="U69" s="44">
        <v>2.7E-4</v>
      </c>
      <c r="V69" s="52"/>
      <c r="W69" s="805">
        <f t="shared" si="8"/>
        <v>0</v>
      </c>
      <c r="X69" s="891"/>
      <c r="Y69" s="891">
        <f t="shared" si="9"/>
        <v>1.7568293426709546E-8</v>
      </c>
      <c r="Z69" s="804"/>
      <c r="AA69" s="37"/>
    </row>
    <row r="70" spans="1:34" s="38" customFormat="1">
      <c r="A70"/>
      <c r="B70"/>
      <c r="C70"/>
      <c r="D70"/>
      <c r="E70"/>
      <c r="F70"/>
      <c r="G70"/>
      <c r="H70"/>
      <c r="I70"/>
      <c r="J70"/>
      <c r="K70"/>
      <c r="L70"/>
      <c r="M70"/>
      <c r="N70"/>
      <c r="O70"/>
      <c r="P70" s="37"/>
      <c r="Q70" s="43"/>
      <c r="R70" s="39" t="s">
        <v>170</v>
      </c>
      <c r="S70" s="32" t="s">
        <v>171</v>
      </c>
      <c r="T70" s="22">
        <v>7.7000000000000002E-3</v>
      </c>
      <c r="U70" s="44">
        <v>0</v>
      </c>
      <c r="V70" s="52"/>
      <c r="W70" s="805">
        <f t="shared" si="8"/>
        <v>1.7098359651921019E-7</v>
      </c>
      <c r="X70" s="891"/>
      <c r="Y70" s="891">
        <f t="shared" si="9"/>
        <v>0</v>
      </c>
      <c r="Z70" s="804"/>
      <c r="AA70" s="37"/>
    </row>
    <row r="71" spans="1:34">
      <c r="P71" s="37"/>
      <c r="Q71" s="43"/>
      <c r="R71" s="39" t="s">
        <v>180</v>
      </c>
      <c r="S71" s="32" t="s">
        <v>181</v>
      </c>
      <c r="T71" s="22">
        <v>7.3000000000000001E-3</v>
      </c>
      <c r="U71" s="44">
        <v>5.4000000000000003E-3</v>
      </c>
      <c r="V71" s="52"/>
      <c r="W71" s="805">
        <f t="shared" si="8"/>
        <v>1.621013317649655E-7</v>
      </c>
      <c r="X71" s="891"/>
      <c r="Y71" s="891">
        <f t="shared" si="9"/>
        <v>3.5136586853419085E-7</v>
      </c>
      <c r="Z71" s="804"/>
      <c r="AA71" s="37"/>
      <c r="AB71" s="38"/>
      <c r="AC71" s="38"/>
      <c r="AD71" s="38"/>
      <c r="AE71" s="38"/>
      <c r="AF71" s="38"/>
      <c r="AG71" s="38"/>
      <c r="AH71" s="38"/>
    </row>
    <row r="72" spans="1:34">
      <c r="P72" s="37"/>
      <c r="Q72" s="43"/>
      <c r="R72" s="39" t="s">
        <v>188</v>
      </c>
      <c r="S72" s="32" t="s">
        <v>189</v>
      </c>
      <c r="T72" s="22">
        <v>0.21</v>
      </c>
      <c r="U72" s="44">
        <v>6.2E-2</v>
      </c>
      <c r="V72" s="52"/>
      <c r="W72" s="805">
        <f t="shared" si="8"/>
        <v>4.6631889959784591E-6</v>
      </c>
      <c r="X72" s="891"/>
      <c r="Y72" s="891">
        <f t="shared" si="9"/>
        <v>4.0342007127999696E-6</v>
      </c>
      <c r="Z72" s="804"/>
      <c r="AA72" s="37"/>
      <c r="AB72" s="38"/>
      <c r="AC72" s="38"/>
      <c r="AD72" s="38"/>
      <c r="AE72" s="38"/>
      <c r="AF72" s="38"/>
      <c r="AG72" s="38"/>
      <c r="AH72" s="38"/>
    </row>
    <row r="73" spans="1:34">
      <c r="P73" s="37"/>
      <c r="Q73" s="43"/>
      <c r="R73" s="39" t="s">
        <v>192</v>
      </c>
      <c r="S73" s="32" t="s">
        <v>193</v>
      </c>
      <c r="T73" s="22">
        <v>0</v>
      </c>
      <c r="U73" s="44">
        <v>0</v>
      </c>
      <c r="V73" s="52"/>
      <c r="W73" s="805">
        <f t="shared" si="8"/>
        <v>0</v>
      </c>
      <c r="X73" s="891"/>
      <c r="Y73" s="891">
        <f t="shared" si="9"/>
        <v>0</v>
      </c>
      <c r="Z73" s="804"/>
      <c r="AA73" s="37"/>
      <c r="AB73" s="38"/>
      <c r="AC73" s="38"/>
      <c r="AD73" s="38"/>
      <c r="AE73" s="38"/>
      <c r="AF73" s="38"/>
      <c r="AG73" s="38"/>
      <c r="AH73" s="38"/>
    </row>
    <row r="74" spans="1:34">
      <c r="P74" s="37"/>
      <c r="Q74" s="43"/>
      <c r="R74" s="39" t="s">
        <v>402</v>
      </c>
      <c r="S74" s="32" t="s">
        <v>403</v>
      </c>
      <c r="T74" s="22">
        <v>1.2999999999999999E-3</v>
      </c>
      <c r="U74" s="44">
        <v>0</v>
      </c>
      <c r="V74" s="52"/>
      <c r="W74" s="805">
        <f t="shared" si="8"/>
        <v>2.8867360451295222E-8</v>
      </c>
      <c r="X74" s="891"/>
      <c r="Y74" s="891">
        <f t="shared" si="9"/>
        <v>0</v>
      </c>
      <c r="Z74" s="804"/>
      <c r="AA74" s="37"/>
      <c r="AB74" s="38"/>
      <c r="AC74" s="38"/>
      <c r="AD74" s="38"/>
      <c r="AE74" s="38"/>
      <c r="AF74" s="38"/>
      <c r="AG74" s="38"/>
      <c r="AH74" s="38"/>
    </row>
    <row r="75" spans="1:34">
      <c r="P75" s="37"/>
      <c r="Q75" s="43"/>
      <c r="R75" s="39" t="s">
        <v>313</v>
      </c>
      <c r="S75" s="32" t="s">
        <v>314</v>
      </c>
      <c r="T75" s="22">
        <v>1.8E-3</v>
      </c>
      <c r="U75" s="44">
        <v>3.1E-4</v>
      </c>
      <c r="V75" s="52"/>
      <c r="W75" s="805">
        <f t="shared" si="8"/>
        <v>3.9970191394101082E-8</v>
      </c>
      <c r="X75" s="891"/>
      <c r="Y75" s="891">
        <f t="shared" si="9"/>
        <v>2.0171003563999849E-8</v>
      </c>
      <c r="Z75" s="804"/>
      <c r="AA75" s="37"/>
      <c r="AB75" s="38"/>
      <c r="AC75" s="38"/>
      <c r="AD75" s="38"/>
      <c r="AE75" s="38"/>
      <c r="AF75" s="38"/>
      <c r="AG75" s="38"/>
      <c r="AH75" s="38"/>
    </row>
    <row r="76" spans="1:34">
      <c r="P76" s="37"/>
      <c r="Q76" s="542"/>
      <c r="R76" s="39" t="s">
        <v>195</v>
      </c>
      <c r="S76" s="32" t="s">
        <v>196</v>
      </c>
      <c r="T76" s="22">
        <v>0.41</v>
      </c>
      <c r="U76" s="44">
        <v>0.2</v>
      </c>
      <c r="V76" s="52"/>
      <c r="W76" s="805">
        <f t="shared" si="8"/>
        <v>9.1043213731008009E-6</v>
      </c>
      <c r="X76" s="891"/>
      <c r="Y76" s="891">
        <f t="shared" si="9"/>
        <v>1.3013550686451516E-5</v>
      </c>
      <c r="Z76" s="804"/>
      <c r="AA76" s="37"/>
    </row>
    <row r="77" spans="1:34">
      <c r="P77" s="37"/>
      <c r="Q77" s="542"/>
      <c r="R77" s="39" t="s">
        <v>333</v>
      </c>
      <c r="S77" s="32" t="s">
        <v>334</v>
      </c>
      <c r="T77" s="22">
        <v>0.08</v>
      </c>
      <c r="U77" s="44">
        <v>5.7000000000000002E-2</v>
      </c>
      <c r="V77" s="52"/>
      <c r="W77" s="805">
        <f t="shared" si="8"/>
        <v>1.7764529508489371E-6</v>
      </c>
      <c r="X77" s="891"/>
      <c r="Y77" s="891">
        <f t="shared" si="9"/>
        <v>3.7088619456386816E-6</v>
      </c>
      <c r="Z77" s="804"/>
      <c r="AA77" s="37"/>
    </row>
    <row r="78" spans="1:34" ht="14.1" thickBot="1">
      <c r="P78" s="37"/>
      <c r="Q78" s="545"/>
      <c r="R78" s="45" t="s">
        <v>384</v>
      </c>
      <c r="S78" s="546"/>
      <c r="T78" s="46">
        <v>1.5</v>
      </c>
      <c r="U78" s="47">
        <v>1.3</v>
      </c>
      <c r="V78" s="52"/>
      <c r="W78" s="894">
        <f t="shared" si="8"/>
        <v>3.3308492828417568E-5</v>
      </c>
      <c r="X78" s="823"/>
      <c r="Y78" s="823">
        <f t="shared" si="9"/>
        <v>8.4588079461934846E-5</v>
      </c>
      <c r="Z78" s="824"/>
      <c r="AA78" s="37"/>
    </row>
    <row r="79" spans="1:34">
      <c r="P79" s="37"/>
      <c r="Q79" s="543"/>
      <c r="R79" s="543"/>
      <c r="S79" s="543"/>
      <c r="T79" s="543"/>
      <c r="U79" s="543"/>
      <c r="V79" s="543"/>
      <c r="W79" s="543"/>
      <c r="Y79" s="543"/>
      <c r="Z79" s="543"/>
    </row>
    <row r="80" spans="1:34" ht="14.1" thickBot="1">
      <c r="P80" s="37"/>
      <c r="Q80" s="543"/>
      <c r="R80" s="543"/>
      <c r="S80" s="543"/>
      <c r="T80" s="543"/>
      <c r="U80" s="543"/>
      <c r="V80" s="543"/>
      <c r="W80" s="543"/>
      <c r="Y80" s="543"/>
      <c r="Z80" s="543"/>
    </row>
    <row r="81" spans="16:26">
      <c r="P81" s="37"/>
      <c r="Q81" s="41"/>
      <c r="R81" s="540"/>
      <c r="S81" s="540"/>
      <c r="T81" s="540"/>
      <c r="U81" s="540"/>
      <c r="V81" s="540"/>
      <c r="W81" s="668" t="s">
        <v>397</v>
      </c>
      <c r="X81" s="669"/>
      <c r="Y81" s="669" t="s">
        <v>398</v>
      </c>
      <c r="Z81" s="670"/>
    </row>
    <row r="82" spans="16:26">
      <c r="P82" s="37"/>
      <c r="Q82" s="542"/>
      <c r="R82" s="543"/>
      <c r="S82" s="543"/>
      <c r="T82" s="543"/>
      <c r="U82" s="543"/>
      <c r="V82" s="543"/>
      <c r="W82" s="892"/>
      <c r="X82" s="888"/>
      <c r="Y82" s="888"/>
      <c r="Z82" s="893"/>
    </row>
    <row r="83" spans="16:26">
      <c r="P83" s="37"/>
      <c r="Q83" s="542"/>
      <c r="R83" s="510" t="s">
        <v>404</v>
      </c>
      <c r="S83" s="543">
        <v>7783064</v>
      </c>
      <c r="T83" s="543"/>
      <c r="U83" s="543"/>
      <c r="V83" s="543"/>
      <c r="W83" s="889">
        <v>1.46E-6</v>
      </c>
      <c r="X83" s="889"/>
      <c r="Y83" s="889">
        <v>1.46E-6</v>
      </c>
      <c r="Z83" s="889"/>
    </row>
    <row r="84" spans="16:26">
      <c r="P84" s="37"/>
      <c r="Q84" s="542"/>
      <c r="R84" s="543"/>
      <c r="S84" s="543"/>
      <c r="T84" s="543"/>
      <c r="U84" s="543"/>
      <c r="V84" s="543"/>
      <c r="W84" s="543"/>
      <c r="X84" s="543"/>
      <c r="Y84" s="543"/>
      <c r="Z84" s="544"/>
    </row>
    <row r="85" spans="16:26">
      <c r="P85" s="37"/>
      <c r="Q85" s="542"/>
      <c r="R85" s="543"/>
      <c r="S85" s="543"/>
      <c r="T85" s="543"/>
      <c r="U85" s="543"/>
      <c r="V85" s="543"/>
      <c r="W85" s="543"/>
      <c r="X85" s="543"/>
      <c r="Y85" s="543"/>
      <c r="Z85" s="544"/>
    </row>
    <row r="86" spans="16:26">
      <c r="P86" s="37"/>
      <c r="Q86" s="542"/>
      <c r="R86" s="510" t="s">
        <v>405</v>
      </c>
      <c r="S86" s="543"/>
      <c r="T86" s="543"/>
      <c r="U86" s="543"/>
      <c r="V86" s="543"/>
      <c r="W86" s="543"/>
      <c r="X86" s="543"/>
      <c r="Y86" s="543"/>
      <c r="Z86" s="544"/>
    </row>
    <row r="87" spans="16:26">
      <c r="P87" s="37"/>
      <c r="Q87" s="542"/>
      <c r="R87" s="510" t="s">
        <v>406</v>
      </c>
      <c r="S87" s="543"/>
      <c r="T87" s="543"/>
      <c r="U87" s="543"/>
      <c r="V87" s="543"/>
      <c r="W87" s="543"/>
      <c r="X87" s="543"/>
      <c r="Y87" s="543"/>
      <c r="Z87" s="544"/>
    </row>
    <row r="88" spans="16:26" ht="14.1" thickBot="1">
      <c r="P88" s="37"/>
      <c r="Q88" s="545"/>
      <c r="R88" s="546"/>
      <c r="S88" s="546"/>
      <c r="T88" s="546"/>
      <c r="U88" s="546"/>
      <c r="V88" s="546"/>
      <c r="W88" s="546"/>
      <c r="X88" s="546"/>
      <c r="Y88" s="546"/>
      <c r="Z88" s="547"/>
    </row>
    <row r="89" spans="16:26">
      <c r="P89" s="37"/>
    </row>
    <row r="90" spans="16:26">
      <c r="P90" s="37"/>
    </row>
    <row r="91" spans="16:26">
      <c r="P91" s="37"/>
    </row>
    <row r="92" spans="16:26">
      <c r="P92" s="37"/>
    </row>
    <row r="93" spans="16:26">
      <c r="P93" s="37"/>
    </row>
    <row r="94" spans="16:26">
      <c r="P94" s="37"/>
    </row>
    <row r="95" spans="16:26">
      <c r="P95" s="37"/>
    </row>
    <row r="96" spans="16:26">
      <c r="P96" s="37"/>
    </row>
    <row r="97" spans="16:16">
      <c r="P97" s="37"/>
    </row>
    <row r="98" spans="16:16">
      <c r="P98" s="37"/>
    </row>
    <row r="99" spans="16:16">
      <c r="P99" s="37"/>
    </row>
    <row r="100" spans="16:16">
      <c r="P100" s="37"/>
    </row>
    <row r="101" spans="16:16">
      <c r="P101" s="37"/>
    </row>
    <row r="102" spans="16:16">
      <c r="P102" s="37"/>
    </row>
    <row r="103" spans="16:16">
      <c r="P103" s="37"/>
    </row>
    <row r="104" spans="16:16">
      <c r="P104" s="37"/>
    </row>
    <row r="105" spans="16:16">
      <c r="P105" s="37"/>
    </row>
    <row r="106" spans="16:16">
      <c r="P106" s="37"/>
    </row>
    <row r="107" spans="16:16">
      <c r="P107" s="37"/>
    </row>
    <row r="108" spans="16:16">
      <c r="P108" s="37"/>
    </row>
    <row r="109" spans="16:16">
      <c r="P109" s="37"/>
    </row>
    <row r="110" spans="16:16">
      <c r="P110" s="37"/>
    </row>
    <row r="111" spans="16:16">
      <c r="P111" s="37"/>
    </row>
    <row r="112" spans="16:16">
      <c r="P112" s="37"/>
    </row>
    <row r="113" spans="16:21">
      <c r="P113" s="37"/>
    </row>
    <row r="114" spans="16:21">
      <c r="P114" s="37"/>
    </row>
    <row r="115" spans="16:21">
      <c r="P115" s="37"/>
    </row>
    <row r="121" spans="16:21">
      <c r="T121" s="93"/>
      <c r="U121" s="93"/>
    </row>
    <row r="122" spans="16:21">
      <c r="T122" s="93"/>
      <c r="U122" s="93"/>
    </row>
    <row r="123" spans="16:21">
      <c r="T123" s="93"/>
      <c r="U123" s="93"/>
    </row>
    <row r="124" spans="16:21">
      <c r="T124" s="93"/>
      <c r="U124" s="93"/>
    </row>
  </sheetData>
  <sheetProtection password="A767" sheet="1"/>
  <mergeCells count="111">
    <mergeCell ref="R20:R23"/>
    <mergeCell ref="R25:R28"/>
    <mergeCell ref="T38:T39"/>
    <mergeCell ref="U38:U39"/>
    <mergeCell ref="U35:U37"/>
    <mergeCell ref="R15:T16"/>
    <mergeCell ref="T35:T37"/>
    <mergeCell ref="T52:T53"/>
    <mergeCell ref="U52:U53"/>
    <mergeCell ref="Y66:Z66"/>
    <mergeCell ref="W58:X58"/>
    <mergeCell ref="W59:X59"/>
    <mergeCell ref="W60:X60"/>
    <mergeCell ref="W61:X61"/>
    <mergeCell ref="W65:X65"/>
    <mergeCell ref="W39:X40"/>
    <mergeCell ref="Y39:Z40"/>
    <mergeCell ref="R50:T51"/>
    <mergeCell ref="W41:X41"/>
    <mergeCell ref="W42:X42"/>
    <mergeCell ref="W43:X43"/>
    <mergeCell ref="W44:X44"/>
    <mergeCell ref="Y41:Z41"/>
    <mergeCell ref="Y42:Z42"/>
    <mergeCell ref="Y43:Z43"/>
    <mergeCell ref="Y44:Z44"/>
    <mergeCell ref="T54:T55"/>
    <mergeCell ref="U54:U55"/>
    <mergeCell ref="Y59:Z59"/>
    <mergeCell ref="Y60:Z60"/>
    <mergeCell ref="Y61:Z61"/>
    <mergeCell ref="W62:X62"/>
    <mergeCell ref="W63:X63"/>
    <mergeCell ref="W64:X64"/>
    <mergeCell ref="W55:X56"/>
    <mergeCell ref="Y55:Z56"/>
    <mergeCell ref="W57:X57"/>
    <mergeCell ref="Y57:Z57"/>
    <mergeCell ref="J4:K4"/>
    <mergeCell ref="J5:K5"/>
    <mergeCell ref="J6:K9"/>
    <mergeCell ref="F6:F9"/>
    <mergeCell ref="G6:G9"/>
    <mergeCell ref="F4:G4"/>
    <mergeCell ref="H4:I4"/>
    <mergeCell ref="H6:H9"/>
    <mergeCell ref="I6:I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34:K34"/>
    <mergeCell ref="J35:K35"/>
    <mergeCell ref="J36:K36"/>
    <mergeCell ref="J28:K28"/>
    <mergeCell ref="J29:K29"/>
    <mergeCell ref="J30:K30"/>
    <mergeCell ref="J31:K31"/>
    <mergeCell ref="J32:K32"/>
    <mergeCell ref="W83:X83"/>
    <mergeCell ref="J33:K33"/>
    <mergeCell ref="W73:X73"/>
    <mergeCell ref="W74:X74"/>
    <mergeCell ref="W75:X75"/>
    <mergeCell ref="W76:X76"/>
    <mergeCell ref="W71:X71"/>
    <mergeCell ref="W72:X72"/>
    <mergeCell ref="W67:X67"/>
    <mergeCell ref="W68:X68"/>
    <mergeCell ref="W69:X69"/>
    <mergeCell ref="W70:X70"/>
    <mergeCell ref="W66:X66"/>
    <mergeCell ref="R33:T34"/>
    <mergeCell ref="Y83:Z83"/>
    <mergeCell ref="J38:K38"/>
    <mergeCell ref="J37:K37"/>
    <mergeCell ref="Y69:Z69"/>
    <mergeCell ref="Y70:Z70"/>
    <mergeCell ref="Y71:Z71"/>
    <mergeCell ref="Y67:Z67"/>
    <mergeCell ref="Y68:Z68"/>
    <mergeCell ref="Y62:Z62"/>
    <mergeCell ref="Y77:Z77"/>
    <mergeCell ref="Y78:Z78"/>
    <mergeCell ref="Y73:Z73"/>
    <mergeCell ref="W81:X82"/>
    <mergeCell ref="Y81:Z82"/>
    <mergeCell ref="Y63:Z63"/>
    <mergeCell ref="Y64:Z64"/>
    <mergeCell ref="Y65:Z65"/>
    <mergeCell ref="Y58:Z58"/>
    <mergeCell ref="Y74:Z74"/>
    <mergeCell ref="Y75:Z75"/>
    <mergeCell ref="Y76:Z76"/>
    <mergeCell ref="Y72:Z72"/>
    <mergeCell ref="W77:X77"/>
    <mergeCell ref="W78:X78"/>
  </mergeCells>
  <phoneticPr fontId="0" type="noConversion"/>
  <printOptions horizontalCentered="1"/>
  <pageMargins left="0.25" right="0.25" top="0.35" bottom="0.25" header="0" footer="0"/>
  <pageSetup scale="69" fitToWidth="2" fitToHeight="2" orientation="portrait" r:id="rId1"/>
  <headerFooter alignWithMargins="0"/>
  <rowBreaks count="1" manualBreakCount="1">
    <brk id="40"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50"/>
  <sheetViews>
    <sheetView topLeftCell="B1" zoomScaleNormal="100" zoomScaleSheetLayoutView="100" workbookViewId="0">
      <selection activeCell="J132" sqref="J132"/>
    </sheetView>
  </sheetViews>
  <sheetFormatPr defaultColWidth="9.140625" defaultRowHeight="11.1"/>
  <cols>
    <col min="1" max="1" width="9.140625" style="1"/>
    <col min="2" max="2" width="6.85546875" style="1" customWidth="1"/>
    <col min="3" max="3" width="42" style="1" customWidth="1"/>
    <col min="4" max="4" width="10.42578125" style="1" customWidth="1"/>
    <col min="5" max="5" width="19.85546875" style="66" customWidth="1"/>
    <col min="6" max="7" width="19.85546875" style="6" customWidth="1"/>
    <col min="8" max="8" width="2.42578125" style="1" customWidth="1"/>
    <col min="9" max="11" width="19.85546875" style="6" customWidth="1"/>
    <col min="12" max="13" width="19.85546875" style="75" customWidth="1"/>
    <col min="14" max="16" width="19.85546875" style="66" customWidth="1"/>
    <col min="17" max="17" width="3.28515625" style="55" customWidth="1"/>
    <col min="18" max="16384" width="9.140625" style="1"/>
  </cols>
  <sheetData>
    <row r="1" spans="1:17">
      <c r="A1" s="1" t="s">
        <v>407</v>
      </c>
      <c r="E1" s="65" t="s">
        <v>408</v>
      </c>
      <c r="F1" s="4" t="s">
        <v>408</v>
      </c>
      <c r="G1" s="4" t="s">
        <v>408</v>
      </c>
      <c r="H1" s="2"/>
      <c r="I1" s="4" t="s">
        <v>409</v>
      </c>
      <c r="J1" s="4" t="s">
        <v>409</v>
      </c>
      <c r="K1" s="4" t="s">
        <v>409</v>
      </c>
      <c r="L1" s="74" t="s">
        <v>409</v>
      </c>
      <c r="M1" s="74" t="s">
        <v>409</v>
      </c>
      <c r="N1" s="65" t="s">
        <v>409</v>
      </c>
      <c r="O1" s="65" t="s">
        <v>409</v>
      </c>
      <c r="P1" s="65" t="s">
        <v>409</v>
      </c>
    </row>
    <row r="2" spans="1:17" ht="11.25" customHeight="1">
      <c r="A2" s="86" t="s">
        <v>410</v>
      </c>
      <c r="B2" s="84" t="s">
        <v>411</v>
      </c>
      <c r="E2" s="920" t="s">
        <v>412</v>
      </c>
      <c r="F2" s="917" t="s">
        <v>413</v>
      </c>
      <c r="G2" s="917" t="s">
        <v>414</v>
      </c>
      <c r="H2" s="2"/>
      <c r="I2" s="917" t="s">
        <v>415</v>
      </c>
      <c r="J2" s="917" t="s">
        <v>416</v>
      </c>
      <c r="K2" s="917" t="s">
        <v>417</v>
      </c>
      <c r="L2" s="923" t="s">
        <v>418</v>
      </c>
      <c r="M2" s="923" t="s">
        <v>419</v>
      </c>
      <c r="N2" s="920" t="s">
        <v>420</v>
      </c>
      <c r="O2" s="920" t="s">
        <v>421</v>
      </c>
      <c r="P2" s="920" t="s">
        <v>422</v>
      </c>
    </row>
    <row r="3" spans="1:17">
      <c r="B3" s="85" t="s">
        <v>423</v>
      </c>
      <c r="E3" s="922"/>
      <c r="F3" s="918"/>
      <c r="G3" s="918"/>
      <c r="H3" s="5"/>
      <c r="I3" s="918"/>
      <c r="J3" s="918"/>
      <c r="K3" s="918"/>
      <c r="L3" s="924"/>
      <c r="M3" s="924"/>
      <c r="N3" s="922" t="s">
        <v>424</v>
      </c>
      <c r="O3" s="922"/>
      <c r="P3" s="922"/>
    </row>
    <row r="4" spans="1:17">
      <c r="B4" s="83" t="s">
        <v>425</v>
      </c>
      <c r="E4" s="922"/>
      <c r="F4" s="918"/>
      <c r="G4" s="918"/>
      <c r="H4" s="5"/>
      <c r="I4" s="918"/>
      <c r="J4" s="918"/>
      <c r="K4" s="918"/>
      <c r="L4" s="924"/>
      <c r="M4" s="924"/>
      <c r="N4" s="922"/>
      <c r="O4" s="922"/>
      <c r="P4" s="922"/>
    </row>
    <row r="5" spans="1:17">
      <c r="B5" s="1" t="s">
        <v>426</v>
      </c>
      <c r="E5" s="921"/>
      <c r="F5" s="919"/>
      <c r="G5" s="919"/>
      <c r="H5" s="5"/>
      <c r="I5" s="919"/>
      <c r="J5" s="919"/>
      <c r="K5" s="919"/>
      <c r="L5" s="925"/>
      <c r="M5" s="925"/>
      <c r="N5" s="921"/>
      <c r="O5" s="921"/>
      <c r="P5" s="921"/>
    </row>
    <row r="6" spans="1:17" ht="11.25" customHeight="1">
      <c r="E6" s="920" t="s">
        <v>427</v>
      </c>
      <c r="F6" s="917" t="s">
        <v>428</v>
      </c>
      <c r="G6" s="917" t="s">
        <v>429</v>
      </c>
      <c r="H6" s="5"/>
      <c r="I6" s="917" t="s">
        <v>430</v>
      </c>
      <c r="J6" s="917" t="s">
        <v>431</v>
      </c>
      <c r="K6" s="917" t="s">
        <v>432</v>
      </c>
      <c r="L6" s="923" t="s">
        <v>433</v>
      </c>
      <c r="M6" s="923" t="s">
        <v>433</v>
      </c>
      <c r="N6" s="920" t="s">
        <v>431</v>
      </c>
      <c r="O6" s="920" t="s">
        <v>430</v>
      </c>
      <c r="P6" s="920" t="s">
        <v>433</v>
      </c>
    </row>
    <row r="7" spans="1:17">
      <c r="E7" s="921"/>
      <c r="F7" s="919"/>
      <c r="G7" s="919"/>
      <c r="H7" s="5"/>
      <c r="I7" s="919"/>
      <c r="J7" s="919"/>
      <c r="K7" s="919"/>
      <c r="L7" s="925"/>
      <c r="M7" s="925"/>
      <c r="N7" s="921"/>
      <c r="O7" s="921"/>
      <c r="P7" s="921"/>
    </row>
    <row r="8" spans="1:17">
      <c r="E8" s="66" t="s">
        <v>434</v>
      </c>
      <c r="F8" s="6" t="s">
        <v>435</v>
      </c>
      <c r="G8" s="6" t="s">
        <v>435</v>
      </c>
      <c r="H8" s="5"/>
      <c r="I8" s="6" t="s">
        <v>436</v>
      </c>
      <c r="J8" s="6" t="s">
        <v>436</v>
      </c>
      <c r="K8" s="6" t="s">
        <v>436</v>
      </c>
      <c r="L8" s="75" t="s">
        <v>436</v>
      </c>
      <c r="M8" s="75" t="s">
        <v>436</v>
      </c>
      <c r="N8" s="66" t="s">
        <v>437</v>
      </c>
      <c r="O8" s="66" t="s">
        <v>437</v>
      </c>
      <c r="P8" s="66" t="s">
        <v>437</v>
      </c>
    </row>
    <row r="9" spans="1:17">
      <c r="E9" s="66" t="s">
        <v>424</v>
      </c>
      <c r="H9" s="2"/>
      <c r="L9" s="75" t="s">
        <v>438</v>
      </c>
      <c r="M9" s="75" t="s">
        <v>438</v>
      </c>
      <c r="N9" s="66" t="s">
        <v>424</v>
      </c>
      <c r="O9" s="66" t="s">
        <v>424</v>
      </c>
      <c r="P9" s="66" t="s">
        <v>424</v>
      </c>
    </row>
    <row r="10" spans="1:17">
      <c r="A10" s="2"/>
      <c r="B10" s="2"/>
      <c r="C10" s="2"/>
      <c r="D10" s="2"/>
      <c r="E10" s="67"/>
      <c r="F10" s="7"/>
      <c r="G10" s="7"/>
      <c r="H10" s="2"/>
      <c r="I10" s="7"/>
      <c r="J10" s="7"/>
      <c r="K10" s="7"/>
      <c r="L10" s="76"/>
      <c r="M10" s="76"/>
      <c r="N10" s="67"/>
      <c r="O10" s="67"/>
      <c r="P10" s="67"/>
    </row>
    <row r="11" spans="1:17" s="3" customFormat="1">
      <c r="A11" s="3" t="s">
        <v>439</v>
      </c>
      <c r="B11" s="3" t="s">
        <v>440</v>
      </c>
      <c r="C11" s="94" t="s">
        <v>152</v>
      </c>
      <c r="D11" s="98" t="s">
        <v>153</v>
      </c>
      <c r="E11" s="62"/>
      <c r="F11" s="58">
        <v>3.2000000000000003E-4</v>
      </c>
      <c r="G11" s="58">
        <v>3.2000000000000003E-4</v>
      </c>
      <c r="H11" s="2"/>
      <c r="I11" s="58"/>
      <c r="J11" s="58"/>
      <c r="K11" s="58">
        <v>1.2999999999999999E-3</v>
      </c>
      <c r="L11" s="77"/>
      <c r="M11" s="77"/>
      <c r="N11" s="62"/>
      <c r="O11" s="62"/>
      <c r="P11" s="62"/>
      <c r="Q11" s="55"/>
    </row>
    <row r="12" spans="1:17" s="56" customFormat="1" hidden="1">
      <c r="A12" s="56" t="s">
        <v>441</v>
      </c>
      <c r="B12" s="56" t="s">
        <v>440</v>
      </c>
      <c r="C12" s="95" t="s">
        <v>442</v>
      </c>
      <c r="D12" s="99" t="s">
        <v>443</v>
      </c>
      <c r="E12" s="64"/>
      <c r="F12" s="57"/>
      <c r="G12" s="57"/>
      <c r="H12" s="2"/>
      <c r="I12" s="57"/>
      <c r="J12" s="57"/>
      <c r="K12" s="57"/>
      <c r="L12" s="78"/>
      <c r="M12" s="78"/>
      <c r="N12" s="64"/>
      <c r="O12" s="64"/>
      <c r="P12" s="64"/>
      <c r="Q12" s="55"/>
    </row>
    <row r="13" spans="1:17" s="56" customFormat="1" hidden="1">
      <c r="A13" s="56" t="s">
        <v>439</v>
      </c>
      <c r="B13" s="56" t="s">
        <v>441</v>
      </c>
      <c r="C13" s="95" t="s">
        <v>444</v>
      </c>
      <c r="D13" s="99" t="s">
        <v>445</v>
      </c>
      <c r="E13" s="64"/>
      <c r="F13" s="57"/>
      <c r="G13" s="57"/>
      <c r="H13" s="2"/>
      <c r="I13" s="57"/>
      <c r="J13" s="57"/>
      <c r="K13" s="57"/>
      <c r="L13" s="78"/>
      <c r="M13" s="78"/>
      <c r="N13" s="64"/>
      <c r="O13" s="64"/>
      <c r="P13" s="64"/>
      <c r="Q13" s="55"/>
    </row>
    <row r="14" spans="1:17" s="56" customFormat="1" hidden="1">
      <c r="A14" s="56" t="s">
        <v>441</v>
      </c>
      <c r="B14" s="56" t="s">
        <v>440</v>
      </c>
      <c r="C14" s="95" t="s">
        <v>446</v>
      </c>
      <c r="D14" s="99" t="s">
        <v>447</v>
      </c>
      <c r="E14" s="64"/>
      <c r="F14" s="57"/>
      <c r="G14" s="57"/>
      <c r="H14" s="2"/>
      <c r="I14" s="57"/>
      <c r="J14" s="57"/>
      <c r="K14" s="57"/>
      <c r="L14" s="78"/>
      <c r="M14" s="78"/>
      <c r="N14" s="64"/>
      <c r="O14" s="64"/>
      <c r="P14" s="64"/>
      <c r="Q14" s="55"/>
    </row>
    <row r="15" spans="1:17" s="56" customFormat="1" hidden="1">
      <c r="A15" s="56" t="s">
        <v>441</v>
      </c>
      <c r="B15" s="56" t="s">
        <v>440</v>
      </c>
      <c r="C15" s="95" t="s">
        <v>448</v>
      </c>
      <c r="D15" s="99" t="s">
        <v>449</v>
      </c>
      <c r="E15" s="64"/>
      <c r="F15" s="57"/>
      <c r="G15" s="57"/>
      <c r="H15" s="2"/>
      <c r="I15" s="57"/>
      <c r="J15" s="57"/>
      <c r="K15" s="57"/>
      <c r="L15" s="78"/>
      <c r="M15" s="78"/>
      <c r="N15" s="64"/>
      <c r="O15" s="64"/>
      <c r="P15" s="64"/>
      <c r="Q15" s="55"/>
    </row>
    <row r="16" spans="1:17" s="56" customFormat="1" hidden="1">
      <c r="A16" s="56" t="s">
        <v>441</v>
      </c>
      <c r="B16" s="56" t="s">
        <v>440</v>
      </c>
      <c r="C16" s="95" t="s">
        <v>450</v>
      </c>
      <c r="D16" s="99" t="s">
        <v>451</v>
      </c>
      <c r="E16" s="64"/>
      <c r="F16" s="57"/>
      <c r="G16" s="57"/>
      <c r="H16" s="2"/>
      <c r="I16" s="57"/>
      <c r="J16" s="57"/>
      <c r="K16" s="57"/>
      <c r="L16" s="78"/>
      <c r="M16" s="78"/>
      <c r="N16" s="64"/>
      <c r="O16" s="64"/>
      <c r="P16" s="64"/>
      <c r="Q16" s="55"/>
    </row>
    <row r="17" spans="1:17" s="3" customFormat="1">
      <c r="A17" s="3" t="s">
        <v>439</v>
      </c>
      <c r="B17" s="3" t="s">
        <v>440</v>
      </c>
      <c r="C17" s="94" t="s">
        <v>156</v>
      </c>
      <c r="D17" s="98" t="s">
        <v>157</v>
      </c>
      <c r="E17" s="62"/>
      <c r="F17" s="58"/>
      <c r="G17" s="58"/>
      <c r="H17" s="2"/>
      <c r="I17" s="58"/>
      <c r="J17" s="58"/>
      <c r="K17" s="58">
        <v>2.5999999999999998E-5</v>
      </c>
      <c r="L17" s="77"/>
      <c r="M17" s="77"/>
      <c r="N17" s="62"/>
      <c r="O17" s="62"/>
      <c r="P17" s="62"/>
      <c r="Q17" s="55"/>
    </row>
    <row r="18" spans="1:17" s="56" customFormat="1" hidden="1">
      <c r="A18" s="56" t="s">
        <v>441</v>
      </c>
      <c r="B18" s="56" t="s">
        <v>440</v>
      </c>
      <c r="C18" s="95" t="s">
        <v>452</v>
      </c>
      <c r="D18" s="99" t="s">
        <v>453</v>
      </c>
      <c r="E18" s="64"/>
      <c r="F18" s="57"/>
      <c r="G18" s="57"/>
      <c r="H18" s="2"/>
      <c r="I18" s="57"/>
      <c r="J18" s="57"/>
      <c r="K18" s="57"/>
      <c r="L18" s="78"/>
      <c r="M18" s="78"/>
      <c r="N18" s="64"/>
      <c r="O18" s="64"/>
      <c r="P18" s="64"/>
      <c r="Q18" s="55"/>
    </row>
    <row r="19" spans="1:17" s="56" customFormat="1" hidden="1">
      <c r="A19" s="56" t="s">
        <v>441</v>
      </c>
      <c r="B19" s="56" t="s">
        <v>440</v>
      </c>
      <c r="C19" s="95" t="s">
        <v>454</v>
      </c>
      <c r="D19" s="99" t="s">
        <v>455</v>
      </c>
      <c r="E19" s="64"/>
      <c r="F19" s="57"/>
      <c r="G19" s="57"/>
      <c r="H19" s="2"/>
      <c r="I19" s="57"/>
      <c r="J19" s="57"/>
      <c r="K19" s="57"/>
      <c r="L19" s="78"/>
      <c r="M19" s="78"/>
      <c r="N19" s="64"/>
      <c r="O19" s="64"/>
      <c r="P19" s="64"/>
      <c r="Q19" s="55"/>
    </row>
    <row r="20" spans="1:17" s="56" customFormat="1" hidden="1">
      <c r="A20" s="56" t="s">
        <v>439</v>
      </c>
      <c r="B20" s="56" t="s">
        <v>440</v>
      </c>
      <c r="C20" s="95" t="s">
        <v>456</v>
      </c>
      <c r="D20" s="99" t="s">
        <v>457</v>
      </c>
      <c r="E20" s="64"/>
      <c r="F20" s="57"/>
      <c r="G20" s="57"/>
      <c r="H20" s="2"/>
      <c r="I20" s="57"/>
      <c r="J20" s="57"/>
      <c r="K20" s="57"/>
      <c r="L20" s="78"/>
      <c r="M20" s="78"/>
      <c r="N20" s="64"/>
      <c r="O20" s="64"/>
      <c r="P20" s="64"/>
      <c r="Q20" s="55"/>
    </row>
    <row r="21" spans="1:17" s="56" customFormat="1" hidden="1">
      <c r="A21" s="56" t="s">
        <v>441</v>
      </c>
      <c r="B21" s="56" t="s">
        <v>440</v>
      </c>
      <c r="C21" s="95" t="s">
        <v>458</v>
      </c>
      <c r="D21" s="99" t="s">
        <v>459</v>
      </c>
      <c r="E21" s="64"/>
      <c r="F21" s="57"/>
      <c r="G21" s="57"/>
      <c r="H21" s="2"/>
      <c r="I21" s="57"/>
      <c r="J21" s="57"/>
      <c r="K21" s="57"/>
      <c r="L21" s="78"/>
      <c r="M21" s="78"/>
      <c r="N21" s="64"/>
      <c r="O21" s="64"/>
      <c r="P21" s="64"/>
      <c r="Q21" s="55"/>
    </row>
    <row r="22" spans="1:17" s="56" customFormat="1" hidden="1">
      <c r="A22" s="56" t="s">
        <v>441</v>
      </c>
      <c r="B22" s="56" t="s">
        <v>440</v>
      </c>
      <c r="C22" s="95" t="s">
        <v>460</v>
      </c>
      <c r="D22" s="99" t="s">
        <v>461</v>
      </c>
      <c r="E22" s="64"/>
      <c r="F22" s="57"/>
      <c r="G22" s="57"/>
      <c r="H22" s="2"/>
      <c r="I22" s="57"/>
      <c r="J22" s="57"/>
      <c r="K22" s="57"/>
      <c r="L22" s="78"/>
      <c r="M22" s="78"/>
      <c r="N22" s="64"/>
      <c r="O22" s="64"/>
      <c r="P22" s="64"/>
      <c r="Q22" s="55"/>
    </row>
    <row r="23" spans="1:17" s="56" customFormat="1" hidden="1">
      <c r="A23" s="56" t="s">
        <v>439</v>
      </c>
      <c r="B23" s="56" t="s">
        <v>441</v>
      </c>
      <c r="C23" s="95" t="s">
        <v>462</v>
      </c>
      <c r="D23" s="99" t="s">
        <v>463</v>
      </c>
      <c r="E23" s="64"/>
      <c r="F23" s="57"/>
      <c r="G23" s="57"/>
      <c r="H23" s="2"/>
      <c r="I23" s="57"/>
      <c r="J23" s="57"/>
      <c r="K23" s="57"/>
      <c r="L23" s="78"/>
      <c r="M23" s="78"/>
      <c r="N23" s="64"/>
      <c r="O23" s="64"/>
      <c r="P23" s="64"/>
      <c r="Q23" s="55"/>
    </row>
    <row r="24" spans="1:17" s="56" customFormat="1" hidden="1">
      <c r="A24" s="56" t="s">
        <v>439</v>
      </c>
      <c r="B24" s="56" t="s">
        <v>441</v>
      </c>
      <c r="C24" s="95" t="s">
        <v>464</v>
      </c>
      <c r="D24" s="99" t="s">
        <v>465</v>
      </c>
      <c r="E24" s="64"/>
      <c r="F24" s="57"/>
      <c r="G24" s="57"/>
      <c r="H24" s="2"/>
      <c r="I24" s="57"/>
      <c r="J24" s="57"/>
      <c r="K24" s="57"/>
      <c r="L24" s="78"/>
      <c r="M24" s="78"/>
      <c r="N24" s="64"/>
      <c r="O24" s="64"/>
      <c r="P24" s="64"/>
      <c r="Q24" s="55"/>
    </row>
    <row r="25" spans="1:17" s="56" customFormat="1" hidden="1">
      <c r="A25" s="56" t="s">
        <v>439</v>
      </c>
      <c r="B25" s="56" t="s">
        <v>441</v>
      </c>
      <c r="C25" s="95" t="s">
        <v>466</v>
      </c>
      <c r="D25" s="99" t="s">
        <v>467</v>
      </c>
      <c r="E25" s="64"/>
      <c r="F25" s="57"/>
      <c r="G25" s="57"/>
      <c r="H25" s="2"/>
      <c r="I25" s="57"/>
      <c r="J25" s="57"/>
      <c r="K25" s="57"/>
      <c r="L25" s="78"/>
      <c r="M25" s="78"/>
      <c r="N25" s="64"/>
      <c r="O25" s="64"/>
      <c r="P25" s="64"/>
      <c r="Q25" s="55"/>
    </row>
    <row r="26" spans="1:17" s="56" customFormat="1" hidden="1">
      <c r="A26" s="56" t="s">
        <v>439</v>
      </c>
      <c r="B26" s="56" t="s">
        <v>440</v>
      </c>
      <c r="C26" s="95" t="s">
        <v>468</v>
      </c>
      <c r="D26" s="99" t="s">
        <v>469</v>
      </c>
      <c r="E26" s="64"/>
      <c r="F26" s="57"/>
      <c r="G26" s="57"/>
      <c r="H26" s="2"/>
      <c r="I26" s="57"/>
      <c r="J26" s="57"/>
      <c r="K26" s="57"/>
      <c r="L26" s="78"/>
      <c r="M26" s="78"/>
      <c r="N26" s="64"/>
      <c r="O26" s="64"/>
      <c r="P26" s="64"/>
      <c r="Q26" s="55"/>
    </row>
    <row r="27" spans="1:17" s="56" customFormat="1" hidden="1">
      <c r="A27" s="56" t="s">
        <v>441</v>
      </c>
      <c r="B27" s="56" t="s">
        <v>440</v>
      </c>
      <c r="C27" s="95" t="s">
        <v>470</v>
      </c>
      <c r="D27" s="99" t="s">
        <v>471</v>
      </c>
      <c r="E27" s="64"/>
      <c r="F27" s="57"/>
      <c r="G27" s="57"/>
      <c r="H27" s="2"/>
      <c r="I27" s="57"/>
      <c r="J27" s="57"/>
      <c r="K27" s="57"/>
      <c r="L27" s="78"/>
      <c r="M27" s="78"/>
      <c r="N27" s="64"/>
      <c r="O27" s="64"/>
      <c r="P27" s="64"/>
      <c r="Q27" s="55"/>
    </row>
    <row r="28" spans="1:17" s="3" customFormat="1">
      <c r="A28" s="61" t="s">
        <v>441</v>
      </c>
      <c r="B28" s="61" t="s">
        <v>440</v>
      </c>
      <c r="C28" s="96" t="s">
        <v>315</v>
      </c>
      <c r="D28" s="100" t="s">
        <v>316</v>
      </c>
      <c r="E28" s="62"/>
      <c r="F28" s="58"/>
      <c r="G28" s="58"/>
      <c r="H28" s="2"/>
      <c r="I28" s="70">
        <f>+O28</f>
        <v>1.8E-7</v>
      </c>
      <c r="J28" s="70">
        <f>+P28</f>
        <v>1.8E-7</v>
      </c>
      <c r="K28" s="70">
        <f>+P28</f>
        <v>1.8E-7</v>
      </c>
      <c r="L28" s="77"/>
      <c r="M28" s="77"/>
      <c r="N28" s="62"/>
      <c r="O28" s="62">
        <v>1.8E-7</v>
      </c>
      <c r="P28" s="62">
        <v>1.8E-7</v>
      </c>
      <c r="Q28" s="55"/>
    </row>
    <row r="29" spans="1:17" s="3" customFormat="1">
      <c r="A29" s="61" t="s">
        <v>439</v>
      </c>
      <c r="B29" s="61" t="s">
        <v>440</v>
      </c>
      <c r="C29" s="96" t="s">
        <v>472</v>
      </c>
      <c r="D29" s="100" t="s">
        <v>298</v>
      </c>
      <c r="E29" s="62">
        <v>4.5999999999999999E-7</v>
      </c>
      <c r="F29" s="70">
        <f>+E29</f>
        <v>4.5999999999999999E-7</v>
      </c>
      <c r="G29" s="70">
        <f>+E29</f>
        <v>4.5999999999999999E-7</v>
      </c>
      <c r="H29" s="2"/>
      <c r="I29" s="70">
        <f>+O29</f>
        <v>5.6000000000000004E-7</v>
      </c>
      <c r="J29" s="70">
        <f>+P29</f>
        <v>5.6000000000000004E-7</v>
      </c>
      <c r="K29" s="70">
        <f>+P29</f>
        <v>5.6000000000000004E-7</v>
      </c>
      <c r="L29" s="77"/>
      <c r="M29" s="77"/>
      <c r="N29" s="62">
        <v>1.3E-6</v>
      </c>
      <c r="O29" s="62">
        <v>5.6000000000000004E-7</v>
      </c>
      <c r="P29" s="62">
        <v>5.6000000000000004E-7</v>
      </c>
      <c r="Q29" s="55"/>
    </row>
    <row r="30" spans="1:17" s="56" customFormat="1" hidden="1">
      <c r="A30" s="56" t="s">
        <v>439</v>
      </c>
      <c r="B30" s="56" t="s">
        <v>440</v>
      </c>
      <c r="C30" s="95" t="s">
        <v>473</v>
      </c>
      <c r="D30" s="99" t="s">
        <v>474</v>
      </c>
      <c r="E30" s="64"/>
      <c r="F30" s="57"/>
      <c r="G30" s="57"/>
      <c r="H30" s="2"/>
      <c r="I30" s="57"/>
      <c r="J30" s="57"/>
      <c r="K30" s="57"/>
      <c r="L30" s="78"/>
      <c r="M30" s="78"/>
      <c r="N30" s="64"/>
      <c r="O30" s="64"/>
      <c r="P30" s="64"/>
      <c r="Q30" s="55"/>
    </row>
    <row r="31" spans="1:17" s="56" customFormat="1" hidden="1">
      <c r="A31" s="56" t="s">
        <v>439</v>
      </c>
      <c r="B31" s="56" t="s">
        <v>440</v>
      </c>
      <c r="C31" s="95" t="s">
        <v>475</v>
      </c>
      <c r="D31" s="99" t="s">
        <v>476</v>
      </c>
      <c r="E31" s="64"/>
      <c r="F31" s="57"/>
      <c r="G31" s="57"/>
      <c r="H31" s="2"/>
      <c r="I31" s="57"/>
      <c r="J31" s="57"/>
      <c r="K31" s="57"/>
      <c r="L31" s="78"/>
      <c r="M31" s="78"/>
      <c r="N31" s="64"/>
      <c r="O31" s="64"/>
      <c r="P31" s="64"/>
      <c r="Q31" s="55"/>
    </row>
    <row r="32" spans="1:17" s="3" customFormat="1">
      <c r="A32" s="3" t="s">
        <v>439</v>
      </c>
      <c r="B32" s="3" t="s">
        <v>440</v>
      </c>
      <c r="C32" s="94" t="s">
        <v>165</v>
      </c>
      <c r="D32" s="98" t="s">
        <v>166</v>
      </c>
      <c r="E32" s="62"/>
      <c r="F32" s="58">
        <v>2.7999999999999998E-4</v>
      </c>
      <c r="G32" s="58">
        <v>2.7999999999999998E-4</v>
      </c>
      <c r="H32" s="2"/>
      <c r="I32" s="58">
        <v>3.8999999999999999E-4</v>
      </c>
      <c r="J32" s="58">
        <v>3.8999999999999999E-4</v>
      </c>
      <c r="K32" s="58">
        <v>3.8999999999999999E-4</v>
      </c>
      <c r="L32" s="77"/>
      <c r="M32" s="77"/>
      <c r="N32" s="62"/>
      <c r="O32" s="62"/>
      <c r="P32" s="62"/>
      <c r="Q32" s="55"/>
    </row>
    <row r="33" spans="1:17" s="56" customFormat="1" ht="13.5" customHeight="1">
      <c r="A33" s="56" t="s">
        <v>439</v>
      </c>
      <c r="B33" s="56" t="s">
        <v>440</v>
      </c>
      <c r="C33" s="95" t="s">
        <v>477</v>
      </c>
      <c r="D33" s="99" t="s">
        <v>478</v>
      </c>
      <c r="E33" s="64"/>
      <c r="F33" s="57"/>
      <c r="G33" s="57"/>
      <c r="H33" s="2"/>
      <c r="I33" s="57"/>
      <c r="J33" s="57"/>
      <c r="K33" s="57"/>
      <c r="L33" s="78"/>
      <c r="M33" s="78"/>
      <c r="N33" s="64"/>
      <c r="O33" s="64"/>
      <c r="P33" s="64"/>
      <c r="Q33" s="55"/>
    </row>
    <row r="34" spans="1:17" s="3" customFormat="1">
      <c r="A34" s="3" t="s">
        <v>439</v>
      </c>
      <c r="B34" s="3" t="s">
        <v>479</v>
      </c>
      <c r="C34" s="94" t="s">
        <v>168</v>
      </c>
      <c r="D34" s="98" t="s">
        <v>169</v>
      </c>
      <c r="E34" s="68"/>
      <c r="F34" s="59">
        <v>3.1000000000000002E-10</v>
      </c>
      <c r="G34" s="59">
        <v>3.1000000000000002E-10</v>
      </c>
      <c r="H34" s="71"/>
      <c r="I34" s="59">
        <v>9.8000000000000001E-9</v>
      </c>
      <c r="J34" s="59">
        <v>9.8000000000000001E-9</v>
      </c>
      <c r="K34" s="59">
        <v>9.8000000000000001E-9</v>
      </c>
      <c r="L34" s="79"/>
      <c r="M34" s="79"/>
      <c r="N34" s="68"/>
      <c r="O34" s="68"/>
      <c r="P34" s="68"/>
      <c r="Q34" s="55"/>
    </row>
    <row r="35" spans="1:17" s="56" customFormat="1" hidden="1">
      <c r="A35" s="56" t="s">
        <v>441</v>
      </c>
      <c r="B35" s="56" t="s">
        <v>440</v>
      </c>
      <c r="C35" s="95" t="s">
        <v>480</v>
      </c>
      <c r="D35" s="99" t="s">
        <v>481</v>
      </c>
      <c r="E35" s="64"/>
      <c r="F35" s="57"/>
      <c r="G35" s="57"/>
      <c r="H35" s="2"/>
      <c r="I35" s="57"/>
      <c r="J35" s="57"/>
      <c r="K35" s="57"/>
      <c r="L35" s="78"/>
      <c r="M35" s="78"/>
      <c r="N35" s="64"/>
      <c r="O35" s="64"/>
      <c r="P35" s="64"/>
      <c r="Q35" s="55"/>
    </row>
    <row r="36" spans="1:17" s="56" customFormat="1" hidden="1">
      <c r="A36" s="56" t="s">
        <v>439</v>
      </c>
      <c r="B36" s="56" t="s">
        <v>440</v>
      </c>
      <c r="C36" s="95" t="s">
        <v>482</v>
      </c>
      <c r="D36" s="99" t="s">
        <v>483</v>
      </c>
      <c r="E36" s="64"/>
      <c r="F36" s="57"/>
      <c r="G36" s="57"/>
      <c r="H36" s="2"/>
      <c r="I36" s="57"/>
      <c r="J36" s="57"/>
      <c r="K36" s="57"/>
      <c r="L36" s="78"/>
      <c r="M36" s="78"/>
      <c r="N36" s="64"/>
      <c r="O36" s="64"/>
      <c r="P36" s="64"/>
      <c r="Q36" s="55"/>
    </row>
    <row r="37" spans="1:17" s="3" customFormat="1">
      <c r="A37" s="61" t="s">
        <v>439</v>
      </c>
      <c r="B37" s="61" t="s">
        <v>440</v>
      </c>
      <c r="C37" s="96" t="s">
        <v>484</v>
      </c>
      <c r="D37" s="100">
        <v>7440417</v>
      </c>
      <c r="E37" s="62">
        <v>1.4999999999999999E-7</v>
      </c>
      <c r="F37" s="70">
        <f t="shared" ref="F37:F69" si="0">+E37</f>
        <v>1.4999999999999999E-7</v>
      </c>
      <c r="G37" s="70">
        <f t="shared" ref="G37:G69" si="1">+E37</f>
        <v>1.4999999999999999E-7</v>
      </c>
      <c r="H37" s="2"/>
      <c r="I37" s="70">
        <f t="shared" ref="I37:I71" si="2">+O37</f>
        <v>0</v>
      </c>
      <c r="J37" s="70">
        <f t="shared" ref="J37:J71" si="3">+P37</f>
        <v>0</v>
      </c>
      <c r="K37" s="70">
        <f t="shared" ref="K37:K71" si="4">+P37</f>
        <v>0</v>
      </c>
      <c r="L37" s="77"/>
      <c r="M37" s="77"/>
      <c r="N37" s="62">
        <v>0</v>
      </c>
      <c r="O37" s="62">
        <v>0</v>
      </c>
      <c r="P37" s="62">
        <v>0</v>
      </c>
      <c r="Q37" s="55"/>
    </row>
    <row r="38" spans="1:17" s="56" customFormat="1" hidden="1">
      <c r="A38" s="63" t="s">
        <v>439</v>
      </c>
      <c r="B38" s="63" t="s">
        <v>441</v>
      </c>
      <c r="C38" s="97" t="s">
        <v>485</v>
      </c>
      <c r="D38" s="101" t="s">
        <v>486</v>
      </c>
      <c r="E38" s="64"/>
      <c r="F38" s="70">
        <f t="shared" si="0"/>
        <v>0</v>
      </c>
      <c r="G38" s="70">
        <f t="shared" si="1"/>
        <v>0</v>
      </c>
      <c r="H38" s="2"/>
      <c r="I38" s="70">
        <f t="shared" si="2"/>
        <v>0</v>
      </c>
      <c r="J38" s="70">
        <f t="shared" si="3"/>
        <v>0</v>
      </c>
      <c r="K38" s="70">
        <f t="shared" si="4"/>
        <v>0</v>
      </c>
      <c r="L38" s="78"/>
      <c r="M38" s="78"/>
      <c r="N38" s="64"/>
      <c r="O38" s="64"/>
      <c r="P38" s="64"/>
      <c r="Q38" s="55"/>
    </row>
    <row r="39" spans="1:17" s="56" customFormat="1" hidden="1">
      <c r="A39" s="63" t="s">
        <v>439</v>
      </c>
      <c r="B39" s="63" t="s">
        <v>441</v>
      </c>
      <c r="C39" s="97" t="s">
        <v>487</v>
      </c>
      <c r="D39" s="101" t="s">
        <v>488</v>
      </c>
      <c r="E39" s="64"/>
      <c r="F39" s="70">
        <f t="shared" si="0"/>
        <v>0</v>
      </c>
      <c r="G39" s="70">
        <f t="shared" si="1"/>
        <v>0</v>
      </c>
      <c r="H39" s="2"/>
      <c r="I39" s="70">
        <f t="shared" si="2"/>
        <v>0</v>
      </c>
      <c r="J39" s="70">
        <f t="shared" si="3"/>
        <v>0</v>
      </c>
      <c r="K39" s="70">
        <f t="shared" si="4"/>
        <v>0</v>
      </c>
      <c r="L39" s="78"/>
      <c r="M39" s="78"/>
      <c r="N39" s="64"/>
      <c r="O39" s="64"/>
      <c r="P39" s="64"/>
      <c r="Q39" s="55"/>
    </row>
    <row r="40" spans="1:17" s="56" customFormat="1" hidden="1">
      <c r="A40" s="63" t="s">
        <v>439</v>
      </c>
      <c r="B40" s="63" t="s">
        <v>441</v>
      </c>
      <c r="C40" s="97" t="s">
        <v>489</v>
      </c>
      <c r="D40" s="101">
        <v>7440417</v>
      </c>
      <c r="E40" s="64"/>
      <c r="F40" s="70">
        <f t="shared" si="0"/>
        <v>0</v>
      </c>
      <c r="G40" s="70">
        <f t="shared" si="1"/>
        <v>0</v>
      </c>
      <c r="H40" s="2"/>
      <c r="I40" s="70">
        <f t="shared" si="2"/>
        <v>0</v>
      </c>
      <c r="J40" s="70">
        <f t="shared" si="3"/>
        <v>0</v>
      </c>
      <c r="K40" s="70">
        <f t="shared" si="4"/>
        <v>0</v>
      </c>
      <c r="L40" s="78"/>
      <c r="M40" s="78"/>
      <c r="N40" s="64"/>
      <c r="O40" s="64"/>
      <c r="P40" s="64"/>
      <c r="Q40" s="55"/>
    </row>
    <row r="41" spans="1:17" s="56" customFormat="1" hidden="1">
      <c r="A41" s="63" t="s">
        <v>439</v>
      </c>
      <c r="B41" s="63" t="s">
        <v>441</v>
      </c>
      <c r="C41" s="97" t="s">
        <v>490</v>
      </c>
      <c r="D41" s="101" t="s">
        <v>491</v>
      </c>
      <c r="E41" s="64"/>
      <c r="F41" s="70">
        <f t="shared" si="0"/>
        <v>0</v>
      </c>
      <c r="G41" s="70">
        <f t="shared" si="1"/>
        <v>0</v>
      </c>
      <c r="H41" s="2"/>
      <c r="I41" s="70">
        <f t="shared" si="2"/>
        <v>0</v>
      </c>
      <c r="J41" s="70">
        <f t="shared" si="3"/>
        <v>0</v>
      </c>
      <c r="K41" s="70">
        <f t="shared" si="4"/>
        <v>0</v>
      </c>
      <c r="L41" s="78"/>
      <c r="M41" s="78"/>
      <c r="N41" s="64"/>
      <c r="O41" s="64"/>
      <c r="P41" s="64"/>
      <c r="Q41" s="55"/>
    </row>
    <row r="42" spans="1:17" s="56" customFormat="1" hidden="1">
      <c r="A42" s="63" t="s">
        <v>441</v>
      </c>
      <c r="B42" s="63" t="s">
        <v>440</v>
      </c>
      <c r="C42" s="97" t="s">
        <v>492</v>
      </c>
      <c r="D42" s="101" t="s">
        <v>493</v>
      </c>
      <c r="E42" s="64"/>
      <c r="F42" s="70">
        <f t="shared" si="0"/>
        <v>0</v>
      </c>
      <c r="G42" s="70">
        <f t="shared" si="1"/>
        <v>0</v>
      </c>
      <c r="H42" s="2"/>
      <c r="I42" s="70">
        <f t="shared" si="2"/>
        <v>0</v>
      </c>
      <c r="J42" s="70">
        <f t="shared" si="3"/>
        <v>0</v>
      </c>
      <c r="K42" s="70">
        <f t="shared" si="4"/>
        <v>0</v>
      </c>
      <c r="L42" s="78"/>
      <c r="M42" s="78"/>
      <c r="N42" s="64"/>
      <c r="O42" s="64"/>
      <c r="P42" s="64"/>
      <c r="Q42" s="55"/>
    </row>
    <row r="43" spans="1:17" s="56" customFormat="1" hidden="1">
      <c r="A43" s="63" t="s">
        <v>439</v>
      </c>
      <c r="B43" s="63" t="s">
        <v>440</v>
      </c>
      <c r="C43" s="97" t="s">
        <v>494</v>
      </c>
      <c r="D43" s="101" t="s">
        <v>495</v>
      </c>
      <c r="E43" s="64"/>
      <c r="F43" s="70">
        <f t="shared" si="0"/>
        <v>0</v>
      </c>
      <c r="G43" s="70">
        <f t="shared" si="1"/>
        <v>0</v>
      </c>
      <c r="H43" s="2"/>
      <c r="I43" s="70">
        <f t="shared" si="2"/>
        <v>0</v>
      </c>
      <c r="J43" s="70">
        <f t="shared" si="3"/>
        <v>0</v>
      </c>
      <c r="K43" s="70">
        <f t="shared" si="4"/>
        <v>0</v>
      </c>
      <c r="L43" s="78"/>
      <c r="M43" s="78"/>
      <c r="N43" s="64"/>
      <c r="O43" s="64"/>
      <c r="P43" s="64"/>
      <c r="Q43" s="55"/>
    </row>
    <row r="44" spans="1:17" s="56" customFormat="1" hidden="1">
      <c r="A44" s="63" t="s">
        <v>439</v>
      </c>
      <c r="B44" s="63" t="s">
        <v>441</v>
      </c>
      <c r="C44" s="97" t="s">
        <v>496</v>
      </c>
      <c r="D44" s="101" t="s">
        <v>497</v>
      </c>
      <c r="E44" s="64"/>
      <c r="F44" s="70">
        <f t="shared" si="0"/>
        <v>0</v>
      </c>
      <c r="G44" s="70">
        <f t="shared" si="1"/>
        <v>0</v>
      </c>
      <c r="H44" s="2"/>
      <c r="I44" s="70">
        <f t="shared" si="2"/>
        <v>0</v>
      </c>
      <c r="J44" s="70">
        <f t="shared" si="3"/>
        <v>0</v>
      </c>
      <c r="K44" s="70">
        <f t="shared" si="4"/>
        <v>0</v>
      </c>
      <c r="L44" s="78"/>
      <c r="M44" s="78"/>
      <c r="N44" s="64"/>
      <c r="O44" s="64"/>
      <c r="P44" s="64"/>
      <c r="Q44" s="55"/>
    </row>
    <row r="45" spans="1:17" s="56" customFormat="1" hidden="1">
      <c r="A45" s="63" t="s">
        <v>441</v>
      </c>
      <c r="B45" s="63" t="s">
        <v>440</v>
      </c>
      <c r="C45" s="97" t="s">
        <v>498</v>
      </c>
      <c r="D45" s="101" t="s">
        <v>499</v>
      </c>
      <c r="E45" s="64"/>
      <c r="F45" s="70">
        <f t="shared" si="0"/>
        <v>0</v>
      </c>
      <c r="G45" s="70">
        <f t="shared" si="1"/>
        <v>0</v>
      </c>
      <c r="H45" s="2"/>
      <c r="I45" s="70">
        <f t="shared" si="2"/>
        <v>0</v>
      </c>
      <c r="J45" s="70">
        <f t="shared" si="3"/>
        <v>0</v>
      </c>
      <c r="K45" s="70">
        <f t="shared" si="4"/>
        <v>0</v>
      </c>
      <c r="L45" s="78"/>
      <c r="M45" s="78"/>
      <c r="N45" s="64"/>
      <c r="O45" s="64"/>
      <c r="P45" s="64"/>
      <c r="Q45" s="55"/>
    </row>
    <row r="46" spans="1:17" s="56" customFormat="1" hidden="1">
      <c r="A46" s="63" t="s">
        <v>439</v>
      </c>
      <c r="B46" s="63" t="s">
        <v>440</v>
      </c>
      <c r="C46" s="97" t="s">
        <v>500</v>
      </c>
      <c r="D46" s="101" t="s">
        <v>501</v>
      </c>
      <c r="E46" s="64"/>
      <c r="F46" s="70">
        <f t="shared" si="0"/>
        <v>0</v>
      </c>
      <c r="G46" s="70">
        <f t="shared" si="1"/>
        <v>0</v>
      </c>
      <c r="H46" s="2"/>
      <c r="I46" s="70">
        <f t="shared" si="2"/>
        <v>0</v>
      </c>
      <c r="J46" s="70">
        <f t="shared" si="3"/>
        <v>0</v>
      </c>
      <c r="K46" s="70">
        <f t="shared" si="4"/>
        <v>0</v>
      </c>
      <c r="L46" s="78"/>
      <c r="M46" s="78"/>
      <c r="N46" s="64"/>
      <c r="O46" s="64"/>
      <c r="P46" s="64"/>
      <c r="Q46" s="55"/>
    </row>
    <row r="47" spans="1:17" s="3" customFormat="1">
      <c r="A47" s="61" t="s">
        <v>439</v>
      </c>
      <c r="B47" s="61" t="s">
        <v>440</v>
      </c>
      <c r="C47" s="96" t="s">
        <v>176</v>
      </c>
      <c r="D47" s="100">
        <v>7440439</v>
      </c>
      <c r="E47" s="62">
        <v>6.0999999999999998E-7</v>
      </c>
      <c r="F47" s="70">
        <f t="shared" si="0"/>
        <v>6.0999999999999998E-7</v>
      </c>
      <c r="G47" s="70">
        <f t="shared" si="1"/>
        <v>6.0999999999999998E-7</v>
      </c>
      <c r="H47" s="2"/>
      <c r="I47" s="70">
        <f t="shared" si="2"/>
        <v>4.0999999999999999E-7</v>
      </c>
      <c r="J47" s="70">
        <f t="shared" si="3"/>
        <v>4.0999999999999999E-7</v>
      </c>
      <c r="K47" s="70">
        <f t="shared" si="4"/>
        <v>4.0999999999999999E-7</v>
      </c>
      <c r="L47" s="77"/>
      <c r="M47" s="77"/>
      <c r="N47" s="62">
        <v>4.1999999999999996E-6</v>
      </c>
      <c r="O47" s="62">
        <v>4.0999999999999999E-7</v>
      </c>
      <c r="P47" s="62">
        <v>4.0999999999999999E-7</v>
      </c>
      <c r="Q47" s="55"/>
    </row>
    <row r="48" spans="1:17" s="56" customFormat="1" hidden="1">
      <c r="A48" s="63" t="s">
        <v>439</v>
      </c>
      <c r="B48" s="63" t="s">
        <v>441</v>
      </c>
      <c r="C48" s="97" t="s">
        <v>502</v>
      </c>
      <c r="D48" s="101" t="s">
        <v>503</v>
      </c>
      <c r="E48" s="64"/>
      <c r="F48" s="70">
        <f t="shared" si="0"/>
        <v>0</v>
      </c>
      <c r="G48" s="70">
        <f t="shared" si="1"/>
        <v>0</v>
      </c>
      <c r="H48" s="2"/>
      <c r="I48" s="70">
        <f t="shared" si="2"/>
        <v>0</v>
      </c>
      <c r="J48" s="70">
        <f t="shared" si="3"/>
        <v>0</v>
      </c>
      <c r="K48" s="70">
        <f t="shared" si="4"/>
        <v>0</v>
      </c>
      <c r="L48" s="78"/>
      <c r="M48" s="78"/>
      <c r="N48" s="64"/>
      <c r="O48" s="64"/>
      <c r="P48" s="64"/>
      <c r="Q48" s="55"/>
    </row>
    <row r="49" spans="1:17" s="56" customFormat="1" hidden="1">
      <c r="A49" s="63" t="s">
        <v>439</v>
      </c>
      <c r="B49" s="63" t="s">
        <v>441</v>
      </c>
      <c r="C49" s="97" t="s">
        <v>504</v>
      </c>
      <c r="D49" s="101" t="s">
        <v>505</v>
      </c>
      <c r="E49" s="64"/>
      <c r="F49" s="70">
        <f t="shared" si="0"/>
        <v>0</v>
      </c>
      <c r="G49" s="70">
        <f t="shared" si="1"/>
        <v>0</v>
      </c>
      <c r="H49" s="2"/>
      <c r="I49" s="70">
        <f t="shared" si="2"/>
        <v>0</v>
      </c>
      <c r="J49" s="70">
        <f t="shared" si="3"/>
        <v>0</v>
      </c>
      <c r="K49" s="70">
        <f t="shared" si="4"/>
        <v>0</v>
      </c>
      <c r="L49" s="78"/>
      <c r="M49" s="78"/>
      <c r="N49" s="64"/>
      <c r="O49" s="64"/>
      <c r="P49" s="64"/>
      <c r="Q49" s="55"/>
    </row>
    <row r="50" spans="1:17" s="56" customFormat="1" hidden="1">
      <c r="A50" s="63" t="s">
        <v>441</v>
      </c>
      <c r="B50" s="63" t="s">
        <v>440</v>
      </c>
      <c r="C50" s="97" t="s">
        <v>506</v>
      </c>
      <c r="D50" s="101" t="s">
        <v>507</v>
      </c>
      <c r="E50" s="64"/>
      <c r="F50" s="70">
        <f t="shared" si="0"/>
        <v>0</v>
      </c>
      <c r="G50" s="70">
        <f t="shared" si="1"/>
        <v>0</v>
      </c>
      <c r="H50" s="2"/>
      <c r="I50" s="70">
        <f t="shared" si="2"/>
        <v>0</v>
      </c>
      <c r="J50" s="70">
        <f t="shared" si="3"/>
        <v>0</v>
      </c>
      <c r="K50" s="70">
        <f t="shared" si="4"/>
        <v>0</v>
      </c>
      <c r="L50" s="78"/>
      <c r="M50" s="78"/>
      <c r="N50" s="64"/>
      <c r="O50" s="64"/>
      <c r="P50" s="64"/>
      <c r="Q50" s="55"/>
    </row>
    <row r="51" spans="1:17" s="56" customFormat="1" hidden="1">
      <c r="A51" s="63" t="s">
        <v>441</v>
      </c>
      <c r="B51" s="63" t="s">
        <v>440</v>
      </c>
      <c r="C51" s="97" t="s">
        <v>508</v>
      </c>
      <c r="D51" s="101" t="s">
        <v>509</v>
      </c>
      <c r="E51" s="64"/>
      <c r="F51" s="70">
        <f t="shared" si="0"/>
        <v>0</v>
      </c>
      <c r="G51" s="70">
        <f t="shared" si="1"/>
        <v>0</v>
      </c>
      <c r="H51" s="2"/>
      <c r="I51" s="70">
        <f t="shared" si="2"/>
        <v>0</v>
      </c>
      <c r="J51" s="70">
        <f t="shared" si="3"/>
        <v>0</v>
      </c>
      <c r="K51" s="70">
        <f t="shared" si="4"/>
        <v>0</v>
      </c>
      <c r="L51" s="78"/>
      <c r="M51" s="78"/>
      <c r="N51" s="64"/>
      <c r="O51" s="64"/>
      <c r="P51" s="64"/>
      <c r="Q51" s="55"/>
    </row>
    <row r="52" spans="1:17" s="56" customFormat="1" hidden="1">
      <c r="A52" s="63" t="s">
        <v>441</v>
      </c>
      <c r="B52" s="63" t="s">
        <v>440</v>
      </c>
      <c r="C52" s="97" t="s">
        <v>510</v>
      </c>
      <c r="D52" s="101" t="s">
        <v>511</v>
      </c>
      <c r="E52" s="64"/>
      <c r="F52" s="70">
        <f t="shared" si="0"/>
        <v>0</v>
      </c>
      <c r="G52" s="70">
        <f t="shared" si="1"/>
        <v>0</v>
      </c>
      <c r="H52" s="2"/>
      <c r="I52" s="70">
        <f t="shared" si="2"/>
        <v>0</v>
      </c>
      <c r="J52" s="70">
        <f t="shared" si="3"/>
        <v>0</v>
      </c>
      <c r="K52" s="70">
        <f t="shared" si="4"/>
        <v>0</v>
      </c>
      <c r="L52" s="78"/>
      <c r="M52" s="78"/>
      <c r="N52" s="64"/>
      <c r="O52" s="64"/>
      <c r="P52" s="64"/>
      <c r="Q52" s="55"/>
    </row>
    <row r="53" spans="1:17" s="56" customFormat="1" hidden="1">
      <c r="A53" s="63" t="s">
        <v>439</v>
      </c>
      <c r="B53" s="63" t="s">
        <v>440</v>
      </c>
      <c r="C53" s="97" t="s">
        <v>178</v>
      </c>
      <c r="D53" s="101" t="s">
        <v>179</v>
      </c>
      <c r="E53" s="64"/>
      <c r="F53" s="70">
        <f t="shared" si="0"/>
        <v>0</v>
      </c>
      <c r="G53" s="70">
        <f t="shared" si="1"/>
        <v>0</v>
      </c>
      <c r="H53" s="2"/>
      <c r="I53" s="70">
        <f t="shared" si="2"/>
        <v>0</v>
      </c>
      <c r="J53" s="70">
        <f t="shared" si="3"/>
        <v>0</v>
      </c>
      <c r="K53" s="70">
        <f t="shared" si="4"/>
        <v>0</v>
      </c>
      <c r="L53" s="78"/>
      <c r="M53" s="78"/>
      <c r="N53" s="64"/>
      <c r="O53" s="64"/>
      <c r="P53" s="64"/>
      <c r="Q53" s="55"/>
    </row>
    <row r="54" spans="1:17" s="56" customFormat="1" hidden="1">
      <c r="A54" s="63" t="s">
        <v>439</v>
      </c>
      <c r="B54" s="63" t="s">
        <v>440</v>
      </c>
      <c r="C54" s="97" t="s">
        <v>512</v>
      </c>
      <c r="D54" s="101" t="s">
        <v>513</v>
      </c>
      <c r="E54" s="64"/>
      <c r="F54" s="70">
        <f t="shared" si="0"/>
        <v>0</v>
      </c>
      <c r="G54" s="70">
        <f t="shared" si="1"/>
        <v>0</v>
      </c>
      <c r="H54" s="2"/>
      <c r="I54" s="70">
        <f t="shared" si="2"/>
        <v>0</v>
      </c>
      <c r="J54" s="70">
        <f t="shared" si="3"/>
        <v>0</v>
      </c>
      <c r="K54" s="70">
        <f t="shared" si="4"/>
        <v>0</v>
      </c>
      <c r="L54" s="78"/>
      <c r="M54" s="78"/>
      <c r="N54" s="64"/>
      <c r="O54" s="64"/>
      <c r="P54" s="64"/>
      <c r="Q54" s="55"/>
    </row>
    <row r="55" spans="1:17" s="56" customFormat="1" hidden="1">
      <c r="A55" s="63" t="s">
        <v>441</v>
      </c>
      <c r="B55" s="63" t="s">
        <v>440</v>
      </c>
      <c r="C55" s="97" t="s">
        <v>514</v>
      </c>
      <c r="D55" s="101" t="s">
        <v>515</v>
      </c>
      <c r="E55" s="64"/>
      <c r="F55" s="70">
        <f t="shared" si="0"/>
        <v>0</v>
      </c>
      <c r="G55" s="70">
        <f t="shared" si="1"/>
        <v>0</v>
      </c>
      <c r="H55" s="2"/>
      <c r="I55" s="70">
        <f t="shared" si="2"/>
        <v>0</v>
      </c>
      <c r="J55" s="70">
        <f t="shared" si="3"/>
        <v>0</v>
      </c>
      <c r="K55" s="70">
        <f t="shared" si="4"/>
        <v>0</v>
      </c>
      <c r="L55" s="78"/>
      <c r="M55" s="78"/>
      <c r="N55" s="64"/>
      <c r="O55" s="64"/>
      <c r="P55" s="64"/>
      <c r="Q55" s="55"/>
    </row>
    <row r="56" spans="1:17" s="56" customFormat="1" hidden="1">
      <c r="A56" s="63" t="s">
        <v>441</v>
      </c>
      <c r="B56" s="63" t="s">
        <v>440</v>
      </c>
      <c r="C56" s="97" t="s">
        <v>516</v>
      </c>
      <c r="D56" s="101" t="s">
        <v>517</v>
      </c>
      <c r="E56" s="64"/>
      <c r="F56" s="70">
        <f t="shared" si="0"/>
        <v>0</v>
      </c>
      <c r="G56" s="70">
        <f t="shared" si="1"/>
        <v>0</v>
      </c>
      <c r="H56" s="2"/>
      <c r="I56" s="70">
        <f t="shared" si="2"/>
        <v>0</v>
      </c>
      <c r="J56" s="70">
        <f t="shared" si="3"/>
        <v>0</v>
      </c>
      <c r="K56" s="70">
        <f t="shared" si="4"/>
        <v>0</v>
      </c>
      <c r="L56" s="78"/>
      <c r="M56" s="78"/>
      <c r="N56" s="64"/>
      <c r="O56" s="64"/>
      <c r="P56" s="64"/>
      <c r="Q56" s="55"/>
    </row>
    <row r="57" spans="1:17" s="56" customFormat="1" hidden="1">
      <c r="A57" s="63" t="s">
        <v>441</v>
      </c>
      <c r="B57" s="63" t="s">
        <v>440</v>
      </c>
      <c r="C57" s="97" t="s">
        <v>518</v>
      </c>
      <c r="D57" s="101" t="s">
        <v>519</v>
      </c>
      <c r="E57" s="64"/>
      <c r="F57" s="70">
        <f t="shared" si="0"/>
        <v>0</v>
      </c>
      <c r="G57" s="70">
        <f t="shared" si="1"/>
        <v>0</v>
      </c>
      <c r="H57" s="2"/>
      <c r="I57" s="70">
        <f t="shared" si="2"/>
        <v>0</v>
      </c>
      <c r="J57" s="70">
        <f t="shared" si="3"/>
        <v>0</v>
      </c>
      <c r="K57" s="70">
        <f t="shared" si="4"/>
        <v>0</v>
      </c>
      <c r="L57" s="78"/>
      <c r="M57" s="78"/>
      <c r="N57" s="64"/>
      <c r="O57" s="64"/>
      <c r="P57" s="64"/>
      <c r="Q57" s="55"/>
    </row>
    <row r="58" spans="1:17" s="56" customFormat="1" hidden="1">
      <c r="A58" s="63" t="s">
        <v>441</v>
      </c>
      <c r="B58" s="63" t="s">
        <v>440</v>
      </c>
      <c r="C58" s="97" t="s">
        <v>520</v>
      </c>
      <c r="D58" s="101" t="s">
        <v>521</v>
      </c>
      <c r="E58" s="64"/>
      <c r="F58" s="70">
        <f t="shared" si="0"/>
        <v>0</v>
      </c>
      <c r="G58" s="70">
        <f t="shared" si="1"/>
        <v>0</v>
      </c>
      <c r="H58" s="2"/>
      <c r="I58" s="70">
        <f t="shared" si="2"/>
        <v>0</v>
      </c>
      <c r="J58" s="70">
        <f t="shared" si="3"/>
        <v>0</v>
      </c>
      <c r="K58" s="70">
        <f t="shared" si="4"/>
        <v>0</v>
      </c>
      <c r="L58" s="78"/>
      <c r="M58" s="78"/>
      <c r="N58" s="64"/>
      <c r="O58" s="64"/>
      <c r="P58" s="64"/>
      <c r="Q58" s="55"/>
    </row>
    <row r="59" spans="1:17" s="56" customFormat="1" hidden="1">
      <c r="A59" s="63" t="s">
        <v>439</v>
      </c>
      <c r="B59" s="63" t="s">
        <v>440</v>
      </c>
      <c r="C59" s="97" t="s">
        <v>522</v>
      </c>
      <c r="D59" s="101" t="s">
        <v>523</v>
      </c>
      <c r="E59" s="64"/>
      <c r="F59" s="70">
        <f t="shared" si="0"/>
        <v>0</v>
      </c>
      <c r="G59" s="70">
        <f t="shared" si="1"/>
        <v>0</v>
      </c>
      <c r="H59" s="2"/>
      <c r="I59" s="70">
        <f t="shared" si="2"/>
        <v>0</v>
      </c>
      <c r="J59" s="70">
        <f t="shared" si="3"/>
        <v>0</v>
      </c>
      <c r="K59" s="70">
        <f t="shared" si="4"/>
        <v>0</v>
      </c>
      <c r="L59" s="78"/>
      <c r="M59" s="78"/>
      <c r="N59" s="64"/>
      <c r="O59" s="64"/>
      <c r="P59" s="64"/>
      <c r="Q59" s="55"/>
    </row>
    <row r="60" spans="1:17" s="56" customFormat="1" hidden="1">
      <c r="A60" s="63" t="s">
        <v>441</v>
      </c>
      <c r="B60" s="63" t="s">
        <v>440</v>
      </c>
      <c r="C60" s="97" t="s">
        <v>524</v>
      </c>
      <c r="D60" s="101" t="s">
        <v>525</v>
      </c>
      <c r="E60" s="64"/>
      <c r="F60" s="70">
        <f t="shared" si="0"/>
        <v>0</v>
      </c>
      <c r="G60" s="70">
        <f t="shared" si="1"/>
        <v>0</v>
      </c>
      <c r="H60" s="2"/>
      <c r="I60" s="70">
        <f t="shared" si="2"/>
        <v>0</v>
      </c>
      <c r="J60" s="70">
        <f t="shared" si="3"/>
        <v>0</v>
      </c>
      <c r="K60" s="70">
        <f t="shared" si="4"/>
        <v>0</v>
      </c>
      <c r="L60" s="78"/>
      <c r="M60" s="78"/>
      <c r="N60" s="64"/>
      <c r="O60" s="64"/>
      <c r="P60" s="64"/>
      <c r="Q60" s="55"/>
    </row>
    <row r="61" spans="1:17" s="56" customFormat="1" hidden="1">
      <c r="A61" s="63" t="s">
        <v>441</v>
      </c>
      <c r="B61" s="63" t="s">
        <v>440</v>
      </c>
      <c r="C61" s="97" t="s">
        <v>526</v>
      </c>
      <c r="D61" s="101" t="s">
        <v>527</v>
      </c>
      <c r="E61" s="64"/>
      <c r="F61" s="70">
        <f t="shared" si="0"/>
        <v>0</v>
      </c>
      <c r="G61" s="70">
        <f t="shared" si="1"/>
        <v>0</v>
      </c>
      <c r="H61" s="2"/>
      <c r="I61" s="70">
        <f t="shared" si="2"/>
        <v>0</v>
      </c>
      <c r="J61" s="70">
        <f t="shared" si="3"/>
        <v>0</v>
      </c>
      <c r="K61" s="70">
        <f t="shared" si="4"/>
        <v>0</v>
      </c>
      <c r="L61" s="78"/>
      <c r="M61" s="78"/>
      <c r="N61" s="64"/>
      <c r="O61" s="64"/>
      <c r="P61" s="64"/>
      <c r="Q61" s="55"/>
    </row>
    <row r="62" spans="1:17" s="56" customFormat="1" hidden="1">
      <c r="A62" s="63" t="s">
        <v>439</v>
      </c>
      <c r="B62" s="63" t="s">
        <v>440</v>
      </c>
      <c r="C62" s="97" t="s">
        <v>528</v>
      </c>
      <c r="D62" s="101" t="s">
        <v>529</v>
      </c>
      <c r="E62" s="64"/>
      <c r="F62" s="70">
        <f t="shared" si="0"/>
        <v>0</v>
      </c>
      <c r="G62" s="70">
        <f t="shared" si="1"/>
        <v>0</v>
      </c>
      <c r="H62" s="2"/>
      <c r="I62" s="70">
        <f t="shared" si="2"/>
        <v>0</v>
      </c>
      <c r="J62" s="70">
        <f t="shared" si="3"/>
        <v>0</v>
      </c>
      <c r="K62" s="70">
        <f t="shared" si="4"/>
        <v>0</v>
      </c>
      <c r="L62" s="78"/>
      <c r="M62" s="78"/>
      <c r="N62" s="64"/>
      <c r="O62" s="64"/>
      <c r="P62" s="64"/>
      <c r="Q62" s="55"/>
    </row>
    <row r="63" spans="1:17" s="56" customFormat="1" hidden="1">
      <c r="A63" s="63" t="s">
        <v>441</v>
      </c>
      <c r="B63" s="63" t="s">
        <v>440</v>
      </c>
      <c r="C63" s="97" t="s">
        <v>530</v>
      </c>
      <c r="D63" s="101" t="s">
        <v>531</v>
      </c>
      <c r="E63" s="64"/>
      <c r="F63" s="70">
        <f t="shared" si="0"/>
        <v>0</v>
      </c>
      <c r="G63" s="70">
        <f t="shared" si="1"/>
        <v>0</v>
      </c>
      <c r="H63" s="2"/>
      <c r="I63" s="70">
        <f t="shared" si="2"/>
        <v>0</v>
      </c>
      <c r="J63" s="70">
        <f t="shared" si="3"/>
        <v>0</v>
      </c>
      <c r="K63" s="70">
        <f t="shared" si="4"/>
        <v>0</v>
      </c>
      <c r="L63" s="78"/>
      <c r="M63" s="78"/>
      <c r="N63" s="64"/>
      <c r="O63" s="64"/>
      <c r="P63" s="64"/>
      <c r="Q63" s="55"/>
    </row>
    <row r="64" spans="1:17" s="56" customFormat="1" hidden="1">
      <c r="A64" s="63" t="s">
        <v>439</v>
      </c>
      <c r="B64" s="63" t="s">
        <v>440</v>
      </c>
      <c r="C64" s="97" t="s">
        <v>532</v>
      </c>
      <c r="D64" s="101" t="s">
        <v>533</v>
      </c>
      <c r="E64" s="64"/>
      <c r="F64" s="70">
        <f t="shared" si="0"/>
        <v>0</v>
      </c>
      <c r="G64" s="70">
        <f t="shared" si="1"/>
        <v>0</v>
      </c>
      <c r="H64" s="2"/>
      <c r="I64" s="70">
        <f t="shared" si="2"/>
        <v>0</v>
      </c>
      <c r="J64" s="70">
        <f t="shared" si="3"/>
        <v>0</v>
      </c>
      <c r="K64" s="70">
        <f t="shared" si="4"/>
        <v>0</v>
      </c>
      <c r="L64" s="78"/>
      <c r="M64" s="78"/>
      <c r="N64" s="64"/>
      <c r="O64" s="64"/>
      <c r="P64" s="64"/>
      <c r="Q64" s="55"/>
    </row>
    <row r="65" spans="1:17" s="56" customFormat="1" hidden="1">
      <c r="A65" s="63" t="s">
        <v>441</v>
      </c>
      <c r="B65" s="63" t="s">
        <v>440</v>
      </c>
      <c r="C65" s="97" t="s">
        <v>534</v>
      </c>
      <c r="D65" s="101" t="s">
        <v>535</v>
      </c>
      <c r="E65" s="64"/>
      <c r="F65" s="70">
        <f t="shared" si="0"/>
        <v>0</v>
      </c>
      <c r="G65" s="70">
        <f t="shared" si="1"/>
        <v>0</v>
      </c>
      <c r="H65" s="2"/>
      <c r="I65" s="70">
        <f t="shared" si="2"/>
        <v>0</v>
      </c>
      <c r="J65" s="70">
        <f t="shared" si="3"/>
        <v>0</v>
      </c>
      <c r="K65" s="70">
        <f t="shared" si="4"/>
        <v>0</v>
      </c>
      <c r="L65" s="78"/>
      <c r="M65" s="78"/>
      <c r="N65" s="64"/>
      <c r="O65" s="64"/>
      <c r="P65" s="64"/>
      <c r="Q65" s="55"/>
    </row>
    <row r="66" spans="1:17" s="56" customFormat="1" hidden="1">
      <c r="A66" s="63" t="s">
        <v>439</v>
      </c>
      <c r="B66" s="63" t="s">
        <v>440</v>
      </c>
      <c r="C66" s="97" t="s">
        <v>536</v>
      </c>
      <c r="D66" s="101" t="s">
        <v>537</v>
      </c>
      <c r="E66" s="64"/>
      <c r="F66" s="70">
        <f t="shared" si="0"/>
        <v>0</v>
      </c>
      <c r="G66" s="70">
        <f t="shared" si="1"/>
        <v>0</v>
      </c>
      <c r="H66" s="2"/>
      <c r="I66" s="70">
        <f t="shared" si="2"/>
        <v>0</v>
      </c>
      <c r="J66" s="70">
        <f t="shared" si="3"/>
        <v>0</v>
      </c>
      <c r="K66" s="70">
        <f t="shared" si="4"/>
        <v>0</v>
      </c>
      <c r="L66" s="78"/>
      <c r="M66" s="78"/>
      <c r="N66" s="64"/>
      <c r="O66" s="64"/>
      <c r="P66" s="64"/>
      <c r="Q66" s="55"/>
    </row>
    <row r="67" spans="1:17" s="3" customFormat="1">
      <c r="A67" s="61" t="s">
        <v>441</v>
      </c>
      <c r="B67" s="61" t="s">
        <v>440</v>
      </c>
      <c r="C67" s="529" t="s">
        <v>317</v>
      </c>
      <c r="D67" s="100" t="s">
        <v>318</v>
      </c>
      <c r="E67" s="62">
        <f>0.00000057-E69</f>
        <v>5.2200000000000004E-7</v>
      </c>
      <c r="F67" s="70">
        <f t="shared" si="0"/>
        <v>5.2200000000000004E-7</v>
      </c>
      <c r="G67" s="70">
        <f t="shared" si="1"/>
        <v>5.2200000000000004E-7</v>
      </c>
      <c r="H67" s="2"/>
      <c r="I67" s="70">
        <f t="shared" si="2"/>
        <v>5.0499999999999999E-6</v>
      </c>
      <c r="J67" s="70">
        <f t="shared" si="3"/>
        <v>5.0499999999999999E-6</v>
      </c>
      <c r="K67" s="70">
        <f t="shared" si="4"/>
        <v>5.0499999999999999E-6</v>
      </c>
      <c r="L67" s="77"/>
      <c r="M67" s="77"/>
      <c r="N67" s="62">
        <v>2.4000000000000001E-5</v>
      </c>
      <c r="O67" s="62">
        <f>0.0000055-O69</f>
        <v>5.0499999999999999E-6</v>
      </c>
      <c r="P67" s="62">
        <f>0.0000055-P69</f>
        <v>5.0499999999999999E-6</v>
      </c>
      <c r="Q67" s="55"/>
    </row>
    <row r="68" spans="1:17" s="56" customFormat="1" hidden="1">
      <c r="A68" s="63" t="s">
        <v>439</v>
      </c>
      <c r="B68" s="63" t="s">
        <v>441</v>
      </c>
      <c r="C68" s="97" t="s">
        <v>538</v>
      </c>
      <c r="D68" s="101" t="s">
        <v>539</v>
      </c>
      <c r="E68" s="64"/>
      <c r="F68" s="70">
        <f t="shared" si="0"/>
        <v>0</v>
      </c>
      <c r="G68" s="70">
        <f t="shared" si="1"/>
        <v>0</v>
      </c>
      <c r="H68" s="2"/>
      <c r="I68" s="70">
        <f t="shared" si="2"/>
        <v>0</v>
      </c>
      <c r="J68" s="70">
        <f t="shared" si="3"/>
        <v>0</v>
      </c>
      <c r="K68" s="70">
        <f t="shared" si="4"/>
        <v>0</v>
      </c>
      <c r="L68" s="78"/>
      <c r="M68" s="78"/>
      <c r="N68" s="64"/>
      <c r="O68" s="64"/>
      <c r="P68" s="64"/>
      <c r="Q68" s="55"/>
    </row>
    <row r="69" spans="1:17" s="3" customFormat="1">
      <c r="A69" s="61" t="s">
        <v>439</v>
      </c>
      <c r="B69" s="61" t="s">
        <v>440</v>
      </c>
      <c r="C69" s="96" t="s">
        <v>540</v>
      </c>
      <c r="D69" s="100">
        <v>7738945</v>
      </c>
      <c r="E69" s="62">
        <v>4.8E-8</v>
      </c>
      <c r="F69" s="70">
        <f t="shared" si="0"/>
        <v>4.8E-8</v>
      </c>
      <c r="G69" s="70">
        <f t="shared" si="1"/>
        <v>4.8E-8</v>
      </c>
      <c r="H69" s="2"/>
      <c r="I69" s="70">
        <f t="shared" si="2"/>
        <v>4.4999999999999998E-7</v>
      </c>
      <c r="J69" s="70">
        <f t="shared" si="3"/>
        <v>4.4999999999999998E-7</v>
      </c>
      <c r="K69" s="70">
        <f t="shared" si="4"/>
        <v>4.4999999999999998E-7</v>
      </c>
      <c r="L69" s="77"/>
      <c r="M69" s="77"/>
      <c r="N69" s="62"/>
      <c r="O69" s="62">
        <v>4.4999999999999998E-7</v>
      </c>
      <c r="P69" s="62">
        <v>4.4999999999999998E-7</v>
      </c>
      <c r="Q69" s="55"/>
    </row>
    <row r="70" spans="1:17" s="56" customFormat="1" hidden="1">
      <c r="A70" s="56" t="s">
        <v>439</v>
      </c>
      <c r="B70" s="56" t="s">
        <v>441</v>
      </c>
      <c r="C70" s="95" t="s">
        <v>541</v>
      </c>
      <c r="D70" s="99" t="s">
        <v>542</v>
      </c>
      <c r="E70" s="64"/>
      <c r="F70" s="57"/>
      <c r="G70" s="57"/>
      <c r="H70" s="2"/>
      <c r="I70" s="70">
        <f t="shared" si="2"/>
        <v>0</v>
      </c>
      <c r="J70" s="70">
        <f t="shared" si="3"/>
        <v>0</v>
      </c>
      <c r="K70" s="70">
        <f t="shared" si="4"/>
        <v>0</v>
      </c>
      <c r="L70" s="78"/>
      <c r="M70" s="78"/>
      <c r="N70" s="64"/>
      <c r="O70" s="64"/>
      <c r="P70" s="64"/>
      <c r="Q70" s="55"/>
    </row>
    <row r="71" spans="1:17" s="3" customFormat="1">
      <c r="A71" s="61" t="s">
        <v>441</v>
      </c>
      <c r="B71" s="61" t="s">
        <v>440</v>
      </c>
      <c r="C71" s="96" t="s">
        <v>319</v>
      </c>
      <c r="D71" s="100" t="s">
        <v>543</v>
      </c>
      <c r="E71" s="62"/>
      <c r="F71" s="58"/>
      <c r="G71" s="58"/>
      <c r="H71" s="2"/>
      <c r="I71" s="70">
        <f t="shared" si="2"/>
        <v>2.6000000000000001E-8</v>
      </c>
      <c r="J71" s="70">
        <f t="shared" si="3"/>
        <v>2.6000000000000001E-8</v>
      </c>
      <c r="K71" s="70">
        <f t="shared" si="4"/>
        <v>2.6000000000000001E-8</v>
      </c>
      <c r="L71" s="77"/>
      <c r="M71" s="77"/>
      <c r="N71" s="62">
        <v>1.5E-5</v>
      </c>
      <c r="O71" s="62">
        <v>2.6000000000000001E-8</v>
      </c>
      <c r="P71" s="62">
        <v>2.6000000000000001E-8</v>
      </c>
      <c r="Q71" s="55"/>
    </row>
    <row r="72" spans="1:17" s="56" customFormat="1" hidden="1">
      <c r="A72" s="56" t="s">
        <v>439</v>
      </c>
      <c r="B72" s="56" t="s">
        <v>440</v>
      </c>
      <c r="C72" s="95" t="s">
        <v>544</v>
      </c>
      <c r="D72" s="99" t="s">
        <v>545</v>
      </c>
      <c r="E72" s="64"/>
      <c r="F72" s="57"/>
      <c r="G72" s="57"/>
      <c r="H72" s="2"/>
      <c r="I72" s="57"/>
      <c r="J72" s="57"/>
      <c r="K72" s="57"/>
      <c r="L72" s="78"/>
      <c r="M72" s="78"/>
      <c r="N72" s="64"/>
      <c r="O72" s="64"/>
      <c r="P72" s="64"/>
      <c r="Q72" s="55"/>
    </row>
    <row r="73" spans="1:17" s="56" customFormat="1" hidden="1">
      <c r="A73" s="56" t="s">
        <v>441</v>
      </c>
      <c r="B73" s="56" t="s">
        <v>440</v>
      </c>
      <c r="C73" s="95" t="s">
        <v>546</v>
      </c>
      <c r="D73" s="99" t="s">
        <v>547</v>
      </c>
      <c r="E73" s="64"/>
      <c r="F73" s="57"/>
      <c r="G73" s="57"/>
      <c r="H73" s="2"/>
      <c r="I73" s="57"/>
      <c r="J73" s="57"/>
      <c r="K73" s="57"/>
      <c r="L73" s="78"/>
      <c r="M73" s="78"/>
      <c r="N73" s="64"/>
      <c r="O73" s="64"/>
      <c r="P73" s="64"/>
      <c r="Q73" s="55"/>
    </row>
    <row r="74" spans="1:17" s="56" customFormat="1" hidden="1">
      <c r="A74" s="56" t="s">
        <v>441</v>
      </c>
      <c r="B74" s="56" t="s">
        <v>440</v>
      </c>
      <c r="C74" s="95" t="s">
        <v>548</v>
      </c>
      <c r="D74" s="99" t="s">
        <v>549</v>
      </c>
      <c r="E74" s="64"/>
      <c r="F74" s="57"/>
      <c r="G74" s="57"/>
      <c r="H74" s="2"/>
      <c r="I74" s="57"/>
      <c r="J74" s="57"/>
      <c r="K74" s="57"/>
      <c r="L74" s="78"/>
      <c r="M74" s="78"/>
      <c r="N74" s="64"/>
      <c r="O74" s="64"/>
      <c r="P74" s="64"/>
      <c r="Q74" s="55"/>
    </row>
    <row r="75" spans="1:17" s="56" customFormat="1" hidden="1">
      <c r="A75" s="56" t="s">
        <v>441</v>
      </c>
      <c r="B75" s="56" t="s">
        <v>440</v>
      </c>
      <c r="C75" s="95" t="s">
        <v>550</v>
      </c>
      <c r="D75" s="99" t="s">
        <v>551</v>
      </c>
      <c r="E75" s="64"/>
      <c r="F75" s="57"/>
      <c r="G75" s="57"/>
      <c r="H75" s="2"/>
      <c r="I75" s="57"/>
      <c r="J75" s="57"/>
      <c r="K75" s="57"/>
      <c r="L75" s="78"/>
      <c r="M75" s="78"/>
      <c r="N75" s="64"/>
      <c r="O75" s="64"/>
      <c r="P75" s="64"/>
      <c r="Q75" s="55"/>
    </row>
    <row r="76" spans="1:17" s="56" customFormat="1" hidden="1">
      <c r="A76" s="56" t="s">
        <v>441</v>
      </c>
      <c r="B76" s="56" t="s">
        <v>440</v>
      </c>
      <c r="C76" s="95" t="s">
        <v>327</v>
      </c>
      <c r="D76" s="99" t="s">
        <v>328</v>
      </c>
      <c r="E76" s="64"/>
      <c r="F76" s="57"/>
      <c r="G76" s="57"/>
      <c r="H76" s="2"/>
      <c r="I76" s="57"/>
      <c r="J76" s="57"/>
      <c r="K76" s="57"/>
      <c r="L76" s="78"/>
      <c r="M76" s="78"/>
      <c r="N76" s="64"/>
      <c r="O76" s="64"/>
      <c r="P76" s="64"/>
      <c r="Q76" s="55"/>
    </row>
    <row r="77" spans="1:17" s="56" customFormat="1" hidden="1">
      <c r="A77" s="56" t="s">
        <v>441</v>
      </c>
      <c r="B77" s="56" t="s">
        <v>440</v>
      </c>
      <c r="C77" s="95" t="s">
        <v>552</v>
      </c>
      <c r="D77" s="99" t="s">
        <v>553</v>
      </c>
      <c r="E77" s="64"/>
      <c r="F77" s="57"/>
      <c r="G77" s="57"/>
      <c r="H77" s="2"/>
      <c r="I77" s="57"/>
      <c r="J77" s="57"/>
      <c r="K77" s="57"/>
      <c r="L77" s="78"/>
      <c r="M77" s="78"/>
      <c r="N77" s="64"/>
      <c r="O77" s="64"/>
      <c r="P77" s="64"/>
      <c r="Q77" s="55"/>
    </row>
    <row r="78" spans="1:17" s="56" customFormat="1" hidden="1">
      <c r="A78" s="56" t="s">
        <v>441</v>
      </c>
      <c r="B78" s="56" t="s">
        <v>440</v>
      </c>
      <c r="C78" s="95" t="s">
        <v>554</v>
      </c>
      <c r="D78" s="99" t="s">
        <v>555</v>
      </c>
      <c r="E78" s="64"/>
      <c r="F78" s="57"/>
      <c r="G78" s="57"/>
      <c r="H78" s="2"/>
      <c r="I78" s="57"/>
      <c r="J78" s="57"/>
      <c r="K78" s="57"/>
      <c r="L78" s="78"/>
      <c r="M78" s="78"/>
      <c r="N78" s="64"/>
      <c r="O78" s="64"/>
      <c r="P78" s="64"/>
      <c r="Q78" s="55"/>
    </row>
    <row r="79" spans="1:17" s="56" customFormat="1" hidden="1">
      <c r="A79" s="56" t="s">
        <v>441</v>
      </c>
      <c r="B79" s="56" t="s">
        <v>440</v>
      </c>
      <c r="C79" s="95" t="s">
        <v>556</v>
      </c>
      <c r="D79" s="99" t="s">
        <v>557</v>
      </c>
      <c r="E79" s="64"/>
      <c r="F79" s="57"/>
      <c r="G79" s="57"/>
      <c r="H79" s="2"/>
      <c r="I79" s="57"/>
      <c r="J79" s="57"/>
      <c r="K79" s="57"/>
      <c r="L79" s="78"/>
      <c r="M79" s="78"/>
      <c r="N79" s="64"/>
      <c r="O79" s="64"/>
      <c r="P79" s="64"/>
      <c r="Q79" s="55"/>
    </row>
    <row r="80" spans="1:17" s="56" customFormat="1" hidden="1">
      <c r="A80" s="56" t="s">
        <v>439</v>
      </c>
      <c r="B80" s="56" t="s">
        <v>440</v>
      </c>
      <c r="C80" s="95" t="s">
        <v>558</v>
      </c>
      <c r="D80" s="99" t="s">
        <v>559</v>
      </c>
      <c r="E80" s="64"/>
      <c r="F80" s="57"/>
      <c r="G80" s="57"/>
      <c r="H80" s="2"/>
      <c r="I80" s="57"/>
      <c r="J80" s="57"/>
      <c r="K80" s="57"/>
      <c r="L80" s="78"/>
      <c r="M80" s="78"/>
      <c r="N80" s="64"/>
      <c r="O80" s="64"/>
      <c r="P80" s="64"/>
      <c r="Q80" s="55"/>
    </row>
    <row r="81" spans="1:17" s="56" customFormat="1" hidden="1">
      <c r="A81" s="56" t="s">
        <v>441</v>
      </c>
      <c r="B81" s="56" t="s">
        <v>440</v>
      </c>
      <c r="C81" s="95" t="s">
        <v>560</v>
      </c>
      <c r="D81" s="99" t="s">
        <v>561</v>
      </c>
      <c r="E81" s="64"/>
      <c r="F81" s="57"/>
      <c r="G81" s="57"/>
      <c r="H81" s="2"/>
      <c r="I81" s="57"/>
      <c r="J81" s="57"/>
      <c r="K81" s="57"/>
      <c r="L81" s="78"/>
      <c r="M81" s="78"/>
      <c r="N81" s="64"/>
      <c r="O81" s="64"/>
      <c r="P81" s="64"/>
      <c r="Q81" s="55"/>
    </row>
    <row r="82" spans="1:17" s="56" customFormat="1" hidden="1">
      <c r="A82" s="56" t="s">
        <v>441</v>
      </c>
      <c r="B82" s="56" t="s">
        <v>440</v>
      </c>
      <c r="C82" s="95" t="s">
        <v>562</v>
      </c>
      <c r="D82" s="99" t="s">
        <v>563</v>
      </c>
      <c r="E82" s="64"/>
      <c r="F82" s="57"/>
      <c r="G82" s="57"/>
      <c r="H82" s="2"/>
      <c r="I82" s="57"/>
      <c r="J82" s="57"/>
      <c r="K82" s="57"/>
      <c r="L82" s="78"/>
      <c r="M82" s="78"/>
      <c r="N82" s="64"/>
      <c r="O82" s="64"/>
      <c r="P82" s="64"/>
      <c r="Q82" s="55"/>
    </row>
    <row r="83" spans="1:17" s="56" customFormat="1" hidden="1">
      <c r="A83" s="56" t="s">
        <v>441</v>
      </c>
      <c r="B83" s="56" t="s">
        <v>440</v>
      </c>
      <c r="C83" s="95" t="s">
        <v>564</v>
      </c>
      <c r="D83" s="99" t="s">
        <v>565</v>
      </c>
      <c r="E83" s="64"/>
      <c r="F83" s="57"/>
      <c r="G83" s="57"/>
      <c r="H83" s="2"/>
      <c r="I83" s="57"/>
      <c r="J83" s="57"/>
      <c r="K83" s="57"/>
      <c r="L83" s="78"/>
      <c r="M83" s="78"/>
      <c r="N83" s="64"/>
      <c r="O83" s="64"/>
      <c r="P83" s="64"/>
      <c r="Q83" s="55"/>
    </row>
    <row r="84" spans="1:17" s="56" customFormat="1" hidden="1">
      <c r="A84" s="56" t="s">
        <v>441</v>
      </c>
      <c r="B84" s="56" t="s">
        <v>440</v>
      </c>
      <c r="C84" s="95" t="s">
        <v>566</v>
      </c>
      <c r="D84" s="99" t="s">
        <v>567</v>
      </c>
      <c r="E84" s="64"/>
      <c r="F84" s="57"/>
      <c r="G84" s="57"/>
      <c r="H84" s="2"/>
      <c r="I84" s="57"/>
      <c r="J84" s="57"/>
      <c r="K84" s="57"/>
      <c r="L84" s="78"/>
      <c r="M84" s="78"/>
      <c r="N84" s="64"/>
      <c r="O84" s="64"/>
      <c r="P84" s="64"/>
      <c r="Q84" s="55"/>
    </row>
    <row r="85" spans="1:17" s="56" customFormat="1" hidden="1">
      <c r="A85" s="56" t="s">
        <v>439</v>
      </c>
      <c r="B85" s="56" t="s">
        <v>440</v>
      </c>
      <c r="C85" s="95" t="s">
        <v>568</v>
      </c>
      <c r="D85" s="99" t="s">
        <v>569</v>
      </c>
      <c r="E85" s="64"/>
      <c r="F85" s="57"/>
      <c r="G85" s="57"/>
      <c r="H85" s="2"/>
      <c r="I85" s="57"/>
      <c r="J85" s="57"/>
      <c r="K85" s="57"/>
      <c r="L85" s="78"/>
      <c r="M85" s="78"/>
      <c r="N85" s="64"/>
      <c r="O85" s="64"/>
      <c r="P85" s="64"/>
      <c r="Q85" s="55"/>
    </row>
    <row r="86" spans="1:17" s="56" customFormat="1" hidden="1">
      <c r="A86" s="56" t="s">
        <v>441</v>
      </c>
      <c r="B86" s="56" t="s">
        <v>440</v>
      </c>
      <c r="C86" s="95" t="s">
        <v>570</v>
      </c>
      <c r="D86" s="99" t="s">
        <v>571</v>
      </c>
      <c r="E86" s="64"/>
      <c r="F86" s="57"/>
      <c r="G86" s="57"/>
      <c r="H86" s="2"/>
      <c r="I86" s="57"/>
      <c r="J86" s="57"/>
      <c r="K86" s="57"/>
      <c r="L86" s="78"/>
      <c r="M86" s="78"/>
      <c r="N86" s="64"/>
      <c r="O86" s="64"/>
      <c r="P86" s="64"/>
      <c r="Q86" s="55"/>
    </row>
    <row r="87" spans="1:17" s="56" customFormat="1" hidden="1">
      <c r="A87" s="56" t="s">
        <v>439</v>
      </c>
      <c r="B87" s="56" t="s">
        <v>441</v>
      </c>
      <c r="C87" s="95" t="s">
        <v>572</v>
      </c>
      <c r="D87" s="99" t="s">
        <v>573</v>
      </c>
      <c r="E87" s="64"/>
      <c r="F87" s="57"/>
      <c r="G87" s="57"/>
      <c r="H87" s="2"/>
      <c r="I87" s="57"/>
      <c r="J87" s="57"/>
      <c r="K87" s="57"/>
      <c r="L87" s="78"/>
      <c r="M87" s="78"/>
      <c r="N87" s="64"/>
      <c r="O87" s="64"/>
      <c r="P87" s="64"/>
      <c r="Q87" s="55"/>
    </row>
    <row r="88" spans="1:17" s="56" customFormat="1" hidden="1">
      <c r="A88" s="56" t="s">
        <v>441</v>
      </c>
      <c r="B88" s="56" t="s">
        <v>440</v>
      </c>
      <c r="C88" s="95" t="s">
        <v>574</v>
      </c>
      <c r="D88" s="99" t="s">
        <v>575</v>
      </c>
      <c r="E88" s="64"/>
      <c r="F88" s="57"/>
      <c r="G88" s="57"/>
      <c r="H88" s="2"/>
      <c r="I88" s="57"/>
      <c r="J88" s="57"/>
      <c r="K88" s="57"/>
      <c r="L88" s="78"/>
      <c r="M88" s="78"/>
      <c r="N88" s="64"/>
      <c r="O88" s="64"/>
      <c r="P88" s="64"/>
      <c r="Q88" s="55"/>
    </row>
    <row r="89" spans="1:17" s="56" customFormat="1" hidden="1">
      <c r="A89" s="56" t="s">
        <v>439</v>
      </c>
      <c r="B89" s="56" t="s">
        <v>441</v>
      </c>
      <c r="C89" s="95" t="s">
        <v>576</v>
      </c>
      <c r="D89" s="99" t="s">
        <v>577</v>
      </c>
      <c r="E89" s="64"/>
      <c r="F89" s="57"/>
      <c r="G89" s="57"/>
      <c r="H89" s="2"/>
      <c r="I89" s="57"/>
      <c r="J89" s="57"/>
      <c r="K89" s="57"/>
      <c r="L89" s="78"/>
      <c r="M89" s="78"/>
      <c r="N89" s="64"/>
      <c r="O89" s="64"/>
      <c r="P89" s="64"/>
      <c r="Q89" s="55"/>
    </row>
    <row r="90" spans="1:17" s="56" customFormat="1" hidden="1">
      <c r="A90" s="56" t="s">
        <v>441</v>
      </c>
      <c r="B90" s="56" t="s">
        <v>440</v>
      </c>
      <c r="C90" s="95" t="s">
        <v>578</v>
      </c>
      <c r="D90" s="99" t="s">
        <v>579</v>
      </c>
      <c r="E90" s="64"/>
      <c r="F90" s="57"/>
      <c r="G90" s="57"/>
      <c r="H90" s="2"/>
      <c r="I90" s="57"/>
      <c r="J90" s="57"/>
      <c r="K90" s="57"/>
      <c r="L90" s="78"/>
      <c r="M90" s="78"/>
      <c r="N90" s="64"/>
      <c r="O90" s="64"/>
      <c r="P90" s="64"/>
      <c r="Q90" s="55"/>
    </row>
    <row r="91" spans="1:17" s="56" customFormat="1" hidden="1">
      <c r="A91" s="56" t="s">
        <v>441</v>
      </c>
      <c r="B91" s="56" t="s">
        <v>440</v>
      </c>
      <c r="C91" s="95" t="s">
        <v>580</v>
      </c>
      <c r="D91" s="99" t="s">
        <v>581</v>
      </c>
      <c r="E91" s="64"/>
      <c r="F91" s="57"/>
      <c r="G91" s="57"/>
      <c r="H91" s="2"/>
      <c r="I91" s="57"/>
      <c r="J91" s="57"/>
      <c r="K91" s="57"/>
      <c r="L91" s="78"/>
      <c r="M91" s="78"/>
      <c r="N91" s="64"/>
      <c r="O91" s="64"/>
      <c r="P91" s="64"/>
      <c r="Q91" s="55"/>
    </row>
    <row r="92" spans="1:17" s="56" customFormat="1" hidden="1">
      <c r="A92" s="56" t="s">
        <v>441</v>
      </c>
      <c r="B92" s="56" t="s">
        <v>440</v>
      </c>
      <c r="C92" s="95" t="s">
        <v>582</v>
      </c>
      <c r="D92" s="99" t="s">
        <v>583</v>
      </c>
      <c r="E92" s="64"/>
      <c r="F92" s="57"/>
      <c r="G92" s="57"/>
      <c r="H92" s="2"/>
      <c r="I92" s="57"/>
      <c r="J92" s="57"/>
      <c r="K92" s="57"/>
      <c r="L92" s="78"/>
      <c r="M92" s="78"/>
      <c r="N92" s="64"/>
      <c r="O92" s="64"/>
      <c r="P92" s="64"/>
      <c r="Q92" s="55"/>
    </row>
    <row r="93" spans="1:17" s="56" customFormat="1" hidden="1">
      <c r="A93" s="56" t="s">
        <v>441</v>
      </c>
      <c r="B93" s="56" t="s">
        <v>440</v>
      </c>
      <c r="C93" s="95" t="s">
        <v>584</v>
      </c>
      <c r="D93" s="99" t="s">
        <v>585</v>
      </c>
      <c r="E93" s="64"/>
      <c r="F93" s="57"/>
      <c r="G93" s="57"/>
      <c r="H93" s="2"/>
      <c r="I93" s="57"/>
      <c r="J93" s="57"/>
      <c r="K93" s="57"/>
      <c r="L93" s="78"/>
      <c r="M93" s="78"/>
      <c r="N93" s="64"/>
      <c r="O93" s="64"/>
      <c r="P93" s="64"/>
      <c r="Q93" s="55"/>
    </row>
    <row r="94" spans="1:17" s="56" customFormat="1" hidden="1">
      <c r="A94" s="56" t="s">
        <v>441</v>
      </c>
      <c r="B94" s="56" t="s">
        <v>440</v>
      </c>
      <c r="C94" s="95" t="s">
        <v>586</v>
      </c>
      <c r="D94" s="99" t="s">
        <v>587</v>
      </c>
      <c r="E94" s="64"/>
      <c r="F94" s="57"/>
      <c r="G94" s="57"/>
      <c r="H94" s="2"/>
      <c r="I94" s="57"/>
      <c r="J94" s="57"/>
      <c r="K94" s="57"/>
      <c r="L94" s="78"/>
      <c r="M94" s="78"/>
      <c r="N94" s="64"/>
      <c r="O94" s="64"/>
      <c r="P94" s="64"/>
      <c r="Q94" s="55"/>
    </row>
    <row r="95" spans="1:17" s="56" customFormat="1" hidden="1">
      <c r="A95" s="56" t="s">
        <v>441</v>
      </c>
      <c r="B95" s="56" t="s">
        <v>440</v>
      </c>
      <c r="C95" s="95" t="s">
        <v>588</v>
      </c>
      <c r="D95" s="99" t="s">
        <v>589</v>
      </c>
      <c r="E95" s="64"/>
      <c r="F95" s="57"/>
      <c r="G95" s="57"/>
      <c r="H95" s="2"/>
      <c r="I95" s="57"/>
      <c r="J95" s="57"/>
      <c r="K95" s="57"/>
      <c r="L95" s="78"/>
      <c r="M95" s="78"/>
      <c r="N95" s="64"/>
      <c r="O95" s="64"/>
      <c r="P95" s="64"/>
      <c r="Q95" s="55"/>
    </row>
    <row r="96" spans="1:17" s="56" customFormat="1" hidden="1">
      <c r="A96" s="56" t="s">
        <v>441</v>
      </c>
      <c r="B96" s="56" t="s">
        <v>440</v>
      </c>
      <c r="C96" s="95" t="s">
        <v>590</v>
      </c>
      <c r="D96" s="99" t="s">
        <v>591</v>
      </c>
      <c r="E96" s="64"/>
      <c r="F96" s="57"/>
      <c r="G96" s="57"/>
      <c r="H96" s="2"/>
      <c r="I96" s="57"/>
      <c r="J96" s="57"/>
      <c r="K96" s="57"/>
      <c r="L96" s="78"/>
      <c r="M96" s="78"/>
      <c r="N96" s="64"/>
      <c r="O96" s="64"/>
      <c r="P96" s="64"/>
      <c r="Q96" s="55"/>
    </row>
    <row r="97" spans="1:17" s="56" customFormat="1" hidden="1">
      <c r="A97" s="56" t="s">
        <v>441</v>
      </c>
      <c r="B97" s="56" t="s">
        <v>440</v>
      </c>
      <c r="C97" s="95" t="s">
        <v>592</v>
      </c>
      <c r="D97" s="99" t="s">
        <v>593</v>
      </c>
      <c r="E97" s="64"/>
      <c r="F97" s="57"/>
      <c r="G97" s="57"/>
      <c r="H97" s="2"/>
      <c r="I97" s="57"/>
      <c r="J97" s="57"/>
      <c r="K97" s="57"/>
      <c r="L97" s="78"/>
      <c r="M97" s="78"/>
      <c r="N97" s="64"/>
      <c r="O97" s="64"/>
      <c r="P97" s="64"/>
      <c r="Q97" s="55"/>
    </row>
    <row r="98" spans="1:17" s="56" customFormat="1" hidden="1">
      <c r="A98" s="56" t="s">
        <v>441</v>
      </c>
      <c r="B98" s="56" t="s">
        <v>440</v>
      </c>
      <c r="C98" s="95" t="s">
        <v>594</v>
      </c>
      <c r="D98" s="99" t="s">
        <v>595</v>
      </c>
      <c r="E98" s="64"/>
      <c r="F98" s="57"/>
      <c r="G98" s="57"/>
      <c r="H98" s="2"/>
      <c r="I98" s="57"/>
      <c r="J98" s="57"/>
      <c r="K98" s="57"/>
      <c r="L98" s="78"/>
      <c r="M98" s="78"/>
      <c r="N98" s="64"/>
      <c r="O98" s="64"/>
      <c r="P98" s="64"/>
      <c r="Q98" s="55"/>
    </row>
    <row r="99" spans="1:17" s="56" customFormat="1" hidden="1">
      <c r="A99" s="56" t="s">
        <v>441</v>
      </c>
      <c r="B99" s="56" t="s">
        <v>440</v>
      </c>
      <c r="C99" s="95" t="s">
        <v>596</v>
      </c>
      <c r="D99" s="99" t="s">
        <v>597</v>
      </c>
      <c r="E99" s="64"/>
      <c r="F99" s="57"/>
      <c r="G99" s="57"/>
      <c r="H99" s="2"/>
      <c r="I99" s="57"/>
      <c r="J99" s="57"/>
      <c r="K99" s="57"/>
      <c r="L99" s="78"/>
      <c r="M99" s="78"/>
      <c r="N99" s="64"/>
      <c r="O99" s="64"/>
      <c r="P99" s="64"/>
      <c r="Q99" s="55"/>
    </row>
    <row r="100" spans="1:17" s="56" customFormat="1" hidden="1">
      <c r="A100" s="56" t="s">
        <v>441</v>
      </c>
      <c r="B100" s="56" t="s">
        <v>440</v>
      </c>
      <c r="C100" s="95" t="s">
        <v>598</v>
      </c>
      <c r="D100" s="99" t="s">
        <v>599</v>
      </c>
      <c r="E100" s="64"/>
      <c r="F100" s="57"/>
      <c r="G100" s="57"/>
      <c r="H100" s="2"/>
      <c r="I100" s="57"/>
      <c r="J100" s="57"/>
      <c r="K100" s="57"/>
      <c r="L100" s="78"/>
      <c r="M100" s="78"/>
      <c r="N100" s="64"/>
      <c r="O100" s="64"/>
      <c r="P100" s="64"/>
      <c r="Q100" s="55"/>
    </row>
    <row r="101" spans="1:17" s="56" customFormat="1" hidden="1">
      <c r="A101" s="56" t="s">
        <v>441</v>
      </c>
      <c r="B101" s="56" t="s">
        <v>440</v>
      </c>
      <c r="C101" s="95" t="s">
        <v>600</v>
      </c>
      <c r="D101" s="99" t="s">
        <v>601</v>
      </c>
      <c r="E101" s="64"/>
      <c r="F101" s="57"/>
      <c r="G101" s="57"/>
      <c r="H101" s="2"/>
      <c r="I101" s="57"/>
      <c r="J101" s="57"/>
      <c r="K101" s="57"/>
      <c r="L101" s="78"/>
      <c r="M101" s="78"/>
      <c r="N101" s="64"/>
      <c r="O101" s="64"/>
      <c r="P101" s="64"/>
      <c r="Q101" s="55"/>
    </row>
    <row r="102" spans="1:17" s="56" customFormat="1" hidden="1">
      <c r="A102" s="56" t="s">
        <v>439</v>
      </c>
      <c r="B102" s="56" t="s">
        <v>440</v>
      </c>
      <c r="C102" s="95" t="s">
        <v>602</v>
      </c>
      <c r="D102" s="99" t="s">
        <v>603</v>
      </c>
      <c r="E102" s="64"/>
      <c r="F102" s="57"/>
      <c r="G102" s="57"/>
      <c r="H102" s="2"/>
      <c r="I102" s="57"/>
      <c r="J102" s="57"/>
      <c r="K102" s="57"/>
      <c r="L102" s="78"/>
      <c r="M102" s="78"/>
      <c r="N102" s="64"/>
      <c r="O102" s="64"/>
      <c r="P102" s="64"/>
      <c r="Q102" s="55"/>
    </row>
    <row r="103" spans="1:17" s="56" customFormat="1" hidden="1">
      <c r="A103" s="56" t="s">
        <v>441</v>
      </c>
      <c r="B103" s="56" t="s">
        <v>440</v>
      </c>
      <c r="C103" s="95" t="s">
        <v>604</v>
      </c>
      <c r="D103" s="99" t="s">
        <v>605</v>
      </c>
      <c r="E103" s="64"/>
      <c r="F103" s="57"/>
      <c r="G103" s="57"/>
      <c r="H103" s="2"/>
      <c r="I103" s="57"/>
      <c r="J103" s="57"/>
      <c r="K103" s="57"/>
      <c r="L103" s="78"/>
      <c r="M103" s="78"/>
      <c r="N103" s="64"/>
      <c r="O103" s="64"/>
      <c r="P103" s="64"/>
      <c r="Q103" s="55"/>
    </row>
    <row r="104" spans="1:17" s="56" customFormat="1" hidden="1">
      <c r="A104" s="56" t="s">
        <v>441</v>
      </c>
      <c r="B104" s="56" t="s">
        <v>440</v>
      </c>
      <c r="C104" s="95" t="s">
        <v>606</v>
      </c>
      <c r="D104" s="99" t="s">
        <v>607</v>
      </c>
      <c r="E104" s="64"/>
      <c r="F104" s="57"/>
      <c r="G104" s="57"/>
      <c r="H104" s="2"/>
      <c r="I104" s="57"/>
      <c r="J104" s="57"/>
      <c r="K104" s="57"/>
      <c r="L104" s="78"/>
      <c r="M104" s="78"/>
      <c r="N104" s="64"/>
      <c r="O104" s="64"/>
      <c r="P104" s="64"/>
      <c r="Q104" s="55"/>
    </row>
    <row r="105" spans="1:17" s="56" customFormat="1" hidden="1">
      <c r="A105" s="56" t="s">
        <v>441</v>
      </c>
      <c r="B105" s="56" t="s">
        <v>440</v>
      </c>
      <c r="C105" s="95" t="s">
        <v>608</v>
      </c>
      <c r="D105" s="99" t="s">
        <v>609</v>
      </c>
      <c r="E105" s="64"/>
      <c r="F105" s="57"/>
      <c r="G105" s="57"/>
      <c r="H105" s="2"/>
      <c r="I105" s="57"/>
      <c r="J105" s="57"/>
      <c r="K105" s="57"/>
      <c r="L105" s="78"/>
      <c r="M105" s="78"/>
      <c r="N105" s="64"/>
      <c r="O105" s="64"/>
      <c r="P105" s="64"/>
      <c r="Q105" s="55"/>
    </row>
    <row r="106" spans="1:17" s="56" customFormat="1" hidden="1">
      <c r="A106" s="56" t="s">
        <v>439</v>
      </c>
      <c r="B106" s="56" t="s">
        <v>440</v>
      </c>
      <c r="C106" s="95" t="s">
        <v>610</v>
      </c>
      <c r="D106" s="99" t="s">
        <v>611</v>
      </c>
      <c r="E106" s="64"/>
      <c r="F106" s="57"/>
      <c r="G106" s="57"/>
      <c r="H106" s="2"/>
      <c r="I106" s="57"/>
      <c r="J106" s="57"/>
      <c r="K106" s="57"/>
      <c r="L106" s="78"/>
      <c r="M106" s="78"/>
      <c r="N106" s="64"/>
      <c r="O106" s="64"/>
      <c r="P106" s="64"/>
      <c r="Q106" s="55"/>
    </row>
    <row r="107" spans="1:17" s="56" customFormat="1" hidden="1">
      <c r="A107" s="56" t="s">
        <v>441</v>
      </c>
      <c r="B107" s="56" t="s">
        <v>440</v>
      </c>
      <c r="C107" s="95" t="s">
        <v>612</v>
      </c>
      <c r="D107" s="99" t="s">
        <v>613</v>
      </c>
      <c r="E107" s="64"/>
      <c r="F107" s="57"/>
      <c r="G107" s="57"/>
      <c r="H107" s="2"/>
      <c r="I107" s="57"/>
      <c r="J107" s="57"/>
      <c r="K107" s="57"/>
      <c r="L107" s="78"/>
      <c r="M107" s="78"/>
      <c r="N107" s="64"/>
      <c r="O107" s="64"/>
      <c r="P107" s="64"/>
      <c r="Q107" s="55"/>
    </row>
    <row r="108" spans="1:17" s="56" customFormat="1" hidden="1">
      <c r="A108" s="56" t="s">
        <v>439</v>
      </c>
      <c r="B108" s="56" t="s">
        <v>440</v>
      </c>
      <c r="C108" s="95" t="s">
        <v>614</v>
      </c>
      <c r="D108" s="99" t="s">
        <v>615</v>
      </c>
      <c r="E108" s="64"/>
      <c r="F108" s="57"/>
      <c r="G108" s="57"/>
      <c r="H108" s="2"/>
      <c r="I108" s="57"/>
      <c r="J108" s="57"/>
      <c r="K108" s="57"/>
      <c r="L108" s="78"/>
      <c r="M108" s="78"/>
      <c r="N108" s="64"/>
      <c r="O108" s="64"/>
      <c r="P108" s="64"/>
      <c r="Q108" s="55"/>
    </row>
    <row r="109" spans="1:17" s="56" customFormat="1" hidden="1">
      <c r="A109" s="56" t="s">
        <v>441</v>
      </c>
      <c r="B109" s="56" t="s">
        <v>440</v>
      </c>
      <c r="C109" s="95" t="s">
        <v>616</v>
      </c>
      <c r="D109" s="99" t="s">
        <v>617</v>
      </c>
      <c r="E109" s="64"/>
      <c r="F109" s="57"/>
      <c r="G109" s="57"/>
      <c r="H109" s="2"/>
      <c r="I109" s="57"/>
      <c r="J109" s="57"/>
      <c r="K109" s="57"/>
      <c r="L109" s="78"/>
      <c r="M109" s="78"/>
      <c r="N109" s="64"/>
      <c r="O109" s="64"/>
      <c r="P109" s="64"/>
      <c r="Q109" s="55"/>
    </row>
    <row r="110" spans="1:17" s="56" customFormat="1" hidden="1">
      <c r="A110" s="56" t="s">
        <v>439</v>
      </c>
      <c r="B110" s="56" t="s">
        <v>441</v>
      </c>
      <c r="C110" s="95" t="s">
        <v>618</v>
      </c>
      <c r="D110" s="99" t="s">
        <v>619</v>
      </c>
      <c r="E110" s="64"/>
      <c r="F110" s="57"/>
      <c r="G110" s="57"/>
      <c r="H110" s="2"/>
      <c r="I110" s="57"/>
      <c r="J110" s="57"/>
      <c r="K110" s="57"/>
      <c r="L110" s="78"/>
      <c r="M110" s="78"/>
      <c r="N110" s="64"/>
      <c r="O110" s="64"/>
      <c r="P110" s="64"/>
      <c r="Q110" s="55"/>
    </row>
    <row r="111" spans="1:17" s="56" customFormat="1" hidden="1">
      <c r="A111" s="56" t="s">
        <v>441</v>
      </c>
      <c r="B111" s="56" t="s">
        <v>440</v>
      </c>
      <c r="C111" s="95" t="s">
        <v>620</v>
      </c>
      <c r="D111" s="99" t="s">
        <v>621</v>
      </c>
      <c r="E111" s="64"/>
      <c r="F111" s="57"/>
      <c r="G111" s="57"/>
      <c r="H111" s="2"/>
      <c r="I111" s="57"/>
      <c r="J111" s="57"/>
      <c r="K111" s="57"/>
      <c r="L111" s="78"/>
      <c r="M111" s="78"/>
      <c r="N111" s="64"/>
      <c r="O111" s="64"/>
      <c r="P111" s="64"/>
      <c r="Q111" s="55"/>
    </row>
    <row r="112" spans="1:17" s="3" customFormat="1">
      <c r="A112" s="3" t="s">
        <v>441</v>
      </c>
      <c r="B112" s="3" t="s">
        <v>440</v>
      </c>
      <c r="C112" s="94" t="s">
        <v>321</v>
      </c>
      <c r="D112" s="98" t="s">
        <v>322</v>
      </c>
      <c r="E112" s="62"/>
      <c r="F112" s="58">
        <v>2.2000000000000001E-3</v>
      </c>
      <c r="G112" s="58">
        <v>2.2000000000000001E-3</v>
      </c>
      <c r="H112" s="2"/>
      <c r="I112" s="58">
        <v>2.4000000000000001E-4</v>
      </c>
      <c r="J112" s="58">
        <v>2.4000000000000001E-4</v>
      </c>
      <c r="K112" s="58">
        <v>2.4000000000000001E-4</v>
      </c>
      <c r="L112" s="77"/>
      <c r="M112" s="77"/>
      <c r="N112" s="62"/>
      <c r="O112" s="62"/>
      <c r="P112" s="62"/>
      <c r="Q112" s="55"/>
    </row>
    <row r="113" spans="1:17" s="56" customFormat="1" hidden="1">
      <c r="A113" s="56" t="s">
        <v>441</v>
      </c>
      <c r="B113" s="56" t="s">
        <v>440</v>
      </c>
      <c r="C113" s="95" t="s">
        <v>622</v>
      </c>
      <c r="D113" s="99" t="s">
        <v>623</v>
      </c>
      <c r="E113" s="64"/>
      <c r="F113" s="57"/>
      <c r="G113" s="57"/>
      <c r="H113" s="2"/>
      <c r="I113" s="57"/>
      <c r="J113" s="57"/>
      <c r="K113" s="57"/>
      <c r="L113" s="78"/>
      <c r="M113" s="78"/>
      <c r="N113" s="64"/>
      <c r="O113" s="64"/>
      <c r="P113" s="64"/>
      <c r="Q113" s="55"/>
    </row>
    <row r="114" spans="1:17" s="56" customFormat="1" hidden="1">
      <c r="A114" s="56" t="s">
        <v>441</v>
      </c>
      <c r="B114" s="56" t="s">
        <v>440</v>
      </c>
      <c r="C114" s="95" t="s">
        <v>329</v>
      </c>
      <c r="D114" s="99" t="s">
        <v>330</v>
      </c>
      <c r="E114" s="64"/>
      <c r="F114" s="57"/>
      <c r="G114" s="57"/>
      <c r="H114" s="2"/>
      <c r="I114" s="57"/>
      <c r="J114" s="57"/>
      <c r="K114" s="57"/>
      <c r="L114" s="78"/>
      <c r="M114" s="78"/>
      <c r="N114" s="64"/>
      <c r="O114" s="64"/>
      <c r="P114" s="64"/>
      <c r="Q114" s="55"/>
    </row>
    <row r="115" spans="1:17" s="56" customFormat="1" hidden="1">
      <c r="A115" s="56" t="s">
        <v>439</v>
      </c>
      <c r="B115" s="56" t="s">
        <v>441</v>
      </c>
      <c r="C115" s="95" t="s">
        <v>624</v>
      </c>
      <c r="D115" s="99" t="s">
        <v>625</v>
      </c>
      <c r="E115" s="64"/>
      <c r="F115" s="57"/>
      <c r="G115" s="57"/>
      <c r="H115" s="2"/>
      <c r="I115" s="57"/>
      <c r="J115" s="57"/>
      <c r="K115" s="57"/>
      <c r="L115" s="78"/>
      <c r="M115" s="78"/>
      <c r="N115" s="64"/>
      <c r="O115" s="64"/>
      <c r="P115" s="64"/>
      <c r="Q115" s="55"/>
    </row>
    <row r="116" spans="1:17" s="56" customFormat="1" hidden="1">
      <c r="A116" s="56" t="s">
        <v>439</v>
      </c>
      <c r="B116" s="56" t="s">
        <v>440</v>
      </c>
      <c r="C116" s="95" t="s">
        <v>626</v>
      </c>
      <c r="D116" s="99" t="s">
        <v>627</v>
      </c>
      <c r="E116" s="64"/>
      <c r="F116" s="57"/>
      <c r="G116" s="57"/>
      <c r="H116" s="2"/>
      <c r="I116" s="57"/>
      <c r="J116" s="57"/>
      <c r="K116" s="57"/>
      <c r="L116" s="78"/>
      <c r="M116" s="78"/>
      <c r="N116" s="64"/>
      <c r="O116" s="64"/>
      <c r="P116" s="64"/>
      <c r="Q116" s="55"/>
    </row>
    <row r="117" spans="1:17" s="56" customFormat="1" hidden="1">
      <c r="A117" s="56" t="s">
        <v>439</v>
      </c>
      <c r="B117" s="56" t="s">
        <v>440</v>
      </c>
      <c r="C117" s="95" t="s">
        <v>628</v>
      </c>
      <c r="D117" s="99" t="s">
        <v>629</v>
      </c>
      <c r="E117" s="64"/>
      <c r="F117" s="57"/>
      <c r="G117" s="57"/>
      <c r="H117" s="2"/>
      <c r="I117" s="57"/>
      <c r="J117" s="57"/>
      <c r="K117" s="57"/>
      <c r="L117" s="78"/>
      <c r="M117" s="78"/>
      <c r="N117" s="64"/>
      <c r="O117" s="64"/>
      <c r="P117" s="64"/>
      <c r="Q117" s="55"/>
    </row>
    <row r="118" spans="1:17" s="56" customFormat="1" hidden="1">
      <c r="A118" s="56" t="s">
        <v>441</v>
      </c>
      <c r="B118" s="56" t="s">
        <v>440</v>
      </c>
      <c r="C118" s="95" t="s">
        <v>630</v>
      </c>
      <c r="D118" s="99" t="s">
        <v>631</v>
      </c>
      <c r="E118" s="64"/>
      <c r="F118" s="57"/>
      <c r="G118" s="57"/>
      <c r="H118" s="2"/>
      <c r="I118" s="57"/>
      <c r="J118" s="57"/>
      <c r="K118" s="57"/>
      <c r="L118" s="78"/>
      <c r="M118" s="78"/>
      <c r="N118" s="64"/>
      <c r="O118" s="64"/>
      <c r="P118" s="64"/>
      <c r="Q118" s="55"/>
    </row>
    <row r="119" spans="1:17" s="56" customFormat="1" hidden="1">
      <c r="A119" s="56" t="s">
        <v>439</v>
      </c>
      <c r="B119" s="56" t="s">
        <v>441</v>
      </c>
      <c r="C119" s="95" t="s">
        <v>632</v>
      </c>
      <c r="D119" s="99" t="s">
        <v>633</v>
      </c>
      <c r="E119" s="64"/>
      <c r="F119" s="57"/>
      <c r="G119" s="57"/>
      <c r="H119" s="2"/>
      <c r="I119" s="57"/>
      <c r="J119" s="57"/>
      <c r="K119" s="57"/>
      <c r="L119" s="78"/>
      <c r="M119" s="78"/>
      <c r="N119" s="64"/>
      <c r="O119" s="64"/>
      <c r="P119" s="64"/>
      <c r="Q119" s="55"/>
    </row>
    <row r="120" spans="1:17" s="56" customFormat="1" hidden="1">
      <c r="A120" s="56" t="s">
        <v>439</v>
      </c>
      <c r="B120" s="56" t="s">
        <v>440</v>
      </c>
      <c r="C120" s="95" t="s">
        <v>634</v>
      </c>
      <c r="D120" s="99" t="s">
        <v>635</v>
      </c>
      <c r="E120" s="64"/>
      <c r="F120" s="57"/>
      <c r="G120" s="57"/>
      <c r="H120" s="2"/>
      <c r="I120" s="57"/>
      <c r="J120" s="57"/>
      <c r="K120" s="57"/>
      <c r="L120" s="78"/>
      <c r="M120" s="78"/>
      <c r="N120" s="64"/>
      <c r="O120" s="64"/>
      <c r="P120" s="64"/>
      <c r="Q120" s="55"/>
    </row>
    <row r="121" spans="1:17" s="56" customFormat="1" hidden="1">
      <c r="A121" s="56" t="s">
        <v>441</v>
      </c>
      <c r="B121" s="56" t="s">
        <v>440</v>
      </c>
      <c r="C121" s="95" t="s">
        <v>636</v>
      </c>
      <c r="D121" s="99" t="s">
        <v>637</v>
      </c>
      <c r="E121" s="64"/>
      <c r="F121" s="57"/>
      <c r="G121" s="57"/>
      <c r="H121" s="2"/>
      <c r="I121" s="57"/>
      <c r="J121" s="57"/>
      <c r="K121" s="57"/>
      <c r="L121" s="78"/>
      <c r="M121" s="78"/>
      <c r="N121" s="64"/>
      <c r="O121" s="64"/>
      <c r="P121" s="64"/>
      <c r="Q121" s="55"/>
    </row>
    <row r="122" spans="1:17" s="56" customFormat="1" hidden="1">
      <c r="A122" s="56" t="s">
        <v>439</v>
      </c>
      <c r="B122" s="56" t="s">
        <v>441</v>
      </c>
      <c r="C122" s="95" t="s">
        <v>638</v>
      </c>
      <c r="D122" s="99" t="s">
        <v>639</v>
      </c>
      <c r="E122" s="64"/>
      <c r="F122" s="57"/>
      <c r="G122" s="57"/>
      <c r="H122" s="2"/>
      <c r="I122" s="57"/>
      <c r="J122" s="57"/>
      <c r="K122" s="57"/>
      <c r="L122" s="78"/>
      <c r="M122" s="78"/>
      <c r="N122" s="64"/>
      <c r="O122" s="64"/>
      <c r="P122" s="64"/>
      <c r="Q122" s="55"/>
    </row>
    <row r="123" spans="1:17" s="56" customFormat="1" hidden="1">
      <c r="A123" s="56" t="s">
        <v>441</v>
      </c>
      <c r="B123" s="56" t="s">
        <v>440</v>
      </c>
      <c r="C123" s="95" t="s">
        <v>640</v>
      </c>
      <c r="D123" s="99" t="s">
        <v>641</v>
      </c>
      <c r="E123" s="64"/>
      <c r="F123" s="57"/>
      <c r="G123" s="57"/>
      <c r="H123" s="2"/>
      <c r="I123" s="57"/>
      <c r="J123" s="57"/>
      <c r="K123" s="57"/>
      <c r="L123" s="78"/>
      <c r="M123" s="78"/>
      <c r="N123" s="64"/>
      <c r="O123" s="64"/>
      <c r="P123" s="64"/>
      <c r="Q123" s="55"/>
    </row>
    <row r="124" spans="1:17" s="56" customFormat="1" hidden="1">
      <c r="A124" s="56" t="s">
        <v>441</v>
      </c>
      <c r="B124" s="56" t="s">
        <v>440</v>
      </c>
      <c r="C124" s="95" t="s">
        <v>642</v>
      </c>
      <c r="D124" s="99" t="s">
        <v>643</v>
      </c>
      <c r="E124" s="64"/>
      <c r="F124" s="57"/>
      <c r="G124" s="57"/>
      <c r="H124" s="2"/>
      <c r="I124" s="57"/>
      <c r="J124" s="57"/>
      <c r="K124" s="57"/>
      <c r="L124" s="78"/>
      <c r="M124" s="78"/>
      <c r="N124" s="64"/>
      <c r="O124" s="64"/>
      <c r="P124" s="64"/>
      <c r="Q124" s="55"/>
    </row>
    <row r="125" spans="1:17" s="56" customFormat="1" hidden="1">
      <c r="A125" s="56" t="s">
        <v>439</v>
      </c>
      <c r="B125" s="56" t="s">
        <v>441</v>
      </c>
      <c r="C125" s="95" t="s">
        <v>644</v>
      </c>
      <c r="D125" s="99" t="s">
        <v>645</v>
      </c>
      <c r="E125" s="64"/>
      <c r="F125" s="57"/>
      <c r="G125" s="57"/>
      <c r="H125" s="2"/>
      <c r="I125" s="57"/>
      <c r="J125" s="57"/>
      <c r="K125" s="57"/>
      <c r="L125" s="78"/>
      <c r="M125" s="78"/>
      <c r="N125" s="64"/>
      <c r="O125" s="64"/>
      <c r="P125" s="64"/>
      <c r="Q125" s="55"/>
    </row>
    <row r="126" spans="1:17" s="3" customFormat="1">
      <c r="A126" s="3" t="s">
        <v>439</v>
      </c>
      <c r="B126" s="3" t="s">
        <v>440</v>
      </c>
      <c r="C126" s="94" t="s">
        <v>182</v>
      </c>
      <c r="D126" s="98" t="s">
        <v>183</v>
      </c>
      <c r="E126" s="62"/>
      <c r="F126" s="58">
        <v>7.3999999999999999E-4</v>
      </c>
      <c r="G126" s="58">
        <v>7.3999999999999999E-4</v>
      </c>
      <c r="H126" s="2"/>
      <c r="I126" s="58">
        <v>3.0999999999999999E-3</v>
      </c>
      <c r="J126" s="58">
        <v>3.0999999999999999E-3</v>
      </c>
      <c r="K126" s="58">
        <v>3.0999999999999999E-3</v>
      </c>
      <c r="L126" s="77"/>
      <c r="M126" s="77"/>
      <c r="N126" s="62"/>
      <c r="O126" s="62"/>
      <c r="P126" s="62"/>
      <c r="Q126" s="55"/>
    </row>
    <row r="127" spans="1:17" s="56" customFormat="1" hidden="1">
      <c r="A127" s="56" t="s">
        <v>441</v>
      </c>
      <c r="B127" s="56" t="s">
        <v>440</v>
      </c>
      <c r="C127" s="95" t="s">
        <v>646</v>
      </c>
      <c r="D127" s="99" t="s">
        <v>647</v>
      </c>
      <c r="E127" s="64"/>
      <c r="F127" s="57"/>
      <c r="G127" s="57"/>
      <c r="H127" s="2"/>
      <c r="I127" s="57"/>
      <c r="J127" s="57"/>
      <c r="K127" s="57"/>
      <c r="L127" s="78"/>
      <c r="M127" s="78"/>
      <c r="N127" s="64"/>
      <c r="O127" s="64"/>
      <c r="P127" s="64"/>
      <c r="Q127" s="55"/>
    </row>
    <row r="128" spans="1:17" s="56" customFormat="1" hidden="1">
      <c r="A128" s="56" t="s">
        <v>441</v>
      </c>
      <c r="B128" s="56" t="s">
        <v>440</v>
      </c>
      <c r="C128" s="95" t="s">
        <v>648</v>
      </c>
      <c r="D128" s="99" t="s">
        <v>649</v>
      </c>
      <c r="E128" s="64"/>
      <c r="F128" s="57"/>
      <c r="G128" s="57"/>
      <c r="H128" s="2"/>
      <c r="I128" s="57"/>
      <c r="J128" s="57"/>
      <c r="K128" s="57"/>
      <c r="L128" s="78"/>
      <c r="M128" s="78"/>
      <c r="N128" s="64"/>
      <c r="O128" s="64"/>
      <c r="P128" s="64"/>
      <c r="Q128" s="55"/>
    </row>
    <row r="129" spans="1:17" s="56" customFormat="1" hidden="1">
      <c r="A129" s="56" t="s">
        <v>441</v>
      </c>
      <c r="B129" s="56" t="s">
        <v>440</v>
      </c>
      <c r="C129" s="95" t="s">
        <v>650</v>
      </c>
      <c r="D129" s="99" t="s">
        <v>651</v>
      </c>
      <c r="E129" s="64"/>
      <c r="F129" s="57"/>
      <c r="G129" s="57"/>
      <c r="H129" s="2"/>
      <c r="I129" s="57"/>
      <c r="J129" s="57"/>
      <c r="K129" s="57"/>
      <c r="L129" s="78"/>
      <c r="M129" s="78"/>
      <c r="N129" s="64"/>
      <c r="O129" s="64"/>
      <c r="P129" s="64"/>
      <c r="Q129" s="55"/>
    </row>
    <row r="130" spans="1:17" s="56" customFormat="1" hidden="1">
      <c r="A130" s="56" t="s">
        <v>441</v>
      </c>
      <c r="B130" s="56" t="s">
        <v>440</v>
      </c>
      <c r="C130" s="95" t="s">
        <v>652</v>
      </c>
      <c r="D130" s="99" t="s">
        <v>653</v>
      </c>
      <c r="E130" s="64"/>
      <c r="F130" s="57"/>
      <c r="G130" s="57"/>
      <c r="H130" s="2"/>
      <c r="I130" s="57"/>
      <c r="J130" s="57"/>
      <c r="K130" s="57"/>
      <c r="L130" s="78"/>
      <c r="M130" s="78"/>
      <c r="N130" s="64"/>
      <c r="O130" s="64"/>
      <c r="P130" s="64"/>
      <c r="Q130" s="55"/>
    </row>
    <row r="131" spans="1:17" s="56" customFormat="1" hidden="1">
      <c r="A131" s="56" t="s">
        <v>439</v>
      </c>
      <c r="B131" s="56" t="s">
        <v>440</v>
      </c>
      <c r="C131" s="95" t="s">
        <v>654</v>
      </c>
      <c r="D131" s="99" t="s">
        <v>655</v>
      </c>
      <c r="E131" s="64"/>
      <c r="F131" s="57"/>
      <c r="G131" s="57"/>
      <c r="H131" s="2"/>
      <c r="I131" s="57"/>
      <c r="J131" s="57"/>
      <c r="K131" s="57"/>
      <c r="L131" s="78"/>
      <c r="M131" s="78"/>
      <c r="N131" s="64"/>
      <c r="O131" s="64"/>
      <c r="P131" s="64"/>
      <c r="Q131" s="55"/>
    </row>
    <row r="132" spans="1:17" s="3" customFormat="1">
      <c r="A132" s="3" t="s">
        <v>439</v>
      </c>
      <c r="B132" s="3" t="s">
        <v>440</v>
      </c>
      <c r="C132" s="94" t="s">
        <v>186</v>
      </c>
      <c r="D132" s="98" t="s">
        <v>187</v>
      </c>
      <c r="E132" s="62"/>
      <c r="F132" s="58"/>
      <c r="G132" s="58"/>
      <c r="H132" s="2"/>
      <c r="I132" s="58"/>
      <c r="J132" s="70">
        <f>+L132</f>
        <v>1.2999999999999999E-12</v>
      </c>
      <c r="K132" s="70">
        <f>+L132</f>
        <v>1.2999999999999999E-12</v>
      </c>
      <c r="L132" s="77">
        <v>1.2999999999999999E-12</v>
      </c>
      <c r="M132" s="77"/>
      <c r="N132" s="62"/>
      <c r="O132" s="62"/>
      <c r="P132" s="62"/>
      <c r="Q132" s="55"/>
    </row>
    <row r="133" spans="1:17" s="56" customFormat="1" hidden="1">
      <c r="A133" s="56" t="s">
        <v>441</v>
      </c>
      <c r="B133" s="56" t="s">
        <v>440</v>
      </c>
      <c r="C133" s="95" t="s">
        <v>656</v>
      </c>
      <c r="D133" s="99" t="s">
        <v>657</v>
      </c>
      <c r="E133" s="64"/>
      <c r="F133" s="57"/>
      <c r="G133" s="57"/>
      <c r="H133" s="2"/>
      <c r="I133" s="57"/>
      <c r="J133" s="57"/>
      <c r="K133" s="57"/>
      <c r="L133" s="78"/>
      <c r="M133" s="78"/>
      <c r="N133" s="64"/>
      <c r="O133" s="64"/>
      <c r="P133" s="64"/>
      <c r="Q133" s="55"/>
    </row>
    <row r="134" spans="1:17" s="56" customFormat="1" hidden="1">
      <c r="A134" s="56" t="s">
        <v>441</v>
      </c>
      <c r="B134" s="56" t="s">
        <v>440</v>
      </c>
      <c r="C134" s="95" t="s">
        <v>658</v>
      </c>
      <c r="D134" s="99" t="s">
        <v>659</v>
      </c>
      <c r="E134" s="64"/>
      <c r="F134" s="57"/>
      <c r="G134" s="57"/>
      <c r="H134" s="2"/>
      <c r="I134" s="57"/>
      <c r="J134" s="57"/>
      <c r="K134" s="57"/>
      <c r="L134" s="78"/>
      <c r="M134" s="78"/>
      <c r="N134" s="64"/>
      <c r="O134" s="64"/>
      <c r="P134" s="64"/>
      <c r="Q134" s="55"/>
    </row>
    <row r="135" spans="1:17" s="56" customFormat="1" hidden="1">
      <c r="A135" s="56" t="s">
        <v>441</v>
      </c>
      <c r="B135" s="56" t="s">
        <v>440</v>
      </c>
      <c r="C135" s="95" t="s">
        <v>660</v>
      </c>
      <c r="D135" s="99" t="s">
        <v>661</v>
      </c>
      <c r="E135" s="64"/>
      <c r="F135" s="57"/>
      <c r="G135" s="57"/>
      <c r="H135" s="2"/>
      <c r="I135" s="57"/>
      <c r="J135" s="57"/>
      <c r="K135" s="57"/>
      <c r="L135" s="78"/>
      <c r="M135" s="78"/>
      <c r="N135" s="64"/>
      <c r="O135" s="64"/>
      <c r="P135" s="64"/>
      <c r="Q135" s="55"/>
    </row>
    <row r="136" spans="1:17" s="56" customFormat="1" hidden="1">
      <c r="A136" s="56" t="s">
        <v>439</v>
      </c>
      <c r="B136" s="56" t="s">
        <v>441</v>
      </c>
      <c r="C136" s="95" t="s">
        <v>662</v>
      </c>
      <c r="D136" s="99" t="s">
        <v>663</v>
      </c>
      <c r="E136" s="64"/>
      <c r="F136" s="57"/>
      <c r="G136" s="57"/>
      <c r="H136" s="2"/>
      <c r="I136" s="57"/>
      <c r="J136" s="57"/>
      <c r="K136" s="57"/>
      <c r="L136" s="78"/>
      <c r="M136" s="78"/>
      <c r="N136" s="64"/>
      <c r="O136" s="64"/>
      <c r="P136" s="64"/>
      <c r="Q136" s="55"/>
    </row>
    <row r="137" spans="1:17" s="3" customFormat="1">
      <c r="A137" s="3" t="s">
        <v>439</v>
      </c>
      <c r="B137" s="3" t="s">
        <v>440</v>
      </c>
      <c r="C137" s="94" t="s">
        <v>190</v>
      </c>
      <c r="D137" s="98" t="s">
        <v>191</v>
      </c>
      <c r="E137" s="62"/>
      <c r="F137" s="58"/>
      <c r="G137" s="58"/>
      <c r="H137" s="507"/>
      <c r="I137" s="58">
        <v>9.2000000000000003E-4</v>
      </c>
      <c r="J137" s="58">
        <v>9.2000000000000003E-4</v>
      </c>
      <c r="K137" s="58">
        <v>9.2000000000000003E-4</v>
      </c>
      <c r="L137" s="77"/>
      <c r="M137" s="77"/>
      <c r="N137" s="62"/>
      <c r="O137" s="62"/>
      <c r="P137" s="62"/>
      <c r="Q137" s="55"/>
    </row>
    <row r="138" spans="1:17" s="56" customFormat="1" hidden="1">
      <c r="A138" s="56" t="s">
        <v>439</v>
      </c>
      <c r="B138" s="56" t="s">
        <v>440</v>
      </c>
      <c r="C138" s="95" t="s">
        <v>664</v>
      </c>
      <c r="D138" s="99" t="s">
        <v>665</v>
      </c>
      <c r="E138" s="64"/>
      <c r="F138" s="57"/>
      <c r="G138" s="57"/>
      <c r="H138" s="507"/>
      <c r="I138" s="57"/>
      <c r="J138" s="57"/>
      <c r="K138" s="57"/>
      <c r="L138" s="78"/>
      <c r="M138" s="78"/>
      <c r="N138" s="64"/>
      <c r="O138" s="64"/>
      <c r="P138" s="64"/>
      <c r="Q138" s="55"/>
    </row>
    <row r="139" spans="1:17" s="56" customFormat="1">
      <c r="A139" s="56" t="s">
        <v>439</v>
      </c>
      <c r="B139" s="56" t="s">
        <v>440</v>
      </c>
      <c r="C139" s="95" t="s">
        <v>666</v>
      </c>
      <c r="D139" s="99" t="s">
        <v>300</v>
      </c>
      <c r="E139" s="64"/>
      <c r="F139" s="57"/>
      <c r="G139" s="57"/>
      <c r="H139" s="507"/>
      <c r="I139" s="57"/>
      <c r="J139" s="57"/>
      <c r="K139" s="57">
        <v>2.1000000000000001E-4</v>
      </c>
      <c r="L139" s="78"/>
      <c r="M139" s="78"/>
      <c r="N139" s="64"/>
      <c r="O139" s="64"/>
      <c r="P139" s="64"/>
      <c r="Q139" s="55"/>
    </row>
    <row r="140" spans="1:17" s="56" customFormat="1" hidden="1">
      <c r="A140" s="56" t="s">
        <v>439</v>
      </c>
      <c r="B140" s="56" t="s">
        <v>441</v>
      </c>
      <c r="C140" s="95" t="s">
        <v>667</v>
      </c>
      <c r="D140" s="99">
        <v>74908</v>
      </c>
      <c r="E140" s="64"/>
      <c r="F140" s="57"/>
      <c r="G140" s="57"/>
      <c r="H140" s="507"/>
      <c r="I140" s="57"/>
      <c r="J140" s="57"/>
      <c r="K140" s="57"/>
      <c r="L140" s="78"/>
      <c r="M140" s="78"/>
      <c r="N140" s="64"/>
      <c r="O140" s="64"/>
      <c r="P140" s="64"/>
      <c r="Q140" s="55"/>
    </row>
    <row r="141" spans="1:17" s="56" customFormat="1" hidden="1">
      <c r="A141" s="56" t="s">
        <v>439</v>
      </c>
      <c r="B141" s="56" t="s">
        <v>440</v>
      </c>
      <c r="C141" s="95" t="s">
        <v>668</v>
      </c>
      <c r="D141" s="99" t="s">
        <v>669</v>
      </c>
      <c r="E141" s="64"/>
      <c r="F141" s="57"/>
      <c r="G141" s="57"/>
      <c r="H141" s="507"/>
      <c r="I141" s="57"/>
      <c r="J141" s="57"/>
      <c r="K141" s="57"/>
      <c r="L141" s="78"/>
      <c r="M141" s="78"/>
      <c r="N141" s="64"/>
      <c r="O141" s="64"/>
      <c r="P141" s="64"/>
      <c r="Q141" s="55"/>
    </row>
    <row r="142" spans="1:17" s="56" customFormat="1" hidden="1">
      <c r="A142" s="56" t="s">
        <v>439</v>
      </c>
      <c r="B142" s="56" t="s">
        <v>441</v>
      </c>
      <c r="C142" s="95" t="s">
        <v>670</v>
      </c>
      <c r="D142" s="99" t="s">
        <v>671</v>
      </c>
      <c r="E142" s="64"/>
      <c r="F142" s="57"/>
      <c r="G142" s="57"/>
      <c r="H142" s="507"/>
      <c r="I142" s="57"/>
      <c r="J142" s="57"/>
      <c r="K142" s="57"/>
      <c r="L142" s="78"/>
      <c r="M142" s="78"/>
      <c r="N142" s="64"/>
      <c r="O142" s="64"/>
      <c r="P142" s="64"/>
      <c r="Q142" s="55"/>
    </row>
    <row r="143" spans="1:17" s="56" customFormat="1" hidden="1">
      <c r="A143" s="56" t="s">
        <v>441</v>
      </c>
      <c r="B143" s="56" t="s">
        <v>440</v>
      </c>
      <c r="C143" s="95" t="s">
        <v>672</v>
      </c>
      <c r="D143" s="99" t="s">
        <v>673</v>
      </c>
      <c r="E143" s="64"/>
      <c r="F143" s="57"/>
      <c r="G143" s="57"/>
      <c r="H143" s="507"/>
      <c r="I143" s="57"/>
      <c r="J143" s="57"/>
      <c r="K143" s="57"/>
      <c r="L143" s="78"/>
      <c r="M143" s="78"/>
      <c r="N143" s="64"/>
      <c r="O143" s="64"/>
      <c r="P143" s="64"/>
      <c r="Q143" s="55"/>
    </row>
    <row r="144" spans="1:17" s="56" customFormat="1" hidden="1">
      <c r="A144" s="56" t="s">
        <v>441</v>
      </c>
      <c r="B144" s="56" t="s">
        <v>440</v>
      </c>
      <c r="C144" s="95" t="s">
        <v>674</v>
      </c>
      <c r="D144" s="99" t="s">
        <v>675</v>
      </c>
      <c r="E144" s="64"/>
      <c r="F144" s="57"/>
      <c r="G144" s="57"/>
      <c r="H144" s="507"/>
      <c r="I144" s="57"/>
      <c r="J144" s="57"/>
      <c r="K144" s="57"/>
      <c r="L144" s="78"/>
      <c r="M144" s="78"/>
      <c r="N144" s="64"/>
      <c r="O144" s="64"/>
      <c r="P144" s="64"/>
      <c r="Q144" s="55"/>
    </row>
    <row r="145" spans="1:17" s="503" customFormat="1">
      <c r="A145" s="503" t="s">
        <v>439</v>
      </c>
      <c r="C145" s="504" t="s">
        <v>670</v>
      </c>
      <c r="D145" s="505">
        <v>7783064</v>
      </c>
      <c r="E145" s="506"/>
      <c r="F145" s="506">
        <v>5.1799999999999999E-5</v>
      </c>
      <c r="G145" s="506">
        <v>5.1799999999999999E-5</v>
      </c>
      <c r="H145" s="508"/>
      <c r="I145" s="506">
        <v>5.1799999999999999E-5</v>
      </c>
      <c r="J145" s="506">
        <v>5.1799999999999999E-5</v>
      </c>
      <c r="K145" s="506">
        <v>5.1799999999999999E-5</v>
      </c>
      <c r="L145" s="506"/>
      <c r="M145" s="506"/>
      <c r="N145" s="506"/>
      <c r="O145" s="506"/>
      <c r="P145" s="506"/>
      <c r="Q145" s="509"/>
    </row>
    <row r="146" spans="1:17" s="3" customFormat="1">
      <c r="A146" s="61" t="s">
        <v>441</v>
      </c>
      <c r="B146" s="61" t="s">
        <v>440</v>
      </c>
      <c r="C146" s="96" t="s">
        <v>323</v>
      </c>
      <c r="D146" s="100" t="s">
        <v>676</v>
      </c>
      <c r="E146" s="62">
        <v>8.8999999999999995E-7</v>
      </c>
      <c r="F146" s="70">
        <f t="shared" ref="F146:F152" si="5">+E146</f>
        <v>8.8999999999999995E-7</v>
      </c>
      <c r="G146" s="70">
        <f t="shared" ref="G146:G152" si="6">+E146</f>
        <v>8.8999999999999995E-7</v>
      </c>
      <c r="H146" s="2"/>
      <c r="I146" s="70">
        <f t="shared" ref="I146:I152" si="7">+O146</f>
        <v>6.1999999999999999E-7</v>
      </c>
      <c r="J146" s="70">
        <f t="shared" ref="J146:J152" si="8">+P146</f>
        <v>1.5E-5</v>
      </c>
      <c r="K146" s="70">
        <f>+P146</f>
        <v>1.5E-5</v>
      </c>
      <c r="L146" s="77"/>
      <c r="M146" s="77"/>
      <c r="N146" s="62">
        <v>5.4000000000000001E-4</v>
      </c>
      <c r="O146" s="62">
        <v>6.1999999999999999E-7</v>
      </c>
      <c r="P146" s="62">
        <v>1.5E-5</v>
      </c>
      <c r="Q146" s="55"/>
    </row>
    <row r="147" spans="1:17" s="56" customFormat="1" hidden="1">
      <c r="A147" s="63" t="s">
        <v>441</v>
      </c>
      <c r="B147" s="63" t="s">
        <v>440</v>
      </c>
      <c r="C147" s="97" t="s">
        <v>677</v>
      </c>
      <c r="D147" s="101" t="s">
        <v>678</v>
      </c>
      <c r="E147" s="64"/>
      <c r="F147" s="70">
        <f t="shared" si="5"/>
        <v>0</v>
      </c>
      <c r="G147" s="70">
        <f t="shared" si="6"/>
        <v>0</v>
      </c>
      <c r="H147" s="2"/>
      <c r="I147" s="70">
        <f t="shared" si="7"/>
        <v>0</v>
      </c>
      <c r="J147" s="70">
        <f t="shared" si="8"/>
        <v>0</v>
      </c>
      <c r="K147" s="82"/>
      <c r="L147" s="78"/>
      <c r="M147" s="78"/>
      <c r="N147" s="64"/>
      <c r="O147" s="64"/>
      <c r="P147" s="64"/>
      <c r="Q147" s="55"/>
    </row>
    <row r="148" spans="1:17" s="56" customFormat="1" hidden="1">
      <c r="A148" s="63" t="s">
        <v>439</v>
      </c>
      <c r="B148" s="63" t="s">
        <v>440</v>
      </c>
      <c r="C148" s="97" t="s">
        <v>679</v>
      </c>
      <c r="D148" s="101" t="s">
        <v>680</v>
      </c>
      <c r="E148" s="64"/>
      <c r="F148" s="70">
        <f t="shared" si="5"/>
        <v>0</v>
      </c>
      <c r="G148" s="70">
        <f t="shared" si="6"/>
        <v>0</v>
      </c>
      <c r="H148" s="2"/>
      <c r="I148" s="70">
        <f t="shared" si="7"/>
        <v>0</v>
      </c>
      <c r="J148" s="70">
        <f t="shared" si="8"/>
        <v>0</v>
      </c>
      <c r="K148" s="82"/>
      <c r="L148" s="78"/>
      <c r="M148" s="78"/>
      <c r="N148" s="64"/>
      <c r="O148" s="64"/>
      <c r="P148" s="64"/>
      <c r="Q148" s="55"/>
    </row>
    <row r="149" spans="1:17" s="3" customFormat="1">
      <c r="A149" s="61" t="s">
        <v>439</v>
      </c>
      <c r="B149" s="61" t="s">
        <v>440</v>
      </c>
      <c r="C149" s="96" t="s">
        <v>197</v>
      </c>
      <c r="D149" s="100" t="s">
        <v>681</v>
      </c>
      <c r="E149" s="62">
        <v>6.9E-6</v>
      </c>
      <c r="F149" s="70">
        <f t="shared" si="5"/>
        <v>6.9E-6</v>
      </c>
      <c r="G149" s="70">
        <f t="shared" si="6"/>
        <v>6.9E-6</v>
      </c>
      <c r="H149" s="2"/>
      <c r="I149" s="70">
        <f t="shared" si="7"/>
        <v>7.7000000000000008E-6</v>
      </c>
      <c r="J149" s="70">
        <f t="shared" si="8"/>
        <v>7.7000000000000008E-6</v>
      </c>
      <c r="K149" s="70">
        <f>+P149</f>
        <v>7.7000000000000008E-6</v>
      </c>
      <c r="L149" s="77"/>
      <c r="M149" s="77"/>
      <c r="N149" s="62">
        <v>6.4999999999999997E-4</v>
      </c>
      <c r="O149" s="62">
        <v>7.7000000000000008E-6</v>
      </c>
      <c r="P149" s="62">
        <v>7.7000000000000008E-6</v>
      </c>
      <c r="Q149" s="55"/>
    </row>
    <row r="150" spans="1:17" s="56" customFormat="1" hidden="1">
      <c r="A150" s="63" t="s">
        <v>439</v>
      </c>
      <c r="B150" s="63" t="s">
        <v>441</v>
      </c>
      <c r="C150" s="97" t="s">
        <v>682</v>
      </c>
      <c r="D150" s="101" t="s">
        <v>683</v>
      </c>
      <c r="E150" s="64"/>
      <c r="F150" s="70">
        <f t="shared" si="5"/>
        <v>0</v>
      </c>
      <c r="G150" s="70">
        <f t="shared" si="6"/>
        <v>0</v>
      </c>
      <c r="H150" s="2"/>
      <c r="I150" s="70">
        <f t="shared" si="7"/>
        <v>0</v>
      </c>
      <c r="J150" s="70">
        <f t="shared" si="8"/>
        <v>0</v>
      </c>
      <c r="K150" s="82"/>
      <c r="L150" s="78"/>
      <c r="M150" s="78"/>
      <c r="N150" s="64"/>
      <c r="O150" s="64"/>
      <c r="P150" s="64"/>
      <c r="Q150" s="55"/>
    </row>
    <row r="151" spans="1:17" s="56" customFormat="1" hidden="1">
      <c r="A151" s="63" t="s">
        <v>439</v>
      </c>
      <c r="B151" s="63" t="s">
        <v>441</v>
      </c>
      <c r="C151" s="97" t="s">
        <v>684</v>
      </c>
      <c r="D151" s="101" t="s">
        <v>685</v>
      </c>
      <c r="E151" s="64"/>
      <c r="F151" s="70">
        <f t="shared" si="5"/>
        <v>0</v>
      </c>
      <c r="G151" s="70">
        <f t="shared" si="6"/>
        <v>0</v>
      </c>
      <c r="H151" s="2"/>
      <c r="I151" s="70">
        <f t="shared" si="7"/>
        <v>0</v>
      </c>
      <c r="J151" s="70">
        <f t="shared" si="8"/>
        <v>0</v>
      </c>
      <c r="K151" s="82"/>
      <c r="L151" s="78"/>
      <c r="M151" s="78"/>
      <c r="N151" s="64"/>
      <c r="O151" s="64"/>
      <c r="P151" s="64"/>
      <c r="Q151" s="55"/>
    </row>
    <row r="152" spans="1:17" s="3" customFormat="1">
      <c r="A152" s="61" t="s">
        <v>439</v>
      </c>
      <c r="B152" s="61" t="s">
        <v>440</v>
      </c>
      <c r="C152" s="96" t="s">
        <v>295</v>
      </c>
      <c r="D152" s="100">
        <v>7439976</v>
      </c>
      <c r="E152" s="62">
        <v>4.0999999999999999E-7</v>
      </c>
      <c r="F152" s="70">
        <f t="shared" si="5"/>
        <v>4.0999999999999999E-7</v>
      </c>
      <c r="G152" s="70">
        <f t="shared" si="6"/>
        <v>4.0999999999999999E-7</v>
      </c>
      <c r="H152" s="2"/>
      <c r="I152" s="70">
        <f t="shared" si="7"/>
        <v>2.3999999999999998E-7</v>
      </c>
      <c r="J152" s="70">
        <f t="shared" si="8"/>
        <v>2.6000000000000001E-6</v>
      </c>
      <c r="K152" s="70">
        <f>+P152</f>
        <v>2.6000000000000001E-6</v>
      </c>
      <c r="L152" s="77"/>
      <c r="M152" s="77"/>
      <c r="N152" s="62"/>
      <c r="O152" s="62">
        <v>2.3999999999999998E-7</v>
      </c>
      <c r="P152" s="62">
        <v>2.6000000000000001E-6</v>
      </c>
      <c r="Q152" s="55"/>
    </row>
    <row r="153" spans="1:17" s="56" customFormat="1" hidden="1">
      <c r="A153" s="56" t="s">
        <v>439</v>
      </c>
      <c r="B153" s="56" t="s">
        <v>441</v>
      </c>
      <c r="C153" s="95" t="s">
        <v>686</v>
      </c>
      <c r="D153" s="99" t="s">
        <v>687</v>
      </c>
      <c r="E153" s="64"/>
      <c r="F153" s="57"/>
      <c r="G153" s="57"/>
      <c r="H153" s="2"/>
      <c r="I153" s="57"/>
      <c r="J153" s="57"/>
      <c r="K153" s="57"/>
      <c r="L153" s="78"/>
      <c r="M153" s="78"/>
      <c r="N153" s="64"/>
      <c r="O153" s="64"/>
      <c r="P153" s="64"/>
      <c r="Q153" s="55"/>
    </row>
    <row r="154" spans="1:17" s="56" customFormat="1" hidden="1">
      <c r="A154" s="56" t="s">
        <v>439</v>
      </c>
      <c r="B154" s="56" t="s">
        <v>441</v>
      </c>
      <c r="C154" s="95" t="s">
        <v>688</v>
      </c>
      <c r="D154" s="99" t="s">
        <v>689</v>
      </c>
      <c r="E154" s="64"/>
      <c r="F154" s="57"/>
      <c r="G154" s="57"/>
      <c r="H154" s="2"/>
      <c r="I154" s="57"/>
      <c r="J154" s="57"/>
      <c r="K154" s="57"/>
      <c r="L154" s="78"/>
      <c r="M154" s="78"/>
      <c r="N154" s="64"/>
      <c r="O154" s="64"/>
      <c r="P154" s="64"/>
      <c r="Q154" s="55"/>
    </row>
    <row r="155" spans="1:17" s="56" customFormat="1" hidden="1">
      <c r="A155" s="56" t="s">
        <v>439</v>
      </c>
      <c r="B155" s="56" t="s">
        <v>441</v>
      </c>
      <c r="C155" s="95" t="s">
        <v>690</v>
      </c>
      <c r="D155" s="99" t="s">
        <v>691</v>
      </c>
      <c r="E155" s="64"/>
      <c r="F155" s="57"/>
      <c r="G155" s="57"/>
      <c r="H155" s="2"/>
      <c r="I155" s="57"/>
      <c r="J155" s="57"/>
      <c r="K155" s="57"/>
      <c r="L155" s="78"/>
      <c r="M155" s="78"/>
      <c r="N155" s="64"/>
      <c r="O155" s="64"/>
      <c r="P155" s="64"/>
      <c r="Q155" s="55"/>
    </row>
    <row r="156" spans="1:17" s="56" customFormat="1" hidden="1">
      <c r="A156" s="56" t="s">
        <v>441</v>
      </c>
      <c r="B156" s="56" t="s">
        <v>440</v>
      </c>
      <c r="C156" s="95" t="s">
        <v>692</v>
      </c>
      <c r="D156" s="99" t="s">
        <v>693</v>
      </c>
      <c r="E156" s="64"/>
      <c r="F156" s="57"/>
      <c r="G156" s="57"/>
      <c r="H156" s="2"/>
      <c r="I156" s="57"/>
      <c r="J156" s="57"/>
      <c r="K156" s="57"/>
      <c r="L156" s="78"/>
      <c r="M156" s="78"/>
      <c r="N156" s="64"/>
      <c r="O156" s="64"/>
      <c r="P156" s="64"/>
      <c r="Q156" s="55"/>
    </row>
    <row r="157" spans="1:17" s="56" customFormat="1" hidden="1">
      <c r="A157" s="56" t="s">
        <v>441</v>
      </c>
      <c r="B157" s="56" t="s">
        <v>440</v>
      </c>
      <c r="C157" s="95" t="s">
        <v>694</v>
      </c>
      <c r="D157" s="99" t="s">
        <v>695</v>
      </c>
      <c r="E157" s="64"/>
      <c r="F157" s="57"/>
      <c r="G157" s="57"/>
      <c r="H157" s="2"/>
      <c r="I157" s="57"/>
      <c r="J157" s="57"/>
      <c r="K157" s="57"/>
      <c r="L157" s="78"/>
      <c r="M157" s="78"/>
      <c r="N157" s="64"/>
      <c r="O157" s="64"/>
      <c r="P157" s="64"/>
      <c r="Q157" s="55"/>
    </row>
    <row r="158" spans="1:17" s="56" customFormat="1" hidden="1">
      <c r="A158" s="56" t="s">
        <v>441</v>
      </c>
      <c r="B158" s="56" t="s">
        <v>440</v>
      </c>
      <c r="C158" s="95" t="s">
        <v>325</v>
      </c>
      <c r="D158" s="99" t="s">
        <v>326</v>
      </c>
      <c r="E158" s="64"/>
      <c r="F158" s="57"/>
      <c r="G158" s="57"/>
      <c r="H158" s="2"/>
      <c r="I158" s="57"/>
      <c r="J158" s="57"/>
      <c r="K158" s="57"/>
      <c r="L158" s="78"/>
      <c r="M158" s="78"/>
      <c r="N158" s="64"/>
      <c r="O158" s="64"/>
      <c r="P158" s="64"/>
      <c r="Q158" s="55"/>
    </row>
    <row r="159" spans="1:17" s="56" customFormat="1" hidden="1">
      <c r="A159" s="56" t="s">
        <v>441</v>
      </c>
      <c r="B159" s="56" t="s">
        <v>440</v>
      </c>
      <c r="C159" s="95" t="s">
        <v>331</v>
      </c>
      <c r="D159" s="99" t="s">
        <v>332</v>
      </c>
      <c r="E159" s="64"/>
      <c r="F159" s="57"/>
      <c r="G159" s="57"/>
      <c r="H159" s="2"/>
      <c r="I159" s="57"/>
      <c r="J159" s="57"/>
      <c r="K159" s="57"/>
      <c r="L159" s="78"/>
      <c r="M159" s="78"/>
      <c r="N159" s="64"/>
      <c r="O159" s="64"/>
      <c r="P159" s="64"/>
      <c r="Q159" s="55"/>
    </row>
    <row r="160" spans="1:17" s="3" customFormat="1">
      <c r="A160" s="3" t="s">
        <v>439</v>
      </c>
      <c r="B160" s="3" t="s">
        <v>440</v>
      </c>
      <c r="C160" s="94" t="s">
        <v>199</v>
      </c>
      <c r="D160" s="98" t="s">
        <v>200</v>
      </c>
      <c r="E160" s="68"/>
      <c r="F160" s="59"/>
      <c r="G160" s="59"/>
      <c r="H160" s="2"/>
      <c r="I160" s="59">
        <v>4.8000000000000001E-5</v>
      </c>
      <c r="J160" s="59">
        <v>4.8000000000000001E-5</v>
      </c>
      <c r="K160" s="59">
        <v>4.8000000000000001E-5</v>
      </c>
      <c r="L160" s="79"/>
      <c r="M160" s="79"/>
      <c r="N160" s="68"/>
      <c r="O160" s="68"/>
      <c r="P160" s="68"/>
      <c r="Q160" s="55"/>
    </row>
    <row r="161" spans="1:17" s="3" customFormat="1">
      <c r="A161" s="3" t="s">
        <v>439</v>
      </c>
      <c r="B161" s="3" t="s">
        <v>440</v>
      </c>
      <c r="C161" s="94" t="s">
        <v>158</v>
      </c>
      <c r="D161" s="98" t="s">
        <v>159</v>
      </c>
      <c r="E161" s="62"/>
      <c r="F161" s="58"/>
      <c r="G161" s="58"/>
      <c r="H161" s="2"/>
      <c r="I161" s="58"/>
      <c r="J161" s="58"/>
      <c r="K161" s="58">
        <v>2.0000000000000002E-5</v>
      </c>
      <c r="L161" s="77"/>
      <c r="M161" s="77"/>
      <c r="N161" s="62"/>
      <c r="O161" s="62"/>
      <c r="P161" s="62"/>
      <c r="Q161" s="55"/>
    </row>
    <row r="162" spans="1:17" s="56" customFormat="1" hidden="1">
      <c r="A162" s="56" t="s">
        <v>441</v>
      </c>
      <c r="B162" s="56" t="s">
        <v>440</v>
      </c>
      <c r="C162" s="95" t="s">
        <v>696</v>
      </c>
      <c r="D162" s="99" t="s">
        <v>697</v>
      </c>
      <c r="E162" s="64"/>
      <c r="F162" s="57"/>
      <c r="G162" s="57"/>
      <c r="H162" s="2"/>
      <c r="I162" s="57"/>
      <c r="J162" s="57"/>
      <c r="K162" s="57"/>
      <c r="L162" s="78"/>
      <c r="M162" s="78"/>
      <c r="N162" s="64"/>
      <c r="O162" s="64"/>
      <c r="P162" s="64"/>
      <c r="Q162" s="55"/>
    </row>
    <row r="163" spans="1:17" s="56" customFormat="1" hidden="1">
      <c r="A163" s="56" t="s">
        <v>441</v>
      </c>
      <c r="B163" s="56" t="s">
        <v>440</v>
      </c>
      <c r="C163" s="95" t="s">
        <v>698</v>
      </c>
      <c r="D163" s="99" t="s">
        <v>699</v>
      </c>
      <c r="E163" s="64"/>
      <c r="F163" s="57"/>
      <c r="G163" s="57"/>
      <c r="H163" s="2"/>
      <c r="I163" s="57"/>
      <c r="J163" s="57"/>
      <c r="K163" s="57"/>
      <c r="L163" s="78"/>
      <c r="M163" s="78"/>
      <c r="N163" s="64"/>
      <c r="O163" s="64"/>
      <c r="P163" s="64"/>
      <c r="Q163" s="55"/>
    </row>
    <row r="164" spans="1:17" s="56" customFormat="1" hidden="1">
      <c r="A164" s="56" t="s">
        <v>439</v>
      </c>
      <c r="B164" s="56" t="s">
        <v>440</v>
      </c>
      <c r="C164" s="95" t="s">
        <v>700</v>
      </c>
      <c r="D164" s="99" t="s">
        <v>701</v>
      </c>
      <c r="E164" s="64"/>
      <c r="F164" s="57"/>
      <c r="G164" s="57"/>
      <c r="H164" s="2"/>
      <c r="I164" s="57"/>
      <c r="J164" s="57"/>
      <c r="K164" s="57"/>
      <c r="L164" s="78"/>
      <c r="M164" s="78"/>
      <c r="N164" s="64"/>
      <c r="O164" s="64"/>
      <c r="P164" s="64"/>
      <c r="Q164" s="55"/>
    </row>
    <row r="165" spans="1:17" s="56" customFormat="1" hidden="1">
      <c r="A165" s="56" t="s">
        <v>441</v>
      </c>
      <c r="B165" s="56" t="s">
        <v>440</v>
      </c>
      <c r="C165" s="95" t="s">
        <v>702</v>
      </c>
      <c r="D165" s="99" t="s">
        <v>703</v>
      </c>
      <c r="E165" s="64"/>
      <c r="F165" s="57"/>
      <c r="G165" s="57"/>
      <c r="H165" s="2"/>
      <c r="I165" s="57"/>
      <c r="J165" s="57"/>
      <c r="K165" s="57"/>
      <c r="L165" s="78"/>
      <c r="M165" s="78"/>
      <c r="N165" s="64"/>
      <c r="O165" s="64"/>
      <c r="P165" s="64"/>
      <c r="Q165" s="55"/>
    </row>
    <row r="166" spans="1:17" s="56" customFormat="1" hidden="1">
      <c r="A166" s="56" t="s">
        <v>439</v>
      </c>
      <c r="B166" s="56" t="s">
        <v>441</v>
      </c>
      <c r="C166" s="95" t="s">
        <v>704</v>
      </c>
      <c r="D166" s="99" t="s">
        <v>705</v>
      </c>
      <c r="E166" s="64"/>
      <c r="F166" s="57"/>
      <c r="G166" s="57"/>
      <c r="H166" s="2"/>
      <c r="I166" s="57"/>
      <c r="J166" s="57"/>
      <c r="K166" s="57"/>
      <c r="L166" s="78"/>
      <c r="M166" s="78"/>
      <c r="N166" s="64"/>
      <c r="O166" s="64"/>
      <c r="P166" s="64"/>
      <c r="Q166" s="55"/>
    </row>
    <row r="167" spans="1:17" s="56" customFormat="1" hidden="1">
      <c r="A167" s="56" t="s">
        <v>441</v>
      </c>
      <c r="B167" s="56" t="s">
        <v>440</v>
      </c>
      <c r="C167" s="95" t="s">
        <v>706</v>
      </c>
      <c r="D167" s="99" t="s">
        <v>707</v>
      </c>
      <c r="E167" s="64"/>
      <c r="F167" s="57"/>
      <c r="G167" s="57"/>
      <c r="H167" s="2"/>
      <c r="I167" s="57"/>
      <c r="J167" s="57"/>
      <c r="K167" s="57"/>
      <c r="L167" s="78"/>
      <c r="M167" s="78"/>
      <c r="N167" s="64"/>
      <c r="O167" s="64"/>
      <c r="P167" s="64"/>
      <c r="Q167" s="55"/>
    </row>
    <row r="168" spans="1:17" s="56" customFormat="1" hidden="1">
      <c r="A168" s="56" t="s">
        <v>441</v>
      </c>
      <c r="B168" s="56" t="s">
        <v>440</v>
      </c>
      <c r="C168" s="95" t="s">
        <v>708</v>
      </c>
      <c r="D168" s="99" t="s">
        <v>709</v>
      </c>
      <c r="E168" s="64"/>
      <c r="F168" s="57"/>
      <c r="G168" s="57"/>
      <c r="H168" s="2"/>
      <c r="I168" s="57"/>
      <c r="J168" s="57"/>
      <c r="K168" s="57"/>
      <c r="L168" s="78"/>
      <c r="M168" s="78"/>
      <c r="N168" s="64"/>
      <c r="O168" s="64"/>
      <c r="P168" s="64"/>
      <c r="Q168" s="55"/>
    </row>
    <row r="169" spans="1:17" s="56" customFormat="1" hidden="1">
      <c r="A169" s="56" t="s">
        <v>441</v>
      </c>
      <c r="B169" s="56" t="s">
        <v>440</v>
      </c>
      <c r="C169" s="95" t="s">
        <v>710</v>
      </c>
      <c r="D169" s="99" t="s">
        <v>711</v>
      </c>
      <c r="E169" s="64"/>
      <c r="F169" s="57"/>
      <c r="G169" s="57"/>
      <c r="H169" s="2"/>
      <c r="I169" s="57"/>
      <c r="J169" s="57"/>
      <c r="K169" s="57"/>
      <c r="L169" s="78"/>
      <c r="M169" s="78"/>
      <c r="N169" s="64"/>
      <c r="O169" s="64"/>
      <c r="P169" s="64"/>
      <c r="Q169" s="55"/>
    </row>
    <row r="170" spans="1:17" s="56" customFormat="1" hidden="1">
      <c r="A170" s="56" t="s">
        <v>439</v>
      </c>
      <c r="B170" s="56" t="s">
        <v>440</v>
      </c>
      <c r="C170" s="95" t="s">
        <v>162</v>
      </c>
      <c r="D170" s="99" t="s">
        <v>163</v>
      </c>
      <c r="E170" s="64"/>
      <c r="F170" s="57"/>
      <c r="G170" s="57"/>
      <c r="H170" s="2"/>
      <c r="I170" s="57"/>
      <c r="J170" s="57"/>
      <c r="K170" s="57"/>
      <c r="L170" s="78"/>
      <c r="M170" s="78"/>
      <c r="N170" s="64"/>
      <c r="O170" s="64"/>
      <c r="P170" s="64"/>
      <c r="Q170" s="55"/>
    </row>
    <row r="171" spans="1:17" s="56" customFormat="1" hidden="1">
      <c r="A171" s="56" t="s">
        <v>441</v>
      </c>
      <c r="B171" s="56" t="s">
        <v>440</v>
      </c>
      <c r="C171" s="95" t="s">
        <v>712</v>
      </c>
      <c r="D171" s="99" t="s">
        <v>713</v>
      </c>
      <c r="E171" s="64"/>
      <c r="F171" s="57"/>
      <c r="G171" s="57"/>
      <c r="H171" s="2"/>
      <c r="I171" s="57"/>
      <c r="J171" s="57"/>
      <c r="K171" s="57"/>
      <c r="L171" s="78"/>
      <c r="M171" s="78"/>
      <c r="N171" s="64"/>
      <c r="O171" s="64"/>
      <c r="P171" s="64"/>
      <c r="Q171" s="55"/>
    </row>
    <row r="172" spans="1:17" s="56" customFormat="1" hidden="1">
      <c r="A172" s="56" t="s">
        <v>441</v>
      </c>
      <c r="B172" s="56" t="s">
        <v>440</v>
      </c>
      <c r="C172" s="95" t="s">
        <v>714</v>
      </c>
      <c r="D172" s="99" t="s">
        <v>715</v>
      </c>
      <c r="E172" s="64"/>
      <c r="F172" s="57"/>
      <c r="G172" s="57"/>
      <c r="H172" s="2"/>
      <c r="I172" s="57"/>
      <c r="J172" s="57"/>
      <c r="K172" s="57"/>
      <c r="L172" s="78"/>
      <c r="M172" s="78"/>
      <c r="N172" s="64"/>
      <c r="O172" s="64"/>
      <c r="P172" s="64"/>
      <c r="Q172" s="55"/>
    </row>
    <row r="173" spans="1:17" s="3" customFormat="1">
      <c r="A173" s="3" t="s">
        <v>441</v>
      </c>
      <c r="B173" s="3" t="s">
        <v>440</v>
      </c>
      <c r="C173" s="94" t="s">
        <v>301</v>
      </c>
      <c r="D173" s="98" t="s">
        <v>302</v>
      </c>
      <c r="E173" s="68"/>
      <c r="F173" s="59">
        <v>3.6000000000000001E-5</v>
      </c>
      <c r="G173" s="59">
        <v>3.6000000000000001E-5</v>
      </c>
      <c r="H173" s="71"/>
      <c r="I173" s="59">
        <v>9.0000000000000006E-5</v>
      </c>
      <c r="J173" s="59">
        <v>6.4999999999999997E-4</v>
      </c>
      <c r="K173" s="59">
        <v>6.4999999999999997E-4</v>
      </c>
      <c r="L173" s="79"/>
      <c r="M173" s="79"/>
      <c r="N173" s="68"/>
      <c r="O173" s="68"/>
      <c r="P173" s="68"/>
      <c r="Q173" s="55"/>
    </row>
    <row r="174" spans="1:17" s="3" customFormat="1">
      <c r="A174" s="61" t="s">
        <v>439</v>
      </c>
      <c r="B174" s="61" t="s">
        <v>440</v>
      </c>
      <c r="C174" s="96" t="s">
        <v>167</v>
      </c>
      <c r="D174" s="100">
        <v>7440020</v>
      </c>
      <c r="E174" s="62">
        <v>3.0000000000000001E-6</v>
      </c>
      <c r="F174" s="70">
        <f>+E174</f>
        <v>3.0000000000000001E-6</v>
      </c>
      <c r="G174" s="70">
        <f>+E174</f>
        <v>3.0000000000000001E-6</v>
      </c>
      <c r="H174" s="2"/>
      <c r="I174" s="70">
        <f t="shared" ref="I174:I195" si="9">+O174</f>
        <v>6.3E-5</v>
      </c>
      <c r="J174" s="70">
        <f t="shared" ref="J174:J195" si="10">+P174</f>
        <v>6.3E-5</v>
      </c>
      <c r="K174" s="70">
        <f t="shared" ref="K174:K195" si="11">+P174</f>
        <v>6.3E-5</v>
      </c>
      <c r="L174" s="77"/>
      <c r="M174" s="77"/>
      <c r="N174" s="62">
        <v>1.2999999999999999E-3</v>
      </c>
      <c r="O174" s="62">
        <v>6.3E-5</v>
      </c>
      <c r="P174" s="62">
        <v>6.3E-5</v>
      </c>
      <c r="Q174" s="55"/>
    </row>
    <row r="175" spans="1:17" s="56" customFormat="1" hidden="1">
      <c r="A175" s="56" t="s">
        <v>439</v>
      </c>
      <c r="B175" s="56" t="s">
        <v>441</v>
      </c>
      <c r="C175" s="95" t="s">
        <v>716</v>
      </c>
      <c r="D175" s="99" t="s">
        <v>717</v>
      </c>
      <c r="E175" s="64"/>
      <c r="F175" s="57"/>
      <c r="G175" s="57"/>
      <c r="H175" s="2"/>
      <c r="I175" s="70">
        <f t="shared" si="9"/>
        <v>0</v>
      </c>
      <c r="J175" s="70">
        <f t="shared" si="10"/>
        <v>0</v>
      </c>
      <c r="K175" s="70">
        <f t="shared" si="11"/>
        <v>0</v>
      </c>
      <c r="L175" s="78"/>
      <c r="M175" s="78"/>
      <c r="N175" s="64"/>
      <c r="O175" s="64"/>
      <c r="P175" s="64"/>
      <c r="Q175" s="55"/>
    </row>
    <row r="176" spans="1:17" s="56" customFormat="1" hidden="1">
      <c r="A176" s="56" t="s">
        <v>439</v>
      </c>
      <c r="B176" s="56" t="s">
        <v>441</v>
      </c>
      <c r="C176" s="95" t="s">
        <v>718</v>
      </c>
      <c r="D176" s="99" t="s">
        <v>719</v>
      </c>
      <c r="E176" s="64"/>
      <c r="F176" s="57"/>
      <c r="G176" s="57"/>
      <c r="H176" s="2"/>
      <c r="I176" s="70">
        <f t="shared" si="9"/>
        <v>0</v>
      </c>
      <c r="J176" s="70">
        <f t="shared" si="10"/>
        <v>0</v>
      </c>
      <c r="K176" s="70">
        <f t="shared" si="11"/>
        <v>0</v>
      </c>
      <c r="L176" s="78"/>
      <c r="M176" s="78"/>
      <c r="N176" s="64"/>
      <c r="O176" s="64"/>
      <c r="P176" s="64"/>
      <c r="Q176" s="55"/>
    </row>
    <row r="177" spans="1:17" s="56" customFormat="1" hidden="1">
      <c r="A177" s="56" t="s">
        <v>439</v>
      </c>
      <c r="B177" s="56" t="s">
        <v>441</v>
      </c>
      <c r="C177" s="95" t="s">
        <v>720</v>
      </c>
      <c r="D177" s="99" t="s">
        <v>721</v>
      </c>
      <c r="E177" s="64"/>
      <c r="F177" s="57"/>
      <c r="G177" s="57"/>
      <c r="H177" s="2"/>
      <c r="I177" s="70">
        <f t="shared" si="9"/>
        <v>0</v>
      </c>
      <c r="J177" s="70">
        <f t="shared" si="10"/>
        <v>0</v>
      </c>
      <c r="K177" s="70">
        <f t="shared" si="11"/>
        <v>0</v>
      </c>
      <c r="L177" s="78"/>
      <c r="M177" s="78"/>
      <c r="N177" s="64"/>
      <c r="O177" s="64"/>
      <c r="P177" s="64"/>
      <c r="Q177" s="55"/>
    </row>
    <row r="178" spans="1:17" s="56" customFormat="1" hidden="1">
      <c r="A178" s="56" t="s">
        <v>439</v>
      </c>
      <c r="B178" s="56" t="s">
        <v>441</v>
      </c>
      <c r="C178" s="95" t="s">
        <v>722</v>
      </c>
      <c r="D178" s="99" t="s">
        <v>723</v>
      </c>
      <c r="E178" s="64"/>
      <c r="F178" s="57"/>
      <c r="G178" s="57"/>
      <c r="H178" s="2"/>
      <c r="I178" s="70">
        <f t="shared" si="9"/>
        <v>0</v>
      </c>
      <c r="J178" s="70">
        <f t="shared" si="10"/>
        <v>0</v>
      </c>
      <c r="K178" s="70">
        <f t="shared" si="11"/>
        <v>0</v>
      </c>
      <c r="L178" s="78"/>
      <c r="M178" s="78"/>
      <c r="N178" s="64"/>
      <c r="O178" s="64"/>
      <c r="P178" s="64"/>
      <c r="Q178" s="55"/>
    </row>
    <row r="179" spans="1:17" s="56" customFormat="1" hidden="1">
      <c r="A179" s="56" t="s">
        <v>439</v>
      </c>
      <c r="B179" s="56" t="s">
        <v>441</v>
      </c>
      <c r="C179" s="95" t="s">
        <v>724</v>
      </c>
      <c r="D179" s="99" t="s">
        <v>725</v>
      </c>
      <c r="E179" s="64"/>
      <c r="F179" s="57"/>
      <c r="G179" s="57"/>
      <c r="H179" s="2"/>
      <c r="I179" s="70">
        <f t="shared" si="9"/>
        <v>0</v>
      </c>
      <c r="J179" s="70">
        <f t="shared" si="10"/>
        <v>0</v>
      </c>
      <c r="K179" s="70">
        <f t="shared" si="11"/>
        <v>0</v>
      </c>
      <c r="L179" s="78"/>
      <c r="M179" s="78"/>
      <c r="N179" s="64"/>
      <c r="O179" s="64"/>
      <c r="P179" s="64"/>
      <c r="Q179" s="55"/>
    </row>
    <row r="180" spans="1:17" s="56" customFormat="1" hidden="1">
      <c r="A180" s="56" t="s">
        <v>439</v>
      </c>
      <c r="B180" s="56" t="s">
        <v>440</v>
      </c>
      <c r="C180" s="95" t="s">
        <v>726</v>
      </c>
      <c r="D180" s="99" t="s">
        <v>727</v>
      </c>
      <c r="E180" s="64"/>
      <c r="F180" s="57"/>
      <c r="G180" s="57"/>
      <c r="H180" s="2"/>
      <c r="I180" s="70">
        <f t="shared" si="9"/>
        <v>0</v>
      </c>
      <c r="J180" s="70">
        <f t="shared" si="10"/>
        <v>0</v>
      </c>
      <c r="K180" s="70">
        <f t="shared" si="11"/>
        <v>0</v>
      </c>
      <c r="L180" s="78"/>
      <c r="M180" s="78"/>
      <c r="N180" s="64"/>
      <c r="O180" s="64"/>
      <c r="P180" s="64"/>
      <c r="Q180" s="55"/>
    </row>
    <row r="181" spans="1:17" s="56" customFormat="1" hidden="1">
      <c r="A181" s="56" t="s">
        <v>441</v>
      </c>
      <c r="B181" s="56" t="s">
        <v>440</v>
      </c>
      <c r="C181" s="95" t="s">
        <v>728</v>
      </c>
      <c r="D181" s="99" t="s">
        <v>729</v>
      </c>
      <c r="E181" s="64"/>
      <c r="F181" s="57"/>
      <c r="G181" s="57"/>
      <c r="H181" s="2"/>
      <c r="I181" s="70">
        <f t="shared" si="9"/>
        <v>0</v>
      </c>
      <c r="J181" s="70">
        <f t="shared" si="10"/>
        <v>0</v>
      </c>
      <c r="K181" s="70">
        <f t="shared" si="11"/>
        <v>0</v>
      </c>
      <c r="L181" s="78"/>
      <c r="M181" s="78"/>
      <c r="N181" s="64"/>
      <c r="O181" s="64"/>
      <c r="P181" s="64"/>
      <c r="Q181" s="55"/>
    </row>
    <row r="182" spans="1:17" s="56" customFormat="1" hidden="1">
      <c r="A182" s="56" t="s">
        <v>441</v>
      </c>
      <c r="B182" s="56" t="s">
        <v>440</v>
      </c>
      <c r="C182" s="95" t="s">
        <v>730</v>
      </c>
      <c r="D182" s="99" t="s">
        <v>731</v>
      </c>
      <c r="E182" s="64"/>
      <c r="F182" s="57"/>
      <c r="G182" s="57"/>
      <c r="H182" s="2"/>
      <c r="I182" s="70">
        <f t="shared" si="9"/>
        <v>0</v>
      </c>
      <c r="J182" s="70">
        <f t="shared" si="10"/>
        <v>0</v>
      </c>
      <c r="K182" s="70">
        <f t="shared" si="11"/>
        <v>0</v>
      </c>
      <c r="L182" s="78"/>
      <c r="M182" s="78"/>
      <c r="N182" s="64"/>
      <c r="O182" s="64"/>
      <c r="P182" s="64"/>
      <c r="Q182" s="55"/>
    </row>
    <row r="183" spans="1:17" s="56" customFormat="1" hidden="1">
      <c r="A183" s="56" t="s">
        <v>441</v>
      </c>
      <c r="B183" s="56" t="s">
        <v>440</v>
      </c>
      <c r="C183" s="95" t="s">
        <v>732</v>
      </c>
      <c r="D183" s="99" t="s">
        <v>733</v>
      </c>
      <c r="E183" s="64"/>
      <c r="F183" s="57"/>
      <c r="G183" s="57"/>
      <c r="H183" s="2"/>
      <c r="I183" s="70">
        <f t="shared" si="9"/>
        <v>0</v>
      </c>
      <c r="J183" s="70">
        <f t="shared" si="10"/>
        <v>0</v>
      </c>
      <c r="K183" s="70">
        <f t="shared" si="11"/>
        <v>0</v>
      </c>
      <c r="L183" s="78"/>
      <c r="M183" s="78"/>
      <c r="N183" s="64"/>
      <c r="O183" s="64"/>
      <c r="P183" s="64"/>
      <c r="Q183" s="55"/>
    </row>
    <row r="184" spans="1:17" s="56" customFormat="1" hidden="1">
      <c r="A184" s="56" t="s">
        <v>441</v>
      </c>
      <c r="B184" s="56" t="s">
        <v>440</v>
      </c>
      <c r="C184" s="95" t="s">
        <v>734</v>
      </c>
      <c r="D184" s="99" t="s">
        <v>735</v>
      </c>
      <c r="E184" s="64"/>
      <c r="F184" s="57"/>
      <c r="G184" s="57"/>
      <c r="H184" s="2"/>
      <c r="I184" s="70">
        <f t="shared" si="9"/>
        <v>0</v>
      </c>
      <c r="J184" s="70">
        <f t="shared" si="10"/>
        <v>0</v>
      </c>
      <c r="K184" s="70">
        <f t="shared" si="11"/>
        <v>0</v>
      </c>
      <c r="L184" s="78"/>
      <c r="M184" s="78"/>
      <c r="N184" s="64"/>
      <c r="O184" s="64"/>
      <c r="P184" s="64"/>
      <c r="Q184" s="55"/>
    </row>
    <row r="185" spans="1:17" s="56" customFormat="1" hidden="1">
      <c r="A185" s="56" t="s">
        <v>439</v>
      </c>
      <c r="B185" s="56" t="s">
        <v>440</v>
      </c>
      <c r="C185" s="95" t="s">
        <v>736</v>
      </c>
      <c r="D185" s="99" t="s">
        <v>737</v>
      </c>
      <c r="E185" s="64"/>
      <c r="F185" s="57"/>
      <c r="G185" s="57"/>
      <c r="H185" s="2"/>
      <c r="I185" s="70">
        <f t="shared" si="9"/>
        <v>0</v>
      </c>
      <c r="J185" s="70">
        <f t="shared" si="10"/>
        <v>0</v>
      </c>
      <c r="K185" s="70">
        <f t="shared" si="11"/>
        <v>0</v>
      </c>
      <c r="L185" s="78"/>
      <c r="M185" s="78"/>
      <c r="N185" s="64"/>
      <c r="O185" s="64"/>
      <c r="P185" s="64"/>
      <c r="Q185" s="55"/>
    </row>
    <row r="186" spans="1:17" s="56" customFormat="1" hidden="1">
      <c r="A186" s="56" t="s">
        <v>441</v>
      </c>
      <c r="B186" s="56" t="s">
        <v>440</v>
      </c>
      <c r="C186" s="95" t="s">
        <v>738</v>
      </c>
      <c r="D186" s="99" t="s">
        <v>739</v>
      </c>
      <c r="E186" s="64"/>
      <c r="F186" s="57"/>
      <c r="G186" s="57"/>
      <c r="H186" s="2"/>
      <c r="I186" s="70">
        <f t="shared" si="9"/>
        <v>0</v>
      </c>
      <c r="J186" s="70">
        <f t="shared" si="10"/>
        <v>0</v>
      </c>
      <c r="K186" s="70">
        <f t="shared" si="11"/>
        <v>0</v>
      </c>
      <c r="L186" s="78"/>
      <c r="M186" s="78"/>
      <c r="N186" s="64"/>
      <c r="O186" s="64"/>
      <c r="P186" s="64"/>
      <c r="Q186" s="55"/>
    </row>
    <row r="187" spans="1:17" s="56" customFormat="1" hidden="1">
      <c r="A187" s="56" t="s">
        <v>441</v>
      </c>
      <c r="B187" s="56" t="s">
        <v>440</v>
      </c>
      <c r="C187" s="95" t="s">
        <v>740</v>
      </c>
      <c r="D187" s="99" t="s">
        <v>741</v>
      </c>
      <c r="E187" s="64"/>
      <c r="F187" s="57"/>
      <c r="G187" s="57"/>
      <c r="H187" s="2"/>
      <c r="I187" s="70">
        <f t="shared" si="9"/>
        <v>0</v>
      </c>
      <c r="J187" s="70">
        <f t="shared" si="10"/>
        <v>0</v>
      </c>
      <c r="K187" s="70">
        <f t="shared" si="11"/>
        <v>0</v>
      </c>
      <c r="L187" s="78"/>
      <c r="M187" s="78"/>
      <c r="N187" s="64"/>
      <c r="O187" s="64"/>
      <c r="P187" s="64"/>
      <c r="Q187" s="55"/>
    </row>
    <row r="188" spans="1:17" s="56" customFormat="1" hidden="1">
      <c r="A188" s="56" t="s">
        <v>441</v>
      </c>
      <c r="B188" s="56" t="s">
        <v>440</v>
      </c>
      <c r="C188" s="95" t="s">
        <v>742</v>
      </c>
      <c r="D188" s="99" t="s">
        <v>743</v>
      </c>
      <c r="E188" s="64"/>
      <c r="F188" s="57"/>
      <c r="G188" s="57"/>
      <c r="H188" s="2"/>
      <c r="I188" s="70">
        <f t="shared" si="9"/>
        <v>0</v>
      </c>
      <c r="J188" s="70">
        <f t="shared" si="10"/>
        <v>0</v>
      </c>
      <c r="K188" s="70">
        <f t="shared" si="11"/>
        <v>0</v>
      </c>
      <c r="L188" s="78"/>
      <c r="M188" s="78"/>
      <c r="N188" s="64"/>
      <c r="O188" s="64"/>
      <c r="P188" s="64"/>
      <c r="Q188" s="55"/>
    </row>
    <row r="189" spans="1:17" s="56" customFormat="1" hidden="1">
      <c r="A189" s="56" t="s">
        <v>439</v>
      </c>
      <c r="B189" s="56" t="s">
        <v>440</v>
      </c>
      <c r="C189" s="95" t="s">
        <v>744</v>
      </c>
      <c r="D189" s="99" t="s">
        <v>745</v>
      </c>
      <c r="E189" s="64"/>
      <c r="F189" s="57"/>
      <c r="G189" s="57"/>
      <c r="H189" s="2"/>
      <c r="I189" s="70">
        <f t="shared" si="9"/>
        <v>0</v>
      </c>
      <c r="J189" s="70">
        <f t="shared" si="10"/>
        <v>0</v>
      </c>
      <c r="K189" s="70">
        <f t="shared" si="11"/>
        <v>0</v>
      </c>
      <c r="L189" s="78"/>
      <c r="M189" s="78"/>
      <c r="N189" s="64"/>
      <c r="O189" s="64"/>
      <c r="P189" s="64"/>
      <c r="Q189" s="55"/>
    </row>
    <row r="190" spans="1:17" s="56" customFormat="1" hidden="1">
      <c r="A190" s="56" t="s">
        <v>439</v>
      </c>
      <c r="B190" s="56" t="s">
        <v>440</v>
      </c>
      <c r="C190" s="95" t="s">
        <v>170</v>
      </c>
      <c r="D190" s="99" t="s">
        <v>171</v>
      </c>
      <c r="E190" s="64"/>
      <c r="F190" s="57"/>
      <c r="G190" s="57"/>
      <c r="H190" s="2"/>
      <c r="I190" s="70">
        <f t="shared" si="9"/>
        <v>0</v>
      </c>
      <c r="J190" s="70">
        <f t="shared" si="10"/>
        <v>0</v>
      </c>
      <c r="K190" s="70">
        <f t="shared" si="11"/>
        <v>0</v>
      </c>
      <c r="L190" s="78"/>
      <c r="M190" s="78"/>
      <c r="N190" s="64"/>
      <c r="O190" s="64"/>
      <c r="P190" s="64"/>
      <c r="Q190" s="55"/>
    </row>
    <row r="191" spans="1:17" s="56" customFormat="1" hidden="1">
      <c r="A191" s="56" t="s">
        <v>439</v>
      </c>
      <c r="B191" s="56" t="s">
        <v>440</v>
      </c>
      <c r="C191" s="95" t="s">
        <v>173</v>
      </c>
      <c r="D191" s="99" t="s">
        <v>174</v>
      </c>
      <c r="E191" s="64"/>
      <c r="F191" s="57"/>
      <c r="G191" s="57"/>
      <c r="H191" s="2"/>
      <c r="I191" s="70">
        <f t="shared" si="9"/>
        <v>0</v>
      </c>
      <c r="J191" s="70">
        <f t="shared" si="10"/>
        <v>0</v>
      </c>
      <c r="K191" s="70">
        <f t="shared" si="11"/>
        <v>0</v>
      </c>
      <c r="L191" s="78"/>
      <c r="M191" s="78"/>
      <c r="N191" s="64"/>
      <c r="O191" s="64"/>
      <c r="P191" s="64"/>
      <c r="Q191" s="55"/>
    </row>
    <row r="192" spans="1:17" s="56" customFormat="1" hidden="1">
      <c r="A192" s="56" t="s">
        <v>441</v>
      </c>
      <c r="B192" s="56" t="s">
        <v>440</v>
      </c>
      <c r="C192" s="95" t="s">
        <v>746</v>
      </c>
      <c r="D192" s="99" t="s">
        <v>747</v>
      </c>
      <c r="E192" s="64"/>
      <c r="F192" s="57"/>
      <c r="G192" s="57"/>
      <c r="H192" s="2"/>
      <c r="I192" s="70">
        <f t="shared" si="9"/>
        <v>0</v>
      </c>
      <c r="J192" s="70">
        <f t="shared" si="10"/>
        <v>0</v>
      </c>
      <c r="K192" s="70">
        <f t="shared" si="11"/>
        <v>0</v>
      </c>
      <c r="L192" s="78"/>
      <c r="M192" s="78"/>
      <c r="N192" s="64"/>
      <c r="O192" s="64"/>
      <c r="P192" s="64"/>
      <c r="Q192" s="55"/>
    </row>
    <row r="193" spans="1:17" s="56" customFormat="1" hidden="1">
      <c r="A193" s="56" t="s">
        <v>439</v>
      </c>
      <c r="B193" s="56" t="s">
        <v>440</v>
      </c>
      <c r="C193" s="95" t="s">
        <v>748</v>
      </c>
      <c r="D193" s="99" t="s">
        <v>749</v>
      </c>
      <c r="E193" s="64"/>
      <c r="F193" s="57"/>
      <c r="G193" s="57"/>
      <c r="H193" s="2"/>
      <c r="I193" s="70">
        <f t="shared" si="9"/>
        <v>0</v>
      </c>
      <c r="J193" s="70">
        <f t="shared" si="10"/>
        <v>0</v>
      </c>
      <c r="K193" s="70">
        <f t="shared" si="11"/>
        <v>0</v>
      </c>
      <c r="L193" s="78"/>
      <c r="M193" s="78"/>
      <c r="N193" s="64"/>
      <c r="O193" s="64"/>
      <c r="P193" s="64"/>
      <c r="Q193" s="55"/>
    </row>
    <row r="194" spans="1:17" s="56" customFormat="1" hidden="1">
      <c r="A194" s="56" t="s">
        <v>439</v>
      </c>
      <c r="B194" s="56" t="s">
        <v>440</v>
      </c>
      <c r="C194" s="95" t="s">
        <v>750</v>
      </c>
      <c r="D194" s="99" t="s">
        <v>751</v>
      </c>
      <c r="E194" s="64"/>
      <c r="F194" s="57"/>
      <c r="G194" s="57"/>
      <c r="H194" s="2"/>
      <c r="I194" s="70">
        <f t="shared" si="9"/>
        <v>0</v>
      </c>
      <c r="J194" s="70">
        <f t="shared" si="10"/>
        <v>0</v>
      </c>
      <c r="K194" s="70">
        <f t="shared" si="11"/>
        <v>0</v>
      </c>
      <c r="L194" s="78"/>
      <c r="M194" s="78"/>
      <c r="N194" s="64"/>
      <c r="O194" s="64"/>
      <c r="P194" s="64"/>
      <c r="Q194" s="55"/>
    </row>
    <row r="195" spans="1:17" s="3" customFormat="1">
      <c r="A195" s="61" t="s">
        <v>441</v>
      </c>
      <c r="B195" s="61" t="s">
        <v>440</v>
      </c>
      <c r="C195" s="96" t="s">
        <v>303</v>
      </c>
      <c r="D195" s="100" t="s">
        <v>304</v>
      </c>
      <c r="E195" s="62"/>
      <c r="F195" s="58"/>
      <c r="G195" s="58"/>
      <c r="H195" s="2"/>
      <c r="I195" s="70">
        <f t="shared" si="9"/>
        <v>2.8E-5</v>
      </c>
      <c r="J195" s="70">
        <f t="shared" si="10"/>
        <v>2.8E-5</v>
      </c>
      <c r="K195" s="70">
        <f t="shared" si="11"/>
        <v>2.8E-5</v>
      </c>
      <c r="L195" s="77"/>
      <c r="M195" s="77"/>
      <c r="N195" s="62">
        <v>1.1999999999999999E-3</v>
      </c>
      <c r="O195" s="62">
        <v>2.8E-5</v>
      </c>
      <c r="P195" s="62">
        <v>2.8E-5</v>
      </c>
      <c r="Q195" s="55"/>
    </row>
    <row r="196" spans="1:17" s="56" customFormat="1" hidden="1">
      <c r="A196" s="56" t="s">
        <v>441</v>
      </c>
      <c r="B196" s="56" t="s">
        <v>440</v>
      </c>
      <c r="C196" s="95" t="s">
        <v>752</v>
      </c>
      <c r="D196" s="99" t="s">
        <v>753</v>
      </c>
      <c r="E196" s="64"/>
      <c r="F196" s="57"/>
      <c r="G196" s="57"/>
      <c r="H196" s="2"/>
      <c r="I196" s="57"/>
      <c r="J196" s="57"/>
      <c r="K196" s="57"/>
      <c r="L196" s="78"/>
      <c r="M196" s="78"/>
      <c r="N196" s="64"/>
      <c r="O196" s="64"/>
      <c r="P196" s="64"/>
      <c r="Q196" s="55"/>
    </row>
    <row r="197" spans="1:17" s="56" customFormat="1" hidden="1">
      <c r="A197" s="56" t="s">
        <v>439</v>
      </c>
      <c r="B197" s="56" t="s">
        <v>440</v>
      </c>
      <c r="C197" s="95" t="s">
        <v>754</v>
      </c>
      <c r="D197" s="99" t="s">
        <v>755</v>
      </c>
      <c r="E197" s="64"/>
      <c r="F197" s="57"/>
      <c r="G197" s="57"/>
      <c r="H197" s="2"/>
      <c r="I197" s="57"/>
      <c r="J197" s="57"/>
      <c r="K197" s="57"/>
      <c r="L197" s="78"/>
      <c r="M197" s="78"/>
      <c r="N197" s="64"/>
      <c r="O197" s="64"/>
      <c r="P197" s="64"/>
      <c r="Q197" s="55"/>
    </row>
    <row r="198" spans="1:17" s="3" customFormat="1">
      <c r="A198" s="61" t="s">
        <v>441</v>
      </c>
      <c r="B198" s="61" t="s">
        <v>440</v>
      </c>
      <c r="C198" s="96" t="s">
        <v>305</v>
      </c>
      <c r="D198" s="100" t="s">
        <v>306</v>
      </c>
      <c r="E198" s="69"/>
      <c r="F198" s="60">
        <f t="shared" ref="F198:M198" si="12">+F243+F248</f>
        <v>1.1E-4</v>
      </c>
      <c r="G198" s="60">
        <f t="shared" si="12"/>
        <v>2.3000000000000001E-4</v>
      </c>
      <c r="H198" s="72"/>
      <c r="I198" s="60">
        <f t="shared" si="12"/>
        <v>1.9000000000000001E-4</v>
      </c>
      <c r="J198" s="60">
        <f t="shared" si="12"/>
        <v>8.8000011999999999E-4</v>
      </c>
      <c r="K198" s="60">
        <f>+K243+K248</f>
        <v>8.8000011999999999E-4</v>
      </c>
      <c r="L198" s="80">
        <f t="shared" si="12"/>
        <v>1.2E-10</v>
      </c>
      <c r="M198" s="80">
        <f t="shared" si="12"/>
        <v>3E-9</v>
      </c>
      <c r="N198" s="69"/>
      <c r="O198" s="69"/>
      <c r="P198" s="69"/>
      <c r="Q198" s="55"/>
    </row>
    <row r="199" spans="1:17" s="56" customFormat="1" hidden="1">
      <c r="A199" s="56" t="s">
        <v>441</v>
      </c>
      <c r="B199" s="56" t="s">
        <v>440</v>
      </c>
      <c r="C199" s="95" t="s">
        <v>756</v>
      </c>
      <c r="D199" s="99" t="s">
        <v>757</v>
      </c>
      <c r="E199" s="64"/>
      <c r="F199" s="57"/>
      <c r="G199" s="57"/>
      <c r="H199" s="2"/>
      <c r="I199" s="57"/>
      <c r="J199" s="57"/>
      <c r="K199" s="57"/>
      <c r="L199" s="78"/>
      <c r="M199" s="78"/>
      <c r="N199" s="64"/>
      <c r="O199" s="64"/>
      <c r="P199" s="64"/>
      <c r="Q199" s="55"/>
    </row>
    <row r="200" spans="1:17" s="56" customFormat="1" hidden="1">
      <c r="A200" s="56" t="s">
        <v>441</v>
      </c>
      <c r="B200" s="56" t="s">
        <v>440</v>
      </c>
      <c r="C200" s="95" t="s">
        <v>758</v>
      </c>
      <c r="D200" s="99" t="s">
        <v>759</v>
      </c>
      <c r="E200" s="64"/>
      <c r="F200" s="57"/>
      <c r="G200" s="57"/>
      <c r="H200" s="2"/>
      <c r="I200" s="57"/>
      <c r="J200" s="57"/>
      <c r="K200" s="57"/>
      <c r="L200" s="78"/>
      <c r="M200" s="78"/>
      <c r="N200" s="64"/>
      <c r="O200" s="64"/>
      <c r="P200" s="64"/>
      <c r="Q200" s="55"/>
    </row>
    <row r="201" spans="1:17" s="3" customFormat="1">
      <c r="A201" s="3" t="s">
        <v>441</v>
      </c>
      <c r="B201" s="3" t="s">
        <v>440</v>
      </c>
      <c r="C201" s="94" t="s">
        <v>307</v>
      </c>
      <c r="D201" s="98" t="s">
        <v>308</v>
      </c>
      <c r="E201" s="62"/>
      <c r="F201" s="58"/>
      <c r="G201" s="58"/>
      <c r="H201" s="2"/>
      <c r="I201" s="58"/>
      <c r="J201" s="58"/>
      <c r="K201" s="58">
        <v>1.2999999999999999E-4</v>
      </c>
      <c r="L201" s="77"/>
      <c r="M201" s="77"/>
      <c r="N201" s="62"/>
      <c r="O201" s="62"/>
      <c r="P201" s="62"/>
      <c r="Q201" s="55"/>
    </row>
    <row r="202" spans="1:17" s="56" customFormat="1" hidden="1">
      <c r="A202" s="56" t="s">
        <v>441</v>
      </c>
      <c r="B202" s="56" t="s">
        <v>440</v>
      </c>
      <c r="C202" s="95" t="s">
        <v>760</v>
      </c>
      <c r="D202" s="99" t="s">
        <v>761</v>
      </c>
      <c r="E202" s="64"/>
      <c r="F202" s="57"/>
      <c r="G202" s="57"/>
      <c r="H202" s="2"/>
      <c r="I202" s="57"/>
      <c r="J202" s="57"/>
      <c r="K202" s="57"/>
      <c r="L202" s="78"/>
      <c r="M202" s="78"/>
      <c r="N202" s="64"/>
      <c r="O202" s="64"/>
      <c r="P202" s="64"/>
      <c r="Q202" s="55"/>
    </row>
    <row r="203" spans="1:17" s="56" customFormat="1" hidden="1">
      <c r="A203" s="56" t="s">
        <v>441</v>
      </c>
      <c r="B203" s="56" t="s">
        <v>440</v>
      </c>
      <c r="C203" s="95" t="s">
        <v>762</v>
      </c>
      <c r="D203" s="99" t="s">
        <v>763</v>
      </c>
      <c r="E203" s="64"/>
      <c r="F203" s="57"/>
      <c r="G203" s="57"/>
      <c r="H203" s="2"/>
      <c r="I203" s="57"/>
      <c r="J203" s="57"/>
      <c r="K203" s="57"/>
      <c r="L203" s="78"/>
      <c r="M203" s="78"/>
      <c r="N203" s="64"/>
      <c r="O203" s="64"/>
      <c r="P203" s="64"/>
      <c r="Q203" s="55"/>
    </row>
    <row r="204" spans="1:17" s="56" customFormat="1" hidden="1">
      <c r="A204" s="56" t="s">
        <v>441</v>
      </c>
      <c r="B204" s="56" t="s">
        <v>440</v>
      </c>
      <c r="C204" s="95" t="s">
        <v>764</v>
      </c>
      <c r="D204" s="99" t="s">
        <v>765</v>
      </c>
      <c r="E204" s="64"/>
      <c r="F204" s="57"/>
      <c r="G204" s="57"/>
      <c r="H204" s="2"/>
      <c r="I204" s="57"/>
      <c r="J204" s="57"/>
      <c r="K204" s="57"/>
      <c r="L204" s="78"/>
      <c r="M204" s="78"/>
      <c r="N204" s="64"/>
      <c r="O204" s="64"/>
      <c r="P204" s="64"/>
      <c r="Q204" s="55"/>
    </row>
    <row r="205" spans="1:17" s="56" customFormat="1" hidden="1">
      <c r="A205" s="56" t="s">
        <v>441</v>
      </c>
      <c r="B205" s="56" t="s">
        <v>440</v>
      </c>
      <c r="C205" s="95" t="s">
        <v>766</v>
      </c>
      <c r="D205" s="99" t="s">
        <v>767</v>
      </c>
      <c r="E205" s="64"/>
      <c r="F205" s="57"/>
      <c r="G205" s="57"/>
      <c r="H205" s="2"/>
      <c r="I205" s="57"/>
      <c r="J205" s="57"/>
      <c r="K205" s="57"/>
      <c r="L205" s="78"/>
      <c r="M205" s="78"/>
      <c r="N205" s="64"/>
      <c r="O205" s="64"/>
      <c r="P205" s="64"/>
      <c r="Q205" s="55"/>
    </row>
    <row r="206" spans="1:17" s="56" customFormat="1" hidden="1">
      <c r="A206" s="56" t="s">
        <v>441</v>
      </c>
      <c r="B206" s="56" t="s">
        <v>440</v>
      </c>
      <c r="C206" s="95" t="s">
        <v>768</v>
      </c>
      <c r="D206" s="99" t="s">
        <v>769</v>
      </c>
      <c r="E206" s="64"/>
      <c r="F206" s="57"/>
      <c r="G206" s="57"/>
      <c r="H206" s="2"/>
      <c r="I206" s="57"/>
      <c r="J206" s="57"/>
      <c r="K206" s="57"/>
      <c r="L206" s="78"/>
      <c r="M206" s="78"/>
      <c r="N206" s="64"/>
      <c r="O206" s="64"/>
      <c r="P206" s="64"/>
      <c r="Q206" s="55"/>
    </row>
    <row r="207" spans="1:17" s="3" customFormat="1">
      <c r="A207" s="3" t="s">
        <v>441</v>
      </c>
      <c r="B207" s="3" t="s">
        <v>440</v>
      </c>
      <c r="C207" s="94" t="s">
        <v>309</v>
      </c>
      <c r="D207" s="98" t="s">
        <v>310</v>
      </c>
      <c r="E207" s="62"/>
      <c r="F207" s="58">
        <v>2.7E-4</v>
      </c>
      <c r="G207" s="58">
        <v>2.7E-4</v>
      </c>
      <c r="H207" s="2"/>
      <c r="I207" s="58"/>
      <c r="J207" s="58"/>
      <c r="K207" s="58">
        <v>1.6000000000000001E-4</v>
      </c>
      <c r="L207" s="77"/>
      <c r="M207" s="77"/>
      <c r="N207" s="62"/>
      <c r="O207" s="62"/>
      <c r="P207" s="62"/>
      <c r="Q207" s="55"/>
    </row>
    <row r="208" spans="1:17" s="3" customFormat="1">
      <c r="A208" s="61" t="s">
        <v>441</v>
      </c>
      <c r="B208" s="61" t="s">
        <v>440</v>
      </c>
      <c r="C208" s="96" t="s">
        <v>311</v>
      </c>
      <c r="D208" s="100" t="s">
        <v>312</v>
      </c>
      <c r="E208" s="62">
        <v>4.8999999999999997E-7</v>
      </c>
      <c r="F208" s="70">
        <f>+E208</f>
        <v>4.8999999999999997E-7</v>
      </c>
      <c r="G208" s="70">
        <f>+E208</f>
        <v>4.8999999999999997E-7</v>
      </c>
      <c r="H208" s="2"/>
      <c r="I208" s="70">
        <f>+O208</f>
        <v>3.4999999999999998E-7</v>
      </c>
      <c r="J208" s="70">
        <f>+P208</f>
        <v>3.4999999999999998E-7</v>
      </c>
      <c r="K208" s="70">
        <f>+P208</f>
        <v>3.4999999999999998E-7</v>
      </c>
      <c r="L208" s="77"/>
      <c r="M208" s="77"/>
      <c r="N208" s="62"/>
      <c r="O208" s="62">
        <v>3.4999999999999998E-7</v>
      </c>
      <c r="P208" s="62">
        <v>3.4999999999999998E-7</v>
      </c>
      <c r="Q208" s="55"/>
    </row>
    <row r="209" spans="1:17" s="56" customFormat="1" hidden="1">
      <c r="A209" s="56" t="s">
        <v>439</v>
      </c>
      <c r="B209" s="56" t="s">
        <v>440</v>
      </c>
      <c r="C209" s="95" t="s">
        <v>180</v>
      </c>
      <c r="D209" s="99" t="s">
        <v>181</v>
      </c>
      <c r="E209" s="64"/>
      <c r="F209" s="57"/>
      <c r="G209" s="57"/>
      <c r="H209" s="2"/>
      <c r="I209" s="57"/>
      <c r="J209" s="57"/>
      <c r="K209" s="57"/>
      <c r="L209" s="78"/>
      <c r="M209" s="78"/>
      <c r="N209" s="64"/>
      <c r="O209" s="64"/>
      <c r="P209" s="64"/>
      <c r="Q209" s="55"/>
    </row>
    <row r="210" spans="1:17" s="56" customFormat="1" hidden="1">
      <c r="A210" s="56" t="s">
        <v>441</v>
      </c>
      <c r="B210" s="56" t="s">
        <v>440</v>
      </c>
      <c r="C210" s="95" t="s">
        <v>770</v>
      </c>
      <c r="D210" s="99" t="s">
        <v>771</v>
      </c>
      <c r="E210" s="64"/>
      <c r="F210" s="57"/>
      <c r="G210" s="57"/>
      <c r="H210" s="2"/>
      <c r="I210" s="57"/>
      <c r="J210" s="57"/>
      <c r="K210" s="57"/>
      <c r="L210" s="78"/>
      <c r="M210" s="78"/>
      <c r="N210" s="64"/>
      <c r="O210" s="64"/>
      <c r="P210" s="64"/>
      <c r="Q210" s="55"/>
    </row>
    <row r="211" spans="1:17" s="56" customFormat="1" hidden="1">
      <c r="A211" s="56" t="s">
        <v>439</v>
      </c>
      <c r="B211" s="56" t="s">
        <v>441</v>
      </c>
      <c r="C211" s="95" t="s">
        <v>772</v>
      </c>
      <c r="D211" s="99" t="s">
        <v>773</v>
      </c>
      <c r="E211" s="64"/>
      <c r="F211" s="57"/>
      <c r="G211" s="57"/>
      <c r="H211" s="2"/>
      <c r="I211" s="57"/>
      <c r="J211" s="57"/>
      <c r="K211" s="57"/>
      <c r="L211" s="78"/>
      <c r="M211" s="78"/>
      <c r="N211" s="64"/>
      <c r="O211" s="64"/>
      <c r="P211" s="64"/>
      <c r="Q211" s="55"/>
    </row>
    <row r="212" spans="1:17" s="56" customFormat="1" hidden="1">
      <c r="A212" s="56" t="s">
        <v>439</v>
      </c>
      <c r="B212" s="56" t="s">
        <v>441</v>
      </c>
      <c r="C212" s="95" t="s">
        <v>774</v>
      </c>
      <c r="D212" s="99" t="s">
        <v>775</v>
      </c>
      <c r="E212" s="64"/>
      <c r="F212" s="57"/>
      <c r="G212" s="57"/>
      <c r="H212" s="2"/>
      <c r="I212" s="57"/>
      <c r="J212" s="57"/>
      <c r="K212" s="57"/>
      <c r="L212" s="78"/>
      <c r="M212" s="78"/>
      <c r="N212" s="64"/>
      <c r="O212" s="64"/>
      <c r="P212" s="64"/>
      <c r="Q212" s="55"/>
    </row>
    <row r="213" spans="1:17" s="56" customFormat="1" hidden="1">
      <c r="A213" s="56" t="s">
        <v>439</v>
      </c>
      <c r="B213" s="56" t="s">
        <v>441</v>
      </c>
      <c r="C213" s="95" t="s">
        <v>776</v>
      </c>
      <c r="D213" s="99" t="s">
        <v>777</v>
      </c>
      <c r="E213" s="64"/>
      <c r="F213" s="57"/>
      <c r="G213" s="57"/>
      <c r="H213" s="2"/>
      <c r="I213" s="57"/>
      <c r="J213" s="57"/>
      <c r="K213" s="57"/>
      <c r="L213" s="78"/>
      <c r="M213" s="78"/>
      <c r="N213" s="64"/>
      <c r="O213" s="64"/>
      <c r="P213" s="64"/>
      <c r="Q213" s="55"/>
    </row>
    <row r="214" spans="1:17" s="3" customFormat="1">
      <c r="A214" s="3" t="s">
        <v>439</v>
      </c>
      <c r="B214" s="3" t="s">
        <v>440</v>
      </c>
      <c r="C214" s="94" t="s">
        <v>184</v>
      </c>
      <c r="D214" s="98" t="s">
        <v>185</v>
      </c>
      <c r="E214" s="62"/>
      <c r="F214" s="58"/>
      <c r="G214" s="58"/>
      <c r="H214" s="2"/>
      <c r="I214" s="58"/>
      <c r="J214" s="70">
        <f>+L214</f>
        <v>2.0999999999999999E-13</v>
      </c>
      <c r="K214" s="70">
        <f>+L214</f>
        <v>2.0999999999999999E-13</v>
      </c>
      <c r="L214" s="77">
        <v>2.0999999999999999E-13</v>
      </c>
      <c r="M214" s="77"/>
      <c r="N214" s="62"/>
      <c r="O214" s="62"/>
      <c r="P214" s="62"/>
      <c r="Q214" s="55"/>
    </row>
    <row r="215" spans="1:17" s="56" customFormat="1" hidden="1">
      <c r="A215" s="56" t="s">
        <v>439</v>
      </c>
      <c r="B215" s="56" t="s">
        <v>440</v>
      </c>
      <c r="C215" s="95" t="s">
        <v>778</v>
      </c>
      <c r="D215" s="99" t="s">
        <v>779</v>
      </c>
      <c r="E215" s="64"/>
      <c r="F215" s="57"/>
      <c r="G215" s="57"/>
      <c r="H215" s="2"/>
      <c r="I215" s="57"/>
      <c r="J215" s="57"/>
      <c r="K215" s="57"/>
      <c r="L215" s="78"/>
      <c r="M215" s="78"/>
      <c r="N215" s="64"/>
      <c r="O215" s="64"/>
      <c r="P215" s="64"/>
      <c r="Q215" s="55"/>
    </row>
    <row r="216" spans="1:17" s="56" customFormat="1" hidden="1">
      <c r="A216" s="56" t="s">
        <v>441</v>
      </c>
      <c r="B216" s="56" t="s">
        <v>440</v>
      </c>
      <c r="C216" s="95" t="s">
        <v>780</v>
      </c>
      <c r="D216" s="99" t="s">
        <v>781</v>
      </c>
      <c r="E216" s="64"/>
      <c r="F216" s="57"/>
      <c r="G216" s="57"/>
      <c r="H216" s="2"/>
      <c r="I216" s="57"/>
      <c r="J216" s="57"/>
      <c r="K216" s="57"/>
      <c r="L216" s="78"/>
      <c r="M216" s="78"/>
      <c r="N216" s="64"/>
      <c r="O216" s="64"/>
      <c r="P216" s="64"/>
      <c r="Q216" s="55"/>
    </row>
    <row r="217" spans="1:17" s="3" customFormat="1">
      <c r="A217" s="3" t="s">
        <v>439</v>
      </c>
      <c r="B217" s="3" t="s">
        <v>440</v>
      </c>
      <c r="C217" s="94" t="s">
        <v>188</v>
      </c>
      <c r="D217" s="98" t="s">
        <v>189</v>
      </c>
      <c r="E217" s="62"/>
      <c r="F217" s="58">
        <v>1E-3</v>
      </c>
      <c r="G217" s="58">
        <v>1E-3</v>
      </c>
      <c r="H217" s="2"/>
      <c r="I217" s="58">
        <v>1.4999999999999999E-4</v>
      </c>
      <c r="J217" s="58">
        <v>2.8999999999999998E-3</v>
      </c>
      <c r="K217" s="58">
        <v>2.8999999999999998E-3</v>
      </c>
      <c r="L217" s="77"/>
      <c r="M217" s="77"/>
      <c r="N217" s="62"/>
      <c r="O217" s="62"/>
      <c r="P217" s="62"/>
      <c r="Q217" s="55"/>
    </row>
    <row r="218" spans="1:17" s="56" customFormat="1" hidden="1">
      <c r="A218" s="56" t="s">
        <v>441</v>
      </c>
      <c r="B218" s="56" t="s">
        <v>440</v>
      </c>
      <c r="C218" s="95" t="s">
        <v>782</v>
      </c>
      <c r="D218" s="99" t="s">
        <v>783</v>
      </c>
      <c r="E218" s="64"/>
      <c r="F218" s="57"/>
      <c r="G218" s="57"/>
      <c r="H218" s="2"/>
      <c r="I218" s="57"/>
      <c r="J218" s="57"/>
      <c r="K218" s="57"/>
      <c r="L218" s="78"/>
      <c r="M218" s="78"/>
      <c r="N218" s="64"/>
      <c r="O218" s="64"/>
      <c r="P218" s="64"/>
      <c r="Q218" s="55"/>
    </row>
    <row r="219" spans="1:17" s="56" customFormat="1" hidden="1">
      <c r="A219" s="56" t="s">
        <v>439</v>
      </c>
      <c r="B219" s="56" t="s">
        <v>440</v>
      </c>
      <c r="C219" s="95" t="s">
        <v>784</v>
      </c>
      <c r="D219" s="99" t="s">
        <v>785</v>
      </c>
      <c r="E219" s="64"/>
      <c r="F219" s="57"/>
      <c r="G219" s="57"/>
      <c r="H219" s="2"/>
      <c r="I219" s="57"/>
      <c r="J219" s="57"/>
      <c r="K219" s="57"/>
      <c r="L219" s="78"/>
      <c r="M219" s="78"/>
      <c r="N219" s="64"/>
      <c r="O219" s="64"/>
      <c r="P219" s="64"/>
      <c r="Q219" s="55"/>
    </row>
    <row r="220" spans="1:17" s="56" customFormat="1" hidden="1">
      <c r="A220" s="56" t="s">
        <v>441</v>
      </c>
      <c r="B220" s="56" t="s">
        <v>440</v>
      </c>
      <c r="C220" s="95" t="s">
        <v>786</v>
      </c>
      <c r="D220" s="99" t="s">
        <v>787</v>
      </c>
      <c r="E220" s="64"/>
      <c r="F220" s="57"/>
      <c r="G220" s="57"/>
      <c r="H220" s="2"/>
      <c r="I220" s="57"/>
      <c r="J220" s="57"/>
      <c r="K220" s="57"/>
      <c r="L220" s="78"/>
      <c r="M220" s="78"/>
      <c r="N220" s="64"/>
      <c r="O220" s="64"/>
      <c r="P220" s="64"/>
      <c r="Q220" s="55"/>
    </row>
    <row r="221" spans="1:17" s="56" customFormat="1" hidden="1">
      <c r="A221" s="56" t="s">
        <v>441</v>
      </c>
      <c r="B221" s="56" t="s">
        <v>440</v>
      </c>
      <c r="C221" s="95" t="s">
        <v>788</v>
      </c>
      <c r="D221" s="99" t="s">
        <v>789</v>
      </c>
      <c r="E221" s="64"/>
      <c r="F221" s="57"/>
      <c r="G221" s="57"/>
      <c r="H221" s="2"/>
      <c r="I221" s="57"/>
      <c r="J221" s="57"/>
      <c r="K221" s="57"/>
      <c r="L221" s="78"/>
      <c r="M221" s="78"/>
      <c r="N221" s="64"/>
      <c r="O221" s="64"/>
      <c r="P221" s="64"/>
      <c r="Q221" s="55"/>
    </row>
    <row r="222" spans="1:17" s="56" customFormat="1" hidden="1">
      <c r="A222" s="56" t="s">
        <v>439</v>
      </c>
      <c r="B222" s="56" t="s">
        <v>441</v>
      </c>
      <c r="C222" s="95" t="s">
        <v>790</v>
      </c>
      <c r="D222" s="99" t="s">
        <v>791</v>
      </c>
      <c r="E222" s="64"/>
      <c r="F222" s="57"/>
      <c r="G222" s="57"/>
      <c r="H222" s="2"/>
      <c r="I222" s="57"/>
      <c r="J222" s="57"/>
      <c r="K222" s="57"/>
      <c r="L222" s="78"/>
      <c r="M222" s="78"/>
      <c r="N222" s="64"/>
      <c r="O222" s="64"/>
      <c r="P222" s="64"/>
      <c r="Q222" s="55"/>
    </row>
    <row r="223" spans="1:17" s="56" customFormat="1" hidden="1">
      <c r="A223" s="56" t="s">
        <v>441</v>
      </c>
      <c r="B223" s="56" t="s">
        <v>440</v>
      </c>
      <c r="C223" s="95" t="s">
        <v>792</v>
      </c>
      <c r="D223" s="99" t="s">
        <v>793</v>
      </c>
      <c r="E223" s="64"/>
      <c r="F223" s="57"/>
      <c r="G223" s="57"/>
      <c r="H223" s="2"/>
      <c r="I223" s="57"/>
      <c r="J223" s="57"/>
      <c r="K223" s="57"/>
      <c r="L223" s="78"/>
      <c r="M223" s="78"/>
      <c r="N223" s="64"/>
      <c r="O223" s="64"/>
      <c r="P223" s="64"/>
      <c r="Q223" s="55"/>
    </row>
    <row r="224" spans="1:17" s="56" customFormat="1" hidden="1">
      <c r="A224" s="56" t="s">
        <v>441</v>
      </c>
      <c r="B224" s="56" t="s">
        <v>440</v>
      </c>
      <c r="C224" s="95" t="s">
        <v>794</v>
      </c>
      <c r="D224" s="99" t="s">
        <v>795</v>
      </c>
      <c r="E224" s="64"/>
      <c r="F224" s="57"/>
      <c r="G224" s="57"/>
      <c r="H224" s="2"/>
      <c r="I224" s="57"/>
      <c r="J224" s="57"/>
      <c r="K224" s="57"/>
      <c r="L224" s="78"/>
      <c r="M224" s="78"/>
      <c r="N224" s="64"/>
      <c r="O224" s="64"/>
      <c r="P224" s="64"/>
      <c r="Q224" s="55"/>
    </row>
    <row r="225" spans="1:17" s="56" customFormat="1" hidden="1">
      <c r="A225" s="56" t="s">
        <v>439</v>
      </c>
      <c r="B225" s="56" t="s">
        <v>440</v>
      </c>
      <c r="C225" s="95" t="s">
        <v>192</v>
      </c>
      <c r="D225" s="99" t="s">
        <v>193</v>
      </c>
      <c r="E225" s="64"/>
      <c r="F225" s="57"/>
      <c r="G225" s="57"/>
      <c r="H225" s="2"/>
      <c r="I225" s="57"/>
      <c r="J225" s="57"/>
      <c r="K225" s="57"/>
      <c r="L225" s="78"/>
      <c r="M225" s="78"/>
      <c r="N225" s="64"/>
      <c r="O225" s="64"/>
      <c r="P225" s="64"/>
      <c r="Q225" s="55"/>
    </row>
    <row r="226" spans="1:17" s="56" customFormat="1" hidden="1">
      <c r="A226" s="56" t="s">
        <v>439</v>
      </c>
      <c r="B226" s="56" t="s">
        <v>441</v>
      </c>
      <c r="C226" s="95" t="s">
        <v>402</v>
      </c>
      <c r="D226" s="99" t="s">
        <v>403</v>
      </c>
      <c r="E226" s="64"/>
      <c r="F226" s="57"/>
      <c r="G226" s="57"/>
      <c r="H226" s="2"/>
      <c r="I226" s="57"/>
      <c r="J226" s="57"/>
      <c r="K226" s="57"/>
      <c r="L226" s="78"/>
      <c r="M226" s="78"/>
      <c r="N226" s="64"/>
      <c r="O226" s="64"/>
      <c r="P226" s="64"/>
      <c r="Q226" s="55"/>
    </row>
    <row r="227" spans="1:17" s="56" customFormat="1" hidden="1">
      <c r="A227" s="56" t="s">
        <v>441</v>
      </c>
      <c r="B227" s="56" t="s">
        <v>440</v>
      </c>
      <c r="C227" s="95" t="s">
        <v>796</v>
      </c>
      <c r="D227" s="99" t="s">
        <v>797</v>
      </c>
      <c r="E227" s="64"/>
      <c r="F227" s="57"/>
      <c r="G227" s="57"/>
      <c r="H227" s="2"/>
      <c r="I227" s="57"/>
      <c r="J227" s="57"/>
      <c r="K227" s="57"/>
      <c r="L227" s="78"/>
      <c r="M227" s="78"/>
      <c r="N227" s="64"/>
      <c r="O227" s="64"/>
      <c r="P227" s="64"/>
      <c r="Q227" s="55"/>
    </row>
    <row r="228" spans="1:17" s="56" customFormat="1" hidden="1">
      <c r="A228" s="56" t="s">
        <v>441</v>
      </c>
      <c r="B228" s="56" t="s">
        <v>440</v>
      </c>
      <c r="C228" s="95" t="s">
        <v>798</v>
      </c>
      <c r="D228" s="99" t="s">
        <v>799</v>
      </c>
      <c r="E228" s="64"/>
      <c r="F228" s="57"/>
      <c r="G228" s="57"/>
      <c r="H228" s="2"/>
      <c r="I228" s="57"/>
      <c r="J228" s="57"/>
      <c r="K228" s="57"/>
      <c r="L228" s="78"/>
      <c r="M228" s="78"/>
      <c r="N228" s="64"/>
      <c r="O228" s="64"/>
      <c r="P228" s="64"/>
      <c r="Q228" s="55"/>
    </row>
    <row r="229" spans="1:17" s="56" customFormat="1" hidden="1">
      <c r="A229" s="56" t="s">
        <v>441</v>
      </c>
      <c r="B229" s="56" t="s">
        <v>440</v>
      </c>
      <c r="C229" s="95" t="s">
        <v>800</v>
      </c>
      <c r="D229" s="99" t="s">
        <v>801</v>
      </c>
      <c r="E229" s="64"/>
      <c r="F229" s="57"/>
      <c r="G229" s="57"/>
      <c r="H229" s="2"/>
      <c r="I229" s="57"/>
      <c r="J229" s="57"/>
      <c r="K229" s="57"/>
      <c r="L229" s="78"/>
      <c r="M229" s="78"/>
      <c r="N229" s="64"/>
      <c r="O229" s="64"/>
      <c r="P229" s="64"/>
      <c r="Q229" s="55"/>
    </row>
    <row r="230" spans="1:17" s="56" customFormat="1" hidden="1">
      <c r="A230" s="56" t="s">
        <v>441</v>
      </c>
      <c r="B230" s="56" t="s">
        <v>440</v>
      </c>
      <c r="C230" s="95" t="s">
        <v>802</v>
      </c>
      <c r="D230" s="99" t="s">
        <v>803</v>
      </c>
      <c r="E230" s="64"/>
      <c r="F230" s="57"/>
      <c r="G230" s="57"/>
      <c r="H230" s="2"/>
      <c r="I230" s="57"/>
      <c r="J230" s="57"/>
      <c r="K230" s="57"/>
      <c r="L230" s="78"/>
      <c r="M230" s="78"/>
      <c r="N230" s="64"/>
      <c r="O230" s="64"/>
      <c r="P230" s="64"/>
      <c r="Q230" s="55"/>
    </row>
    <row r="231" spans="1:17" s="3" customFormat="1">
      <c r="B231" s="3" t="s">
        <v>440</v>
      </c>
      <c r="C231" s="94" t="s">
        <v>313</v>
      </c>
      <c r="D231" s="98" t="s">
        <v>314</v>
      </c>
      <c r="E231" s="68"/>
      <c r="F231" s="59"/>
      <c r="G231" s="59"/>
      <c r="H231" s="2"/>
      <c r="I231" s="59">
        <v>4.0000000000000003E-5</v>
      </c>
      <c r="J231" s="59">
        <v>4.0000000000000003E-5</v>
      </c>
      <c r="K231" s="59">
        <v>4.0000000000000003E-5</v>
      </c>
      <c r="L231" s="79"/>
      <c r="M231" s="79"/>
      <c r="N231" s="68"/>
      <c r="O231" s="68"/>
      <c r="P231" s="68"/>
      <c r="Q231" s="55"/>
    </row>
    <row r="232" spans="1:17" s="56" customFormat="1" hidden="1">
      <c r="A232" s="56" t="s">
        <v>441</v>
      </c>
      <c r="B232" s="56" t="s">
        <v>440</v>
      </c>
      <c r="C232" s="95" t="s">
        <v>804</v>
      </c>
      <c r="D232" s="99" t="s">
        <v>805</v>
      </c>
      <c r="E232" s="64"/>
      <c r="F232" s="57"/>
      <c r="G232" s="57"/>
      <c r="H232" s="2"/>
      <c r="I232" s="57"/>
      <c r="J232" s="57"/>
      <c r="K232" s="57"/>
      <c r="L232" s="78"/>
      <c r="M232" s="78"/>
      <c r="N232" s="64"/>
      <c r="O232" s="64"/>
      <c r="P232" s="64"/>
      <c r="Q232" s="55"/>
    </row>
    <row r="233" spans="1:17" s="56" customFormat="1" hidden="1">
      <c r="A233" s="56" t="s">
        <v>441</v>
      </c>
      <c r="B233" s="56" t="s">
        <v>440</v>
      </c>
      <c r="C233" s="95" t="s">
        <v>806</v>
      </c>
      <c r="D233" s="99" t="s">
        <v>807</v>
      </c>
      <c r="E233" s="64"/>
      <c r="F233" s="57"/>
      <c r="G233" s="57"/>
      <c r="H233" s="2"/>
      <c r="I233" s="57"/>
      <c r="J233" s="57"/>
      <c r="K233" s="57"/>
      <c r="L233" s="78"/>
      <c r="M233" s="78"/>
      <c r="N233" s="64"/>
      <c r="O233" s="64"/>
      <c r="P233" s="64"/>
      <c r="Q233" s="55"/>
    </row>
    <row r="234" spans="1:17" s="56" customFormat="1" hidden="1">
      <c r="A234" s="56" t="s">
        <v>439</v>
      </c>
      <c r="B234" s="56" t="s">
        <v>440</v>
      </c>
      <c r="C234" s="95" t="s">
        <v>808</v>
      </c>
      <c r="D234" s="99" t="s">
        <v>809</v>
      </c>
      <c r="E234" s="64"/>
      <c r="F234" s="57"/>
      <c r="G234" s="57"/>
      <c r="H234" s="2"/>
      <c r="I234" s="57"/>
      <c r="J234" s="57"/>
      <c r="K234" s="57"/>
      <c r="L234" s="78"/>
      <c r="M234" s="78"/>
      <c r="N234" s="64"/>
      <c r="O234" s="64"/>
      <c r="P234" s="64"/>
      <c r="Q234" s="55"/>
    </row>
    <row r="235" spans="1:17" s="56" customFormat="1" hidden="1">
      <c r="A235" s="56" t="s">
        <v>439</v>
      </c>
      <c r="B235" s="56" t="s">
        <v>440</v>
      </c>
      <c r="C235" s="95" t="s">
        <v>810</v>
      </c>
      <c r="D235" s="99" t="s">
        <v>811</v>
      </c>
      <c r="E235" s="64"/>
      <c r="F235" s="57"/>
      <c r="G235" s="57"/>
      <c r="H235" s="2"/>
      <c r="I235" s="57"/>
      <c r="J235" s="57"/>
      <c r="K235" s="57"/>
      <c r="L235" s="78"/>
      <c r="M235" s="78"/>
      <c r="N235" s="64"/>
      <c r="O235" s="64"/>
      <c r="P235" s="64"/>
      <c r="Q235" s="55"/>
    </row>
    <row r="236" spans="1:17" s="3" customFormat="1">
      <c r="A236" s="3" t="s">
        <v>439</v>
      </c>
      <c r="B236" s="3" t="s">
        <v>440</v>
      </c>
      <c r="C236" s="94" t="s">
        <v>195</v>
      </c>
      <c r="D236" s="98" t="s">
        <v>196</v>
      </c>
      <c r="E236" s="62"/>
      <c r="F236" s="58">
        <v>2.7000000000000001E-3</v>
      </c>
      <c r="G236" s="58">
        <v>2.7000000000000001E-3</v>
      </c>
      <c r="H236" s="2"/>
      <c r="I236" s="58">
        <v>2.0000000000000001E-4</v>
      </c>
      <c r="J236" s="58">
        <v>2.0000000000000001E-4</v>
      </c>
      <c r="K236" s="58">
        <v>2.0000000000000001E-4</v>
      </c>
      <c r="L236" s="77"/>
      <c r="M236" s="77"/>
      <c r="N236" s="62"/>
      <c r="O236" s="62"/>
      <c r="P236" s="62"/>
      <c r="Q236" s="55"/>
    </row>
    <row r="237" spans="1:17" s="56" customFormat="1" hidden="1">
      <c r="A237" s="56" t="s">
        <v>441</v>
      </c>
      <c r="B237" s="56" t="s">
        <v>440</v>
      </c>
      <c r="C237" s="56" t="s">
        <v>812</v>
      </c>
      <c r="D237" s="56" t="s">
        <v>813</v>
      </c>
      <c r="E237" s="64"/>
      <c r="F237" s="57"/>
      <c r="G237" s="57"/>
      <c r="H237" s="2"/>
      <c r="I237" s="57"/>
      <c r="J237" s="57"/>
      <c r="K237" s="57"/>
      <c r="L237" s="78"/>
      <c r="M237" s="78"/>
      <c r="N237" s="64"/>
      <c r="O237" s="64"/>
      <c r="P237" s="64"/>
      <c r="Q237" s="55"/>
    </row>
    <row r="238" spans="1:17" s="56" customFormat="1" hidden="1">
      <c r="A238" s="56" t="s">
        <v>441</v>
      </c>
      <c r="B238" s="56" t="s">
        <v>440</v>
      </c>
      <c r="C238" s="56" t="s">
        <v>333</v>
      </c>
      <c r="D238" s="56" t="s">
        <v>334</v>
      </c>
      <c r="E238" s="64"/>
      <c r="F238" s="57"/>
      <c r="G238" s="57"/>
      <c r="H238" s="2"/>
      <c r="I238" s="57"/>
      <c r="J238" s="57"/>
      <c r="K238" s="57"/>
      <c r="L238" s="78"/>
      <c r="M238" s="78"/>
      <c r="N238" s="64"/>
      <c r="O238" s="64"/>
      <c r="P238" s="64"/>
      <c r="Q238" s="55"/>
    </row>
    <row r="239" spans="1:17" s="56" customFormat="1" hidden="1">
      <c r="A239" s="56" t="s">
        <v>441</v>
      </c>
      <c r="B239" s="56" t="s">
        <v>440</v>
      </c>
      <c r="C239" s="56" t="s">
        <v>814</v>
      </c>
      <c r="D239" s="56" t="s">
        <v>815</v>
      </c>
      <c r="E239" s="64"/>
      <c r="F239" s="57"/>
      <c r="G239" s="57"/>
      <c r="H239" s="2"/>
      <c r="I239" s="57"/>
      <c r="J239" s="57"/>
      <c r="K239" s="57"/>
      <c r="L239" s="78"/>
      <c r="M239" s="78"/>
      <c r="N239" s="64"/>
      <c r="O239" s="64"/>
      <c r="P239" s="64"/>
      <c r="Q239" s="55"/>
    </row>
    <row r="240" spans="1:17">
      <c r="A240" s="2"/>
      <c r="B240" s="2"/>
      <c r="C240" s="2"/>
      <c r="D240" s="2"/>
      <c r="E240" s="67"/>
      <c r="F240" s="7"/>
      <c r="G240" s="7"/>
      <c r="H240" s="2"/>
      <c r="I240" s="7"/>
      <c r="J240" s="7"/>
      <c r="K240" s="7"/>
      <c r="L240" s="76"/>
      <c r="M240" s="76"/>
      <c r="N240" s="67"/>
      <c r="O240" s="67"/>
      <c r="P240" s="67"/>
    </row>
    <row r="241" spans="1:16">
      <c r="C241" s="8" t="s">
        <v>816</v>
      </c>
      <c r="F241" s="6">
        <f>SUM(F11:F239)</f>
        <v>7.7212803099999993E-3</v>
      </c>
      <c r="G241" s="6">
        <f>SUM(G11:G239)</f>
        <v>7.8412803100000004E-3</v>
      </c>
      <c r="H241" s="2"/>
    </row>
    <row r="242" spans="1:16">
      <c r="C242" s="8" t="s">
        <v>817</v>
      </c>
      <c r="F242" s="6">
        <v>7.4999999999999997E-3</v>
      </c>
      <c r="G242" s="6">
        <v>7.4999999999999997E-3</v>
      </c>
      <c r="H242" s="2"/>
      <c r="I242" s="6">
        <v>5.1000000000000004E-3</v>
      </c>
      <c r="J242" s="6">
        <v>7.7999999999999996E-3</v>
      </c>
      <c r="K242" s="6">
        <v>9.4999999999999998E-3</v>
      </c>
    </row>
    <row r="243" spans="1:16">
      <c r="C243" s="8" t="s">
        <v>818</v>
      </c>
      <c r="F243" s="6">
        <v>1.1E-4</v>
      </c>
      <c r="G243" s="6">
        <v>2.3000000000000001E-4</v>
      </c>
      <c r="H243" s="2"/>
      <c r="I243" s="6">
        <v>1.9000000000000001E-4</v>
      </c>
      <c r="J243" s="6">
        <v>8.8000000000000003E-4</v>
      </c>
      <c r="K243" s="6">
        <v>8.8000000000000003E-4</v>
      </c>
    </row>
    <row r="244" spans="1:16">
      <c r="C244" s="87" t="s">
        <v>139</v>
      </c>
      <c r="F244" s="6">
        <v>7.6E-3</v>
      </c>
      <c r="G244" s="6">
        <v>7.7000000000000002E-3</v>
      </c>
      <c r="H244" s="2"/>
      <c r="I244" s="6">
        <v>5.3E-3</v>
      </c>
      <c r="J244" s="6">
        <v>8.6999999999999994E-3</v>
      </c>
      <c r="K244" s="6">
        <v>0.01</v>
      </c>
    </row>
    <row r="245" spans="1:16">
      <c r="H245" s="2"/>
    </row>
    <row r="246" spans="1:16">
      <c r="C246" s="8" t="s">
        <v>819</v>
      </c>
      <c r="H246" s="2"/>
      <c r="J246" s="73">
        <f>+L246</f>
        <v>7.8999999999999999E-11</v>
      </c>
      <c r="K246" s="73">
        <f>+L246</f>
        <v>7.8999999999999999E-11</v>
      </c>
      <c r="L246" s="81">
        <v>7.8999999999999999E-11</v>
      </c>
      <c r="M246" s="81">
        <v>2.7999999999999998E-9</v>
      </c>
    </row>
    <row r="247" spans="1:16">
      <c r="C247" s="8" t="s">
        <v>820</v>
      </c>
      <c r="H247" s="2"/>
      <c r="J247" s="73">
        <f>+L247</f>
        <v>3.9999999999999998E-11</v>
      </c>
      <c r="K247" s="73">
        <f>+L247</f>
        <v>3.9999999999999998E-11</v>
      </c>
      <c r="L247" s="81">
        <v>3.9999999999999998E-11</v>
      </c>
      <c r="M247" s="81">
        <v>1.5E-10</v>
      </c>
    </row>
    <row r="248" spans="1:16">
      <c r="C248" s="8" t="s">
        <v>821</v>
      </c>
      <c r="H248" s="2"/>
      <c r="J248" s="73">
        <f>+L248</f>
        <v>1.2E-10</v>
      </c>
      <c r="K248" s="73">
        <f>+L248</f>
        <v>1.2E-10</v>
      </c>
      <c r="L248" s="81">
        <v>1.2E-10</v>
      </c>
      <c r="M248" s="81">
        <v>3E-9</v>
      </c>
    </row>
    <row r="249" spans="1:16">
      <c r="A249" s="2"/>
      <c r="B249" s="2"/>
      <c r="C249" s="2"/>
      <c r="D249" s="2"/>
      <c r="E249" s="67"/>
      <c r="F249" s="7"/>
      <c r="G249" s="7"/>
      <c r="H249" s="2"/>
      <c r="I249" s="7"/>
      <c r="J249" s="7"/>
      <c r="K249" s="7"/>
      <c r="L249" s="76"/>
      <c r="M249" s="76"/>
      <c r="N249" s="67"/>
      <c r="O249" s="67"/>
      <c r="P249" s="67"/>
    </row>
    <row r="250" spans="1:16">
      <c r="C250" s="87" t="s">
        <v>822</v>
      </c>
      <c r="F250" s="6" t="s">
        <v>823</v>
      </c>
      <c r="G250" s="6">
        <v>8</v>
      </c>
      <c r="I250" s="6">
        <v>11</v>
      </c>
      <c r="J250" s="6">
        <v>14</v>
      </c>
      <c r="K250" s="6">
        <v>17</v>
      </c>
    </row>
  </sheetData>
  <sheetProtection password="A767" sheet="1"/>
  <mergeCells count="22">
    <mergeCell ref="P2:P5"/>
    <mergeCell ref="M6:M7"/>
    <mergeCell ref="K6:K7"/>
    <mergeCell ref="P6:P7"/>
    <mergeCell ref="N2:N5"/>
    <mergeCell ref="L6:L7"/>
    <mergeCell ref="G2:G5"/>
    <mergeCell ref="F6:F7"/>
    <mergeCell ref="N6:N7"/>
    <mergeCell ref="O6:O7"/>
    <mergeCell ref="E2:E5"/>
    <mergeCell ref="E6:E7"/>
    <mergeCell ref="M2:M5"/>
    <mergeCell ref="K2:K5"/>
    <mergeCell ref="F2:F5"/>
    <mergeCell ref="G6:G7"/>
    <mergeCell ref="I6:I7"/>
    <mergeCell ref="J6:J7"/>
    <mergeCell ref="I2:I5"/>
    <mergeCell ref="J2:J5"/>
    <mergeCell ref="O2:O5"/>
    <mergeCell ref="L2:L5"/>
  </mergeCells>
  <phoneticPr fontId="0" type="noConversion"/>
  <conditionalFormatting sqref="C67">
    <cfRule type="expression" dxfId="1" priority="1" stopIfTrue="1">
      <formula>+$Z67="NOTE 3"</formula>
    </cfRule>
    <cfRule type="expression" dxfId="0" priority="2" stopIfTrue="1">
      <formula>+$Z67="NOTE 2"</formula>
    </cfRule>
  </conditionalFormatting>
  <printOptions horizontalCentered="1"/>
  <pageMargins left="0.25" right="0.25" top="0.35" bottom="0.25" header="0" footer="0"/>
  <pageSetup scale="46"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2"/>
  <sheetViews>
    <sheetView workbookViewId="0">
      <selection activeCell="N27" sqref="N27"/>
    </sheetView>
  </sheetViews>
  <sheetFormatPr defaultColWidth="8.85546875" defaultRowHeight="12.95"/>
  <cols>
    <col min="3" max="3" width="22" customWidth="1"/>
    <col min="15" max="15" width="10.85546875" customWidth="1"/>
  </cols>
  <sheetData>
    <row r="1" spans="3:18">
      <c r="L1" s="89"/>
      <c r="M1" s="113">
        <f>+type</f>
        <v>2</v>
      </c>
      <c r="N1" s="11" t="s">
        <v>24</v>
      </c>
      <c r="O1" s="12"/>
    </row>
    <row r="2" spans="3:18">
      <c r="L2" s="89"/>
      <c r="M2" s="109">
        <v>1</v>
      </c>
      <c r="N2" s="543" t="s">
        <v>824</v>
      </c>
      <c r="O2" s="14"/>
    </row>
    <row r="3" spans="3:18">
      <c r="C3" s="10" t="s">
        <v>825</v>
      </c>
      <c r="D3" s="11"/>
      <c r="E3" s="11"/>
      <c r="F3" s="11"/>
      <c r="G3" s="11"/>
      <c r="H3" s="11"/>
      <c r="I3" s="11"/>
      <c r="J3" s="11"/>
      <c r="K3" s="12"/>
      <c r="L3" s="89"/>
      <c r="M3" s="110">
        <v>2</v>
      </c>
      <c r="N3" s="9" t="s">
        <v>826</v>
      </c>
      <c r="O3" s="15"/>
      <c r="Q3" s="543"/>
      <c r="R3" s="543"/>
    </row>
    <row r="4" spans="3:18">
      <c r="C4" s="13" t="s">
        <v>827</v>
      </c>
      <c r="D4" s="543"/>
      <c r="E4" s="543"/>
      <c r="F4" s="543"/>
      <c r="G4" s="543"/>
      <c r="H4" s="543"/>
      <c r="I4" s="543"/>
      <c r="J4" s="543"/>
      <c r="K4" s="14"/>
      <c r="L4" s="89"/>
      <c r="M4" s="125"/>
      <c r="Q4" s="543"/>
      <c r="R4" s="543"/>
    </row>
    <row r="5" spans="3:18">
      <c r="C5" s="13"/>
      <c r="D5" s="543"/>
      <c r="E5" s="543"/>
      <c r="F5" s="543"/>
      <c r="G5" s="30" t="s">
        <v>828</v>
      </c>
      <c r="H5" s="30" t="s">
        <v>829</v>
      </c>
      <c r="I5" s="543" t="s">
        <v>830</v>
      </c>
      <c r="J5" s="543"/>
      <c r="K5" s="14"/>
      <c r="L5" s="89"/>
      <c r="M5" s="113">
        <f>+fuel</f>
        <v>1</v>
      </c>
      <c r="N5" s="11" t="s">
        <v>32</v>
      </c>
      <c r="O5" s="11"/>
      <c r="P5" s="12"/>
      <c r="Q5" s="543"/>
      <c r="R5" s="543"/>
    </row>
    <row r="6" spans="3:18">
      <c r="C6" s="13" t="s">
        <v>831</v>
      </c>
      <c r="D6" s="543"/>
      <c r="E6" s="543" t="s">
        <v>832</v>
      </c>
      <c r="F6" s="543" t="s">
        <v>832</v>
      </c>
      <c r="G6" s="136" t="s">
        <v>833</v>
      </c>
      <c r="H6" s="136" t="s">
        <v>833</v>
      </c>
      <c r="I6" s="136" t="s">
        <v>833</v>
      </c>
      <c r="J6" s="543" t="s">
        <v>261</v>
      </c>
      <c r="K6" s="14" t="s">
        <v>261</v>
      </c>
      <c r="L6" s="89"/>
      <c r="M6" s="109">
        <v>1</v>
      </c>
      <c r="N6" s="104" t="s">
        <v>834</v>
      </c>
      <c r="O6" s="104"/>
      <c r="P6" s="106"/>
      <c r="Q6" s="543"/>
      <c r="R6" s="543"/>
    </row>
    <row r="7" spans="3:18">
      <c r="C7" s="21" t="s">
        <v>427</v>
      </c>
      <c r="D7" s="9"/>
      <c r="E7" s="9" t="s">
        <v>835</v>
      </c>
      <c r="F7" s="9" t="s">
        <v>836</v>
      </c>
      <c r="G7" s="137" t="s">
        <v>835</v>
      </c>
      <c r="H7" s="137" t="s">
        <v>835</v>
      </c>
      <c r="I7" s="137" t="s">
        <v>835</v>
      </c>
      <c r="J7" s="9" t="s">
        <v>835</v>
      </c>
      <c r="K7" s="15" t="s">
        <v>836</v>
      </c>
      <c r="L7" s="89"/>
      <c r="M7" s="109">
        <v>2</v>
      </c>
      <c r="N7" s="104" t="s">
        <v>837</v>
      </c>
      <c r="O7" s="104"/>
      <c r="P7" s="106"/>
      <c r="Q7" s="543"/>
      <c r="R7" s="543"/>
    </row>
    <row r="8" spans="3:18">
      <c r="C8" s="13"/>
      <c r="D8" s="543"/>
      <c r="E8" s="543"/>
      <c r="F8" s="543"/>
      <c r="G8" s="543"/>
      <c r="H8" s="543"/>
      <c r="I8" s="543"/>
      <c r="J8" s="543"/>
      <c r="K8" s="14"/>
      <c r="L8" s="89"/>
      <c r="M8" s="110">
        <v>3</v>
      </c>
      <c r="N8" s="107" t="s">
        <v>838</v>
      </c>
      <c r="O8" s="107"/>
      <c r="P8" s="108"/>
      <c r="Q8" s="543"/>
      <c r="R8" s="543"/>
    </row>
    <row r="9" spans="3:18">
      <c r="C9" s="16" t="s">
        <v>839</v>
      </c>
      <c r="D9" s="543"/>
      <c r="E9" s="138">
        <v>32</v>
      </c>
      <c r="F9" s="138">
        <v>4.5</v>
      </c>
      <c r="G9" s="122">
        <v>1.2999999999999999E-2</v>
      </c>
      <c r="H9" s="122">
        <v>4.1000000000000003E-3</v>
      </c>
      <c r="I9" s="17">
        <f>+G9+H9</f>
        <v>1.7100000000000001E-2</v>
      </c>
      <c r="J9" s="138">
        <v>32</v>
      </c>
      <c r="K9" s="140">
        <v>4.5</v>
      </c>
      <c r="L9" s="89"/>
      <c r="M9" s="22"/>
      <c r="N9" s="104"/>
      <c r="O9" s="104"/>
      <c r="P9" s="104"/>
      <c r="Q9" s="543"/>
      <c r="R9" s="543"/>
    </row>
    <row r="10" spans="3:18">
      <c r="C10" s="16" t="s">
        <v>840</v>
      </c>
      <c r="D10" s="543"/>
      <c r="E10" s="138">
        <v>2.5000000000000001E-2</v>
      </c>
      <c r="F10" s="138">
        <v>9.7999999999999997E-3</v>
      </c>
      <c r="G10" s="122">
        <v>1.2999999999999999E-2</v>
      </c>
      <c r="H10" s="122">
        <v>4.1000000000000003E-3</v>
      </c>
      <c r="I10" s="17">
        <f>+G10+H10</f>
        <v>1.7100000000000001E-2</v>
      </c>
      <c r="J10" s="138">
        <v>4.2000000000000003E-2</v>
      </c>
      <c r="K10" s="140">
        <v>2.7E-2</v>
      </c>
      <c r="L10" s="89"/>
      <c r="M10" s="113">
        <f>+control</f>
        <v>1</v>
      </c>
      <c r="N10" s="11" t="s">
        <v>45</v>
      </c>
      <c r="O10" s="11"/>
      <c r="P10" s="12"/>
      <c r="Q10" s="543"/>
      <c r="R10" s="543"/>
    </row>
    <row r="11" spans="3:18">
      <c r="C11" s="18" t="s">
        <v>841</v>
      </c>
      <c r="D11" s="9"/>
      <c r="E11" s="139">
        <v>0.12</v>
      </c>
      <c r="F11" s="102">
        <f>+E11</f>
        <v>0.12</v>
      </c>
      <c r="G11" s="122">
        <v>1.2999999999999999E-2</v>
      </c>
      <c r="H11" s="122">
        <v>4.1000000000000003E-3</v>
      </c>
      <c r="I11" s="17">
        <f>+G11+H11</f>
        <v>1.7100000000000001E-2</v>
      </c>
      <c r="J11" s="139">
        <v>0.14000000000000001</v>
      </c>
      <c r="K11" s="103">
        <f>+J11</f>
        <v>0.14000000000000001</v>
      </c>
      <c r="L11" s="89"/>
      <c r="M11" s="109">
        <v>1</v>
      </c>
      <c r="N11" s="126" t="s">
        <v>842</v>
      </c>
      <c r="O11" s="104"/>
      <c r="P11" s="106"/>
      <c r="Q11" s="543"/>
      <c r="R11" s="543"/>
    </row>
    <row r="12" spans="3:18">
      <c r="C12" s="21"/>
      <c r="D12" s="9"/>
      <c r="E12" s="9"/>
      <c r="F12" s="9"/>
      <c r="G12" s="9"/>
      <c r="H12" s="9"/>
      <c r="I12" s="9"/>
      <c r="J12" s="9"/>
      <c r="K12" s="15"/>
      <c r="L12" s="89"/>
      <c r="M12" s="109">
        <v>2</v>
      </c>
      <c r="N12" s="104" t="s">
        <v>843</v>
      </c>
      <c r="O12" s="104"/>
      <c r="P12" s="106"/>
      <c r="Q12" s="543"/>
      <c r="R12" s="543"/>
    </row>
    <row r="13" spans="3:18">
      <c r="C13" s="10" t="s">
        <v>844</v>
      </c>
      <c r="D13" s="11"/>
      <c r="E13" s="11"/>
      <c r="F13" s="11"/>
      <c r="G13" s="11"/>
      <c r="H13" s="11"/>
      <c r="I13" s="11"/>
      <c r="J13" s="11"/>
      <c r="K13" s="12"/>
      <c r="L13" s="89"/>
      <c r="M13" s="110">
        <v>3</v>
      </c>
      <c r="N13" s="107" t="s">
        <v>845</v>
      </c>
      <c r="O13" s="107"/>
      <c r="P13" s="108"/>
      <c r="Q13" s="543"/>
      <c r="R13" s="543"/>
    </row>
    <row r="14" spans="3:18">
      <c r="C14" s="13" t="s">
        <v>846</v>
      </c>
      <c r="D14" s="543"/>
      <c r="E14" s="543"/>
      <c r="F14" s="543"/>
      <c r="G14" s="543"/>
      <c r="H14" s="543"/>
      <c r="I14" s="543"/>
      <c r="J14" s="543"/>
      <c r="K14" s="14"/>
      <c r="L14" s="89"/>
      <c r="M14" s="22"/>
      <c r="N14" s="104"/>
      <c r="O14" s="104"/>
      <c r="P14" s="104"/>
    </row>
    <row r="15" spans="3:18">
      <c r="C15" s="13"/>
      <c r="D15" s="543"/>
      <c r="E15" s="543"/>
      <c r="F15" s="543"/>
      <c r="G15" s="30" t="s">
        <v>828</v>
      </c>
      <c r="H15" s="30" t="s">
        <v>829</v>
      </c>
      <c r="I15" s="543" t="s">
        <v>830</v>
      </c>
      <c r="J15" s="543"/>
      <c r="K15" s="14"/>
      <c r="L15" s="89"/>
      <c r="M15" s="22"/>
      <c r="N15" s="126"/>
      <c r="O15" s="104"/>
      <c r="P15" s="104"/>
    </row>
    <row r="16" spans="3:18">
      <c r="C16" s="13" t="s">
        <v>831</v>
      </c>
      <c r="D16" s="543"/>
      <c r="E16" s="543" t="s">
        <v>832</v>
      </c>
      <c r="F16" s="543" t="s">
        <v>832</v>
      </c>
      <c r="G16" s="136" t="s">
        <v>833</v>
      </c>
      <c r="H16" s="136" t="s">
        <v>833</v>
      </c>
      <c r="I16" s="136" t="s">
        <v>833</v>
      </c>
      <c r="J16" s="543" t="s">
        <v>261</v>
      </c>
      <c r="K16" s="14" t="s">
        <v>261</v>
      </c>
      <c r="L16" s="89"/>
      <c r="M16" s="22"/>
      <c r="N16" s="543"/>
      <c r="O16" s="104"/>
      <c r="P16" s="104"/>
    </row>
    <row r="17" spans="1:16">
      <c r="C17" s="21" t="s">
        <v>847</v>
      </c>
      <c r="D17" s="9"/>
      <c r="E17" s="9" t="s">
        <v>835</v>
      </c>
      <c r="F17" s="9" t="s">
        <v>836</v>
      </c>
      <c r="G17" s="137" t="s">
        <v>835</v>
      </c>
      <c r="H17" s="137" t="s">
        <v>835</v>
      </c>
      <c r="I17" s="137" t="s">
        <v>835</v>
      </c>
      <c r="J17" s="9" t="s">
        <v>835</v>
      </c>
      <c r="K17" s="15" t="s">
        <v>836</v>
      </c>
      <c r="L17" s="89"/>
      <c r="M17" s="22"/>
      <c r="N17" s="543"/>
      <c r="O17" s="104"/>
      <c r="P17" s="104"/>
    </row>
    <row r="18" spans="1:16">
      <c r="C18" s="13"/>
      <c r="D18" s="543"/>
      <c r="E18" s="543"/>
      <c r="F18" s="543"/>
      <c r="G18" s="543"/>
      <c r="H18" s="543"/>
      <c r="I18" s="543"/>
      <c r="J18" s="543"/>
      <c r="K18" s="14"/>
      <c r="L18" s="89"/>
    </row>
    <row r="19" spans="1:16">
      <c r="C19" s="16" t="s">
        <v>839</v>
      </c>
      <c r="D19" s="543"/>
      <c r="E19" s="138">
        <v>28</v>
      </c>
      <c r="F19" s="138">
        <v>6.4</v>
      </c>
      <c r="G19" s="122">
        <v>7.4000000000000003E-3</v>
      </c>
      <c r="H19" s="122">
        <v>5.8000000000000003E-2</v>
      </c>
      <c r="I19" s="17">
        <f>+G19+H19</f>
        <v>6.54E-2</v>
      </c>
      <c r="J19" s="138">
        <v>28</v>
      </c>
      <c r="K19" s="140">
        <v>6.5</v>
      </c>
      <c r="L19" s="89"/>
    </row>
    <row r="20" spans="1:16">
      <c r="C20" s="16" t="s">
        <v>840</v>
      </c>
      <c r="D20" s="543"/>
      <c r="E20" s="138">
        <v>1.4E-2</v>
      </c>
      <c r="F20" s="138">
        <v>3.8999999999999998E-3</v>
      </c>
      <c r="G20" s="122">
        <v>7.4000000000000003E-3</v>
      </c>
      <c r="H20" s="122">
        <v>1.2E-2</v>
      </c>
      <c r="I20" s="17">
        <f>+G20+H20</f>
        <v>1.9400000000000001E-2</v>
      </c>
      <c r="J20" s="138">
        <v>3.3000000000000002E-2</v>
      </c>
      <c r="K20" s="140">
        <v>2.3E-2</v>
      </c>
      <c r="L20" s="89"/>
    </row>
    <row r="21" spans="1:16">
      <c r="C21" s="18" t="s">
        <v>841</v>
      </c>
      <c r="D21" s="9"/>
      <c r="E21" s="139">
        <v>2.5999999999999999E-2</v>
      </c>
      <c r="F21" s="102">
        <f>+E21</f>
        <v>2.5999999999999999E-2</v>
      </c>
      <c r="G21" s="141">
        <v>7.4000000000000003E-3</v>
      </c>
      <c r="H21" s="141">
        <v>1.2E-2</v>
      </c>
      <c r="I21" s="19">
        <f>+G21+H21</f>
        <v>1.9400000000000001E-2</v>
      </c>
      <c r="J21" s="139">
        <v>4.4999999999999998E-2</v>
      </c>
      <c r="K21" s="103">
        <f>+J21</f>
        <v>4.4999999999999998E-2</v>
      </c>
      <c r="L21" s="89"/>
    </row>
    <row r="22" spans="1:16">
      <c r="L22" s="89"/>
    </row>
    <row r="23" spans="1:16">
      <c r="L23" s="89"/>
    </row>
    <row r="24" spans="1:16">
      <c r="A24" s="10"/>
      <c r="B24" s="11"/>
      <c r="C24" s="11" t="s">
        <v>848</v>
      </c>
      <c r="D24" s="11"/>
      <c r="E24" s="11"/>
      <c r="F24" s="11"/>
      <c r="G24" s="11"/>
      <c r="H24" s="12"/>
      <c r="L24" s="89"/>
    </row>
    <row r="25" spans="1:16">
      <c r="A25" s="13"/>
      <c r="B25" s="543"/>
      <c r="C25" s="543"/>
      <c r="D25" s="543"/>
      <c r="E25" s="543"/>
      <c r="F25" s="543"/>
      <c r="G25" s="543"/>
      <c r="H25" s="14"/>
      <c r="L25" s="89"/>
    </row>
    <row r="26" spans="1:16">
      <c r="A26" s="13"/>
      <c r="B26" s="543"/>
      <c r="C26" s="543" t="s">
        <v>849</v>
      </c>
      <c r="D26" s="543"/>
      <c r="E26" s="543"/>
      <c r="F26" s="543"/>
      <c r="G26" s="543"/>
      <c r="H26" s="14"/>
      <c r="L26" s="89"/>
    </row>
    <row r="27" spans="1:16">
      <c r="A27" s="13"/>
      <c r="B27" s="543"/>
      <c r="C27" s="543"/>
      <c r="D27" s="543"/>
      <c r="E27" s="543"/>
      <c r="F27" s="543"/>
      <c r="G27" s="543"/>
      <c r="H27" s="14"/>
      <c r="L27" s="89"/>
    </row>
    <row r="28" spans="1:16">
      <c r="A28" s="13"/>
      <c r="B28" s="543"/>
      <c r="C28" s="543"/>
      <c r="D28" s="19" t="s">
        <v>136</v>
      </c>
      <c r="E28" s="19" t="s">
        <v>850</v>
      </c>
      <c r="F28" s="19" t="s">
        <v>137</v>
      </c>
      <c r="G28" s="19" t="s">
        <v>135</v>
      </c>
      <c r="H28" s="103" t="s">
        <v>138</v>
      </c>
      <c r="L28" s="89"/>
      <c r="M28" s="22"/>
    </row>
    <row r="29" spans="1:16">
      <c r="A29" s="13"/>
      <c r="B29" s="543"/>
      <c r="C29" s="20" t="s">
        <v>851</v>
      </c>
      <c r="D29" s="927">
        <v>0.4</v>
      </c>
      <c r="E29" s="927">
        <v>37</v>
      </c>
      <c r="F29" s="927">
        <v>2.5000000000000001E-2</v>
      </c>
      <c r="G29" s="928">
        <v>4.5999999999999999E-3</v>
      </c>
      <c r="H29" s="926">
        <v>8.2000000000000007E-3</v>
      </c>
      <c r="L29" s="89"/>
      <c r="M29" s="93"/>
    </row>
    <row r="30" spans="1:16">
      <c r="A30" s="13"/>
      <c r="B30" s="543"/>
      <c r="C30" s="543" t="s">
        <v>852</v>
      </c>
      <c r="D30" s="927"/>
      <c r="E30" s="927"/>
      <c r="F30" s="927"/>
      <c r="G30" s="928"/>
      <c r="H30" s="926"/>
      <c r="L30" s="89"/>
      <c r="M30" s="93"/>
    </row>
    <row r="31" spans="1:16">
      <c r="A31" s="13"/>
      <c r="B31" s="543"/>
      <c r="C31" s="20" t="s">
        <v>853</v>
      </c>
      <c r="D31" s="927">
        <v>0.4</v>
      </c>
      <c r="E31" s="927">
        <v>37</v>
      </c>
      <c r="F31" s="927">
        <v>0.12</v>
      </c>
      <c r="G31" s="928">
        <v>8.7999999999999995E-2</v>
      </c>
      <c r="H31" s="926">
        <v>8.2000000000000007E-3</v>
      </c>
      <c r="L31" s="89"/>
      <c r="M31" s="93"/>
    </row>
    <row r="32" spans="1:16">
      <c r="A32" s="13"/>
      <c r="B32" s="543"/>
      <c r="C32" s="543" t="s">
        <v>854</v>
      </c>
      <c r="D32" s="927"/>
      <c r="E32" s="927"/>
      <c r="F32" s="927"/>
      <c r="G32" s="928"/>
      <c r="H32" s="926"/>
      <c r="L32" s="89"/>
    </row>
    <row r="33" spans="1:12">
      <c r="A33" s="13"/>
      <c r="B33" s="543"/>
      <c r="C33" s="20" t="s">
        <v>855</v>
      </c>
      <c r="D33" s="927">
        <v>0.4</v>
      </c>
      <c r="E33" s="927">
        <v>37</v>
      </c>
      <c r="F33" s="927">
        <v>0.12</v>
      </c>
      <c r="G33" s="928">
        <v>8.7999999999999995E-2</v>
      </c>
      <c r="H33" s="899">
        <f>+H37</f>
        <v>3.5999999999999997E-2</v>
      </c>
      <c r="L33" s="89"/>
    </row>
    <row r="34" spans="1:12">
      <c r="A34" s="13"/>
      <c r="B34" s="543"/>
      <c r="C34" s="543" t="s">
        <v>429</v>
      </c>
      <c r="D34" s="927"/>
      <c r="E34" s="927"/>
      <c r="F34" s="927"/>
      <c r="G34" s="928"/>
      <c r="H34" s="899"/>
      <c r="L34" s="89"/>
    </row>
    <row r="35" spans="1:12">
      <c r="A35" s="13"/>
      <c r="B35" s="543"/>
      <c r="C35" s="20" t="s">
        <v>856</v>
      </c>
      <c r="D35" s="927" t="s">
        <v>857</v>
      </c>
      <c r="E35" s="927">
        <v>37</v>
      </c>
      <c r="F35" s="927" t="s">
        <v>857</v>
      </c>
      <c r="G35" s="928">
        <v>4.2999999999999997E-2</v>
      </c>
      <c r="H35" s="899"/>
      <c r="L35" s="89"/>
    </row>
    <row r="36" spans="1:12">
      <c r="A36" s="13"/>
      <c r="B36" s="543"/>
      <c r="C36" s="543" t="s">
        <v>858</v>
      </c>
      <c r="D36" s="927"/>
      <c r="E36" s="927"/>
      <c r="F36" s="927"/>
      <c r="G36" s="928"/>
      <c r="H36" s="899"/>
      <c r="L36" s="89"/>
    </row>
    <row r="37" spans="1:12">
      <c r="A37" s="13"/>
      <c r="B37" s="543"/>
      <c r="C37" s="20" t="s">
        <v>859</v>
      </c>
      <c r="D37" s="891"/>
      <c r="E37" s="891"/>
      <c r="F37" s="891"/>
      <c r="G37" s="891"/>
      <c r="H37" s="926">
        <v>3.5999999999999997E-2</v>
      </c>
      <c r="L37" s="89"/>
    </row>
    <row r="38" spans="1:12">
      <c r="A38" s="21"/>
      <c r="B38" s="9"/>
      <c r="C38" s="9" t="s">
        <v>429</v>
      </c>
      <c r="D38" s="930"/>
      <c r="E38" s="930"/>
      <c r="F38" s="930"/>
      <c r="G38" s="930"/>
      <c r="H38" s="932"/>
      <c r="L38" s="89"/>
    </row>
    <row r="39" spans="1:12">
      <c r="L39" s="89"/>
    </row>
    <row r="40" spans="1:12">
      <c r="L40" s="89"/>
    </row>
    <row r="41" spans="1:12">
      <c r="A41" s="10"/>
      <c r="B41" s="11"/>
      <c r="C41" s="11" t="s">
        <v>860</v>
      </c>
      <c r="D41" s="11"/>
      <c r="E41" s="11"/>
      <c r="F41" s="11"/>
      <c r="G41" s="11"/>
      <c r="H41" s="11"/>
      <c r="I41" s="12"/>
      <c r="J41" s="543"/>
      <c r="K41" s="543"/>
      <c r="L41" s="89"/>
    </row>
    <row r="42" spans="1:12">
      <c r="A42" s="13"/>
      <c r="B42" s="543"/>
      <c r="C42" s="543"/>
      <c r="D42" s="543"/>
      <c r="E42" s="543"/>
      <c r="F42" s="543"/>
      <c r="G42" s="543"/>
      <c r="H42" s="543"/>
      <c r="I42" s="14"/>
      <c r="J42" s="543"/>
      <c r="K42" s="543"/>
      <c r="L42" s="89"/>
    </row>
    <row r="43" spans="1:12">
      <c r="A43" s="13"/>
      <c r="B43" s="543"/>
      <c r="C43" s="543" t="s">
        <v>861</v>
      </c>
      <c r="D43" s="543"/>
      <c r="E43" s="543"/>
      <c r="F43" s="543"/>
      <c r="G43" s="543"/>
      <c r="H43" s="543"/>
      <c r="I43" s="14"/>
      <c r="J43" s="543"/>
      <c r="K43" s="543"/>
      <c r="L43" s="89"/>
    </row>
    <row r="44" spans="1:12">
      <c r="A44" s="13"/>
      <c r="B44" s="543"/>
      <c r="C44" s="543"/>
      <c r="D44" s="543"/>
      <c r="E44" s="543"/>
      <c r="F44" s="543"/>
      <c r="G44" s="543"/>
      <c r="H44" s="543"/>
      <c r="I44" s="14"/>
      <c r="J44" s="543"/>
      <c r="K44" s="543"/>
      <c r="L44" s="89"/>
    </row>
    <row r="45" spans="1:12">
      <c r="A45" s="13"/>
      <c r="B45" s="543"/>
      <c r="C45" s="543"/>
      <c r="D45" s="19" t="s">
        <v>136</v>
      </c>
      <c r="E45" s="19" t="s">
        <v>850</v>
      </c>
      <c r="F45" s="19" t="s">
        <v>137</v>
      </c>
      <c r="G45" s="19" t="s">
        <v>135</v>
      </c>
      <c r="H45" s="102" t="s">
        <v>138</v>
      </c>
      <c r="I45" s="103" t="s">
        <v>862</v>
      </c>
      <c r="J45" s="22"/>
      <c r="K45" s="22"/>
      <c r="L45" s="89"/>
    </row>
    <row r="46" spans="1:12">
      <c r="A46" s="13"/>
      <c r="B46" s="543"/>
      <c r="C46" s="20" t="s">
        <v>863</v>
      </c>
      <c r="D46" s="927">
        <v>0.13</v>
      </c>
      <c r="E46" s="927">
        <v>33</v>
      </c>
      <c r="F46" s="927">
        <v>2.5999999999999999E-2</v>
      </c>
      <c r="G46" s="928">
        <v>3.3999999999999998E-3</v>
      </c>
      <c r="H46" s="927">
        <v>3.2000000000000001E-2</v>
      </c>
      <c r="I46" s="926" t="s">
        <v>857</v>
      </c>
      <c r="J46" s="552"/>
      <c r="K46" s="552"/>
      <c r="L46" s="89"/>
    </row>
    <row r="47" spans="1:12">
      <c r="A47" s="13"/>
      <c r="B47" s="543"/>
      <c r="C47" s="543" t="s">
        <v>430</v>
      </c>
      <c r="D47" s="927"/>
      <c r="E47" s="927"/>
      <c r="F47" s="927"/>
      <c r="G47" s="928"/>
      <c r="H47" s="927"/>
      <c r="I47" s="926"/>
      <c r="J47" s="552"/>
      <c r="K47" s="552"/>
      <c r="L47" s="89"/>
    </row>
    <row r="48" spans="1:12">
      <c r="A48" s="13"/>
      <c r="B48" s="543"/>
      <c r="C48" s="20" t="s">
        <v>864</v>
      </c>
      <c r="D48" s="927">
        <v>0.13</v>
      </c>
      <c r="E48" s="927">
        <v>33</v>
      </c>
      <c r="F48" s="927">
        <v>5.5E-2</v>
      </c>
      <c r="G48" s="928">
        <v>1.0999999999999999E-2</v>
      </c>
      <c r="H48" s="927">
        <v>3.2000000000000001E-2</v>
      </c>
      <c r="I48" s="926" t="s">
        <v>857</v>
      </c>
      <c r="J48" s="552"/>
      <c r="K48" s="552"/>
      <c r="L48" s="89"/>
    </row>
    <row r="49" spans="1:12">
      <c r="A49" s="13"/>
      <c r="B49" s="543"/>
      <c r="C49" s="543" t="s">
        <v>431</v>
      </c>
      <c r="D49" s="927"/>
      <c r="E49" s="927"/>
      <c r="F49" s="927"/>
      <c r="G49" s="928"/>
      <c r="H49" s="927"/>
      <c r="I49" s="926"/>
      <c r="J49" s="552"/>
      <c r="K49" s="552"/>
      <c r="L49" s="89"/>
    </row>
    <row r="50" spans="1:12">
      <c r="A50" s="13"/>
      <c r="B50" s="543"/>
      <c r="C50" s="20" t="s">
        <v>865</v>
      </c>
      <c r="D50" s="927">
        <v>0.13</v>
      </c>
      <c r="E50" s="927">
        <v>33</v>
      </c>
      <c r="F50" s="927">
        <v>5.5E-2</v>
      </c>
      <c r="G50" s="928">
        <v>5.8000000000000003E-2</v>
      </c>
      <c r="H50" s="927">
        <v>3.2000000000000001E-2</v>
      </c>
      <c r="I50" s="926">
        <v>2.1000000000000001E-4</v>
      </c>
      <c r="J50" s="552"/>
      <c r="K50" s="552"/>
      <c r="L50" s="89"/>
    </row>
    <row r="51" spans="1:12">
      <c r="A51" s="13"/>
      <c r="B51" s="543"/>
      <c r="C51" s="543" t="s">
        <v>432</v>
      </c>
      <c r="D51" s="927"/>
      <c r="E51" s="927"/>
      <c r="F51" s="927"/>
      <c r="G51" s="928"/>
      <c r="H51" s="927"/>
      <c r="I51" s="926"/>
      <c r="J51" s="552"/>
      <c r="K51" s="552"/>
      <c r="L51" s="89"/>
    </row>
    <row r="52" spans="1:12">
      <c r="A52" s="13"/>
      <c r="B52" s="543"/>
      <c r="C52" s="20" t="s">
        <v>866</v>
      </c>
      <c r="D52" s="927" t="s">
        <v>857</v>
      </c>
      <c r="E52" s="927">
        <v>33</v>
      </c>
      <c r="F52" s="927" t="s">
        <v>857</v>
      </c>
      <c r="G52" s="928">
        <v>0.19</v>
      </c>
      <c r="H52" s="891"/>
      <c r="I52" s="899"/>
      <c r="J52" s="550"/>
      <c r="K52" s="550"/>
      <c r="L52" s="89"/>
    </row>
    <row r="53" spans="1:12">
      <c r="A53" s="21"/>
      <c r="B53" s="9"/>
      <c r="C53" s="9" t="s">
        <v>858</v>
      </c>
      <c r="D53" s="929"/>
      <c r="E53" s="929"/>
      <c r="F53" s="929"/>
      <c r="G53" s="931"/>
      <c r="H53" s="930"/>
      <c r="I53" s="901"/>
      <c r="J53" s="550"/>
      <c r="K53" s="550"/>
      <c r="L53" s="89"/>
    </row>
    <row r="54" spans="1:12">
      <c r="L54" s="89"/>
    </row>
    <row r="55" spans="1:12">
      <c r="L55" s="89"/>
    </row>
    <row r="56" spans="1:12">
      <c r="L56" s="89"/>
    </row>
    <row r="57" spans="1:12">
      <c r="L57" s="89"/>
    </row>
    <row r="58" spans="1:12">
      <c r="L58" s="89"/>
    </row>
    <row r="59" spans="1:12">
      <c r="L59" s="89"/>
    </row>
    <row r="60" spans="1:12">
      <c r="L60" s="89"/>
    </row>
    <row r="61" spans="1:12">
      <c r="L61" s="89"/>
    </row>
    <row r="62" spans="1:12">
      <c r="L62" s="89"/>
    </row>
  </sheetData>
  <sheetProtection password="D8A4" sheet="1" objects="1" scenarios="1"/>
  <mergeCells count="49">
    <mergeCell ref="F35:F36"/>
    <mergeCell ref="F33:F34"/>
    <mergeCell ref="F31:F32"/>
    <mergeCell ref="G35:G36"/>
    <mergeCell ref="D29:D30"/>
    <mergeCell ref="E29:E30"/>
    <mergeCell ref="F29:F30"/>
    <mergeCell ref="G29:G30"/>
    <mergeCell ref="D31:D32"/>
    <mergeCell ref="D37:D38"/>
    <mergeCell ref="E37:E38"/>
    <mergeCell ref="F37:F38"/>
    <mergeCell ref="G37:G38"/>
    <mergeCell ref="H29:H30"/>
    <mergeCell ref="H31:H32"/>
    <mergeCell ref="H33:H34"/>
    <mergeCell ref="H35:H36"/>
    <mergeCell ref="H37:H38"/>
    <mergeCell ref="D33:D34"/>
    <mergeCell ref="G31:G32"/>
    <mergeCell ref="G33:G34"/>
    <mergeCell ref="D35:D36"/>
    <mergeCell ref="E31:E32"/>
    <mergeCell ref="E33:E34"/>
    <mergeCell ref="E35:E36"/>
    <mergeCell ref="I52:I53"/>
    <mergeCell ref="D50:D51"/>
    <mergeCell ref="E50:E51"/>
    <mergeCell ref="F50:F51"/>
    <mergeCell ref="G50:G51"/>
    <mergeCell ref="H50:H51"/>
    <mergeCell ref="D52:D53"/>
    <mergeCell ref="E52:E53"/>
    <mergeCell ref="F52:F53"/>
    <mergeCell ref="H52:H53"/>
    <mergeCell ref="G52:G53"/>
    <mergeCell ref="I46:I47"/>
    <mergeCell ref="I48:I49"/>
    <mergeCell ref="I50:I51"/>
    <mergeCell ref="D46:D47"/>
    <mergeCell ref="E46:E47"/>
    <mergeCell ref="D48:D49"/>
    <mergeCell ref="E48:E49"/>
    <mergeCell ref="F48:F49"/>
    <mergeCell ref="H46:H47"/>
    <mergeCell ref="F46:F47"/>
    <mergeCell ref="G46:G47"/>
    <mergeCell ref="G48:G49"/>
    <mergeCell ref="H48:H49"/>
  </mergeCells>
  <phoneticPr fontId="0" type="noConversion"/>
  <printOptions horizontalCentered="1"/>
  <pageMargins left="0.25" right="0.25" top="0.35" bottom="0.25" header="0" footer="0"/>
  <pageSetup scale="64" fitToHeight="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NC Dept. of Environment and Natural Resources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Brendan G. Davey</dc:creator>
  <cp:keywords/>
  <dc:description/>
  <cp:lastModifiedBy>Palmer, Blair</cp:lastModifiedBy>
  <cp:revision/>
  <dcterms:created xsi:type="dcterms:W3CDTF">2002-03-04T15:14:48Z</dcterms:created>
  <dcterms:modified xsi:type="dcterms:W3CDTF">2021-05-24T18:36:38Z</dcterms:modified>
  <cp:category/>
  <cp:contentStatus/>
</cp:coreProperties>
</file>