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ErosionSedimentControlProgram/Shared Documents/Sediment Education/Design Calculation Spreadsheets/Posted to Website/"/>
    </mc:Choice>
  </mc:AlternateContent>
  <xr:revisionPtr revIDLastSave="0" documentId="8_{1D150160-A734-43B1-BA89-1F8EBFE0FDA6}" xr6:coauthVersionLast="47" xr6:coauthVersionMax="47" xr10:uidLastSave="{00000000-0000-0000-0000-000000000000}"/>
  <bookViews>
    <workbookView xWindow="-108" yWindow="-108" windowWidth="23256" windowHeight="12456" tabRatio="813" firstSheet="3" activeTab="3" xr2:uid="{44848EBC-06B5-4C14-90F3-6D217A27DF8E}"/>
  </bookViews>
  <sheets>
    <sheet name="Measure Selection" sheetId="1" r:id="rId1"/>
    <sheet name="Temporary Sediment Trap" sheetId="2" r:id="rId2"/>
    <sheet name="Skimmer Basin" sheetId="5" r:id="rId3"/>
    <sheet name="Temporary  Sediment Basin" sheetId="6" r:id="rId4"/>
    <sheet name="Spillway Capacity" sheetId="7" r:id="rId5"/>
  </sheets>
  <definedNames>
    <definedName name="_xlnm.Print_Area" localSheetId="4">'Spillway Capacity'!$A$1:$AF$68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A7" i="6"/>
  <c r="A11" i="6" s="1"/>
  <c r="A12" i="6" s="1"/>
  <c r="A13" i="6" s="1"/>
  <c r="A6" i="6"/>
  <c r="A10" i="6" s="1"/>
  <c r="A8" i="5"/>
  <c r="A7" i="5"/>
  <c r="A11" i="5" s="1"/>
  <c r="A6" i="5"/>
  <c r="A8" i="2"/>
  <c r="A7" i="2"/>
  <c r="A6" i="2"/>
  <c r="A10" i="2" s="1"/>
  <c r="A10" i="5"/>
  <c r="E27" i="2"/>
  <c r="A7" i="1"/>
  <c r="A9" i="1"/>
  <c r="A8" i="1"/>
  <c r="A19" i="5"/>
  <c r="A20" i="5"/>
  <c r="A30" i="5"/>
  <c r="A23" i="5"/>
  <c r="A27" i="5"/>
  <c r="Q18" i="7"/>
  <c r="Q17" i="7"/>
  <c r="Q14" i="7"/>
  <c r="Q22" i="7" s="1"/>
  <c r="Q12" i="7"/>
  <c r="AC44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C20" i="7"/>
  <c r="I41" i="7" s="1"/>
  <c r="I44" i="7"/>
  <c r="C44" i="7"/>
  <c r="C19" i="7"/>
  <c r="C43" i="7"/>
  <c r="I42" i="7"/>
  <c r="C42" i="7"/>
  <c r="D42" i="7"/>
  <c r="S42" i="7" s="1"/>
  <c r="C41" i="7"/>
  <c r="C40" i="7"/>
  <c r="I39" i="7"/>
  <c r="C39" i="7"/>
  <c r="D39" i="7"/>
  <c r="S39" i="7" s="1"/>
  <c r="T39" i="7" s="1"/>
  <c r="C38" i="7"/>
  <c r="C37" i="7"/>
  <c r="I36" i="7"/>
  <c r="C36" i="7"/>
  <c r="D36" i="7"/>
  <c r="E36" i="7" s="1"/>
  <c r="C35" i="7"/>
  <c r="C34" i="7"/>
  <c r="I33" i="7"/>
  <c r="C33" i="7"/>
  <c r="D33" i="7"/>
  <c r="S33" i="7" s="1"/>
  <c r="T33" i="7" s="1"/>
  <c r="C32" i="7"/>
  <c r="C31" i="7"/>
  <c r="I30" i="7"/>
  <c r="C30" i="7"/>
  <c r="D30" i="7"/>
  <c r="S30" i="7" s="1"/>
  <c r="T30" i="7" s="1"/>
  <c r="C29" i="7"/>
  <c r="C28" i="7"/>
  <c r="I27" i="7"/>
  <c r="C27" i="7"/>
  <c r="D27" i="7"/>
  <c r="S27" i="7" s="1"/>
  <c r="T27" i="7" s="1"/>
  <c r="C26" i="7"/>
  <c r="C25" i="7"/>
  <c r="K44" i="7"/>
  <c r="M44" i="7" s="1"/>
  <c r="O44" i="7"/>
  <c r="K43" i="7"/>
  <c r="M43" i="7" s="1"/>
  <c r="O43" i="7"/>
  <c r="K42" i="7"/>
  <c r="M42" i="7" s="1"/>
  <c r="O42" i="7"/>
  <c r="K41" i="7"/>
  <c r="M41" i="7"/>
  <c r="O41" i="7"/>
  <c r="K40" i="7"/>
  <c r="M40" i="7" s="1"/>
  <c r="O40" i="7"/>
  <c r="K39" i="7"/>
  <c r="M39" i="7"/>
  <c r="O39" i="7"/>
  <c r="K38" i="7"/>
  <c r="M38" i="7" s="1"/>
  <c r="O38" i="7"/>
  <c r="K37" i="7"/>
  <c r="M37" i="7"/>
  <c r="O37" i="7"/>
  <c r="K36" i="7"/>
  <c r="M36" i="7" s="1"/>
  <c r="O36" i="7"/>
  <c r="K35" i="7"/>
  <c r="M35" i="7" s="1"/>
  <c r="O35" i="7"/>
  <c r="K34" i="7"/>
  <c r="M34" i="7" s="1"/>
  <c r="O34" i="7"/>
  <c r="K33" i="7"/>
  <c r="M33" i="7"/>
  <c r="O33" i="7"/>
  <c r="K32" i="7"/>
  <c r="M32" i="7" s="1"/>
  <c r="O32" i="7"/>
  <c r="K31" i="7"/>
  <c r="M31" i="7" s="1"/>
  <c r="O31" i="7"/>
  <c r="K30" i="7"/>
  <c r="M30" i="7" s="1"/>
  <c r="O30" i="7"/>
  <c r="W30" i="7"/>
  <c r="X30" i="7"/>
  <c r="Y30" i="7"/>
  <c r="Z30" i="7" s="1"/>
  <c r="K29" i="7"/>
  <c r="M29" i="7"/>
  <c r="O29" i="7"/>
  <c r="W29" i="7"/>
  <c r="X29" i="7" s="1"/>
  <c r="Y29" i="7" s="1"/>
  <c r="Z29" i="7" s="1"/>
  <c r="K28" i="7"/>
  <c r="M28" i="7" s="1"/>
  <c r="O28" i="7"/>
  <c r="W28" i="7"/>
  <c r="X28" i="7" s="1"/>
  <c r="Y28" i="7" s="1"/>
  <c r="Z28" i="7" s="1"/>
  <c r="K27" i="7"/>
  <c r="M27" i="7"/>
  <c r="O27" i="7"/>
  <c r="W27" i="7"/>
  <c r="X27" i="7"/>
  <c r="Y27" i="7" s="1"/>
  <c r="Z27" i="7" s="1"/>
  <c r="K26" i="7"/>
  <c r="M26" i="7" s="1"/>
  <c r="O26" i="7"/>
  <c r="W26" i="7"/>
  <c r="X26" i="7" s="1"/>
  <c r="Y26" i="7" s="1"/>
  <c r="Z26" i="7" s="1"/>
  <c r="K25" i="7"/>
  <c r="M25" i="7"/>
  <c r="O25" i="7"/>
  <c r="W25" i="7"/>
  <c r="X25" i="7"/>
  <c r="Y25" i="7" s="1"/>
  <c r="Z25" i="7" s="1"/>
  <c r="W44" i="7"/>
  <c r="X44" i="7" s="1"/>
  <c r="Y44" i="7" s="1"/>
  <c r="Z44" i="7" s="1"/>
  <c r="W43" i="7"/>
  <c r="X43" i="7"/>
  <c r="Y43" i="7" s="1"/>
  <c r="Z43" i="7" s="1"/>
  <c r="W42" i="7"/>
  <c r="X42" i="7"/>
  <c r="Y42" i="7" s="1"/>
  <c r="Z42" i="7" s="1"/>
  <c r="W41" i="7"/>
  <c r="X41" i="7" s="1"/>
  <c r="Y41" i="7" s="1"/>
  <c r="Z41" i="7" s="1"/>
  <c r="W40" i="7"/>
  <c r="X40" i="7"/>
  <c r="Y40" i="7" s="1"/>
  <c r="Z40" i="7" s="1"/>
  <c r="W39" i="7"/>
  <c r="X39" i="7"/>
  <c r="Y39" i="7" s="1"/>
  <c r="Z39" i="7" s="1"/>
  <c r="W38" i="7"/>
  <c r="X38" i="7" s="1"/>
  <c r="Y38" i="7" s="1"/>
  <c r="Z38" i="7" s="1"/>
  <c r="W37" i="7"/>
  <c r="X37" i="7"/>
  <c r="Y37" i="7" s="1"/>
  <c r="Z37" i="7" s="1"/>
  <c r="W36" i="7"/>
  <c r="X36" i="7"/>
  <c r="Y36" i="7" s="1"/>
  <c r="Z36" i="7" s="1"/>
  <c r="W35" i="7"/>
  <c r="X35" i="7" s="1"/>
  <c r="Y35" i="7" s="1"/>
  <c r="Z35" i="7" s="1"/>
  <c r="W34" i="7"/>
  <c r="X34" i="7"/>
  <c r="Y34" i="7" s="1"/>
  <c r="Z34" i="7" s="1"/>
  <c r="W33" i="7"/>
  <c r="X33" i="7"/>
  <c r="Y33" i="7" s="1"/>
  <c r="Z33" i="7" s="1"/>
  <c r="W32" i="7"/>
  <c r="X32" i="7" s="1"/>
  <c r="Y32" i="7" s="1"/>
  <c r="Z32" i="7" s="1"/>
  <c r="W31" i="7"/>
  <c r="X31" i="7"/>
  <c r="Y31" i="7" s="1"/>
  <c r="Z31" i="7" s="1"/>
  <c r="E33" i="7"/>
  <c r="A28" i="6"/>
  <c r="A19" i="6"/>
  <c r="A20" i="6"/>
  <c r="A23" i="6"/>
  <c r="A19" i="2"/>
  <c r="A20" i="2"/>
  <c r="A23" i="2"/>
  <c r="A27" i="2"/>
  <c r="A21" i="2" l="1"/>
  <c r="E27" i="5"/>
  <c r="A21" i="5"/>
  <c r="A32" i="5"/>
  <c r="A30" i="6"/>
  <c r="E23" i="6"/>
  <c r="A22" i="6"/>
  <c r="E22" i="6" s="1"/>
  <c r="A22" i="5"/>
  <c r="E22" i="5" s="1"/>
  <c r="A22" i="2"/>
  <c r="E22" i="2" s="1"/>
  <c r="E23" i="5"/>
  <c r="A12" i="5"/>
  <c r="A13" i="5" s="1"/>
  <c r="T42" i="7"/>
  <c r="U33" i="7"/>
  <c r="AB33" i="7" s="1"/>
  <c r="Q43" i="7"/>
  <c r="Q31" i="7"/>
  <c r="Q36" i="7"/>
  <c r="Q41" i="7"/>
  <c r="Q25" i="7"/>
  <c r="Q34" i="7"/>
  <c r="Q26" i="7"/>
  <c r="Q39" i="7"/>
  <c r="Q27" i="7"/>
  <c r="U27" i="7" s="1"/>
  <c r="AB27" i="7" s="1"/>
  <c r="Q32" i="7"/>
  <c r="Q28" i="7"/>
  <c r="Q44" i="7"/>
  <c r="Q37" i="7"/>
  <c r="Q29" i="7"/>
  <c r="Q42" i="7"/>
  <c r="Q30" i="7"/>
  <c r="U30" i="7" s="1"/>
  <c r="AB30" i="7" s="1"/>
  <c r="Q35" i="7"/>
  <c r="Q38" i="7"/>
  <c r="Q40" i="7"/>
  <c r="Q33" i="7"/>
  <c r="U39" i="7"/>
  <c r="AB39" i="7" s="1"/>
  <c r="D25" i="7"/>
  <c r="D28" i="7"/>
  <c r="D31" i="7"/>
  <c r="D34" i="7"/>
  <c r="D37" i="7"/>
  <c r="D40" i="7"/>
  <c r="D43" i="7"/>
  <c r="A11" i="2"/>
  <c r="A12" i="2" s="1"/>
  <c r="A13" i="2" s="1"/>
  <c r="E27" i="7"/>
  <c r="E39" i="7"/>
  <c r="I25" i="7"/>
  <c r="I28" i="7"/>
  <c r="I31" i="7"/>
  <c r="I34" i="7"/>
  <c r="I37" i="7"/>
  <c r="I40" i="7"/>
  <c r="I43" i="7"/>
  <c r="D26" i="7"/>
  <c r="D29" i="7"/>
  <c r="D32" i="7"/>
  <c r="D35" i="7"/>
  <c r="D38" i="7"/>
  <c r="D41" i="7"/>
  <c r="D44" i="7"/>
  <c r="E30" i="7"/>
  <c r="E42" i="7"/>
  <c r="I26" i="7"/>
  <c r="I29" i="7"/>
  <c r="I32" i="7"/>
  <c r="I35" i="7"/>
  <c r="I38" i="7"/>
  <c r="A21" i="6"/>
  <c r="S36" i="7"/>
  <c r="T36" i="7" s="1"/>
  <c r="E23" i="2" l="1"/>
  <c r="E29" i="7"/>
  <c r="S29" i="7"/>
  <c r="T29" i="7" s="1"/>
  <c r="U29" i="7" s="1"/>
  <c r="AB29" i="7" s="1"/>
  <c r="S26" i="7"/>
  <c r="T26" i="7" s="1"/>
  <c r="U26" i="7" s="1"/>
  <c r="AB26" i="7" s="1"/>
  <c r="E26" i="7"/>
  <c r="S40" i="7"/>
  <c r="T40" i="7" s="1"/>
  <c r="U40" i="7" s="1"/>
  <c r="AB40" i="7" s="1"/>
  <c r="E40" i="7"/>
  <c r="S43" i="7"/>
  <c r="T43" i="7" s="1"/>
  <c r="U43" i="7" s="1"/>
  <c r="AB43" i="7" s="1"/>
  <c r="E43" i="7"/>
  <c r="S34" i="7"/>
  <c r="T34" i="7" s="1"/>
  <c r="U34" i="7" s="1"/>
  <c r="AB34" i="7" s="1"/>
  <c r="E34" i="7"/>
  <c r="S31" i="7"/>
  <c r="T31" i="7" s="1"/>
  <c r="U31" i="7" s="1"/>
  <c r="AB31" i="7" s="1"/>
  <c r="E31" i="7"/>
  <c r="S28" i="7"/>
  <c r="T28" i="7" s="1"/>
  <c r="U28" i="7" s="1"/>
  <c r="AB28" i="7" s="1"/>
  <c r="E28" i="7"/>
  <c r="S25" i="7"/>
  <c r="T25" i="7" s="1"/>
  <c r="U25" i="7" s="1"/>
  <c r="AB25" i="7" s="1"/>
  <c r="E25" i="7"/>
  <c r="S37" i="7"/>
  <c r="T37" i="7" s="1"/>
  <c r="U37" i="7" s="1"/>
  <c r="AB37" i="7" s="1"/>
  <c r="E37" i="7"/>
  <c r="U42" i="7"/>
  <c r="AB42" i="7" s="1"/>
  <c r="E41" i="7"/>
  <c r="S41" i="7"/>
  <c r="T41" i="7" s="1"/>
  <c r="U41" i="7" s="1"/>
  <c r="AB41" i="7" s="1"/>
  <c r="S38" i="7"/>
  <c r="T38" i="7" s="1"/>
  <c r="U38" i="7" s="1"/>
  <c r="AB38" i="7" s="1"/>
  <c r="E38" i="7"/>
  <c r="U36" i="7"/>
  <c r="AB36" i="7" s="1"/>
  <c r="S35" i="7"/>
  <c r="T35" i="7" s="1"/>
  <c r="U35" i="7" s="1"/>
  <c r="AB35" i="7" s="1"/>
  <c r="E35" i="7"/>
  <c r="E44" i="7"/>
  <c r="S44" i="7"/>
  <c r="T44" i="7" s="1"/>
  <c r="U44" i="7" s="1"/>
  <c r="AB44" i="7" s="1"/>
  <c r="E32" i="7"/>
  <c r="S32" i="7"/>
  <c r="T32" i="7" s="1"/>
  <c r="U32" i="7" s="1"/>
  <c r="AB3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 DENR DLR Sediment</author>
    <author>NC State Sedimentation Specialist</author>
  </authors>
  <commentList>
    <comment ref="C12" authorId="0" shapeId="0" xr:uid="{41422878-B66E-4D9C-A76A-0C33CD58B82E}">
      <text>
        <r>
          <rPr>
            <b/>
            <sz val="8"/>
            <color indexed="81"/>
            <rFont val="Tahoma"/>
            <family val="2"/>
          </rPr>
          <t>NC DENR DLR Sediment:</t>
        </r>
        <r>
          <rPr>
            <sz val="8"/>
            <color indexed="81"/>
            <rFont val="Tahoma"/>
            <family val="2"/>
          </rPr>
          <t xml:space="preserve">
Elevation of Inlet Invert of Barrel Pipe</t>
        </r>
      </text>
    </comment>
    <comment ref="C13" authorId="0" shapeId="0" xr:uid="{164136BB-B2F4-42BD-BC35-24C5E8DF3FC3}">
      <text>
        <r>
          <rPr>
            <b/>
            <sz val="8"/>
            <color indexed="81"/>
            <rFont val="Tahoma"/>
            <family val="2"/>
          </rPr>
          <t>NC DENR DLR Sediment:</t>
        </r>
        <r>
          <rPr>
            <sz val="8"/>
            <color indexed="81"/>
            <rFont val="Tahoma"/>
            <family val="2"/>
          </rPr>
          <t xml:space="preserve">
Elevation of Outlet Invert of Barrel Pipe</t>
        </r>
      </text>
    </comment>
    <comment ref="C17" authorId="1" shapeId="0" xr:uid="{B77776E7-2B78-449A-9A0A-EB464EE13459}">
      <text>
        <r>
          <rPr>
            <b/>
            <sz val="8"/>
            <color indexed="81"/>
            <rFont val="Tahoma"/>
            <family val="2"/>
          </rPr>
          <t>NC State Sedimentation Specialist:</t>
        </r>
        <r>
          <rPr>
            <sz val="8"/>
            <color indexed="81"/>
            <rFont val="Tahoma"/>
            <family val="2"/>
          </rPr>
          <t xml:space="preserve">
Select form Pipe Friction Coefficients below,  or tables from pipe manuals or other references.</t>
        </r>
      </text>
    </comment>
    <comment ref="A25" authorId="1" shapeId="0" xr:uid="{F2D4CA0B-8060-4C55-88C3-0B1D1D93211B}">
      <text>
        <r>
          <rPr>
            <b/>
            <sz val="8"/>
            <color indexed="81"/>
            <rFont val="Tahoma"/>
            <family val="2"/>
          </rPr>
          <t>NC State Sedimentation Specialist:</t>
        </r>
        <r>
          <rPr>
            <sz val="8"/>
            <color indexed="81"/>
            <rFont val="Tahoma"/>
            <family val="2"/>
          </rPr>
          <t xml:space="preserve">
S</t>
        </r>
        <r>
          <rPr>
            <sz val="10"/>
            <color indexed="81"/>
            <rFont val="Tahoma"/>
            <family val="2"/>
          </rPr>
          <t>elect desired elevations, including riser crest, emergency spillway crest, 1-foot below top of dam (min. freeboard) and top of dam.</t>
        </r>
      </text>
    </comment>
    <comment ref="D25" authorId="0" shapeId="0" xr:uid="{7F1FE802-3B12-40BD-9AE5-36B2B7B29B90}">
      <text>
        <r>
          <rPr>
            <b/>
            <sz val="8"/>
            <color indexed="81"/>
            <rFont val="Tahoma"/>
            <family val="2"/>
          </rPr>
          <t>NC DENR DLR Sediment:</t>
        </r>
        <r>
          <rPr>
            <sz val="8"/>
            <color indexed="81"/>
            <rFont val="Tahoma"/>
            <family val="2"/>
          </rPr>
          <t xml:space="preserve">
Flow values for elevations lower than the riser crest should be ignored</t>
        </r>
      </text>
    </comment>
    <comment ref="I25" authorId="0" shapeId="0" xr:uid="{85B9D1A6-0ABE-4B64-AB8B-352380571A86}">
      <text>
        <r>
          <rPr>
            <b/>
            <sz val="8"/>
            <color indexed="81"/>
            <rFont val="Tahoma"/>
            <family val="2"/>
          </rPr>
          <t>NC DENR DLR Sediment:</t>
        </r>
        <r>
          <rPr>
            <sz val="8"/>
            <color indexed="81"/>
            <rFont val="Tahoma"/>
            <family val="2"/>
          </rPr>
          <t xml:space="preserve">
Flow values for elevations lower than the riser crest should be ignored</t>
        </r>
      </text>
    </comment>
  </commentList>
</comments>
</file>

<file path=xl/sharedStrings.xml><?xml version="1.0" encoding="utf-8"?>
<sst xmlns="http://schemas.openxmlformats.org/spreadsheetml/2006/main" count="196" uniqueCount="107">
  <si>
    <t>Selection of Sediment Control Measure</t>
  </si>
  <si>
    <t>Total Drainage Area</t>
  </si>
  <si>
    <t>User entry</t>
  </si>
  <si>
    <t>Temporary Sediment Trap</t>
  </si>
  <si>
    <t>Calculated Value</t>
  </si>
  <si>
    <t>Skimmer Sediment Basin</t>
  </si>
  <si>
    <t>Temporary Sediment Basin</t>
  </si>
  <si>
    <t>Disturbed Area (Acres)</t>
  </si>
  <si>
    <t xml:space="preserve">Peak Flow from 10-year Storm (cfs) </t>
  </si>
  <si>
    <t>Updated to comply with NPDES Permit Conditions</t>
  </si>
  <si>
    <t>Rev. 05/15/2025</t>
  </si>
  <si>
    <t>Okay</t>
  </si>
  <si>
    <t>Total Drainage Area (Acres)</t>
  </si>
  <si>
    <r>
      <t>Required Volume ft</t>
    </r>
    <r>
      <rPr>
        <vertAlign val="superscript"/>
        <sz val="10"/>
        <rFont val="Arial"/>
        <family val="2"/>
      </rPr>
      <t>3</t>
    </r>
  </si>
  <si>
    <r>
      <t>Required Surface Area ft</t>
    </r>
    <r>
      <rPr>
        <vertAlign val="superscript"/>
        <sz val="10"/>
        <rFont val="Arial"/>
        <family val="2"/>
      </rPr>
      <t>2</t>
    </r>
  </si>
  <si>
    <t xml:space="preserve"> Suggested Width ft</t>
  </si>
  <si>
    <t>Suggested Length ft</t>
  </si>
  <si>
    <t>Trial Top Width at Spillway Invert ft</t>
  </si>
  <si>
    <t>Trial Top Length at Spillway Invert ft</t>
  </si>
  <si>
    <t>Trial Side Slope Ratio Z:1</t>
  </si>
  <si>
    <t>Trial  Depth ft</t>
  </si>
  <si>
    <t>(1.5 feet below grade + 2 to 3.5 feet above grade)</t>
  </si>
  <si>
    <t>Bottom Width ft</t>
  </si>
  <si>
    <t>Bottom Length ft</t>
  </si>
  <si>
    <r>
      <t>Bottom Area ft</t>
    </r>
    <r>
      <rPr>
        <vertAlign val="superscript"/>
        <sz val="10"/>
        <rFont val="Arial"/>
        <family val="2"/>
      </rPr>
      <t>2</t>
    </r>
  </si>
  <si>
    <r>
      <t>Actual Volume ft</t>
    </r>
    <r>
      <rPr>
        <vertAlign val="superscript"/>
        <sz val="10"/>
        <rFont val="Arial"/>
        <family val="2"/>
      </rPr>
      <t>3</t>
    </r>
  </si>
  <si>
    <r>
      <t>Actual Surface Area ft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</t>
    </r>
  </si>
  <si>
    <t>Trial Weir Length ft</t>
  </si>
  <si>
    <t>Trial Depth of Flow ft</t>
  </si>
  <si>
    <t>Spillway Capacity cfs</t>
  </si>
  <si>
    <t>Skimmer Basin</t>
  </si>
  <si>
    <t>(2 to 3.5 feet above grade)</t>
  </si>
  <si>
    <t>Skimmer Size (inches)</t>
  </si>
  <si>
    <t>Skimmer Size</t>
  </si>
  <si>
    <t>Head on Skimmer (feet)</t>
  </si>
  <si>
    <t>(Inches)</t>
  </si>
  <si>
    <t>Orifice Size (1/4 inch increments)</t>
  </si>
  <si>
    <t>Dewatering Time (days)</t>
  </si>
  <si>
    <t>Suggest about 3 days</t>
  </si>
  <si>
    <t>(2 to 13 feet above grade)</t>
  </si>
  <si>
    <t>Use Spillway Capacity Sheet to Size Primary and Emergency Spillways</t>
  </si>
  <si>
    <t>Spillway Capacity Spreadsheet</t>
  </si>
  <si>
    <t xml:space="preserve">Date:  </t>
  </si>
  <si>
    <t xml:space="preserve">By:      </t>
  </si>
  <si>
    <t>Checked:</t>
  </si>
  <si>
    <t>By:</t>
  </si>
  <si>
    <t>Pipe Flow</t>
  </si>
  <si>
    <t xml:space="preserve">Pipe Flow </t>
  </si>
  <si>
    <t>(Outlet Control)</t>
  </si>
  <si>
    <t>(Inlet Control)</t>
  </si>
  <si>
    <t>Weir Flow</t>
  </si>
  <si>
    <t>Orifice Flow</t>
  </si>
  <si>
    <t>Primary</t>
  </si>
  <si>
    <t>Emergency Spillway Flow</t>
  </si>
  <si>
    <t>Total Spillway Capacity</t>
  </si>
  <si>
    <t>Full</t>
  </si>
  <si>
    <t>Orifice</t>
  </si>
  <si>
    <t>Riser</t>
  </si>
  <si>
    <t>Spillway</t>
  </si>
  <si>
    <t>Flow</t>
  </si>
  <si>
    <t xml:space="preserve">Inlet Invert </t>
  </si>
  <si>
    <t>=</t>
  </si>
  <si>
    <t>Co</t>
  </si>
  <si>
    <t>Crest Elev.</t>
  </si>
  <si>
    <t>Bottom Elevation</t>
  </si>
  <si>
    <t xml:space="preserve">Outlet Invert </t>
  </si>
  <si>
    <t>Material</t>
  </si>
  <si>
    <t>Steel</t>
  </si>
  <si>
    <t>Pipe Diameter (ins.)</t>
  </si>
  <si>
    <t>Bottom Width</t>
  </si>
  <si>
    <t>Diameter (ins)</t>
  </si>
  <si>
    <t>Ke</t>
  </si>
  <si>
    <t>Box</t>
  </si>
  <si>
    <t>n for Pipe</t>
  </si>
  <si>
    <t>L (ft)</t>
  </si>
  <si>
    <t>Weir Equation Q= C L H^1.5</t>
  </si>
  <si>
    <t>Length (ft)</t>
  </si>
  <si>
    <t>W (ft)</t>
  </si>
  <si>
    <t>Kp</t>
  </si>
  <si>
    <r>
      <t>C</t>
    </r>
    <r>
      <rPr>
        <sz val="8"/>
        <rFont val="Arial"/>
        <family val="2"/>
      </rPr>
      <t>w</t>
    </r>
    <r>
      <rPr>
        <sz val="10"/>
        <rFont val="Arial"/>
      </rPr>
      <t>= 2.8</t>
    </r>
  </si>
  <si>
    <t>Area (sq ft)</t>
  </si>
  <si>
    <t>Cw</t>
  </si>
  <si>
    <t>Area  (sq ft)</t>
  </si>
  <si>
    <t>Elevation</t>
  </si>
  <si>
    <t>H</t>
  </si>
  <si>
    <t>Q</t>
  </si>
  <si>
    <t>Outlet</t>
  </si>
  <si>
    <t>Q max</t>
  </si>
  <si>
    <t>Head</t>
  </si>
  <si>
    <t>Q cfs</t>
  </si>
  <si>
    <t>Elevation Notes</t>
  </si>
  <si>
    <t>CFS.</t>
  </si>
  <si>
    <t>V</t>
  </si>
  <si>
    <t>Riser Crest</t>
  </si>
  <si>
    <t>Emergency Spillway</t>
  </si>
  <si>
    <t>1 ft freeboard</t>
  </si>
  <si>
    <t>Top of Dam (Assumed Elevation)</t>
  </si>
  <si>
    <t>PIPE FRICTION COEFFICIENTS</t>
  </si>
  <si>
    <t>PIPE</t>
  </si>
  <si>
    <t>COEFFICIENT</t>
  </si>
  <si>
    <t>SMOOTH CEMENT</t>
  </si>
  <si>
    <t>ROUGH CEMENT</t>
  </si>
  <si>
    <t>CORRUGATED METAL</t>
  </si>
  <si>
    <t>SMOOTH STEEL</t>
  </si>
  <si>
    <t>RIVETED STEEL</t>
  </si>
  <si>
    <t>CAST IRON</t>
  </si>
  <si>
    <t>TGH Revised 12/13/2006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</si>
</sst>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0" xfId="0" applyFont="1" applyAlignment="1">
      <alignment horizontal="centerContinuous"/>
    </xf>
    <xf numFmtId="0" fontId="0" fillId="0" borderId="2" xfId="0" applyBorder="1"/>
    <xf numFmtId="0" fontId="3" fillId="0" borderId="1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3" borderId="0" xfId="0" applyFill="1" applyAlignment="1">
      <alignment horizontal="right"/>
    </xf>
    <xf numFmtId="2" fontId="0" fillId="2" borderId="0" xfId="0" applyNumberFormat="1" applyFill="1"/>
    <xf numFmtId="0" fontId="0" fillId="2" borderId="2" xfId="0" applyFill="1" applyBorder="1"/>
    <xf numFmtId="0" fontId="0" fillId="2" borderId="0" xfId="0" applyFill="1" applyAlignment="1">
      <alignment horizontal="right"/>
    </xf>
    <xf numFmtId="2" fontId="0" fillId="3" borderId="0" xfId="0" applyNumberFormat="1" applyFill="1"/>
    <xf numFmtId="164" fontId="0" fillId="2" borderId="0" xfId="0" applyNumberFormat="1" applyFill="1" applyAlignment="1">
      <alignment horizontal="right"/>
    </xf>
    <xf numFmtId="0" fontId="0" fillId="0" borderId="1" xfId="0" applyBorder="1" applyAlignment="1">
      <alignment horizontal="right"/>
    </xf>
    <xf numFmtId="2" fontId="0" fillId="0" borderId="0" xfId="0" applyNumberFormat="1"/>
    <xf numFmtId="0" fontId="0" fillId="4" borderId="0" xfId="0" applyFill="1"/>
    <xf numFmtId="0" fontId="0" fillId="3" borderId="2" xfId="0" applyFill="1" applyBorder="1"/>
    <xf numFmtId="2" fontId="1" fillId="0" borderId="0" xfId="0" applyNumberFormat="1" applyFont="1"/>
    <xf numFmtId="0" fontId="6" fillId="0" borderId="0" xfId="0" applyFont="1" applyAlignment="1">
      <alignment horizontal="center"/>
    </xf>
    <xf numFmtId="0" fontId="6" fillId="5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5" xfId="0" applyFill="1" applyBorder="1"/>
    <xf numFmtId="2" fontId="0" fillId="0" borderId="7" xfId="0" applyNumberFormat="1" applyBorder="1"/>
    <xf numFmtId="0" fontId="0" fillId="5" borderId="3" xfId="0" applyFill="1" applyBorder="1"/>
    <xf numFmtId="2" fontId="0" fillId="2" borderId="8" xfId="0" applyNumberFormat="1" applyFill="1" applyBorder="1"/>
    <xf numFmtId="2" fontId="0" fillId="4" borderId="0" xfId="0" applyNumberFormat="1" applyFill="1"/>
    <xf numFmtId="2" fontId="0" fillId="4" borderId="2" xfId="0" applyNumberFormat="1" applyFill="1" applyBorder="1"/>
    <xf numFmtId="2" fontId="0" fillId="4" borderId="1" xfId="0" applyNumberFormat="1" applyFill="1" applyBorder="1"/>
    <xf numFmtId="2" fontId="1" fillId="4" borderId="0" xfId="0" applyNumberFormat="1" applyFont="1" applyFill="1"/>
    <xf numFmtId="2" fontId="6" fillId="4" borderId="0" xfId="0" applyNumberFormat="1" applyFont="1" applyFill="1"/>
    <xf numFmtId="2" fontId="0" fillId="2" borderId="9" xfId="0" applyNumberFormat="1" applyFill="1" applyBorder="1"/>
    <xf numFmtId="0" fontId="7" fillId="6" borderId="0" xfId="0" applyFont="1" applyFill="1"/>
    <xf numFmtId="2" fontId="0" fillId="6" borderId="0" xfId="0" applyNumberFormat="1" applyFill="1"/>
    <xf numFmtId="0" fontId="0" fillId="6" borderId="0" xfId="0" applyFill="1"/>
    <xf numFmtId="0" fontId="3" fillId="6" borderId="0" xfId="0" applyFont="1" applyFill="1"/>
    <xf numFmtId="0" fontId="0" fillId="6" borderId="8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0" xfId="0" applyFill="1" applyAlignment="1">
      <alignment horizontal="center"/>
    </xf>
    <xf numFmtId="0" fontId="0" fillId="6" borderId="12" xfId="0" applyFill="1" applyBorder="1"/>
    <xf numFmtId="0" fontId="0" fillId="6" borderId="7" xfId="0" applyFill="1" applyBorder="1"/>
    <xf numFmtId="0" fontId="0" fillId="6" borderId="13" xfId="0" applyFill="1" applyBorder="1"/>
    <xf numFmtId="1" fontId="0" fillId="4" borderId="0" xfId="0" applyNumberFormat="1" applyFill="1"/>
    <xf numFmtId="0" fontId="3" fillId="4" borderId="0" xfId="0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0" fillId="4" borderId="0" xfId="0" applyNumberFormat="1" applyFill="1"/>
    <xf numFmtId="0" fontId="0" fillId="8" borderId="0" xfId="0" applyFill="1"/>
    <xf numFmtId="1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>
      <alignment horizontal="centerContinuous"/>
    </xf>
    <xf numFmtId="0" fontId="1" fillId="6" borderId="0" xfId="0" applyFont="1" applyFill="1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7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45</xdr:row>
      <xdr:rowOff>142875</xdr:rowOff>
    </xdr:from>
    <xdr:to>
      <xdr:col>26</xdr:col>
      <xdr:colOff>342900</xdr:colOff>
      <xdr:row>61</xdr:row>
      <xdr:rowOff>19050</xdr:rowOff>
    </xdr:to>
    <xdr:pic>
      <xdr:nvPicPr>
        <xdr:cNvPr id="1037" name="Picture 3">
          <a:extLst>
            <a:ext uri="{FF2B5EF4-FFF2-40B4-BE49-F238E27FC236}">
              <a16:creationId xmlns:a16="http://schemas.microsoft.com/office/drawing/2014/main" id="{C7EDC391-EED8-6A63-AADC-E1E1F0A9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8429625"/>
          <a:ext cx="7077075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3397-F7C3-47E3-9929-B367A738F926}">
  <dimension ref="A2:G27"/>
  <sheetViews>
    <sheetView workbookViewId="0">
      <selection activeCell="G18" sqref="G18"/>
    </sheetView>
  </sheetViews>
  <sheetFormatPr defaultColWidth="9.140625" defaultRowHeight="13.15"/>
  <cols>
    <col min="1" max="1" width="11.28515625" customWidth="1"/>
  </cols>
  <sheetData>
    <row r="2" spans="1:7">
      <c r="A2" s="79" t="s">
        <v>0</v>
      </c>
      <c r="B2" s="80"/>
      <c r="C2" s="80"/>
      <c r="D2" s="80"/>
      <c r="E2" s="80"/>
      <c r="F2" s="70"/>
      <c r="G2" s="70"/>
    </row>
    <row r="3" spans="1:7">
      <c r="A3" s="80"/>
      <c r="B3" s="80"/>
      <c r="C3" s="80"/>
      <c r="D3" s="80"/>
      <c r="E3" s="80"/>
      <c r="F3" s="70"/>
      <c r="G3" s="70"/>
    </row>
    <row r="5" spans="1:7">
      <c r="A5" s="66"/>
      <c r="B5" s="70" t="s">
        <v>1</v>
      </c>
      <c r="C5" s="70"/>
      <c r="D5" s="70"/>
      <c r="E5" s="70"/>
      <c r="F5" s="1"/>
      <c r="G5" s="70" t="s">
        <v>2</v>
      </c>
    </row>
    <row r="7" spans="1:7">
      <c r="A7" s="28" t="str">
        <f>IF($A$5&lt;=1,"Okay","Do Not Use")</f>
        <v>Okay</v>
      </c>
      <c r="B7" s="70" t="s">
        <v>3</v>
      </c>
      <c r="C7" s="70"/>
      <c r="D7" s="70"/>
      <c r="E7" s="70"/>
      <c r="F7" s="28"/>
      <c r="G7" s="70" t="s">
        <v>4</v>
      </c>
    </row>
    <row r="8" spans="1:7">
      <c r="A8" s="28" t="str">
        <f>IF($A$5&lt;=10,"Okay","Do Not Use")</f>
        <v>Okay</v>
      </c>
      <c r="B8" s="70" t="s">
        <v>5</v>
      </c>
      <c r="C8" s="70"/>
      <c r="D8" s="70"/>
      <c r="E8" s="70"/>
      <c r="F8" s="70"/>
      <c r="G8" s="70"/>
    </row>
    <row r="9" spans="1:7">
      <c r="A9" s="28" t="str">
        <f>IF($A$5&lt;=100,"Okay","Do Not Use")</f>
        <v>Okay</v>
      </c>
      <c r="B9" s="70" t="s">
        <v>6</v>
      </c>
      <c r="C9" s="70"/>
      <c r="D9" s="70"/>
      <c r="E9" s="70"/>
      <c r="F9" s="70"/>
      <c r="G9" s="70"/>
    </row>
    <row r="11" spans="1:7">
      <c r="A11" s="66"/>
      <c r="B11" s="70" t="s">
        <v>7</v>
      </c>
      <c r="C11" s="70"/>
      <c r="D11" s="70"/>
      <c r="E11" s="70"/>
      <c r="F11" s="70"/>
      <c r="G11" s="70"/>
    </row>
    <row r="12" spans="1:7">
      <c r="A12" s="66"/>
      <c r="B12" s="70" t="s">
        <v>8</v>
      </c>
      <c r="C12" s="70"/>
      <c r="D12" s="70"/>
      <c r="E12" s="70"/>
      <c r="F12" s="70"/>
      <c r="G12" s="70"/>
    </row>
    <row r="26" spans="1:1">
      <c r="A26" s="70" t="s">
        <v>9</v>
      </c>
    </row>
    <row r="27" spans="1:1">
      <c r="A27" s="70" t="s">
        <v>10</v>
      </c>
    </row>
  </sheetData>
  <sheetProtection algorithmName="SHA-512" hashValue="Ne92Q7szpqXNSMy07+0Jh2LkV0nm9V4Rz+2JZziFleXXO26fMcRnUcnS526GfiEMdLImT68zjU16OL2sX4ePqw==" saltValue="ANG8ZVU6svmHKcWcf733EQ==" spinCount="100000" sheet="1" objects="1" scenarios="1"/>
  <mergeCells count="1">
    <mergeCell ref="A2:E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D158-9EFB-4002-B202-860823B14B80}">
  <dimension ref="A2:E27"/>
  <sheetViews>
    <sheetView topLeftCell="A12" workbookViewId="0">
      <selection activeCell="B30" sqref="B30"/>
    </sheetView>
  </sheetViews>
  <sheetFormatPr defaultRowHeight="13.15"/>
  <sheetData>
    <row r="2" spans="1:3" ht="15.6">
      <c r="A2" s="2" t="s">
        <v>3</v>
      </c>
      <c r="B2" s="3"/>
      <c r="C2" s="3"/>
    </row>
    <row r="4" spans="1:3">
      <c r="A4" s="70"/>
      <c r="B4" s="60" t="s">
        <v>11</v>
      </c>
      <c r="C4" s="28"/>
    </row>
    <row r="6" spans="1:3">
      <c r="A6" s="64">
        <f>'Measure Selection'!A11</f>
        <v>0</v>
      </c>
      <c r="B6" s="70" t="s">
        <v>7</v>
      </c>
      <c r="C6" s="70"/>
    </row>
    <row r="7" spans="1:3">
      <c r="A7" s="64">
        <f>'Measure Selection'!A12</f>
        <v>0</v>
      </c>
      <c r="B7" s="70" t="s">
        <v>8</v>
      </c>
      <c r="C7" s="70"/>
    </row>
    <row r="8" spans="1:3">
      <c r="A8" s="64">
        <f>'Measure Selection'!A5</f>
        <v>0</v>
      </c>
      <c r="B8" s="70" t="s">
        <v>12</v>
      </c>
      <c r="C8" s="70"/>
    </row>
    <row r="10" spans="1:3" ht="15.6">
      <c r="A10" s="28">
        <f>$A$6*3600</f>
        <v>0</v>
      </c>
      <c r="B10" s="70" t="s">
        <v>13</v>
      </c>
      <c r="C10" s="70"/>
    </row>
    <row r="11" spans="1:3" ht="15.6">
      <c r="A11" s="59">
        <f>$A$7*435.6</f>
        <v>0</v>
      </c>
      <c r="B11" s="70" t="s">
        <v>14</v>
      </c>
      <c r="C11" s="70"/>
    </row>
    <row r="12" spans="1:3">
      <c r="A12" s="63">
        <f>SQRT(A11/2)</f>
        <v>0</v>
      </c>
      <c r="B12" s="70" t="s">
        <v>15</v>
      </c>
      <c r="C12" s="70"/>
    </row>
    <row r="13" spans="1:3">
      <c r="A13" s="63">
        <f>2*A12</f>
        <v>0</v>
      </c>
      <c r="B13" s="70" t="s">
        <v>16</v>
      </c>
      <c r="C13" s="70"/>
    </row>
    <row r="15" spans="1:3">
      <c r="A15" s="65"/>
      <c r="B15" s="70" t="s">
        <v>17</v>
      </c>
      <c r="C15" s="70"/>
    </row>
    <row r="16" spans="1:3">
      <c r="A16" s="65"/>
      <c r="B16" s="70" t="s">
        <v>18</v>
      </c>
      <c r="C16" s="70"/>
    </row>
    <row r="17" spans="1:5">
      <c r="A17" s="66"/>
      <c r="B17" s="70" t="s">
        <v>19</v>
      </c>
      <c r="C17" s="70"/>
      <c r="D17" s="70"/>
      <c r="E17" s="70"/>
    </row>
    <row r="18" spans="1:5">
      <c r="A18" s="66"/>
      <c r="B18" s="70" t="s">
        <v>20</v>
      </c>
      <c r="C18" s="70"/>
      <c r="D18" s="70" t="s">
        <v>21</v>
      </c>
      <c r="E18" s="70"/>
    </row>
    <row r="19" spans="1:5">
      <c r="A19" s="28">
        <f>A15-(A17*A18*2)</f>
        <v>0</v>
      </c>
      <c r="B19" s="70" t="s">
        <v>22</v>
      </c>
      <c r="C19" s="70"/>
      <c r="D19" s="70"/>
      <c r="E19" s="70"/>
    </row>
    <row r="20" spans="1:5">
      <c r="A20" s="28">
        <f>A16-(A17*A18*2)</f>
        <v>0</v>
      </c>
      <c r="B20" s="70" t="s">
        <v>23</v>
      </c>
      <c r="C20" s="70"/>
      <c r="D20" s="70"/>
      <c r="E20" s="70"/>
    </row>
    <row r="21" spans="1:5" ht="15.6">
      <c r="A21" s="28">
        <f>A19*A20</f>
        <v>0</v>
      </c>
      <c r="B21" s="70" t="s">
        <v>24</v>
      </c>
      <c r="C21" s="70"/>
      <c r="D21" s="70"/>
      <c r="E21" s="70"/>
    </row>
    <row r="22" spans="1:5" ht="15.6">
      <c r="A22" s="59">
        <f>1/3* A18*(A15*A16+A19*A20+(A15*A20+A19*A16)/2)</f>
        <v>0</v>
      </c>
      <c r="B22" s="70" t="s">
        <v>25</v>
      </c>
      <c r="C22" s="70"/>
      <c r="D22" s="70"/>
      <c r="E22" s="60" t="str">
        <f>IF(A22&gt;=A10,"Okay","Too Small!")</f>
        <v>Okay</v>
      </c>
    </row>
    <row r="23" spans="1:5" ht="15.6">
      <c r="A23" s="28">
        <f>A15*A16</f>
        <v>0</v>
      </c>
      <c r="B23" s="70" t="s">
        <v>26</v>
      </c>
      <c r="C23" s="70"/>
      <c r="D23" s="70"/>
      <c r="E23" s="60" t="str">
        <f>IF(A23&gt;=A11,"Okay","Too Small!")</f>
        <v>Okay</v>
      </c>
    </row>
    <row r="25" spans="1:5">
      <c r="A25" s="66"/>
      <c r="B25" s="70" t="s">
        <v>27</v>
      </c>
      <c r="C25" s="70"/>
      <c r="D25" s="70"/>
      <c r="E25" s="70"/>
    </row>
    <row r="26" spans="1:5">
      <c r="A26" s="66"/>
      <c r="B26" s="70" t="s">
        <v>28</v>
      </c>
      <c r="C26" s="70"/>
      <c r="D26" s="70"/>
      <c r="E26" s="70"/>
    </row>
    <row r="27" spans="1:5">
      <c r="A27" s="63">
        <f>3*A25*A26^1.5</f>
        <v>0</v>
      </c>
      <c r="B27" s="70" t="s">
        <v>29</v>
      </c>
      <c r="C27" s="70"/>
      <c r="D27" s="70"/>
      <c r="E27" s="60" t="str">
        <f>IF(A27&gt;=A7,"Okay","Too Small!")</f>
        <v>Okay</v>
      </c>
    </row>
  </sheetData>
  <sheetProtection algorithmName="SHA-512" hashValue="cGvgEwzynQbLSFiGYxr3tcfzFHoR3PpxBq22YNbiuCPMssbip4A/pz13HXXjQiT02+kl1kMuHiQQp/QymgTb2Q==" saltValue="Ym08vRDi4mQxVc56U0ZAgw==" spinCount="100000" sheet="1" objects="1" scenario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0135-9D4A-4EA3-BF35-E9CC402663BE}">
  <dimension ref="A2:F39"/>
  <sheetViews>
    <sheetView workbookViewId="0">
      <selection activeCell="C21" sqref="C21"/>
    </sheetView>
  </sheetViews>
  <sheetFormatPr defaultRowHeight="13.15"/>
  <cols>
    <col min="6" max="6" width="12.28515625" bestFit="1" customWidth="1"/>
    <col min="7" max="7" width="15.5703125" bestFit="1" customWidth="1"/>
    <col min="8" max="8" width="12.28515625" bestFit="1" customWidth="1"/>
    <col min="9" max="9" width="15.5703125" bestFit="1" customWidth="1"/>
    <col min="10" max="10" width="12.28515625" bestFit="1" customWidth="1"/>
    <col min="11" max="11" width="15.5703125" bestFit="1" customWidth="1"/>
  </cols>
  <sheetData>
    <row r="2" spans="1:4" ht="15.6">
      <c r="A2" s="72" t="s">
        <v>30</v>
      </c>
      <c r="B2" s="73"/>
      <c r="C2" s="73"/>
      <c r="D2" s="73"/>
    </row>
    <row r="4" spans="1:4">
      <c r="A4" s="70"/>
      <c r="B4" s="60" t="s">
        <v>11</v>
      </c>
      <c r="C4" s="28"/>
      <c r="D4" s="70"/>
    </row>
    <row r="6" spans="1:4">
      <c r="A6" s="64">
        <f>'Measure Selection'!A11</f>
        <v>0</v>
      </c>
      <c r="B6" s="70" t="s">
        <v>7</v>
      </c>
      <c r="C6" s="70"/>
      <c r="D6" s="70"/>
    </row>
    <row r="7" spans="1:4">
      <c r="A7" s="64">
        <f>'Measure Selection'!A12</f>
        <v>0</v>
      </c>
      <c r="B7" s="70" t="s">
        <v>8</v>
      </c>
      <c r="C7" s="70"/>
      <c r="D7" s="70"/>
    </row>
    <row r="8" spans="1:4">
      <c r="A8" s="64">
        <f>'Measure Selection'!A5</f>
        <v>0</v>
      </c>
      <c r="B8" s="70" t="s">
        <v>12</v>
      </c>
      <c r="C8" s="70"/>
      <c r="D8" s="70"/>
    </row>
    <row r="10" spans="1:4" ht="15.6">
      <c r="A10" s="28">
        <f>$A$6*1800</f>
        <v>0</v>
      </c>
      <c r="B10" s="70" t="s">
        <v>13</v>
      </c>
      <c r="C10" s="70"/>
      <c r="D10" s="70"/>
    </row>
    <row r="11" spans="1:4" ht="15.6">
      <c r="A11" s="59">
        <f>$A$7*325</f>
        <v>0</v>
      </c>
      <c r="B11" s="70" t="s">
        <v>14</v>
      </c>
      <c r="C11" s="70"/>
      <c r="D11" s="70"/>
    </row>
    <row r="12" spans="1:4">
      <c r="A12" s="63">
        <f>SQRT(A11/2)</f>
        <v>0</v>
      </c>
      <c r="B12" s="70" t="s">
        <v>15</v>
      </c>
      <c r="C12" s="70"/>
      <c r="D12" s="70"/>
    </row>
    <row r="13" spans="1:4">
      <c r="A13" s="63">
        <f>2*A12</f>
        <v>0</v>
      </c>
      <c r="B13" s="70" t="s">
        <v>16</v>
      </c>
      <c r="C13" s="70"/>
      <c r="D13" s="70"/>
    </row>
    <row r="15" spans="1:4">
      <c r="A15" s="65"/>
      <c r="B15" s="70" t="s">
        <v>17</v>
      </c>
      <c r="C15" s="70"/>
      <c r="D15" s="70"/>
    </row>
    <row r="16" spans="1:4">
      <c r="A16" s="65"/>
      <c r="B16" s="70" t="s">
        <v>18</v>
      </c>
      <c r="C16" s="70"/>
      <c r="D16" s="70"/>
    </row>
    <row r="17" spans="1:6">
      <c r="A17" s="66"/>
      <c r="B17" s="70" t="s">
        <v>19</v>
      </c>
      <c r="C17" s="70"/>
      <c r="D17" s="70"/>
      <c r="E17" s="70"/>
      <c r="F17" s="70"/>
    </row>
    <row r="18" spans="1:6">
      <c r="A18" s="66"/>
      <c r="B18" s="70" t="s">
        <v>20</v>
      </c>
      <c r="C18" s="70"/>
      <c r="D18" s="70" t="s">
        <v>31</v>
      </c>
      <c r="E18" s="70"/>
      <c r="F18" s="70"/>
    </row>
    <row r="19" spans="1:6">
      <c r="A19" s="28">
        <f>A15-(A17*A18*2)</f>
        <v>0</v>
      </c>
      <c r="B19" s="70" t="s">
        <v>22</v>
      </c>
      <c r="C19" s="70"/>
      <c r="D19" s="70"/>
      <c r="E19" s="70"/>
      <c r="F19" s="70"/>
    </row>
    <row r="20" spans="1:6">
      <c r="A20" s="28">
        <f>A16-(A17*A18*2)</f>
        <v>0</v>
      </c>
      <c r="B20" s="70" t="s">
        <v>23</v>
      </c>
      <c r="C20" s="70"/>
      <c r="D20" s="70"/>
      <c r="E20" s="70"/>
      <c r="F20" s="70"/>
    </row>
    <row r="21" spans="1:6" ht="15.6">
      <c r="A21" s="28">
        <f>A19*A20</f>
        <v>0</v>
      </c>
      <c r="B21" s="70" t="s">
        <v>24</v>
      </c>
      <c r="C21" s="70"/>
      <c r="D21" s="70"/>
      <c r="E21" s="70"/>
      <c r="F21" s="70"/>
    </row>
    <row r="22" spans="1:6" ht="15.6">
      <c r="A22" s="59">
        <f>1/3* A18*(A15*A16+A19*A20+(A15*A20+A19*A16)/2)</f>
        <v>0</v>
      </c>
      <c r="B22" s="70" t="s">
        <v>25</v>
      </c>
      <c r="C22" s="70"/>
      <c r="D22" s="70"/>
      <c r="E22" s="60" t="str">
        <f>IF(A22&gt;=A10,"Okay","Too Small!")</f>
        <v>Okay</v>
      </c>
      <c r="F22" s="70"/>
    </row>
    <row r="23" spans="1:6" ht="15.6">
      <c r="A23" s="28">
        <f>A15*A16</f>
        <v>0</v>
      </c>
      <c r="B23" s="70" t="s">
        <v>26</v>
      </c>
      <c r="C23" s="70"/>
      <c r="D23" s="70"/>
      <c r="E23" s="60" t="str">
        <f>IF(A23&gt;=A11,"Okay","Too Small!")</f>
        <v>Okay</v>
      </c>
      <c r="F23" s="70"/>
    </row>
    <row r="25" spans="1:6">
      <c r="A25" s="66"/>
      <c r="B25" s="70" t="s">
        <v>27</v>
      </c>
      <c r="C25" s="70"/>
      <c r="D25" s="70"/>
      <c r="E25" s="70"/>
      <c r="F25" s="70"/>
    </row>
    <row r="26" spans="1:6">
      <c r="A26" s="66"/>
      <c r="B26" s="70" t="s">
        <v>28</v>
      </c>
      <c r="C26" s="70"/>
      <c r="D26" s="70"/>
      <c r="E26" s="70"/>
      <c r="F26" s="70"/>
    </row>
    <row r="27" spans="1:6">
      <c r="A27" s="63">
        <f>3*A25*A26^1.5</f>
        <v>0</v>
      </c>
      <c r="B27" s="70" t="s">
        <v>29</v>
      </c>
      <c r="C27" s="70"/>
      <c r="D27" s="70"/>
      <c r="E27" s="60" t="str">
        <f>IF(A27&gt;=A7,"Okay","Too Small!")</f>
        <v>Okay</v>
      </c>
      <c r="F27" s="70"/>
    </row>
    <row r="28" spans="1:6" ht="13.9" thickBot="1">
      <c r="A28" s="70"/>
      <c r="B28" s="70"/>
      <c r="C28" s="70"/>
      <c r="D28" s="70"/>
      <c r="E28" s="70"/>
      <c r="F28" s="70"/>
    </row>
    <row r="29" spans="1:6" ht="14.45" thickTop="1" thickBot="1">
      <c r="A29" s="66"/>
      <c r="B29" s="70" t="s">
        <v>32</v>
      </c>
      <c r="C29" s="70"/>
      <c r="D29" s="70"/>
      <c r="E29" s="70"/>
      <c r="F29" s="61" t="s">
        <v>33</v>
      </c>
    </row>
    <row r="30" spans="1:6" ht="14.45" thickTop="1" thickBot="1">
      <c r="A30" s="28" t="b">
        <f>IF(A29=1.5,0.125,IF(A29=2,0.167,IF(A29=2.5,0.208,IF(A29=3,0.25,IF(OR(A29=4,A29=5),0.333,IF(A29=6,0.417,IF(A29=8,0.5)))))))</f>
        <v>0</v>
      </c>
      <c r="B30" s="70" t="s">
        <v>34</v>
      </c>
      <c r="C30" s="70"/>
      <c r="D30" s="70"/>
      <c r="E30" s="70"/>
      <c r="F30" s="62" t="s">
        <v>35</v>
      </c>
    </row>
    <row r="31" spans="1:6" ht="14.45" thickTop="1" thickBot="1">
      <c r="A31" s="66"/>
      <c r="B31" s="70" t="s">
        <v>36</v>
      </c>
      <c r="C31" s="70"/>
      <c r="D31" s="70"/>
      <c r="E31" s="70"/>
      <c r="F31" s="61">
        <v>1.5</v>
      </c>
    </row>
    <row r="32" spans="1:6" ht="14.45" thickTop="1" thickBot="1">
      <c r="A32" s="40" t="e">
        <f>A10/(2310*A31^2*SQRT(A30))</f>
        <v>#DIV/0!</v>
      </c>
      <c r="B32" s="70" t="s">
        <v>37</v>
      </c>
      <c r="C32" s="70"/>
      <c r="D32" s="70"/>
      <c r="E32" s="70"/>
      <c r="F32" s="61">
        <v>2</v>
      </c>
    </row>
    <row r="33" spans="2:6" ht="14.45" thickTop="1" thickBot="1">
      <c r="B33" s="70" t="s">
        <v>38</v>
      </c>
      <c r="C33" s="70"/>
      <c r="D33" s="70"/>
      <c r="E33" s="70"/>
      <c r="F33" s="61">
        <v>2.5</v>
      </c>
    </row>
    <row r="34" spans="2:6" ht="14.45" thickTop="1" thickBot="1">
      <c r="B34" s="70"/>
      <c r="C34" s="70"/>
      <c r="D34" s="70"/>
      <c r="E34" s="70"/>
      <c r="F34" s="61">
        <v>3</v>
      </c>
    </row>
    <row r="35" spans="2:6" ht="14.45" thickTop="1" thickBot="1">
      <c r="B35" s="70"/>
      <c r="C35" s="70"/>
      <c r="D35" s="70"/>
      <c r="E35" s="70"/>
      <c r="F35" s="61">
        <v>4</v>
      </c>
    </row>
    <row r="36" spans="2:6" ht="14.45" thickTop="1" thickBot="1">
      <c r="B36" s="70"/>
      <c r="C36" s="70"/>
      <c r="D36" s="70"/>
      <c r="E36" s="70"/>
      <c r="F36" s="61">
        <v>5</v>
      </c>
    </row>
    <row r="37" spans="2:6" ht="14.45" thickTop="1" thickBot="1">
      <c r="B37" s="70"/>
      <c r="C37" s="70"/>
      <c r="D37" s="70"/>
      <c r="E37" s="70"/>
      <c r="F37" s="61">
        <v>6</v>
      </c>
    </row>
    <row r="38" spans="2:6" ht="14.45" thickTop="1" thickBot="1">
      <c r="B38" s="70"/>
      <c r="C38" s="70"/>
      <c r="D38" s="70"/>
      <c r="E38" s="70"/>
      <c r="F38" s="61">
        <v>8</v>
      </c>
    </row>
    <row r="39" spans="2:6" ht="13.9" thickTop="1">
      <c r="B39" s="70"/>
      <c r="C39" s="70"/>
      <c r="D39" s="70"/>
      <c r="E39" s="70"/>
      <c r="F39" s="70"/>
    </row>
  </sheetData>
  <sheetProtection algorithmName="SHA-512" hashValue="5Ii+24cKFweqrHaTQcLhYbfX84NPk2ZktxM9r5tUhCsHVhVc2Tzj3ZAkdKWpPcc27ZmUb/2Av8q26LWzk71acw==" saltValue="adctmgYb3kdqPSBDZ4CqaQ==" spinCount="100000" sheet="1" objects="1" scenarios="1"/>
  <mergeCells count="1">
    <mergeCell ref="A2:D2"/>
  </mergeCells>
  <phoneticPr fontId="0" type="noConversion"/>
  <dataValidations count="1">
    <dataValidation type="custom" allowBlank="1" showInputMessage="1" showErrorMessage="1" errorTitle="Invalid Size" error="Please enter an orfice size in 1/4&quot; increments._x000a__x000a_" sqref="A31" xr:uid="{C9DC4493-E248-4A05-BD81-EF0DA031D31A}"/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5D-C12D-4361-973E-7B576B0798A5}">
  <dimension ref="A2:G37"/>
  <sheetViews>
    <sheetView tabSelected="1" workbookViewId="0">
      <selection activeCell="E2" sqref="E2"/>
    </sheetView>
  </sheetViews>
  <sheetFormatPr defaultRowHeight="13.15"/>
  <cols>
    <col min="6" max="6" width="12.28515625" bestFit="1" customWidth="1"/>
    <col min="7" max="7" width="15.5703125" bestFit="1" customWidth="1"/>
  </cols>
  <sheetData>
    <row r="2" spans="1:4" ht="15.6">
      <c r="A2" s="72" t="s">
        <v>6</v>
      </c>
      <c r="B2" s="73"/>
      <c r="C2" s="73"/>
      <c r="D2" s="73"/>
    </row>
    <row r="4" spans="1:4">
      <c r="A4" s="70"/>
      <c r="B4" s="60" t="s">
        <v>11</v>
      </c>
      <c r="C4" s="70"/>
      <c r="D4" s="70"/>
    </row>
    <row r="6" spans="1:4">
      <c r="A6" s="64">
        <f>'Measure Selection'!A11</f>
        <v>0</v>
      </c>
      <c r="B6" s="70" t="s">
        <v>7</v>
      </c>
      <c r="C6" s="70"/>
      <c r="D6" s="70"/>
    </row>
    <row r="7" spans="1:4">
      <c r="A7" s="64">
        <f>'Measure Selection'!A12</f>
        <v>0</v>
      </c>
      <c r="B7" s="70" t="s">
        <v>8</v>
      </c>
      <c r="C7" s="70"/>
      <c r="D7" s="70"/>
    </row>
    <row r="8" spans="1:4">
      <c r="A8" s="64">
        <f>'Measure Selection'!A5</f>
        <v>0</v>
      </c>
      <c r="B8" s="70" t="s">
        <v>12</v>
      </c>
      <c r="C8" s="70"/>
      <c r="D8" s="70"/>
    </row>
    <row r="10" spans="1:4" ht="15.6">
      <c r="A10" s="28">
        <f>$A$6*1800</f>
        <v>0</v>
      </c>
      <c r="B10" s="70" t="s">
        <v>13</v>
      </c>
      <c r="C10" s="70"/>
      <c r="D10" s="70"/>
    </row>
    <row r="11" spans="1:4" ht="15.6">
      <c r="A11" s="59">
        <f>$A$7*435.6</f>
        <v>0</v>
      </c>
      <c r="B11" s="70" t="s">
        <v>14</v>
      </c>
      <c r="C11" s="70"/>
      <c r="D11" s="70"/>
    </row>
    <row r="12" spans="1:4">
      <c r="A12" s="63">
        <f>SQRT(A11/2)</f>
        <v>0</v>
      </c>
      <c r="B12" s="70" t="s">
        <v>15</v>
      </c>
      <c r="C12" s="70"/>
      <c r="D12" s="70"/>
    </row>
    <row r="13" spans="1:4">
      <c r="A13" s="63">
        <f>2*A12</f>
        <v>0</v>
      </c>
      <c r="B13" s="70" t="s">
        <v>16</v>
      </c>
      <c r="C13" s="70"/>
      <c r="D13" s="70"/>
    </row>
    <row r="15" spans="1:4">
      <c r="A15" s="65"/>
      <c r="B15" s="70" t="s">
        <v>17</v>
      </c>
      <c r="C15" s="70"/>
      <c r="D15" s="70"/>
    </row>
    <row r="16" spans="1:4">
      <c r="A16" s="65"/>
      <c r="B16" s="70" t="s">
        <v>18</v>
      </c>
      <c r="C16" s="70"/>
      <c r="D16" s="70"/>
    </row>
    <row r="17" spans="1:7">
      <c r="A17" s="66"/>
      <c r="B17" s="70" t="s">
        <v>19</v>
      </c>
      <c r="C17" s="70"/>
      <c r="D17" s="70"/>
      <c r="E17" s="70"/>
      <c r="F17" s="70"/>
      <c r="G17" s="70"/>
    </row>
    <row r="18" spans="1:7">
      <c r="A18" s="66"/>
      <c r="B18" s="70" t="s">
        <v>20</v>
      </c>
      <c r="C18" s="70"/>
      <c r="D18" s="70" t="s">
        <v>39</v>
      </c>
      <c r="E18" s="70"/>
      <c r="F18" s="70"/>
      <c r="G18" s="70"/>
    </row>
    <row r="19" spans="1:7">
      <c r="A19" s="28">
        <f>A15-(A17*A18*2)</f>
        <v>0</v>
      </c>
      <c r="B19" s="70" t="s">
        <v>22</v>
      </c>
      <c r="C19" s="70"/>
      <c r="D19" s="70"/>
      <c r="E19" s="70"/>
      <c r="F19" s="70"/>
      <c r="G19" s="70"/>
    </row>
    <row r="20" spans="1:7">
      <c r="A20" s="28">
        <f>A16-(A17*A18*2)</f>
        <v>0</v>
      </c>
      <c r="B20" s="70" t="s">
        <v>23</v>
      </c>
      <c r="C20" s="70"/>
      <c r="D20" s="70"/>
      <c r="E20" s="70"/>
      <c r="F20" s="70"/>
      <c r="G20" s="70"/>
    </row>
    <row r="21" spans="1:7" ht="15.6">
      <c r="A21" s="28">
        <f>A19*A20</f>
        <v>0</v>
      </c>
      <c r="B21" s="70" t="s">
        <v>24</v>
      </c>
      <c r="C21" s="70"/>
      <c r="D21" s="70"/>
      <c r="E21" s="70"/>
      <c r="F21" s="70"/>
      <c r="G21" s="70"/>
    </row>
    <row r="22" spans="1:7" ht="15.6">
      <c r="A22" s="59">
        <f>1/3* A18*(A15*A16+A19*A20+(A15*A20+A19*A16)/2)</f>
        <v>0</v>
      </c>
      <c r="B22" s="70" t="s">
        <v>25</v>
      </c>
      <c r="C22" s="70"/>
      <c r="D22" s="70"/>
      <c r="E22" s="60" t="str">
        <f>IF(A22&gt;=A10,"Okay","Too Small!")</f>
        <v>Okay</v>
      </c>
      <c r="F22" s="70"/>
      <c r="G22" s="70"/>
    </row>
    <row r="23" spans="1:7" ht="15.6">
      <c r="A23" s="28">
        <f>A15*A16</f>
        <v>0</v>
      </c>
      <c r="B23" s="70" t="s">
        <v>26</v>
      </c>
      <c r="C23" s="70"/>
      <c r="D23" s="70"/>
      <c r="E23" s="60" t="str">
        <f>IF(A23&gt;=A11,"Okay","Too Small!")</f>
        <v>Okay</v>
      </c>
      <c r="F23" s="70"/>
      <c r="G23" s="70"/>
    </row>
    <row r="25" spans="1:7">
      <c r="A25" s="4" t="s">
        <v>40</v>
      </c>
      <c r="B25" s="4"/>
      <c r="C25" s="4"/>
      <c r="D25" s="4"/>
      <c r="E25" s="4"/>
      <c r="F25" s="4"/>
      <c r="G25" s="4"/>
    </row>
    <row r="26" spans="1:7" ht="13.9" thickBot="1">
      <c r="A26" s="70"/>
      <c r="B26" s="70"/>
      <c r="C26" s="70"/>
      <c r="D26" s="70"/>
      <c r="E26" s="70"/>
      <c r="F26" s="70"/>
      <c r="G26" s="70"/>
    </row>
    <row r="27" spans="1:7" ht="14.45" thickTop="1" thickBot="1">
      <c r="A27" s="66"/>
      <c r="B27" s="70" t="s">
        <v>32</v>
      </c>
      <c r="C27" s="70"/>
      <c r="D27" s="70"/>
      <c r="E27" s="70"/>
      <c r="F27" s="61" t="s">
        <v>33</v>
      </c>
      <c r="G27" s="70"/>
    </row>
    <row r="28" spans="1:7" ht="14.45" thickTop="1" thickBot="1">
      <c r="A28" s="28" t="b">
        <f>IF(A27=1.5,0.125,IF(A27=2,0.167,IF(A27=2.5,0.208,IF(A27=3,0.25,IF(OR(A27=4,A27=5),0.333,IF(A27=6,0.417,IF(A27=8,0.5)))))))</f>
        <v>0</v>
      </c>
      <c r="B28" s="70" t="s">
        <v>34</v>
      </c>
      <c r="C28" s="70"/>
      <c r="D28" s="70"/>
      <c r="E28" s="70"/>
      <c r="F28" s="62" t="s">
        <v>35</v>
      </c>
      <c r="G28" s="70"/>
    </row>
    <row r="29" spans="1:7" ht="14.45" thickTop="1" thickBot="1">
      <c r="A29" s="66"/>
      <c r="B29" s="70" t="s">
        <v>36</v>
      </c>
      <c r="C29" s="70"/>
      <c r="D29" s="70"/>
      <c r="E29" s="70"/>
      <c r="F29" s="61">
        <v>1.5</v>
      </c>
      <c r="G29" s="70"/>
    </row>
    <row r="30" spans="1:7" ht="14.45" thickTop="1" thickBot="1">
      <c r="A30" s="40" t="e">
        <f>A10/(2310*A29^2*SQRT(A28))</f>
        <v>#DIV/0!</v>
      </c>
      <c r="B30" s="70" t="s">
        <v>37</v>
      </c>
      <c r="C30" s="70"/>
      <c r="D30" s="70"/>
      <c r="E30" s="70"/>
      <c r="F30" s="61">
        <v>2</v>
      </c>
      <c r="G30" s="70"/>
    </row>
    <row r="31" spans="1:7" ht="14.45" thickTop="1" thickBot="1">
      <c r="A31" s="70"/>
      <c r="B31" s="70" t="s">
        <v>38</v>
      </c>
      <c r="C31" s="70"/>
      <c r="D31" s="70"/>
      <c r="E31" s="70"/>
      <c r="F31" s="61">
        <v>2.5</v>
      </c>
      <c r="G31" s="70"/>
    </row>
    <row r="32" spans="1:7" ht="14.45" thickTop="1" thickBot="1">
      <c r="A32" s="70"/>
      <c r="B32" s="70"/>
      <c r="C32" s="70"/>
      <c r="D32" s="70"/>
      <c r="E32" s="70"/>
      <c r="F32" s="61">
        <v>3</v>
      </c>
      <c r="G32" s="70"/>
    </row>
    <row r="33" spans="6:6" ht="14.45" thickTop="1" thickBot="1">
      <c r="F33" s="61">
        <v>4</v>
      </c>
    </row>
    <row r="34" spans="6:6" ht="14.45" thickTop="1" thickBot="1">
      <c r="F34" s="61">
        <v>5</v>
      </c>
    </row>
    <row r="35" spans="6:6" ht="14.45" thickTop="1" thickBot="1">
      <c r="F35" s="61">
        <v>6</v>
      </c>
    </row>
    <row r="36" spans="6:6" ht="14.45" thickTop="1" thickBot="1">
      <c r="F36" s="61">
        <v>8</v>
      </c>
    </row>
    <row r="37" spans="6:6" ht="13.9" thickTop="1">
      <c r="F37" s="70"/>
    </row>
  </sheetData>
  <sheetProtection algorithmName="SHA-512" hashValue="hAI6ncN6wcgkNSKdJdU4VMeMuXMpAN/CJXbhUME1RscevGyHP6yUH2sYNxO3fcDlAdUsmYrUkS1ewvufbuGM6Q==" saltValue="bVWWI9xEUgkbo7ae2mbY7Q==" spinCount="100000" sheet="1" objects="1" scenarios="1" insertRows="0"/>
  <mergeCells count="1">
    <mergeCell ref="A2:D2"/>
  </mergeCells>
  <phoneticPr fontId="0" type="noConversion"/>
  <dataValidations count="1">
    <dataValidation type="custom" allowBlank="1" showInputMessage="1" showErrorMessage="1" errorTitle="Invalid Size" error="Please enter an orfice size in 1/4&quot; increments." sqref="A29" xr:uid="{8249ABAD-2128-42BC-A898-BA0D217BB430}"/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8751-90C0-4D42-9781-35808D4655BC}">
  <sheetPr>
    <pageSetUpPr fitToPage="1"/>
  </sheetPr>
  <dimension ref="A1:AH78"/>
  <sheetViews>
    <sheetView zoomScale="75" workbookViewId="0">
      <selection activeCell="U15" sqref="U15"/>
    </sheetView>
  </sheetViews>
  <sheetFormatPr defaultRowHeight="13.15"/>
  <cols>
    <col min="1" max="1" width="12.7109375" customWidth="1"/>
    <col min="2" max="2" width="2.7109375" customWidth="1"/>
    <col min="6" max="6" width="4.7109375" customWidth="1"/>
    <col min="7" max="7" width="8.7109375" customWidth="1"/>
    <col min="8" max="8" width="2.7109375" customWidth="1"/>
    <col min="9" max="9" width="8.7109375" customWidth="1"/>
    <col min="10" max="10" width="4.7109375" customWidth="1"/>
    <col min="11" max="11" width="18.7109375" customWidth="1"/>
    <col min="12" max="12" width="2.7109375" customWidth="1"/>
    <col min="14" max="14" width="4.7109375" customWidth="1"/>
    <col min="15" max="15" width="18.7109375" customWidth="1"/>
    <col min="16" max="16" width="2.7109375" customWidth="1"/>
    <col min="19" max="19" width="0" hidden="1" customWidth="1"/>
    <col min="20" max="20" width="8.7109375" hidden="1" customWidth="1"/>
    <col min="21" max="21" width="9.85546875" bestFit="1" customWidth="1"/>
    <col min="24" max="24" width="0" hidden="1" customWidth="1"/>
    <col min="28" max="28" width="9.85546875" bestFit="1" customWidth="1"/>
    <col min="29" max="29" width="9.85546875" customWidth="1"/>
    <col min="30" max="30" width="26.85546875" customWidth="1"/>
  </cols>
  <sheetData>
    <row r="1" spans="1:32" ht="15.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9" t="s">
        <v>41</v>
      </c>
      <c r="N1" s="69"/>
      <c r="O1" s="69"/>
      <c r="P1" s="70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.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4" t="s">
        <v>42</v>
      </c>
      <c r="N4" s="75"/>
      <c r="O4" s="70" t="s">
        <v>43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5" t="s">
        <v>44</v>
      </c>
      <c r="N5" s="75"/>
      <c r="O5" s="70" t="s">
        <v>45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.6">
      <c r="A8" s="76" t="s">
        <v>46</v>
      </c>
      <c r="B8" s="77"/>
      <c r="C8" s="77"/>
      <c r="D8" s="77"/>
      <c r="E8" s="77"/>
      <c r="F8" s="5"/>
      <c r="G8" s="9"/>
      <c r="H8" s="10" t="s">
        <v>47</v>
      </c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5.6">
      <c r="A9" s="78" t="s">
        <v>48</v>
      </c>
      <c r="B9" s="81"/>
      <c r="C9" s="81"/>
      <c r="D9" s="81"/>
      <c r="E9" s="81"/>
      <c r="F9" s="5"/>
      <c r="G9" s="12" t="s">
        <v>49</v>
      </c>
      <c r="H9" s="13"/>
      <c r="I9" s="14"/>
      <c r="J9" s="5"/>
      <c r="K9" s="67" t="s">
        <v>50</v>
      </c>
      <c r="L9" s="13"/>
      <c r="M9" s="13"/>
      <c r="N9" s="15"/>
      <c r="O9" s="10" t="s">
        <v>51</v>
      </c>
      <c r="P9" s="13"/>
      <c r="Q9" s="13"/>
      <c r="R9" s="15"/>
      <c r="S9" s="70"/>
      <c r="T9" s="70"/>
      <c r="U9" s="16" t="s">
        <v>52</v>
      </c>
      <c r="V9" s="5"/>
      <c r="W9" s="69" t="s">
        <v>53</v>
      </c>
      <c r="X9" s="70"/>
      <c r="Y9" s="70"/>
      <c r="Z9" s="70"/>
      <c r="AA9" s="13"/>
      <c r="AB9" s="10" t="s">
        <v>54</v>
      </c>
      <c r="AC9" s="10"/>
      <c r="AD9" s="13"/>
      <c r="AE9" s="17"/>
      <c r="AF9" s="5"/>
    </row>
    <row r="10" spans="1:32" ht="15.6">
      <c r="A10" s="8"/>
      <c r="B10" s="5"/>
      <c r="C10" s="71" t="s">
        <v>55</v>
      </c>
      <c r="D10" s="5"/>
      <c r="E10" s="5"/>
      <c r="F10" s="5"/>
      <c r="G10" s="18" t="s">
        <v>56</v>
      </c>
      <c r="H10" s="13"/>
      <c r="I10" s="19"/>
      <c r="J10" s="5"/>
      <c r="K10" s="18" t="s">
        <v>57</v>
      </c>
      <c r="L10" s="13"/>
      <c r="M10" s="13"/>
      <c r="N10" s="5"/>
      <c r="O10" s="13" t="s">
        <v>57</v>
      </c>
      <c r="P10" s="13"/>
      <c r="Q10" s="13"/>
      <c r="R10" s="5"/>
      <c r="S10" s="70"/>
      <c r="T10" s="70"/>
      <c r="U10" s="69" t="s">
        <v>58</v>
      </c>
      <c r="V10" s="5"/>
      <c r="W10" s="20"/>
      <c r="X10" s="15"/>
      <c r="Y10" s="15"/>
      <c r="Z10" s="5"/>
      <c r="AA10" s="5"/>
      <c r="AB10" s="5"/>
      <c r="AC10" s="5"/>
      <c r="AD10" s="5"/>
      <c r="AE10" s="5"/>
      <c r="AF10" s="5"/>
    </row>
    <row r="11" spans="1:32" ht="15.6">
      <c r="A11" s="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7"/>
      <c r="N11" s="17"/>
      <c r="O11" s="5"/>
      <c r="P11" s="5"/>
      <c r="Q11" s="17"/>
      <c r="R11" s="17"/>
      <c r="S11" s="70"/>
      <c r="T11" s="70"/>
      <c r="U11" s="69" t="s">
        <v>59</v>
      </c>
      <c r="V11" s="5"/>
      <c r="W11" s="20"/>
      <c r="X11" s="15"/>
      <c r="Y11" s="15"/>
      <c r="Z11" s="5"/>
      <c r="AA11" s="5"/>
      <c r="AB11" s="5"/>
      <c r="AC11" s="5"/>
      <c r="AD11" s="5"/>
      <c r="AE11" s="5"/>
      <c r="AF11" s="5"/>
    </row>
    <row r="12" spans="1:32">
      <c r="A12" s="9" t="s">
        <v>60</v>
      </c>
      <c r="B12" s="70" t="s">
        <v>61</v>
      </c>
      <c r="C12" s="21"/>
      <c r="D12" s="5"/>
      <c r="E12" s="5"/>
      <c r="F12" s="5"/>
      <c r="G12" s="9" t="s">
        <v>62</v>
      </c>
      <c r="H12" s="70" t="s">
        <v>61</v>
      </c>
      <c r="I12" s="11">
        <v>0.6</v>
      </c>
      <c r="J12" s="5"/>
      <c r="K12" s="9" t="s">
        <v>63</v>
      </c>
      <c r="L12" s="70" t="s">
        <v>61</v>
      </c>
      <c r="M12" s="22"/>
      <c r="N12" s="5"/>
      <c r="O12" s="9" t="s">
        <v>63</v>
      </c>
      <c r="P12" s="70" t="s">
        <v>61</v>
      </c>
      <c r="Q12" s="1">
        <f>M12</f>
        <v>0</v>
      </c>
      <c r="R12" s="5"/>
      <c r="S12" s="70"/>
      <c r="T12" s="70"/>
      <c r="U12" s="5"/>
      <c r="V12" s="5"/>
      <c r="W12" s="70" t="s">
        <v>64</v>
      </c>
      <c r="X12" s="70"/>
      <c r="Y12" s="70"/>
      <c r="Z12" s="1"/>
      <c r="AA12" s="7"/>
      <c r="AB12" s="7"/>
      <c r="AC12" s="7"/>
      <c r="AD12" s="7"/>
      <c r="AE12" s="5"/>
      <c r="AF12" s="5"/>
    </row>
    <row r="13" spans="1:32">
      <c r="A13" s="9" t="s">
        <v>65</v>
      </c>
      <c r="B13" s="70" t="s">
        <v>61</v>
      </c>
      <c r="C13" s="2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0"/>
      <c r="T13" s="70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9" t="s">
        <v>66</v>
      </c>
      <c r="B14" s="70" t="s">
        <v>61</v>
      </c>
      <c r="C14" s="23" t="s">
        <v>67</v>
      </c>
      <c r="D14" s="5"/>
      <c r="E14" s="5"/>
      <c r="F14" s="5"/>
      <c r="G14" s="5"/>
      <c r="H14" s="5"/>
      <c r="I14" s="5"/>
      <c r="J14" s="5"/>
      <c r="K14" s="9" t="s">
        <v>68</v>
      </c>
      <c r="L14" s="70" t="s">
        <v>61</v>
      </c>
      <c r="M14" s="22"/>
      <c r="N14" s="5"/>
      <c r="O14" s="9" t="s">
        <v>68</v>
      </c>
      <c r="P14" s="70" t="s">
        <v>61</v>
      </c>
      <c r="Q14" s="1">
        <f>M14</f>
        <v>0</v>
      </c>
      <c r="R14" s="5"/>
      <c r="S14" s="70"/>
      <c r="T14" s="70"/>
      <c r="U14" s="5"/>
      <c r="V14" s="5"/>
      <c r="W14" s="70" t="s">
        <v>69</v>
      </c>
      <c r="X14" s="70"/>
      <c r="Y14" s="70"/>
      <c r="Z14" s="1"/>
      <c r="AA14" s="5"/>
      <c r="AB14" s="5"/>
      <c r="AC14" s="5"/>
      <c r="AD14" s="5"/>
      <c r="AE14" s="5"/>
      <c r="AF14" s="5"/>
    </row>
    <row r="15" spans="1:32">
      <c r="A15" s="9" t="s">
        <v>70</v>
      </c>
      <c r="B15" s="70" t="s">
        <v>61</v>
      </c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8"/>
      <c r="P15" s="5"/>
      <c r="Q15" s="5"/>
      <c r="R15" s="5"/>
      <c r="S15" s="70"/>
      <c r="T15" s="70"/>
      <c r="U15" s="5"/>
      <c r="V15" s="5"/>
      <c r="W15" s="5"/>
      <c r="X15" s="24"/>
      <c r="Y15" s="24"/>
      <c r="Z15" s="24"/>
      <c r="AA15" s="5"/>
      <c r="AB15" s="5"/>
      <c r="AC15" s="5"/>
      <c r="AD15" s="5"/>
      <c r="AE15" s="5"/>
      <c r="AF15" s="5"/>
    </row>
    <row r="16" spans="1:32">
      <c r="A16" s="9" t="s">
        <v>71</v>
      </c>
      <c r="B16" s="70" t="s">
        <v>61</v>
      </c>
      <c r="C16" s="25">
        <v>1</v>
      </c>
      <c r="D16" s="5"/>
      <c r="E16" s="5"/>
      <c r="F16" s="5"/>
      <c r="G16" s="5"/>
      <c r="H16" s="5"/>
      <c r="I16" s="5"/>
      <c r="J16" s="5"/>
      <c r="K16" s="9" t="s">
        <v>72</v>
      </c>
      <c r="L16" s="70"/>
      <c r="M16" s="11"/>
      <c r="N16" s="5"/>
      <c r="O16" s="9" t="s">
        <v>72</v>
      </c>
      <c r="P16" s="70"/>
      <c r="Q16" s="70"/>
      <c r="R16" s="5"/>
      <c r="S16" s="70"/>
      <c r="T16" s="70"/>
      <c r="U16" s="5"/>
      <c r="V16" s="5"/>
      <c r="W16" s="5"/>
      <c r="X16" s="24"/>
      <c r="Y16" s="24"/>
      <c r="Z16" s="24"/>
      <c r="AA16" s="5"/>
      <c r="AB16" s="5"/>
      <c r="AC16" s="5"/>
      <c r="AD16" s="5"/>
      <c r="AE16" s="5"/>
      <c r="AF16" s="5"/>
    </row>
    <row r="17" spans="1:34">
      <c r="A17" s="9" t="s">
        <v>73</v>
      </c>
      <c r="B17" s="70" t="s">
        <v>61</v>
      </c>
      <c r="C17" s="1">
        <v>2.4E-2</v>
      </c>
      <c r="D17" s="5"/>
      <c r="E17" s="5"/>
      <c r="F17" s="5"/>
      <c r="G17" s="5"/>
      <c r="H17" s="5"/>
      <c r="I17" s="5"/>
      <c r="J17" s="5"/>
      <c r="K17" s="26" t="s">
        <v>74</v>
      </c>
      <c r="L17" s="70" t="s">
        <v>61</v>
      </c>
      <c r="M17" s="22"/>
      <c r="N17" s="5"/>
      <c r="O17" s="26" t="s">
        <v>74</v>
      </c>
      <c r="P17" s="70" t="s">
        <v>61</v>
      </c>
      <c r="Q17" s="22">
        <f>M17</f>
        <v>0</v>
      </c>
      <c r="R17" s="5"/>
      <c r="S17" s="70"/>
      <c r="T17" s="70"/>
      <c r="U17" s="5"/>
      <c r="V17" s="5"/>
      <c r="W17" s="70" t="s">
        <v>75</v>
      </c>
      <c r="X17" s="27"/>
      <c r="Y17" s="27"/>
      <c r="Z17" s="27"/>
      <c r="AA17" s="5"/>
      <c r="AB17" s="24"/>
      <c r="AC17" s="24"/>
      <c r="AD17" s="5"/>
      <c r="AE17" s="5"/>
      <c r="AF17" s="5"/>
      <c r="AG17" s="70"/>
      <c r="AH17" s="70"/>
    </row>
    <row r="18" spans="1:34">
      <c r="A18" s="9" t="s">
        <v>76</v>
      </c>
      <c r="B18" s="70" t="s">
        <v>61</v>
      </c>
      <c r="C18" s="1"/>
      <c r="D18" s="5"/>
      <c r="E18" s="5"/>
      <c r="F18" s="5"/>
      <c r="G18" s="5"/>
      <c r="H18" s="5"/>
      <c r="I18" s="5"/>
      <c r="J18" s="5"/>
      <c r="K18" s="26" t="s">
        <v>77</v>
      </c>
      <c r="L18" s="70" t="s">
        <v>61</v>
      </c>
      <c r="M18" s="22"/>
      <c r="N18" s="5"/>
      <c r="O18" s="26" t="s">
        <v>77</v>
      </c>
      <c r="P18" s="70" t="s">
        <v>61</v>
      </c>
      <c r="Q18" s="22">
        <f>M18</f>
        <v>0</v>
      </c>
      <c r="R18" s="5"/>
      <c r="S18" s="70"/>
      <c r="T18" s="70"/>
      <c r="U18" s="5"/>
      <c r="V18" s="24"/>
      <c r="W18" s="5"/>
      <c r="X18" s="24"/>
      <c r="Y18" s="24"/>
      <c r="Z18" s="24"/>
      <c r="AA18" s="5"/>
      <c r="AB18" s="24"/>
      <c r="AC18" s="24"/>
      <c r="AD18" s="5"/>
      <c r="AE18" s="5"/>
      <c r="AF18" s="5"/>
      <c r="AG18" s="70"/>
      <c r="AH18" s="70"/>
    </row>
    <row r="19" spans="1:34">
      <c r="A19" s="9" t="s">
        <v>78</v>
      </c>
      <c r="B19" s="70" t="s">
        <v>61</v>
      </c>
      <c r="C19" s="28" t="e">
        <f>((C17)^2*5087)/($C$15^1.333)</f>
        <v>#DIV/0!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9"/>
      <c r="P19" s="70"/>
      <c r="Q19" s="70"/>
      <c r="R19" s="5"/>
      <c r="S19" s="70"/>
      <c r="T19" s="27"/>
      <c r="U19" s="5"/>
      <c r="V19" s="24"/>
      <c r="W19" s="70" t="s">
        <v>79</v>
      </c>
      <c r="X19" s="27"/>
      <c r="Y19" s="24"/>
      <c r="Z19" s="24"/>
      <c r="AA19" s="5"/>
      <c r="AB19" s="24"/>
      <c r="AC19" s="24"/>
      <c r="AD19" s="5"/>
      <c r="AE19" s="5"/>
      <c r="AF19" s="5"/>
      <c r="AG19" s="70"/>
      <c r="AH19" s="70"/>
    </row>
    <row r="20" spans="1:34">
      <c r="A20" s="9" t="s">
        <v>80</v>
      </c>
      <c r="B20" s="70" t="s">
        <v>61</v>
      </c>
      <c r="C20" s="28">
        <f>($C$15)^2*3.14159/(4*144)</f>
        <v>0</v>
      </c>
      <c r="D20" s="5"/>
      <c r="E20" s="5"/>
      <c r="F20" s="5"/>
      <c r="G20" s="5"/>
      <c r="H20" s="5"/>
      <c r="I20" s="5"/>
      <c r="J20" s="5"/>
      <c r="K20" s="9" t="s">
        <v>81</v>
      </c>
      <c r="L20" s="70" t="s">
        <v>61</v>
      </c>
      <c r="M20" s="22">
        <v>3.1</v>
      </c>
      <c r="N20" s="5"/>
      <c r="O20" s="9" t="s">
        <v>62</v>
      </c>
      <c r="P20" s="70" t="s">
        <v>61</v>
      </c>
      <c r="Q20" s="1">
        <v>0.6</v>
      </c>
      <c r="R20" s="5"/>
      <c r="S20" s="70"/>
      <c r="T20" s="27"/>
      <c r="U20" s="5"/>
      <c r="V20" s="24"/>
      <c r="W20" s="5"/>
      <c r="X20" s="24"/>
      <c r="Y20" s="24"/>
      <c r="Z20" s="24"/>
      <c r="AA20" s="5"/>
      <c r="AB20" s="24"/>
      <c r="AC20" s="24"/>
      <c r="AD20" s="5"/>
      <c r="AE20" s="5"/>
      <c r="AF20" s="5"/>
      <c r="AG20" s="70"/>
      <c r="AH20" s="70"/>
    </row>
    <row r="21" spans="1:34">
      <c r="A21" s="8"/>
      <c r="B21" s="5"/>
      <c r="C21" s="5"/>
      <c r="D21" s="5"/>
      <c r="E21" s="5"/>
      <c r="F21" s="5"/>
      <c r="G21" s="5"/>
      <c r="H21" s="5"/>
      <c r="I21" s="5"/>
      <c r="J21" s="5"/>
      <c r="K21" s="8"/>
      <c r="L21" s="5"/>
      <c r="M21" s="29"/>
      <c r="N21" s="5"/>
      <c r="O21" s="8"/>
      <c r="P21" s="5"/>
      <c r="Q21" s="5"/>
      <c r="R21" s="5"/>
      <c r="S21" s="70"/>
      <c r="T21" s="27"/>
      <c r="U21" s="5"/>
      <c r="V21" s="24"/>
      <c r="W21" s="5"/>
      <c r="X21" s="24"/>
      <c r="Y21" s="24"/>
      <c r="Z21" s="24"/>
      <c r="AA21" s="5"/>
      <c r="AB21" s="24"/>
      <c r="AC21" s="24"/>
      <c r="AD21" s="5"/>
      <c r="AE21" s="5"/>
      <c r="AF21" s="5"/>
      <c r="AG21" s="70"/>
      <c r="AH21" s="70"/>
    </row>
    <row r="22" spans="1:34">
      <c r="A22" s="8"/>
      <c r="B22" s="5"/>
      <c r="C22" s="5"/>
      <c r="D22" s="5"/>
      <c r="E22" s="5"/>
      <c r="F22" s="5"/>
      <c r="G22" s="5"/>
      <c r="H22" s="5"/>
      <c r="I22" s="5"/>
      <c r="J22" s="5"/>
      <c r="K22" s="8"/>
      <c r="L22" s="5"/>
      <c r="M22" s="29"/>
      <c r="N22" s="5"/>
      <c r="O22" s="9" t="s">
        <v>82</v>
      </c>
      <c r="P22" s="70" t="s">
        <v>61</v>
      </c>
      <c r="Q22" s="28">
        <f>($Q$14)^2*3.14159/(4*144)+(Q17*Q18)</f>
        <v>0</v>
      </c>
      <c r="R22" s="5"/>
      <c r="S22" s="70"/>
      <c r="T22" s="27"/>
      <c r="U22" s="5"/>
      <c r="V22" s="24"/>
      <c r="W22" s="5"/>
      <c r="X22" s="24"/>
      <c r="Y22" s="24"/>
      <c r="Z22" s="24"/>
      <c r="AA22" s="5"/>
      <c r="AB22" s="24"/>
      <c r="AC22" s="24"/>
      <c r="AD22" s="5"/>
      <c r="AE22" s="5"/>
      <c r="AF22" s="5"/>
      <c r="AG22" s="70"/>
      <c r="AH22" s="70"/>
    </row>
    <row r="23" spans="1:34" ht="15.6">
      <c r="A23" s="9" t="s">
        <v>83</v>
      </c>
      <c r="B23" s="5"/>
      <c r="C23" s="70" t="s">
        <v>84</v>
      </c>
      <c r="D23" s="70" t="s">
        <v>85</v>
      </c>
      <c r="E23" s="11" t="s">
        <v>86</v>
      </c>
      <c r="F23" s="5"/>
      <c r="G23" s="9" t="s">
        <v>84</v>
      </c>
      <c r="H23" s="5"/>
      <c r="I23" s="11" t="s">
        <v>85</v>
      </c>
      <c r="J23" s="5"/>
      <c r="K23" s="9" t="s">
        <v>84</v>
      </c>
      <c r="L23" s="5"/>
      <c r="M23" s="11" t="s">
        <v>85</v>
      </c>
      <c r="N23" s="5"/>
      <c r="O23" s="9" t="s">
        <v>84</v>
      </c>
      <c r="P23" s="5"/>
      <c r="Q23" s="70" t="s">
        <v>85</v>
      </c>
      <c r="R23" s="5"/>
      <c r="S23" s="70"/>
      <c r="T23" s="70"/>
      <c r="U23" s="27" t="s">
        <v>87</v>
      </c>
      <c r="V23" s="24"/>
      <c r="W23" s="71" t="s">
        <v>83</v>
      </c>
      <c r="X23" s="71" t="s">
        <v>84</v>
      </c>
      <c r="Y23" s="71" t="s">
        <v>88</v>
      </c>
      <c r="Z23" s="71" t="s">
        <v>85</v>
      </c>
      <c r="AA23" s="5"/>
      <c r="AB23" s="30" t="s">
        <v>89</v>
      </c>
      <c r="AC23" s="31" t="s">
        <v>83</v>
      </c>
      <c r="AD23" s="32" t="s">
        <v>90</v>
      </c>
      <c r="AE23" s="5"/>
      <c r="AF23" s="5"/>
      <c r="AG23" s="70"/>
      <c r="AH23" s="70"/>
    </row>
    <row r="24" spans="1:34" ht="13.9" thickBot="1">
      <c r="A24" s="33"/>
      <c r="B24" s="5"/>
      <c r="C24" s="34"/>
      <c r="D24" s="34" t="s">
        <v>91</v>
      </c>
      <c r="E24" s="35" t="s">
        <v>92</v>
      </c>
      <c r="F24" s="5"/>
      <c r="G24" s="33"/>
      <c r="H24" s="36"/>
      <c r="I24" s="35" t="s">
        <v>91</v>
      </c>
      <c r="J24" s="5"/>
      <c r="K24" s="33"/>
      <c r="L24" s="5"/>
      <c r="M24" s="35" t="s">
        <v>91</v>
      </c>
      <c r="N24" s="5"/>
      <c r="O24" s="33"/>
      <c r="P24" s="5"/>
      <c r="Q24" s="34" t="s">
        <v>91</v>
      </c>
      <c r="R24" s="5"/>
      <c r="S24" s="70"/>
      <c r="T24" s="70"/>
      <c r="U24" s="34" t="s">
        <v>91</v>
      </c>
      <c r="V24" s="24"/>
      <c r="W24" s="34"/>
      <c r="X24" s="34"/>
      <c r="Y24" s="34"/>
      <c r="Z24" s="34"/>
      <c r="AA24" s="5"/>
      <c r="AB24" s="37"/>
      <c r="AC24" s="34"/>
      <c r="AD24" s="38"/>
      <c r="AE24" s="5"/>
      <c r="AF24" s="24"/>
      <c r="AG24" s="27"/>
      <c r="AH24" s="70"/>
    </row>
    <row r="25" spans="1:34" ht="16.149999999999999" thickTop="1">
      <c r="A25" s="39"/>
      <c r="B25" s="24"/>
      <c r="C25" s="28">
        <f t="shared" ref="C25:C44" si="0">A25-($C$13+$C$15/2/12)</f>
        <v>0</v>
      </c>
      <c r="D25" s="40" t="e">
        <f t="shared" ref="D25:D44" si="1">$C$20*(SQRT((C25*64.32)/(1+$C$16+($C$19*$C$18))))</f>
        <v>#DIV/0!</v>
      </c>
      <c r="E25" s="41" t="e">
        <f t="shared" ref="E25:E44" si="2">D25/$C$20</f>
        <v>#DIV/0!</v>
      </c>
      <c r="F25" s="5"/>
      <c r="G25" s="42">
        <f t="shared" ref="G25:G44" si="3">A25-($C$12+($C$15/12/2))</f>
        <v>0</v>
      </c>
      <c r="H25" s="5"/>
      <c r="I25" s="41">
        <f t="shared" ref="I25:I44" si="4">$I$12*$C$20*(G25*64.32)^0.5</f>
        <v>0</v>
      </c>
      <c r="J25" s="5"/>
      <c r="K25" s="42">
        <f t="shared" ref="K25:K44" si="5">A25-$M$12</f>
        <v>0</v>
      </c>
      <c r="L25" s="5"/>
      <c r="M25" s="41">
        <f t="shared" ref="M25:M44" si="6">$M$20*((PI()*$M$14/12)+($M$17+$M$18)*2)*K25^1.5</f>
        <v>0</v>
      </c>
      <c r="N25" s="5"/>
      <c r="O25" s="42">
        <f t="shared" ref="O25:O44" si="7">A25-$Q$12</f>
        <v>0</v>
      </c>
      <c r="P25" s="5"/>
      <c r="Q25" s="40">
        <f t="shared" ref="Q25:Q44" si="8">$Q$20*$Q$22*(O25*64.32)^0.5</f>
        <v>0</v>
      </c>
      <c r="R25" s="5"/>
      <c r="S25" s="70" t="e">
        <f t="shared" ref="S25:S44" si="9">IF(D25&lt;I25,D25,I25)</f>
        <v>#DIV/0!</v>
      </c>
      <c r="T25" s="70" t="e">
        <f t="shared" ref="T25:T44" si="10">IF(S25&lt;M25,S25,M25)</f>
        <v>#DIV/0!</v>
      </c>
      <c r="U25" s="40" t="e">
        <f t="shared" ref="U25:U44" si="11">IF(T25&lt;Q25,T25,Q25)</f>
        <v>#DIV/0!</v>
      </c>
      <c r="V25" s="24"/>
      <c r="W25" s="40">
        <f t="shared" ref="W25:W44" si="12">A25</f>
        <v>0</v>
      </c>
      <c r="X25" s="40">
        <f>SUM(W25,-Z12)</f>
        <v>0</v>
      </c>
      <c r="Y25" s="40">
        <f t="shared" ref="Y25:Y44" si="13">IF(X25 &gt; 0,X25,0)</f>
        <v>0</v>
      </c>
      <c r="Z25" s="40">
        <f>2.8*Z14* (Y25^1.5)</f>
        <v>0</v>
      </c>
      <c r="AA25" s="5"/>
      <c r="AB25" s="43" t="e">
        <f t="shared" ref="AB25:AB44" si="14">SUM(U25,Z25)</f>
        <v>#DIV/0!</v>
      </c>
      <c r="AC25" s="44">
        <f t="shared" ref="AC25:AC44" si="15">A25</f>
        <v>0</v>
      </c>
      <c r="AD25" s="38" t="s">
        <v>93</v>
      </c>
      <c r="AE25" s="5"/>
      <c r="AF25" s="24"/>
      <c r="AG25" s="27"/>
      <c r="AH25" s="27"/>
    </row>
    <row r="26" spans="1:34" ht="15.6">
      <c r="A26" s="45"/>
      <c r="B26" s="24"/>
      <c r="C26" s="28">
        <f t="shared" si="0"/>
        <v>0</v>
      </c>
      <c r="D26" s="40" t="e">
        <f t="shared" si="1"/>
        <v>#DIV/0!</v>
      </c>
      <c r="E26" s="41" t="e">
        <f t="shared" si="2"/>
        <v>#DIV/0!</v>
      </c>
      <c r="F26" s="5"/>
      <c r="G26" s="42">
        <f t="shared" si="3"/>
        <v>0</v>
      </c>
      <c r="H26" s="5"/>
      <c r="I26" s="41">
        <f t="shared" si="4"/>
        <v>0</v>
      </c>
      <c r="J26" s="5"/>
      <c r="K26" s="42">
        <f t="shared" si="5"/>
        <v>0</v>
      </c>
      <c r="L26" s="5"/>
      <c r="M26" s="41">
        <f t="shared" si="6"/>
        <v>0</v>
      </c>
      <c r="N26" s="5"/>
      <c r="O26" s="42">
        <f t="shared" si="7"/>
        <v>0</v>
      </c>
      <c r="P26" s="5"/>
      <c r="Q26" s="40">
        <f t="shared" si="8"/>
        <v>0</v>
      </c>
      <c r="R26" s="5"/>
      <c r="S26" s="70" t="e">
        <f t="shared" si="9"/>
        <v>#DIV/0!</v>
      </c>
      <c r="T26" s="70" t="e">
        <f t="shared" si="10"/>
        <v>#DIV/0!</v>
      </c>
      <c r="U26" s="40" t="e">
        <f t="shared" si="11"/>
        <v>#DIV/0!</v>
      </c>
      <c r="V26" s="24"/>
      <c r="W26" s="40">
        <f t="shared" si="12"/>
        <v>0</v>
      </c>
      <c r="X26" s="40">
        <f>SUM(W26,-Z12)</f>
        <v>0</v>
      </c>
      <c r="Y26" s="40">
        <f t="shared" si="13"/>
        <v>0</v>
      </c>
      <c r="Z26" s="40">
        <f>2.8*Z14* (Y26^1.5)</f>
        <v>0</v>
      </c>
      <c r="AA26" s="5"/>
      <c r="AB26" s="43" t="e">
        <f t="shared" si="14"/>
        <v>#DIV/0!</v>
      </c>
      <c r="AC26" s="44">
        <f t="shared" si="15"/>
        <v>0</v>
      </c>
      <c r="AD26" s="38"/>
      <c r="AE26" s="5"/>
      <c r="AF26" s="24"/>
      <c r="AG26" s="27"/>
      <c r="AH26" s="70"/>
    </row>
    <row r="27" spans="1:34" ht="15.6">
      <c r="A27" s="45"/>
      <c r="B27" s="24"/>
      <c r="C27" s="28">
        <f t="shared" si="0"/>
        <v>0</v>
      </c>
      <c r="D27" s="40" t="e">
        <f t="shared" si="1"/>
        <v>#DIV/0!</v>
      </c>
      <c r="E27" s="41" t="e">
        <f t="shared" si="2"/>
        <v>#DIV/0!</v>
      </c>
      <c r="F27" s="5"/>
      <c r="G27" s="42">
        <f t="shared" si="3"/>
        <v>0</v>
      </c>
      <c r="H27" s="5"/>
      <c r="I27" s="41">
        <f t="shared" si="4"/>
        <v>0</v>
      </c>
      <c r="J27" s="5"/>
      <c r="K27" s="42">
        <f t="shared" si="5"/>
        <v>0</v>
      </c>
      <c r="L27" s="5"/>
      <c r="M27" s="41">
        <f t="shared" si="6"/>
        <v>0</v>
      </c>
      <c r="N27" s="5"/>
      <c r="O27" s="42">
        <f t="shared" si="7"/>
        <v>0</v>
      </c>
      <c r="P27" s="5"/>
      <c r="Q27" s="40">
        <f t="shared" si="8"/>
        <v>0</v>
      </c>
      <c r="R27" s="5"/>
      <c r="S27" s="70" t="e">
        <f t="shared" si="9"/>
        <v>#DIV/0!</v>
      </c>
      <c r="T27" s="70" t="e">
        <f t="shared" si="10"/>
        <v>#DIV/0!</v>
      </c>
      <c r="U27" s="40" t="e">
        <f t="shared" si="11"/>
        <v>#DIV/0!</v>
      </c>
      <c r="V27" s="24"/>
      <c r="W27" s="40">
        <f t="shared" si="12"/>
        <v>0</v>
      </c>
      <c r="X27" s="40">
        <f>SUM(W27,-Z12)</f>
        <v>0</v>
      </c>
      <c r="Y27" s="40">
        <f t="shared" si="13"/>
        <v>0</v>
      </c>
      <c r="Z27" s="40">
        <f>2.8*Z14* (Y27^1.5)</f>
        <v>0</v>
      </c>
      <c r="AA27" s="5"/>
      <c r="AB27" s="43" t="e">
        <f t="shared" si="14"/>
        <v>#DIV/0!</v>
      </c>
      <c r="AC27" s="44">
        <f t="shared" si="15"/>
        <v>0</v>
      </c>
      <c r="AD27" s="38"/>
      <c r="AE27" s="5"/>
      <c r="AF27" s="24"/>
      <c r="AG27" s="27"/>
      <c r="AH27" s="27"/>
    </row>
    <row r="28" spans="1:34" ht="15.6">
      <c r="A28" s="45"/>
      <c r="B28" s="24"/>
      <c r="C28" s="28">
        <f t="shared" si="0"/>
        <v>0</v>
      </c>
      <c r="D28" s="40" t="e">
        <f t="shared" si="1"/>
        <v>#DIV/0!</v>
      </c>
      <c r="E28" s="41" t="e">
        <f t="shared" si="2"/>
        <v>#DIV/0!</v>
      </c>
      <c r="F28" s="5"/>
      <c r="G28" s="42">
        <f t="shared" si="3"/>
        <v>0</v>
      </c>
      <c r="H28" s="5"/>
      <c r="I28" s="41">
        <f t="shared" si="4"/>
        <v>0</v>
      </c>
      <c r="J28" s="5"/>
      <c r="K28" s="42">
        <f t="shared" si="5"/>
        <v>0</v>
      </c>
      <c r="L28" s="5"/>
      <c r="M28" s="41">
        <f t="shared" si="6"/>
        <v>0</v>
      </c>
      <c r="N28" s="5"/>
      <c r="O28" s="42">
        <f t="shared" si="7"/>
        <v>0</v>
      </c>
      <c r="P28" s="5"/>
      <c r="Q28" s="40">
        <f t="shared" si="8"/>
        <v>0</v>
      </c>
      <c r="R28" s="5"/>
      <c r="S28" s="70" t="e">
        <f t="shared" si="9"/>
        <v>#DIV/0!</v>
      </c>
      <c r="T28" s="70" t="e">
        <f t="shared" si="10"/>
        <v>#DIV/0!</v>
      </c>
      <c r="U28" s="40" t="e">
        <f t="shared" si="11"/>
        <v>#DIV/0!</v>
      </c>
      <c r="V28" s="24"/>
      <c r="W28" s="40">
        <f t="shared" si="12"/>
        <v>0</v>
      </c>
      <c r="X28" s="40">
        <f>SUM(W28,-Z12)</f>
        <v>0</v>
      </c>
      <c r="Y28" s="40">
        <f t="shared" si="13"/>
        <v>0</v>
      </c>
      <c r="Z28" s="40">
        <f>2.8*Z14* (Y28^1.5)</f>
        <v>0</v>
      </c>
      <c r="AA28" s="5"/>
      <c r="AB28" s="43" t="e">
        <f t="shared" si="14"/>
        <v>#DIV/0!</v>
      </c>
      <c r="AC28" s="44">
        <f t="shared" si="15"/>
        <v>0</v>
      </c>
      <c r="AD28" s="38" t="s">
        <v>94</v>
      </c>
      <c r="AE28" s="5"/>
      <c r="AF28" s="24"/>
      <c r="AG28" s="27"/>
      <c r="AH28" s="70"/>
    </row>
    <row r="29" spans="1:34" ht="15.6">
      <c r="A29" s="45"/>
      <c r="B29" s="24"/>
      <c r="C29" s="28">
        <f t="shared" si="0"/>
        <v>0</v>
      </c>
      <c r="D29" s="40" t="e">
        <f t="shared" si="1"/>
        <v>#DIV/0!</v>
      </c>
      <c r="E29" s="41" t="e">
        <f t="shared" si="2"/>
        <v>#DIV/0!</v>
      </c>
      <c r="F29" s="5"/>
      <c r="G29" s="42">
        <f t="shared" si="3"/>
        <v>0</v>
      </c>
      <c r="H29" s="5"/>
      <c r="I29" s="41">
        <f t="shared" si="4"/>
        <v>0</v>
      </c>
      <c r="J29" s="5"/>
      <c r="K29" s="42">
        <f t="shared" si="5"/>
        <v>0</v>
      </c>
      <c r="L29" s="5"/>
      <c r="M29" s="41">
        <f t="shared" si="6"/>
        <v>0</v>
      </c>
      <c r="N29" s="5"/>
      <c r="O29" s="42">
        <f t="shared" si="7"/>
        <v>0</v>
      </c>
      <c r="P29" s="5"/>
      <c r="Q29" s="40">
        <f t="shared" si="8"/>
        <v>0</v>
      </c>
      <c r="R29" s="5"/>
      <c r="S29" s="70" t="e">
        <f t="shared" si="9"/>
        <v>#DIV/0!</v>
      </c>
      <c r="T29" s="70" t="e">
        <f t="shared" si="10"/>
        <v>#DIV/0!</v>
      </c>
      <c r="U29" s="40" t="e">
        <f t="shared" si="11"/>
        <v>#DIV/0!</v>
      </c>
      <c r="V29" s="24"/>
      <c r="W29" s="40">
        <f t="shared" si="12"/>
        <v>0</v>
      </c>
      <c r="X29" s="40">
        <f>SUM(W29,-Z12)</f>
        <v>0</v>
      </c>
      <c r="Y29" s="40">
        <f t="shared" si="13"/>
        <v>0</v>
      </c>
      <c r="Z29" s="40">
        <f>2.8*Z14* (Y29^1.5)</f>
        <v>0</v>
      </c>
      <c r="AA29" s="5"/>
      <c r="AB29" s="43" t="e">
        <f t="shared" si="14"/>
        <v>#DIV/0!</v>
      </c>
      <c r="AC29" s="44">
        <f t="shared" si="15"/>
        <v>0</v>
      </c>
      <c r="AD29" s="38" t="s">
        <v>95</v>
      </c>
      <c r="AE29" s="5"/>
      <c r="AF29" s="24"/>
      <c r="AG29" s="27"/>
      <c r="AH29" s="70"/>
    </row>
    <row r="30" spans="1:34" ht="15.6">
      <c r="A30" s="45">
        <v>100</v>
      </c>
      <c r="B30" s="24"/>
      <c r="C30" s="28">
        <f t="shared" si="0"/>
        <v>100</v>
      </c>
      <c r="D30" s="40" t="e">
        <f t="shared" si="1"/>
        <v>#DIV/0!</v>
      </c>
      <c r="E30" s="41" t="e">
        <f t="shared" si="2"/>
        <v>#DIV/0!</v>
      </c>
      <c r="F30" s="5"/>
      <c r="G30" s="42">
        <f t="shared" si="3"/>
        <v>100</v>
      </c>
      <c r="H30" s="5"/>
      <c r="I30" s="41">
        <f t="shared" si="4"/>
        <v>0</v>
      </c>
      <c r="J30" s="5"/>
      <c r="K30" s="42">
        <f t="shared" si="5"/>
        <v>100</v>
      </c>
      <c r="L30" s="5"/>
      <c r="M30" s="41">
        <f t="shared" si="6"/>
        <v>0</v>
      </c>
      <c r="N30" s="5"/>
      <c r="O30" s="42">
        <f t="shared" si="7"/>
        <v>100</v>
      </c>
      <c r="P30" s="5"/>
      <c r="Q30" s="40">
        <f t="shared" si="8"/>
        <v>0</v>
      </c>
      <c r="R30" s="5"/>
      <c r="S30" s="70" t="e">
        <f t="shared" si="9"/>
        <v>#DIV/0!</v>
      </c>
      <c r="T30" s="70" t="e">
        <f t="shared" si="10"/>
        <v>#DIV/0!</v>
      </c>
      <c r="U30" s="40" t="e">
        <f t="shared" si="11"/>
        <v>#DIV/0!</v>
      </c>
      <c r="V30" s="24"/>
      <c r="W30" s="40">
        <f t="shared" si="12"/>
        <v>100</v>
      </c>
      <c r="X30" s="40">
        <f>SUM(W30,-Z12)</f>
        <v>100</v>
      </c>
      <c r="Y30" s="40">
        <f t="shared" si="13"/>
        <v>100</v>
      </c>
      <c r="Z30" s="40">
        <f>2.8*Z14* (Y30^1.5)</f>
        <v>0</v>
      </c>
      <c r="AA30" s="5"/>
      <c r="AB30" s="43" t="e">
        <f t="shared" si="14"/>
        <v>#DIV/0!</v>
      </c>
      <c r="AC30" s="44">
        <f t="shared" si="15"/>
        <v>100</v>
      </c>
      <c r="AD30" s="38" t="s">
        <v>96</v>
      </c>
      <c r="AE30" s="5"/>
      <c r="AF30" s="24"/>
      <c r="AG30" s="27"/>
      <c r="AH30" s="27"/>
    </row>
    <row r="31" spans="1:34" ht="15.6">
      <c r="A31" s="45"/>
      <c r="B31" s="24"/>
      <c r="C31" s="28">
        <f t="shared" si="0"/>
        <v>0</v>
      </c>
      <c r="D31" s="40" t="e">
        <f t="shared" si="1"/>
        <v>#DIV/0!</v>
      </c>
      <c r="E31" s="41" t="e">
        <f t="shared" si="2"/>
        <v>#DIV/0!</v>
      </c>
      <c r="F31" s="5"/>
      <c r="G31" s="42">
        <f t="shared" si="3"/>
        <v>0</v>
      </c>
      <c r="H31" s="5"/>
      <c r="I31" s="41">
        <f t="shared" si="4"/>
        <v>0</v>
      </c>
      <c r="J31" s="5"/>
      <c r="K31" s="42">
        <f t="shared" si="5"/>
        <v>0</v>
      </c>
      <c r="L31" s="5"/>
      <c r="M31" s="41">
        <f t="shared" si="6"/>
        <v>0</v>
      </c>
      <c r="N31" s="5"/>
      <c r="O31" s="42">
        <f t="shared" si="7"/>
        <v>0</v>
      </c>
      <c r="P31" s="5"/>
      <c r="Q31" s="40">
        <f t="shared" si="8"/>
        <v>0</v>
      </c>
      <c r="R31" s="5"/>
      <c r="S31" s="70" t="e">
        <f t="shared" si="9"/>
        <v>#DIV/0!</v>
      </c>
      <c r="T31" s="70" t="e">
        <f t="shared" si="10"/>
        <v>#DIV/0!</v>
      </c>
      <c r="U31" s="40" t="e">
        <f t="shared" si="11"/>
        <v>#DIV/0!</v>
      </c>
      <c r="V31" s="24"/>
      <c r="W31" s="40">
        <f t="shared" si="12"/>
        <v>0</v>
      </c>
      <c r="X31" s="40">
        <f>SUM(W31,-Z12)</f>
        <v>0</v>
      </c>
      <c r="Y31" s="40">
        <f t="shared" si="13"/>
        <v>0</v>
      </c>
      <c r="Z31" s="40">
        <f>2.8*Z14* (Y31^1.5)</f>
        <v>0</v>
      </c>
      <c r="AA31" s="5"/>
      <c r="AB31" s="43" t="e">
        <f t="shared" si="14"/>
        <v>#DIV/0!</v>
      </c>
      <c r="AC31" s="44">
        <f t="shared" si="15"/>
        <v>0</v>
      </c>
      <c r="AD31" s="38"/>
      <c r="AE31" s="5"/>
      <c r="AF31" s="24"/>
      <c r="AG31" s="27"/>
      <c r="AH31" s="70"/>
    </row>
    <row r="32" spans="1:34" ht="15.6">
      <c r="A32" s="45"/>
      <c r="B32" s="24"/>
      <c r="C32" s="28">
        <f t="shared" si="0"/>
        <v>0</v>
      </c>
      <c r="D32" s="40" t="e">
        <f t="shared" si="1"/>
        <v>#DIV/0!</v>
      </c>
      <c r="E32" s="41" t="e">
        <f t="shared" si="2"/>
        <v>#DIV/0!</v>
      </c>
      <c r="F32" s="5"/>
      <c r="G32" s="42">
        <f t="shared" si="3"/>
        <v>0</v>
      </c>
      <c r="H32" s="5"/>
      <c r="I32" s="41">
        <f t="shared" si="4"/>
        <v>0</v>
      </c>
      <c r="J32" s="5"/>
      <c r="K32" s="42">
        <f t="shared" si="5"/>
        <v>0</v>
      </c>
      <c r="L32" s="5"/>
      <c r="M32" s="41">
        <f t="shared" si="6"/>
        <v>0</v>
      </c>
      <c r="N32" s="5"/>
      <c r="O32" s="42">
        <f t="shared" si="7"/>
        <v>0</v>
      </c>
      <c r="P32" s="5"/>
      <c r="Q32" s="40">
        <f t="shared" si="8"/>
        <v>0</v>
      </c>
      <c r="R32" s="5"/>
      <c r="S32" s="70" t="e">
        <f t="shared" si="9"/>
        <v>#DIV/0!</v>
      </c>
      <c r="T32" s="70" t="e">
        <f t="shared" si="10"/>
        <v>#DIV/0!</v>
      </c>
      <c r="U32" s="40" t="e">
        <f t="shared" si="11"/>
        <v>#DIV/0!</v>
      </c>
      <c r="V32" s="24"/>
      <c r="W32" s="40">
        <f t="shared" si="12"/>
        <v>0</v>
      </c>
      <c r="X32" s="40">
        <f>SUM(W32,-Z12)</f>
        <v>0</v>
      </c>
      <c r="Y32" s="40">
        <f t="shared" si="13"/>
        <v>0</v>
      </c>
      <c r="Z32" s="40">
        <f>2.8*Z14* (Y32^1.5)</f>
        <v>0</v>
      </c>
      <c r="AA32" s="5"/>
      <c r="AB32" s="43" t="e">
        <f t="shared" si="14"/>
        <v>#DIV/0!</v>
      </c>
      <c r="AC32" s="44">
        <f t="shared" si="15"/>
        <v>0</v>
      </c>
      <c r="AD32" s="38"/>
      <c r="AE32" s="5"/>
      <c r="AF32" s="24"/>
      <c r="AG32" s="27"/>
      <c r="AH32" s="27"/>
    </row>
    <row r="33" spans="1:34" ht="15.6">
      <c r="A33" s="45"/>
      <c r="B33" s="24"/>
      <c r="C33" s="28">
        <f t="shared" si="0"/>
        <v>0</v>
      </c>
      <c r="D33" s="40" t="e">
        <f t="shared" si="1"/>
        <v>#DIV/0!</v>
      </c>
      <c r="E33" s="41" t="e">
        <f t="shared" si="2"/>
        <v>#DIV/0!</v>
      </c>
      <c r="F33" s="5"/>
      <c r="G33" s="42">
        <f t="shared" si="3"/>
        <v>0</v>
      </c>
      <c r="H33" s="5"/>
      <c r="I33" s="41">
        <f t="shared" si="4"/>
        <v>0</v>
      </c>
      <c r="J33" s="5"/>
      <c r="K33" s="42">
        <f t="shared" si="5"/>
        <v>0</v>
      </c>
      <c r="L33" s="5"/>
      <c r="M33" s="41">
        <f t="shared" si="6"/>
        <v>0</v>
      </c>
      <c r="N33" s="5"/>
      <c r="O33" s="42">
        <f t="shared" si="7"/>
        <v>0</v>
      </c>
      <c r="P33" s="5"/>
      <c r="Q33" s="40">
        <f t="shared" si="8"/>
        <v>0</v>
      </c>
      <c r="R33" s="5"/>
      <c r="S33" s="70" t="e">
        <f t="shared" si="9"/>
        <v>#DIV/0!</v>
      </c>
      <c r="T33" s="70" t="e">
        <f t="shared" si="10"/>
        <v>#DIV/0!</v>
      </c>
      <c r="U33" s="40" t="e">
        <f t="shared" si="11"/>
        <v>#DIV/0!</v>
      </c>
      <c r="V33" s="24"/>
      <c r="W33" s="40">
        <f t="shared" si="12"/>
        <v>0</v>
      </c>
      <c r="X33" s="40">
        <f>SUM(W33,-Z12)</f>
        <v>0</v>
      </c>
      <c r="Y33" s="40">
        <f t="shared" si="13"/>
        <v>0</v>
      </c>
      <c r="Z33" s="40">
        <f>2.8*Z14* (Y33^1.5)</f>
        <v>0</v>
      </c>
      <c r="AA33" s="5"/>
      <c r="AB33" s="43" t="e">
        <f t="shared" si="14"/>
        <v>#DIV/0!</v>
      </c>
      <c r="AC33" s="44">
        <f t="shared" si="15"/>
        <v>0</v>
      </c>
      <c r="AD33" s="38"/>
      <c r="AE33" s="5"/>
      <c r="AF33" s="24"/>
      <c r="AG33" s="27"/>
      <c r="AH33" s="70"/>
    </row>
    <row r="34" spans="1:34" ht="15.6">
      <c r="A34" s="45"/>
      <c r="B34" s="24"/>
      <c r="C34" s="28">
        <f t="shared" si="0"/>
        <v>0</v>
      </c>
      <c r="D34" s="40" t="e">
        <f t="shared" si="1"/>
        <v>#DIV/0!</v>
      </c>
      <c r="E34" s="41" t="e">
        <f t="shared" si="2"/>
        <v>#DIV/0!</v>
      </c>
      <c r="F34" s="5"/>
      <c r="G34" s="42">
        <f t="shared" si="3"/>
        <v>0</v>
      </c>
      <c r="H34" s="5"/>
      <c r="I34" s="41">
        <f t="shared" si="4"/>
        <v>0</v>
      </c>
      <c r="J34" s="5"/>
      <c r="K34" s="42">
        <f t="shared" si="5"/>
        <v>0</v>
      </c>
      <c r="L34" s="5"/>
      <c r="M34" s="41">
        <f t="shared" si="6"/>
        <v>0</v>
      </c>
      <c r="N34" s="5"/>
      <c r="O34" s="42">
        <f t="shared" si="7"/>
        <v>0</v>
      </c>
      <c r="P34" s="5"/>
      <c r="Q34" s="40">
        <f t="shared" si="8"/>
        <v>0</v>
      </c>
      <c r="R34" s="5"/>
      <c r="S34" s="70" t="e">
        <f t="shared" si="9"/>
        <v>#DIV/0!</v>
      </c>
      <c r="T34" s="70" t="e">
        <f t="shared" si="10"/>
        <v>#DIV/0!</v>
      </c>
      <c r="U34" s="40" t="e">
        <f t="shared" si="11"/>
        <v>#DIV/0!</v>
      </c>
      <c r="V34" s="24"/>
      <c r="W34" s="40">
        <f t="shared" si="12"/>
        <v>0</v>
      </c>
      <c r="X34" s="40">
        <f>SUM(W34,-Z12)</f>
        <v>0</v>
      </c>
      <c r="Y34" s="40">
        <f t="shared" si="13"/>
        <v>0</v>
      </c>
      <c r="Z34" s="40">
        <f>2.8*Z14* (Y34^1.5)</f>
        <v>0</v>
      </c>
      <c r="AA34" s="5"/>
      <c r="AB34" s="43" t="e">
        <f t="shared" si="14"/>
        <v>#DIV/0!</v>
      </c>
      <c r="AC34" s="44">
        <f t="shared" si="15"/>
        <v>0</v>
      </c>
      <c r="AD34" s="38"/>
      <c r="AE34" s="5"/>
      <c r="AF34" s="24"/>
      <c r="AG34" s="27"/>
      <c r="AH34" s="70"/>
    </row>
    <row r="35" spans="1:34" ht="15.6">
      <c r="A35" s="45"/>
      <c r="B35" s="24"/>
      <c r="C35" s="28">
        <f t="shared" si="0"/>
        <v>0</v>
      </c>
      <c r="D35" s="40" t="e">
        <f t="shared" si="1"/>
        <v>#DIV/0!</v>
      </c>
      <c r="E35" s="41" t="e">
        <f t="shared" si="2"/>
        <v>#DIV/0!</v>
      </c>
      <c r="F35" s="5"/>
      <c r="G35" s="42">
        <f t="shared" si="3"/>
        <v>0</v>
      </c>
      <c r="H35" s="5"/>
      <c r="I35" s="41">
        <f t="shared" si="4"/>
        <v>0</v>
      </c>
      <c r="J35" s="5"/>
      <c r="K35" s="42">
        <f t="shared" si="5"/>
        <v>0</v>
      </c>
      <c r="L35" s="5"/>
      <c r="M35" s="41">
        <f t="shared" si="6"/>
        <v>0</v>
      </c>
      <c r="N35" s="5"/>
      <c r="O35" s="42">
        <f t="shared" si="7"/>
        <v>0</v>
      </c>
      <c r="P35" s="5"/>
      <c r="Q35" s="40">
        <f t="shared" si="8"/>
        <v>0</v>
      </c>
      <c r="R35" s="5"/>
      <c r="S35" s="70" t="e">
        <f t="shared" si="9"/>
        <v>#DIV/0!</v>
      </c>
      <c r="T35" s="70" t="e">
        <f t="shared" si="10"/>
        <v>#DIV/0!</v>
      </c>
      <c r="U35" s="40" t="e">
        <f t="shared" si="11"/>
        <v>#DIV/0!</v>
      </c>
      <c r="V35" s="24"/>
      <c r="W35" s="40">
        <f t="shared" si="12"/>
        <v>0</v>
      </c>
      <c r="X35" s="40">
        <f>SUM(W35,-Z12)</f>
        <v>0</v>
      </c>
      <c r="Y35" s="40">
        <f t="shared" si="13"/>
        <v>0</v>
      </c>
      <c r="Z35" s="40">
        <f>2.8*Z14* (Y35^1.5)</f>
        <v>0</v>
      </c>
      <c r="AA35" s="5"/>
      <c r="AB35" s="43" t="e">
        <f t="shared" si="14"/>
        <v>#DIV/0!</v>
      </c>
      <c r="AC35" s="44">
        <f t="shared" si="15"/>
        <v>0</v>
      </c>
      <c r="AD35" s="38"/>
      <c r="AE35" s="5"/>
      <c r="AF35" s="24"/>
      <c r="AG35" s="27"/>
      <c r="AH35" s="27"/>
    </row>
    <row r="36" spans="1:34" ht="15.6">
      <c r="A36" s="45"/>
      <c r="B36" s="24"/>
      <c r="C36" s="28">
        <f t="shared" si="0"/>
        <v>0</v>
      </c>
      <c r="D36" s="40" t="e">
        <f t="shared" si="1"/>
        <v>#DIV/0!</v>
      </c>
      <c r="E36" s="41" t="e">
        <f t="shared" si="2"/>
        <v>#DIV/0!</v>
      </c>
      <c r="F36" s="5"/>
      <c r="G36" s="42">
        <f t="shared" si="3"/>
        <v>0</v>
      </c>
      <c r="H36" s="5"/>
      <c r="I36" s="41">
        <f t="shared" si="4"/>
        <v>0</v>
      </c>
      <c r="J36" s="5"/>
      <c r="K36" s="42">
        <f t="shared" si="5"/>
        <v>0</v>
      </c>
      <c r="L36" s="5"/>
      <c r="M36" s="41">
        <f t="shared" si="6"/>
        <v>0</v>
      </c>
      <c r="N36" s="5"/>
      <c r="O36" s="42">
        <f t="shared" si="7"/>
        <v>0</v>
      </c>
      <c r="P36" s="5"/>
      <c r="Q36" s="40">
        <f t="shared" si="8"/>
        <v>0</v>
      </c>
      <c r="R36" s="5"/>
      <c r="S36" s="70" t="e">
        <f t="shared" si="9"/>
        <v>#DIV/0!</v>
      </c>
      <c r="T36" s="70" t="e">
        <f t="shared" si="10"/>
        <v>#DIV/0!</v>
      </c>
      <c r="U36" s="40" t="e">
        <f t="shared" si="11"/>
        <v>#DIV/0!</v>
      </c>
      <c r="V36" s="24"/>
      <c r="W36" s="40">
        <f t="shared" si="12"/>
        <v>0</v>
      </c>
      <c r="X36" s="40">
        <f>SUM(W36,-Z12)</f>
        <v>0</v>
      </c>
      <c r="Y36" s="40">
        <f t="shared" si="13"/>
        <v>0</v>
      </c>
      <c r="Z36" s="40">
        <f>2.8*Z14* (Y36^1.5)</f>
        <v>0</v>
      </c>
      <c r="AA36" s="5"/>
      <c r="AB36" s="43" t="e">
        <f t="shared" si="14"/>
        <v>#DIV/0!</v>
      </c>
      <c r="AC36" s="44">
        <f t="shared" si="15"/>
        <v>0</v>
      </c>
      <c r="AD36" s="38"/>
      <c r="AE36" s="5"/>
      <c r="AF36" s="24"/>
      <c r="AG36" s="27"/>
      <c r="AH36" s="70"/>
    </row>
    <row r="37" spans="1:34" ht="15.6">
      <c r="A37" s="45"/>
      <c r="B37" s="24"/>
      <c r="C37" s="28">
        <f t="shared" si="0"/>
        <v>0</v>
      </c>
      <c r="D37" s="40" t="e">
        <f t="shared" si="1"/>
        <v>#DIV/0!</v>
      </c>
      <c r="E37" s="41" t="e">
        <f t="shared" si="2"/>
        <v>#DIV/0!</v>
      </c>
      <c r="F37" s="5"/>
      <c r="G37" s="42">
        <f t="shared" si="3"/>
        <v>0</v>
      </c>
      <c r="H37" s="5"/>
      <c r="I37" s="41">
        <f t="shared" si="4"/>
        <v>0</v>
      </c>
      <c r="J37" s="5"/>
      <c r="K37" s="42">
        <f t="shared" si="5"/>
        <v>0</v>
      </c>
      <c r="L37" s="5"/>
      <c r="M37" s="41">
        <f t="shared" si="6"/>
        <v>0</v>
      </c>
      <c r="N37" s="5"/>
      <c r="O37" s="42">
        <f t="shared" si="7"/>
        <v>0</v>
      </c>
      <c r="P37" s="5"/>
      <c r="Q37" s="40">
        <f t="shared" si="8"/>
        <v>0</v>
      </c>
      <c r="R37" s="5"/>
      <c r="S37" s="70" t="e">
        <f t="shared" si="9"/>
        <v>#DIV/0!</v>
      </c>
      <c r="T37" s="70" t="e">
        <f t="shared" si="10"/>
        <v>#DIV/0!</v>
      </c>
      <c r="U37" s="40" t="e">
        <f t="shared" si="11"/>
        <v>#DIV/0!</v>
      </c>
      <c r="V37" s="24"/>
      <c r="W37" s="40">
        <f t="shared" si="12"/>
        <v>0</v>
      </c>
      <c r="X37" s="40">
        <f>SUM(W37,-Z12)</f>
        <v>0</v>
      </c>
      <c r="Y37" s="40">
        <f t="shared" si="13"/>
        <v>0</v>
      </c>
      <c r="Z37" s="40">
        <f>2.8*Z14* (Y37^1.5)</f>
        <v>0</v>
      </c>
      <c r="AA37" s="5"/>
      <c r="AB37" s="43" t="e">
        <f t="shared" si="14"/>
        <v>#DIV/0!</v>
      </c>
      <c r="AC37" s="44">
        <f t="shared" si="15"/>
        <v>0</v>
      </c>
      <c r="AD37" s="38"/>
      <c r="AE37" s="5"/>
      <c r="AF37" s="24"/>
      <c r="AG37" s="27"/>
      <c r="AH37" s="70"/>
    </row>
    <row r="38" spans="1:34" ht="15.6">
      <c r="A38" s="45"/>
      <c r="B38" s="24"/>
      <c r="C38" s="28">
        <f t="shared" si="0"/>
        <v>0</v>
      </c>
      <c r="D38" s="40" t="e">
        <f t="shared" si="1"/>
        <v>#DIV/0!</v>
      </c>
      <c r="E38" s="41" t="e">
        <f t="shared" si="2"/>
        <v>#DIV/0!</v>
      </c>
      <c r="F38" s="5"/>
      <c r="G38" s="42">
        <f t="shared" si="3"/>
        <v>0</v>
      </c>
      <c r="H38" s="5"/>
      <c r="I38" s="41">
        <f t="shared" si="4"/>
        <v>0</v>
      </c>
      <c r="J38" s="5"/>
      <c r="K38" s="42">
        <f t="shared" si="5"/>
        <v>0</v>
      </c>
      <c r="L38" s="5"/>
      <c r="M38" s="41">
        <f t="shared" si="6"/>
        <v>0</v>
      </c>
      <c r="N38" s="5"/>
      <c r="O38" s="42">
        <f t="shared" si="7"/>
        <v>0</v>
      </c>
      <c r="P38" s="5"/>
      <c r="Q38" s="40">
        <f t="shared" si="8"/>
        <v>0</v>
      </c>
      <c r="R38" s="5"/>
      <c r="S38" s="70" t="e">
        <f t="shared" si="9"/>
        <v>#DIV/0!</v>
      </c>
      <c r="T38" s="70" t="e">
        <f t="shared" si="10"/>
        <v>#DIV/0!</v>
      </c>
      <c r="U38" s="40" t="e">
        <f t="shared" si="11"/>
        <v>#DIV/0!</v>
      </c>
      <c r="V38" s="24"/>
      <c r="W38" s="40">
        <f t="shared" si="12"/>
        <v>0</v>
      </c>
      <c r="X38" s="40">
        <f>SUM(W38,-Z12)</f>
        <v>0</v>
      </c>
      <c r="Y38" s="40">
        <f t="shared" si="13"/>
        <v>0</v>
      </c>
      <c r="Z38" s="40">
        <f>2.8*Z14* (Y38^1.5)</f>
        <v>0</v>
      </c>
      <c r="AA38" s="5"/>
      <c r="AB38" s="43" t="e">
        <f t="shared" si="14"/>
        <v>#DIV/0!</v>
      </c>
      <c r="AC38" s="44">
        <f t="shared" si="15"/>
        <v>0</v>
      </c>
      <c r="AD38" s="38"/>
      <c r="AE38" s="5"/>
      <c r="AF38" s="24"/>
      <c r="AG38" s="27"/>
      <c r="AH38" s="70"/>
    </row>
    <row r="39" spans="1:34" ht="12" customHeight="1">
      <c r="A39" s="45"/>
      <c r="B39" s="24"/>
      <c r="C39" s="28">
        <f t="shared" si="0"/>
        <v>0</v>
      </c>
      <c r="D39" s="40" t="e">
        <f t="shared" si="1"/>
        <v>#DIV/0!</v>
      </c>
      <c r="E39" s="41" t="e">
        <f t="shared" si="2"/>
        <v>#DIV/0!</v>
      </c>
      <c r="F39" s="5"/>
      <c r="G39" s="42">
        <f t="shared" si="3"/>
        <v>0</v>
      </c>
      <c r="H39" s="5"/>
      <c r="I39" s="41">
        <f t="shared" si="4"/>
        <v>0</v>
      </c>
      <c r="J39" s="5"/>
      <c r="K39" s="42">
        <f t="shared" si="5"/>
        <v>0</v>
      </c>
      <c r="L39" s="5"/>
      <c r="M39" s="41">
        <f t="shared" si="6"/>
        <v>0</v>
      </c>
      <c r="N39" s="5"/>
      <c r="O39" s="42">
        <f t="shared" si="7"/>
        <v>0</v>
      </c>
      <c r="P39" s="5"/>
      <c r="Q39" s="40">
        <f t="shared" si="8"/>
        <v>0</v>
      </c>
      <c r="R39" s="5"/>
      <c r="S39" s="70" t="e">
        <f t="shared" si="9"/>
        <v>#DIV/0!</v>
      </c>
      <c r="T39" s="70" t="e">
        <f t="shared" si="10"/>
        <v>#DIV/0!</v>
      </c>
      <c r="U39" s="40" t="e">
        <f t="shared" si="11"/>
        <v>#DIV/0!</v>
      </c>
      <c r="V39" s="24"/>
      <c r="W39" s="40">
        <f t="shared" si="12"/>
        <v>0</v>
      </c>
      <c r="X39" s="40">
        <f>SUM(W39,-Z12)</f>
        <v>0</v>
      </c>
      <c r="Y39" s="40">
        <f t="shared" si="13"/>
        <v>0</v>
      </c>
      <c r="Z39" s="40">
        <f>2.8*Z14* (Y39^1.5)</f>
        <v>0</v>
      </c>
      <c r="AA39" s="5"/>
      <c r="AB39" s="43" t="e">
        <f t="shared" si="14"/>
        <v>#DIV/0!</v>
      </c>
      <c r="AC39" s="44">
        <f t="shared" si="15"/>
        <v>0</v>
      </c>
      <c r="AD39" s="38"/>
      <c r="AE39" s="5"/>
      <c r="AF39" s="24"/>
      <c r="AG39" s="27"/>
      <c r="AH39" s="70"/>
    </row>
    <row r="40" spans="1:34" ht="15.6">
      <c r="A40" s="45"/>
      <c r="B40" s="24"/>
      <c r="C40" s="28">
        <f t="shared" si="0"/>
        <v>0</v>
      </c>
      <c r="D40" s="40" t="e">
        <f t="shared" si="1"/>
        <v>#DIV/0!</v>
      </c>
      <c r="E40" s="41" t="e">
        <f t="shared" si="2"/>
        <v>#DIV/0!</v>
      </c>
      <c r="F40" s="5"/>
      <c r="G40" s="42">
        <f t="shared" si="3"/>
        <v>0</v>
      </c>
      <c r="H40" s="5"/>
      <c r="I40" s="41">
        <f t="shared" si="4"/>
        <v>0</v>
      </c>
      <c r="J40" s="5"/>
      <c r="K40" s="42">
        <f t="shared" si="5"/>
        <v>0</v>
      </c>
      <c r="L40" s="5"/>
      <c r="M40" s="41">
        <f t="shared" si="6"/>
        <v>0</v>
      </c>
      <c r="N40" s="5"/>
      <c r="O40" s="42">
        <f t="shared" si="7"/>
        <v>0</v>
      </c>
      <c r="P40" s="5"/>
      <c r="Q40" s="40">
        <f t="shared" si="8"/>
        <v>0</v>
      </c>
      <c r="R40" s="5"/>
      <c r="S40" s="70" t="e">
        <f t="shared" si="9"/>
        <v>#DIV/0!</v>
      </c>
      <c r="T40" s="70" t="e">
        <f t="shared" si="10"/>
        <v>#DIV/0!</v>
      </c>
      <c r="U40" s="40" t="e">
        <f t="shared" si="11"/>
        <v>#DIV/0!</v>
      </c>
      <c r="V40" s="24"/>
      <c r="W40" s="40">
        <f t="shared" si="12"/>
        <v>0</v>
      </c>
      <c r="X40" s="40">
        <f>SUM(W40,-Z12)</f>
        <v>0</v>
      </c>
      <c r="Y40" s="40">
        <f t="shared" si="13"/>
        <v>0</v>
      </c>
      <c r="Z40" s="40">
        <f>2.8*Z14* (Y40^1.5)</f>
        <v>0</v>
      </c>
      <c r="AA40" s="5"/>
      <c r="AB40" s="43" t="e">
        <f t="shared" si="14"/>
        <v>#DIV/0!</v>
      </c>
      <c r="AC40" s="44">
        <f t="shared" si="15"/>
        <v>0</v>
      </c>
      <c r="AD40" s="38"/>
      <c r="AE40" s="5"/>
      <c r="AF40" s="24"/>
      <c r="AG40" s="27"/>
      <c r="AH40" s="27"/>
    </row>
    <row r="41" spans="1:34" ht="15.6">
      <c r="A41" s="45"/>
      <c r="B41" s="24"/>
      <c r="C41" s="28">
        <f t="shared" si="0"/>
        <v>0</v>
      </c>
      <c r="D41" s="40" t="e">
        <f t="shared" si="1"/>
        <v>#DIV/0!</v>
      </c>
      <c r="E41" s="41" t="e">
        <f t="shared" si="2"/>
        <v>#DIV/0!</v>
      </c>
      <c r="F41" s="5"/>
      <c r="G41" s="42">
        <f t="shared" si="3"/>
        <v>0</v>
      </c>
      <c r="H41" s="5"/>
      <c r="I41" s="41">
        <f t="shared" si="4"/>
        <v>0</v>
      </c>
      <c r="J41" s="5"/>
      <c r="K41" s="42">
        <f t="shared" si="5"/>
        <v>0</v>
      </c>
      <c r="L41" s="5"/>
      <c r="M41" s="41">
        <f t="shared" si="6"/>
        <v>0</v>
      </c>
      <c r="N41" s="5"/>
      <c r="O41" s="42">
        <f t="shared" si="7"/>
        <v>0</v>
      </c>
      <c r="P41" s="5"/>
      <c r="Q41" s="40">
        <f t="shared" si="8"/>
        <v>0</v>
      </c>
      <c r="R41" s="5"/>
      <c r="S41" s="70" t="e">
        <f t="shared" si="9"/>
        <v>#DIV/0!</v>
      </c>
      <c r="T41" s="70" t="e">
        <f t="shared" si="10"/>
        <v>#DIV/0!</v>
      </c>
      <c r="U41" s="40" t="e">
        <f t="shared" si="11"/>
        <v>#DIV/0!</v>
      </c>
      <c r="V41" s="24"/>
      <c r="W41" s="40">
        <f t="shared" si="12"/>
        <v>0</v>
      </c>
      <c r="X41" s="40">
        <f>SUM(W41,-Z12)</f>
        <v>0</v>
      </c>
      <c r="Y41" s="40">
        <f t="shared" si="13"/>
        <v>0</v>
      </c>
      <c r="Z41" s="40">
        <f>2.8*Z14* (Y41^1.5)</f>
        <v>0</v>
      </c>
      <c r="AA41" s="5"/>
      <c r="AB41" s="43" t="e">
        <f t="shared" si="14"/>
        <v>#DIV/0!</v>
      </c>
      <c r="AC41" s="44">
        <f t="shared" si="15"/>
        <v>0</v>
      </c>
      <c r="AD41" s="38"/>
      <c r="AE41" s="5"/>
      <c r="AF41" s="24"/>
      <c r="AG41" s="27"/>
      <c r="AH41" s="70"/>
    </row>
    <row r="42" spans="1:34" ht="15.6">
      <c r="A42" s="45"/>
      <c r="B42" s="24"/>
      <c r="C42" s="28">
        <f t="shared" si="0"/>
        <v>0</v>
      </c>
      <c r="D42" s="40" t="e">
        <f t="shared" si="1"/>
        <v>#DIV/0!</v>
      </c>
      <c r="E42" s="41" t="e">
        <f t="shared" si="2"/>
        <v>#DIV/0!</v>
      </c>
      <c r="F42" s="5"/>
      <c r="G42" s="42">
        <f t="shared" si="3"/>
        <v>0</v>
      </c>
      <c r="H42" s="5"/>
      <c r="I42" s="41">
        <f t="shared" si="4"/>
        <v>0</v>
      </c>
      <c r="J42" s="5"/>
      <c r="K42" s="42">
        <f t="shared" si="5"/>
        <v>0</v>
      </c>
      <c r="L42" s="5"/>
      <c r="M42" s="41">
        <f t="shared" si="6"/>
        <v>0</v>
      </c>
      <c r="N42" s="5"/>
      <c r="O42" s="42">
        <f t="shared" si="7"/>
        <v>0</v>
      </c>
      <c r="P42" s="5"/>
      <c r="Q42" s="40">
        <f t="shared" si="8"/>
        <v>0</v>
      </c>
      <c r="R42" s="5"/>
      <c r="S42" s="70" t="e">
        <f t="shared" si="9"/>
        <v>#DIV/0!</v>
      </c>
      <c r="T42" s="70" t="e">
        <f t="shared" si="10"/>
        <v>#DIV/0!</v>
      </c>
      <c r="U42" s="40" t="e">
        <f t="shared" si="11"/>
        <v>#DIV/0!</v>
      </c>
      <c r="V42" s="24"/>
      <c r="W42" s="40">
        <f t="shared" si="12"/>
        <v>0</v>
      </c>
      <c r="X42" s="40">
        <f>SUM(W42,-Z12)</f>
        <v>0</v>
      </c>
      <c r="Y42" s="40">
        <f t="shared" si="13"/>
        <v>0</v>
      </c>
      <c r="Z42" s="40">
        <f>2.8*Z14* (Y42^1.5)</f>
        <v>0</v>
      </c>
      <c r="AA42" s="5"/>
      <c r="AB42" s="43" t="e">
        <f t="shared" si="14"/>
        <v>#DIV/0!</v>
      </c>
      <c r="AC42" s="44">
        <f t="shared" si="15"/>
        <v>0</v>
      </c>
      <c r="AD42" s="38"/>
      <c r="AE42" s="5"/>
      <c r="AF42" s="24"/>
      <c r="AG42" s="27"/>
      <c r="AH42" s="27"/>
    </row>
    <row r="43" spans="1:34" ht="15.6">
      <c r="A43" s="45"/>
      <c r="B43" s="24"/>
      <c r="C43" s="28">
        <f t="shared" si="0"/>
        <v>0</v>
      </c>
      <c r="D43" s="40" t="e">
        <f t="shared" si="1"/>
        <v>#DIV/0!</v>
      </c>
      <c r="E43" s="41" t="e">
        <f t="shared" si="2"/>
        <v>#DIV/0!</v>
      </c>
      <c r="F43" s="5"/>
      <c r="G43" s="42">
        <f t="shared" si="3"/>
        <v>0</v>
      </c>
      <c r="H43" s="5"/>
      <c r="I43" s="41">
        <f t="shared" si="4"/>
        <v>0</v>
      </c>
      <c r="J43" s="5"/>
      <c r="K43" s="42">
        <f t="shared" si="5"/>
        <v>0</v>
      </c>
      <c r="L43" s="5"/>
      <c r="M43" s="41">
        <f t="shared" si="6"/>
        <v>0</v>
      </c>
      <c r="N43" s="5"/>
      <c r="O43" s="42">
        <f t="shared" si="7"/>
        <v>0</v>
      </c>
      <c r="P43" s="5"/>
      <c r="Q43" s="40">
        <f t="shared" si="8"/>
        <v>0</v>
      </c>
      <c r="R43" s="5"/>
      <c r="S43" s="70" t="e">
        <f t="shared" si="9"/>
        <v>#DIV/0!</v>
      </c>
      <c r="T43" s="70" t="e">
        <f t="shared" si="10"/>
        <v>#DIV/0!</v>
      </c>
      <c r="U43" s="40" t="e">
        <f t="shared" si="11"/>
        <v>#DIV/0!</v>
      </c>
      <c r="V43" s="24"/>
      <c r="W43" s="40">
        <f t="shared" si="12"/>
        <v>0</v>
      </c>
      <c r="X43" s="40">
        <f>SUM(W43,-Z12)</f>
        <v>0</v>
      </c>
      <c r="Y43" s="40">
        <f t="shared" si="13"/>
        <v>0</v>
      </c>
      <c r="Z43" s="40">
        <f>2.8*Z14* (Y43^1.5)</f>
        <v>0</v>
      </c>
      <c r="AA43" s="5"/>
      <c r="AB43" s="43" t="e">
        <f t="shared" si="14"/>
        <v>#DIV/0!</v>
      </c>
      <c r="AC43" s="44">
        <f t="shared" si="15"/>
        <v>0</v>
      </c>
      <c r="AD43" s="38"/>
      <c r="AE43" s="5"/>
      <c r="AF43" s="24"/>
      <c r="AG43" s="27"/>
      <c r="AH43" s="70"/>
    </row>
    <row r="44" spans="1:34" ht="15.6">
      <c r="A44" s="45"/>
      <c r="B44" s="24"/>
      <c r="C44" s="28">
        <f t="shared" si="0"/>
        <v>0</v>
      </c>
      <c r="D44" s="40" t="e">
        <f t="shared" si="1"/>
        <v>#DIV/0!</v>
      </c>
      <c r="E44" s="41" t="e">
        <f t="shared" si="2"/>
        <v>#DIV/0!</v>
      </c>
      <c r="F44" s="5"/>
      <c r="G44" s="42">
        <f t="shared" si="3"/>
        <v>0</v>
      </c>
      <c r="H44" s="5"/>
      <c r="I44" s="41">
        <f t="shared" si="4"/>
        <v>0</v>
      </c>
      <c r="J44" s="5"/>
      <c r="K44" s="42">
        <f t="shared" si="5"/>
        <v>0</v>
      </c>
      <c r="L44" s="5"/>
      <c r="M44" s="41">
        <f t="shared" si="6"/>
        <v>0</v>
      </c>
      <c r="N44" s="5"/>
      <c r="O44" s="42">
        <f t="shared" si="7"/>
        <v>0</v>
      </c>
      <c r="P44" s="5"/>
      <c r="Q44" s="40">
        <f t="shared" si="8"/>
        <v>0</v>
      </c>
      <c r="R44" s="5"/>
      <c r="S44" s="70" t="e">
        <f t="shared" si="9"/>
        <v>#DIV/0!</v>
      </c>
      <c r="T44" s="70" t="e">
        <f t="shared" si="10"/>
        <v>#DIV/0!</v>
      </c>
      <c r="U44" s="40" t="e">
        <f t="shared" si="11"/>
        <v>#DIV/0!</v>
      </c>
      <c r="V44" s="24"/>
      <c r="W44" s="40">
        <f t="shared" si="12"/>
        <v>0</v>
      </c>
      <c r="X44" s="40">
        <f>SUM(W44,-Z12)</f>
        <v>0</v>
      </c>
      <c r="Y44" s="40">
        <f t="shared" si="13"/>
        <v>0</v>
      </c>
      <c r="Z44" s="40">
        <f>2.8*Z14* (Y44^1.5)</f>
        <v>0</v>
      </c>
      <c r="AA44" s="5"/>
      <c r="AB44" s="43" t="e">
        <f t="shared" si="14"/>
        <v>#DIV/0!</v>
      </c>
      <c r="AC44" s="44">
        <f t="shared" si="15"/>
        <v>0</v>
      </c>
      <c r="AD44" s="38"/>
      <c r="AE44" s="5"/>
      <c r="AF44" s="24"/>
      <c r="AG44" s="27"/>
      <c r="AH44" s="70"/>
    </row>
    <row r="45" spans="1:34">
      <c r="A45" s="24"/>
      <c r="B45" s="24"/>
      <c r="C45" s="5"/>
      <c r="D45" s="5"/>
      <c r="E45" s="5"/>
      <c r="F45" s="5"/>
      <c r="G45" s="24"/>
      <c r="H45" s="5"/>
      <c r="I45" s="24"/>
      <c r="J45" s="5"/>
      <c r="K45" s="5"/>
      <c r="L45" s="5"/>
      <c r="M45" s="5"/>
      <c r="N45" s="5"/>
      <c r="O45" s="24"/>
      <c r="P45" s="5"/>
      <c r="Q45" s="5"/>
      <c r="R45" s="5"/>
      <c r="S45" s="5"/>
      <c r="T45" s="5"/>
      <c r="U45" s="24"/>
      <c r="V45" s="24"/>
      <c r="W45" s="24"/>
      <c r="X45" s="24"/>
      <c r="Y45" s="24"/>
      <c r="Z45" s="5"/>
      <c r="AA45" s="5"/>
      <c r="AB45" s="5"/>
      <c r="AC45" s="5"/>
      <c r="AD45" s="5"/>
      <c r="AE45" s="5"/>
      <c r="AF45" s="24"/>
      <c r="AG45" s="27"/>
      <c r="AH45" s="27"/>
    </row>
    <row r="46" spans="1:34">
      <c r="A46" s="24"/>
      <c r="B46" s="24"/>
      <c r="C46" s="5"/>
      <c r="D46" s="5"/>
      <c r="E46" s="5"/>
      <c r="F46" s="5"/>
      <c r="G46" s="5"/>
      <c r="H46" s="5"/>
      <c r="I46" s="5"/>
      <c r="J46" s="24"/>
      <c r="K46" s="5"/>
      <c r="L46" s="5"/>
      <c r="M46" s="5"/>
      <c r="N46" s="5"/>
      <c r="O46" s="5"/>
      <c r="P46" s="5"/>
      <c r="Q46" s="5"/>
      <c r="R46" s="5"/>
      <c r="S46" s="5"/>
      <c r="T46" s="5"/>
      <c r="U46" s="24"/>
      <c r="V46" s="24"/>
      <c r="W46" s="24"/>
      <c r="X46" s="24"/>
      <c r="Y46" s="24"/>
      <c r="Z46" s="5"/>
      <c r="AA46" s="5"/>
      <c r="AB46" s="5"/>
      <c r="AC46" s="5"/>
      <c r="AD46" s="5"/>
      <c r="AE46" s="5"/>
      <c r="AF46" s="24"/>
      <c r="AG46" s="27"/>
      <c r="AH46" s="70"/>
    </row>
    <row r="47" spans="1:34">
      <c r="A47" s="24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24"/>
      <c r="V47" s="24"/>
      <c r="W47" s="24"/>
      <c r="X47" s="24"/>
      <c r="Y47" s="24"/>
      <c r="Z47" s="5"/>
      <c r="AA47" s="5"/>
      <c r="AB47" s="5"/>
      <c r="AC47" s="5"/>
      <c r="AD47" s="5"/>
      <c r="AE47" s="5"/>
      <c r="AF47" s="24"/>
      <c r="AG47" s="27"/>
      <c r="AH47" s="27"/>
    </row>
    <row r="48" spans="1:34" ht="15.6">
      <c r="A48" s="46" t="s">
        <v>97</v>
      </c>
      <c r="B48" s="47"/>
      <c r="C48" s="48"/>
      <c r="D48" s="48"/>
      <c r="E48" s="48"/>
      <c r="F48" s="68"/>
      <c r="G48" s="5"/>
      <c r="H48" s="5"/>
      <c r="I48" s="5"/>
      <c r="J48" s="5"/>
      <c r="K48" s="5"/>
      <c r="L48" s="5"/>
      <c r="M48" s="70"/>
      <c r="N48" s="70"/>
      <c r="O48" s="70"/>
      <c r="P48" s="70"/>
      <c r="Q48" s="70"/>
      <c r="R48" s="70"/>
      <c r="S48" s="70"/>
      <c r="T48" s="70"/>
      <c r="U48" s="27"/>
      <c r="V48" s="27"/>
      <c r="W48" s="27"/>
      <c r="X48" s="27"/>
      <c r="Y48" s="27"/>
      <c r="Z48" s="70"/>
      <c r="AA48" s="5"/>
      <c r="AB48" s="5"/>
      <c r="AC48" s="5"/>
      <c r="AD48" s="5"/>
      <c r="AE48" s="5"/>
      <c r="AF48" s="24"/>
      <c r="AG48" s="27"/>
      <c r="AH48" s="70"/>
    </row>
    <row r="49" spans="1:34">
      <c r="A49" s="48"/>
      <c r="B49" s="48"/>
      <c r="C49" s="48"/>
      <c r="D49" s="48"/>
      <c r="E49" s="48"/>
      <c r="F49" s="48"/>
      <c r="G49" s="5"/>
      <c r="H49" s="5"/>
      <c r="I49" s="5"/>
      <c r="J49" s="5"/>
      <c r="K49" s="5"/>
      <c r="L49" s="5"/>
      <c r="M49" s="70"/>
      <c r="N49" s="70"/>
      <c r="O49" s="70"/>
      <c r="P49" s="70"/>
      <c r="Q49" s="70"/>
      <c r="R49" s="70"/>
      <c r="S49" s="70"/>
      <c r="T49" s="70"/>
      <c r="U49" s="27"/>
      <c r="V49" s="27"/>
      <c r="W49" s="27"/>
      <c r="X49" s="27"/>
      <c r="Y49" s="27"/>
      <c r="Z49" s="70"/>
      <c r="AA49" s="5"/>
      <c r="AB49" s="5"/>
      <c r="AC49" s="5"/>
      <c r="AD49" s="5"/>
      <c r="AE49" s="5"/>
      <c r="AF49" s="24"/>
      <c r="AG49" s="27"/>
      <c r="AH49" s="70"/>
    </row>
    <row r="50" spans="1:34">
      <c r="A50" s="49" t="s">
        <v>98</v>
      </c>
      <c r="B50" s="48"/>
      <c r="C50" s="48"/>
      <c r="D50" s="48"/>
      <c r="E50" s="49" t="s">
        <v>99</v>
      </c>
      <c r="F50" s="48"/>
      <c r="G50" s="5"/>
      <c r="H50" s="5"/>
      <c r="I50" s="5"/>
      <c r="J50" s="5"/>
      <c r="K50" s="5"/>
      <c r="L50" s="5"/>
      <c r="M50" s="70"/>
      <c r="N50" s="70"/>
      <c r="O50" s="70"/>
      <c r="P50" s="70"/>
      <c r="Q50" s="70"/>
      <c r="R50" s="70"/>
      <c r="S50" s="70"/>
      <c r="T50" s="70"/>
      <c r="U50" s="27"/>
      <c r="V50" s="27"/>
      <c r="W50" s="27"/>
      <c r="X50" s="27"/>
      <c r="Y50" s="27"/>
      <c r="Z50" s="70"/>
      <c r="AA50" s="5"/>
      <c r="AB50" s="5"/>
      <c r="AC50" s="5"/>
      <c r="AD50" s="5"/>
      <c r="AE50" s="5"/>
      <c r="AF50" s="24"/>
      <c r="AG50" s="27"/>
      <c r="AH50" s="70"/>
    </row>
    <row r="51" spans="1:34">
      <c r="A51" s="50" t="s">
        <v>100</v>
      </c>
      <c r="B51" s="51"/>
      <c r="C51" s="51"/>
      <c r="D51" s="51"/>
      <c r="E51" s="52">
        <v>1.2999999999999999E-2</v>
      </c>
      <c r="F51" s="48"/>
      <c r="G51" s="5"/>
      <c r="H51" s="5"/>
      <c r="I51" s="5"/>
      <c r="J51" s="5"/>
      <c r="K51" s="5"/>
      <c r="L51" s="5"/>
      <c r="M51" s="70"/>
      <c r="N51" s="70"/>
      <c r="O51" s="70"/>
      <c r="P51" s="70"/>
      <c r="Q51" s="70"/>
      <c r="R51" s="70"/>
      <c r="S51" s="70"/>
      <c r="T51" s="70"/>
      <c r="U51" s="27"/>
      <c r="V51" s="27"/>
      <c r="W51" s="27"/>
      <c r="X51" s="27"/>
      <c r="Y51" s="27"/>
      <c r="Z51" s="70"/>
      <c r="AA51" s="5"/>
      <c r="AB51" s="5"/>
      <c r="AC51" s="5"/>
      <c r="AD51" s="5"/>
      <c r="AE51" s="5"/>
      <c r="AF51" s="24"/>
      <c r="AG51" s="27"/>
      <c r="AH51" s="70"/>
    </row>
    <row r="52" spans="1:34">
      <c r="A52" s="53" t="s">
        <v>101</v>
      </c>
      <c r="B52" s="48"/>
      <c r="C52" s="48"/>
      <c r="D52" s="48"/>
      <c r="E52" s="54">
        <v>1.4999999999999999E-2</v>
      </c>
      <c r="F52" s="48"/>
      <c r="G52" s="5"/>
      <c r="H52" s="5"/>
      <c r="I52" s="5"/>
      <c r="J52" s="5"/>
      <c r="K52" s="5"/>
      <c r="L52" s="5"/>
      <c r="M52" s="70"/>
      <c r="N52" s="70"/>
      <c r="O52" s="70"/>
      <c r="P52" s="70"/>
      <c r="Q52" s="70"/>
      <c r="R52" s="70"/>
      <c r="S52" s="70"/>
      <c r="T52" s="70"/>
      <c r="U52" s="27"/>
      <c r="V52" s="27"/>
      <c r="W52" s="27"/>
      <c r="X52" s="27"/>
      <c r="Y52" s="27"/>
      <c r="Z52" s="70"/>
      <c r="AA52" s="5"/>
      <c r="AB52" s="5"/>
      <c r="AC52" s="5"/>
      <c r="AD52" s="5"/>
      <c r="AE52" s="5"/>
      <c r="AF52" s="24"/>
      <c r="AG52" s="27"/>
      <c r="AH52" s="70"/>
    </row>
    <row r="53" spans="1:34">
      <c r="A53" s="53" t="s">
        <v>102</v>
      </c>
      <c r="B53" s="48"/>
      <c r="C53" s="48"/>
      <c r="D53" s="48"/>
      <c r="E53" s="54">
        <v>2.4E-2</v>
      </c>
      <c r="F53" s="48"/>
      <c r="G53" s="5"/>
      <c r="H53" s="5"/>
      <c r="I53" s="5"/>
      <c r="J53" s="5"/>
      <c r="K53" s="5"/>
      <c r="L53" s="5"/>
      <c r="M53" s="70"/>
      <c r="N53" s="70"/>
      <c r="O53" s="70"/>
      <c r="P53" s="70"/>
      <c r="Q53" s="70"/>
      <c r="R53" s="70"/>
      <c r="S53" s="70"/>
      <c r="T53" s="70"/>
      <c r="U53" s="27"/>
      <c r="V53" s="27"/>
      <c r="W53" s="27"/>
      <c r="X53" s="27"/>
      <c r="Y53" s="27"/>
      <c r="Z53" s="70"/>
      <c r="AA53" s="5"/>
      <c r="AB53" s="5"/>
      <c r="AC53" s="5"/>
      <c r="AD53" s="5"/>
      <c r="AE53" s="5"/>
      <c r="AF53" s="24"/>
      <c r="AG53" s="27"/>
      <c r="AH53" s="27"/>
    </row>
    <row r="54" spans="1:34">
      <c r="A54" s="53" t="s">
        <v>103</v>
      </c>
      <c r="B54" s="48"/>
      <c r="C54" s="48"/>
      <c r="D54" s="48"/>
      <c r="E54" s="54">
        <v>1.2999999999999999E-2</v>
      </c>
      <c r="F54" s="48"/>
      <c r="G54" s="5"/>
      <c r="H54" s="5"/>
      <c r="I54" s="5"/>
      <c r="J54" s="5"/>
      <c r="K54" s="5"/>
      <c r="L54" s="5"/>
      <c r="M54" s="70"/>
      <c r="N54" s="70"/>
      <c r="O54" s="70"/>
      <c r="P54" s="70"/>
      <c r="Q54" s="70"/>
      <c r="R54" s="70"/>
      <c r="S54" s="70"/>
      <c r="T54" s="70"/>
      <c r="U54" s="27"/>
      <c r="V54" s="27"/>
      <c r="W54" s="27"/>
      <c r="X54" s="27"/>
      <c r="Y54" s="27"/>
      <c r="Z54" s="70"/>
      <c r="AA54" s="5"/>
      <c r="AB54" s="5"/>
      <c r="AC54" s="5"/>
      <c r="AD54" s="5"/>
      <c r="AE54" s="5"/>
      <c r="AF54" s="24"/>
      <c r="AG54" s="27"/>
      <c r="AH54" s="70"/>
    </row>
    <row r="55" spans="1:34">
      <c r="A55" s="53" t="s">
        <v>104</v>
      </c>
      <c r="B55" s="48"/>
      <c r="C55" s="55"/>
      <c r="D55" s="55"/>
      <c r="E55" s="54">
        <v>1.6E-2</v>
      </c>
      <c r="F55" s="55"/>
      <c r="G55" s="7"/>
      <c r="H55" s="7"/>
      <c r="I55" s="7"/>
      <c r="J55" s="7"/>
      <c r="K55" s="7"/>
      <c r="L55" s="7"/>
      <c r="M55" s="70"/>
      <c r="N55" s="70"/>
      <c r="O55" s="70"/>
      <c r="P55" s="70"/>
      <c r="Q55" s="70"/>
      <c r="R55" s="70"/>
      <c r="S55" s="70"/>
      <c r="T55" s="70"/>
      <c r="U55" s="27"/>
      <c r="V55" s="27"/>
      <c r="W55" s="27"/>
      <c r="X55" s="27"/>
      <c r="Y55" s="27"/>
      <c r="Z55" s="70"/>
      <c r="AA55" s="5"/>
      <c r="AB55" s="5"/>
      <c r="AC55" s="5"/>
      <c r="AD55" s="5"/>
      <c r="AE55" s="5"/>
      <c r="AF55" s="24"/>
      <c r="AG55" s="27"/>
      <c r="AH55" s="70"/>
    </row>
    <row r="56" spans="1:34">
      <c r="A56" s="56" t="s">
        <v>105</v>
      </c>
      <c r="B56" s="57"/>
      <c r="C56" s="57"/>
      <c r="D56" s="57"/>
      <c r="E56" s="58">
        <v>1.4E-2</v>
      </c>
      <c r="F56" s="48"/>
      <c r="G56" s="5"/>
      <c r="H56" s="5"/>
      <c r="I56" s="5"/>
      <c r="J56" s="5"/>
      <c r="K56" s="5"/>
      <c r="L56" s="5"/>
      <c r="M56" s="70"/>
      <c r="N56" s="70"/>
      <c r="O56" s="70"/>
      <c r="P56" s="70"/>
      <c r="Q56" s="70"/>
      <c r="R56" s="70"/>
      <c r="S56" s="70"/>
      <c r="T56" s="70"/>
      <c r="U56" s="27"/>
      <c r="V56" s="27"/>
      <c r="W56" s="27"/>
      <c r="X56" s="27"/>
      <c r="Y56" s="27"/>
      <c r="Z56" s="70"/>
      <c r="AA56" s="5"/>
      <c r="AB56" s="5"/>
      <c r="AC56" s="5"/>
      <c r="AD56" s="5"/>
      <c r="AE56" s="5"/>
      <c r="AF56" s="24"/>
      <c r="AG56" s="27"/>
      <c r="AH56" s="70"/>
    </row>
    <row r="57" spans="1:34">
      <c r="A57" s="47"/>
      <c r="B57" s="47"/>
      <c r="C57" s="48"/>
      <c r="D57" s="48"/>
      <c r="E57" s="48"/>
      <c r="F57" s="48"/>
      <c r="G57" s="5"/>
      <c r="H57" s="5"/>
      <c r="I57" s="5"/>
      <c r="J57" s="5"/>
      <c r="K57" s="7"/>
      <c r="L57" s="5"/>
      <c r="M57" s="70"/>
      <c r="N57" s="70"/>
      <c r="O57" s="70"/>
      <c r="P57" s="70"/>
      <c r="Q57" s="70"/>
      <c r="R57" s="70"/>
      <c r="S57" s="70"/>
      <c r="T57" s="70"/>
      <c r="U57" s="27"/>
      <c r="V57" s="27"/>
      <c r="W57" s="27"/>
      <c r="X57" s="27"/>
      <c r="Y57" s="27"/>
      <c r="Z57" s="70"/>
      <c r="AA57" s="5"/>
      <c r="AB57" s="5"/>
      <c r="AC57" s="5"/>
      <c r="AD57" s="5"/>
      <c r="AE57" s="5"/>
      <c r="AF57" s="24"/>
      <c r="AG57" s="27"/>
      <c r="AH57" s="70"/>
    </row>
    <row r="58" spans="1:34">
      <c r="A58" s="24"/>
      <c r="B58" s="24"/>
      <c r="C58" s="5"/>
      <c r="D58" s="5"/>
      <c r="E58" s="5"/>
      <c r="F58" s="5"/>
      <c r="G58" s="5"/>
      <c r="H58" s="5"/>
      <c r="I58" s="5"/>
      <c r="J58" s="5"/>
      <c r="K58" s="5"/>
      <c r="L58" s="5"/>
      <c r="M58" s="70"/>
      <c r="N58" s="70"/>
      <c r="O58" s="70"/>
      <c r="P58" s="70"/>
      <c r="Q58" s="70"/>
      <c r="R58" s="70"/>
      <c r="S58" s="70"/>
      <c r="T58" s="70"/>
      <c r="U58" s="27"/>
      <c r="V58" s="27"/>
      <c r="W58" s="27"/>
      <c r="X58" s="27"/>
      <c r="Y58" s="27"/>
      <c r="Z58" s="70"/>
      <c r="AA58" s="5"/>
      <c r="AB58" s="5"/>
      <c r="AC58" s="5"/>
      <c r="AD58" s="5"/>
      <c r="AE58" s="5"/>
      <c r="AF58" s="24"/>
      <c r="AG58" s="27"/>
      <c r="AH58" s="27"/>
    </row>
    <row r="59" spans="1:34">
      <c r="A59" s="24"/>
      <c r="B59" s="24"/>
      <c r="C59" s="5"/>
      <c r="D59" s="5"/>
      <c r="E59" s="5"/>
      <c r="F59" s="5"/>
      <c r="G59" s="5"/>
      <c r="H59" s="5"/>
      <c r="I59" s="5"/>
      <c r="J59" s="5"/>
      <c r="K59" s="5"/>
      <c r="L59" s="5"/>
      <c r="M59" s="70"/>
      <c r="N59" s="70"/>
      <c r="O59" s="70"/>
      <c r="P59" s="70"/>
      <c r="Q59" s="70"/>
      <c r="R59" s="70"/>
      <c r="S59" s="70"/>
      <c r="T59" s="70"/>
      <c r="U59" s="27"/>
      <c r="V59" s="27"/>
      <c r="W59" s="27"/>
      <c r="X59" s="27"/>
      <c r="Y59" s="27"/>
      <c r="Z59" s="70"/>
      <c r="AA59" s="5"/>
      <c r="AB59" s="5"/>
      <c r="AC59" s="5"/>
      <c r="AD59" s="5"/>
      <c r="AE59" s="5"/>
      <c r="AF59" s="24"/>
      <c r="AG59" s="27"/>
      <c r="AH59" s="70"/>
    </row>
    <row r="60" spans="1:34">
      <c r="A60" s="24"/>
      <c r="B60" s="24"/>
      <c r="C60" s="5"/>
      <c r="D60" s="5"/>
      <c r="E60" s="5"/>
      <c r="F60" s="5"/>
      <c r="G60" s="5"/>
      <c r="H60" s="5"/>
      <c r="I60" s="5"/>
      <c r="J60" s="5"/>
      <c r="K60" s="5"/>
      <c r="L60" s="5"/>
      <c r="M60" s="70"/>
      <c r="N60" s="70"/>
      <c r="O60" s="70"/>
      <c r="P60" s="70"/>
      <c r="Q60" s="70"/>
      <c r="R60" s="70"/>
      <c r="S60" s="70"/>
      <c r="T60" s="70"/>
      <c r="U60" s="27"/>
      <c r="V60" s="27"/>
      <c r="W60" s="27"/>
      <c r="X60" s="27"/>
      <c r="Y60" s="27"/>
      <c r="Z60" s="70"/>
      <c r="AA60" s="5"/>
      <c r="AB60" s="5"/>
      <c r="AC60" s="5"/>
      <c r="AD60" s="5"/>
      <c r="AE60" s="5"/>
      <c r="AF60" s="24"/>
      <c r="AG60" s="27"/>
      <c r="AH60" s="70"/>
    </row>
    <row r="61" spans="1:34">
      <c r="A61" s="24"/>
      <c r="B61" s="24"/>
      <c r="C61" s="5"/>
      <c r="D61" s="5"/>
      <c r="E61" s="5"/>
      <c r="F61" s="5"/>
      <c r="G61" s="5"/>
      <c r="H61" s="5"/>
      <c r="I61" s="5"/>
      <c r="J61" s="5"/>
      <c r="K61" s="5"/>
      <c r="L61" s="5"/>
      <c r="M61" s="70"/>
      <c r="N61" s="70"/>
      <c r="O61" s="70"/>
      <c r="P61" s="70"/>
      <c r="Q61" s="70"/>
      <c r="R61" s="70"/>
      <c r="S61" s="70"/>
      <c r="T61" s="70"/>
      <c r="U61" s="27"/>
      <c r="V61" s="27"/>
      <c r="W61" s="27"/>
      <c r="X61" s="27"/>
      <c r="Y61" s="27"/>
      <c r="Z61" s="70"/>
      <c r="AA61" s="5"/>
      <c r="AB61" s="5"/>
      <c r="AC61" s="5"/>
      <c r="AD61" s="5"/>
      <c r="AE61" s="5"/>
      <c r="AF61" s="24"/>
      <c r="AG61" s="27"/>
      <c r="AH61" s="70"/>
    </row>
    <row r="62" spans="1:34">
      <c r="A62" s="24" t="s">
        <v>106</v>
      </c>
      <c r="B62" s="2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24"/>
      <c r="V62" s="24"/>
      <c r="W62" s="24"/>
      <c r="X62" s="24"/>
      <c r="Y62" s="24"/>
      <c r="Z62" s="5"/>
      <c r="AA62" s="5"/>
      <c r="AB62" s="5"/>
      <c r="AC62" s="5"/>
      <c r="AD62" s="5"/>
      <c r="AE62" s="5"/>
      <c r="AF62" s="24"/>
      <c r="AG62" s="27"/>
      <c r="AH62" s="70"/>
    </row>
    <row r="63" spans="1:34">
      <c r="A63" s="27"/>
      <c r="B63" s="27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27"/>
      <c r="V63" s="27"/>
      <c r="W63" s="27"/>
      <c r="X63" s="27"/>
      <c r="Y63" s="27"/>
      <c r="Z63" s="70"/>
      <c r="AA63" s="70"/>
      <c r="AB63" s="70"/>
      <c r="AC63" s="70"/>
      <c r="AD63" s="70"/>
      <c r="AE63" s="70"/>
      <c r="AF63" s="27"/>
      <c r="AG63" s="27"/>
      <c r="AH63" s="27"/>
    </row>
    <row r="64" spans="1:34">
      <c r="A64" s="27"/>
      <c r="B64" s="27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27"/>
      <c r="V64" s="27"/>
      <c r="W64" s="27"/>
      <c r="X64" s="27"/>
      <c r="Y64" s="27"/>
      <c r="Z64" s="70"/>
      <c r="AA64" s="70"/>
      <c r="AB64" s="70"/>
      <c r="AC64" s="70"/>
      <c r="AD64" s="70"/>
      <c r="AE64" s="70"/>
      <c r="AF64" s="27"/>
      <c r="AG64" s="27"/>
      <c r="AH64" s="70"/>
    </row>
    <row r="65" spans="1:34">
      <c r="A65" s="27"/>
      <c r="B65" s="27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27"/>
      <c r="V65" s="27"/>
      <c r="W65" s="27"/>
      <c r="X65" s="27"/>
      <c r="Y65" s="27"/>
      <c r="Z65" s="70"/>
      <c r="AA65" s="70"/>
      <c r="AB65" s="70"/>
      <c r="AC65" s="70"/>
      <c r="AD65" s="70"/>
      <c r="AE65" s="70"/>
      <c r="AF65" s="27"/>
      <c r="AG65" s="27"/>
      <c r="AH65" s="70"/>
    </row>
    <row r="66" spans="1:34">
      <c r="A66" s="27"/>
      <c r="B66" s="27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27"/>
      <c r="V66" s="27"/>
      <c r="W66" s="27"/>
      <c r="X66" s="27"/>
      <c r="Y66" s="27"/>
      <c r="Z66" s="70"/>
      <c r="AA66" s="70"/>
      <c r="AB66" s="70"/>
      <c r="AC66" s="70"/>
      <c r="AD66" s="70"/>
      <c r="AE66" s="70"/>
      <c r="AF66" s="27"/>
      <c r="AG66" s="27"/>
      <c r="AH66" s="70"/>
    </row>
    <row r="67" spans="1:34">
      <c r="A67" s="27"/>
      <c r="B67" s="27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27"/>
      <c r="V67" s="27"/>
      <c r="W67" s="27"/>
      <c r="X67" s="27"/>
      <c r="Y67" s="27"/>
      <c r="Z67" s="70"/>
      <c r="AA67" s="70"/>
      <c r="AB67" s="70"/>
      <c r="AC67" s="70"/>
      <c r="AD67" s="70"/>
      <c r="AE67" s="70"/>
      <c r="AF67" s="27"/>
      <c r="AG67" s="27"/>
      <c r="AH67" s="70"/>
    </row>
    <row r="68" spans="1:34">
      <c r="A68" s="27"/>
      <c r="B68" s="27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27"/>
      <c r="V68" s="27"/>
      <c r="W68" s="27"/>
      <c r="X68" s="27"/>
      <c r="Y68" s="27"/>
      <c r="Z68" s="70"/>
      <c r="AA68" s="70"/>
      <c r="AB68" s="70"/>
      <c r="AC68" s="70"/>
      <c r="AD68" s="70"/>
      <c r="AE68" s="70"/>
      <c r="AF68" s="27"/>
      <c r="AG68" s="27"/>
      <c r="AH68" s="27"/>
    </row>
    <row r="69" spans="1:34">
      <c r="A69" s="27"/>
      <c r="B69" s="27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27"/>
      <c r="V69" s="27"/>
      <c r="W69" s="27"/>
      <c r="X69" s="27"/>
      <c r="Y69" s="27"/>
      <c r="Z69" s="70"/>
      <c r="AA69" s="70"/>
      <c r="AB69" s="70"/>
      <c r="AC69" s="70"/>
      <c r="AD69" s="70"/>
      <c r="AE69" s="70"/>
      <c r="AF69" s="27"/>
      <c r="AG69" s="27"/>
      <c r="AH69" s="70"/>
    </row>
    <row r="70" spans="1:34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27"/>
      <c r="V70" s="27"/>
      <c r="W70" s="27"/>
      <c r="X70" s="27"/>
      <c r="Y70" s="27"/>
      <c r="Z70" s="70"/>
      <c r="AA70" s="70"/>
      <c r="AB70" s="70"/>
      <c r="AC70" s="70"/>
      <c r="AD70" s="70"/>
      <c r="AE70" s="70"/>
      <c r="AF70" s="27"/>
      <c r="AG70" s="27"/>
      <c r="AH70" s="70"/>
    </row>
    <row r="71" spans="1:34">
      <c r="A71" s="27"/>
      <c r="B71" s="27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27"/>
      <c r="V71" s="27"/>
      <c r="W71" s="27"/>
      <c r="X71" s="27"/>
      <c r="Y71" s="27"/>
      <c r="Z71" s="70"/>
      <c r="AA71" s="70"/>
      <c r="AB71" s="70"/>
      <c r="AC71" s="70"/>
      <c r="AD71" s="70"/>
      <c r="AE71" s="70"/>
      <c r="AF71" s="27"/>
      <c r="AG71" s="27"/>
      <c r="AH71" s="70"/>
    </row>
    <row r="72" spans="1:34">
      <c r="A72" s="27"/>
      <c r="B72" s="27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27"/>
      <c r="V72" s="27"/>
      <c r="W72" s="27"/>
      <c r="X72" s="27"/>
      <c r="Y72" s="27"/>
      <c r="Z72" s="70"/>
      <c r="AA72" s="70"/>
      <c r="AB72" s="70"/>
      <c r="AC72" s="70"/>
      <c r="AD72" s="70"/>
      <c r="AE72" s="70"/>
      <c r="AF72" s="27"/>
      <c r="AG72" s="27"/>
      <c r="AH72" s="70"/>
    </row>
    <row r="73" spans="1:34">
      <c r="A73" s="27"/>
      <c r="B73" s="27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27"/>
      <c r="V73" s="27"/>
      <c r="W73" s="27"/>
      <c r="X73" s="27"/>
      <c r="Y73" s="27"/>
      <c r="Z73" s="70"/>
      <c r="AA73" s="70"/>
      <c r="AB73" s="70"/>
      <c r="AC73" s="70"/>
      <c r="AD73" s="70"/>
      <c r="AE73" s="70"/>
      <c r="AF73" s="27"/>
      <c r="AG73" s="27"/>
      <c r="AH73" s="27"/>
    </row>
    <row r="74" spans="1:3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27"/>
      <c r="AG74" s="27"/>
      <c r="AH74" s="70"/>
    </row>
    <row r="75" spans="1:34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27"/>
      <c r="AG75" s="27"/>
      <c r="AH75" s="70"/>
    </row>
    <row r="76" spans="1:34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27"/>
      <c r="AG76" s="27"/>
      <c r="AH76" s="70"/>
    </row>
    <row r="77" spans="1:34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27"/>
      <c r="AG77" s="27"/>
      <c r="AH77" s="70"/>
    </row>
    <row r="78" spans="1:34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27"/>
      <c r="AG78" s="27"/>
      <c r="AH78" s="27"/>
    </row>
  </sheetData>
  <mergeCells count="4">
    <mergeCell ref="M4:N4"/>
    <mergeCell ref="M5:N5"/>
    <mergeCell ref="A8:E8"/>
    <mergeCell ref="A9:E9"/>
  </mergeCells>
  <phoneticPr fontId="0" type="noConversion"/>
  <pageMargins left="0.75" right="0.75" top="1" bottom="1" header="0.5" footer="0.5"/>
  <pageSetup scale="5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4410DE08FA24F88D8C0ECEE3D6C98" ma:contentTypeVersion="17" ma:contentTypeDescription="Create a new document." ma:contentTypeScope="" ma:versionID="e4d533a94141663755f48d904e63a06d">
  <xsd:schema xmlns:xsd="http://www.w3.org/2001/XMLSchema" xmlns:xs="http://www.w3.org/2001/XMLSchema" xmlns:p="http://schemas.microsoft.com/office/2006/metadata/properties" xmlns:ns2="e72fefab-26f4-4f8e-acec-6e6d651a5d7b" xmlns:ns3="f2bdb49b-df4c-4545-9582-97c448393580" targetNamespace="http://schemas.microsoft.com/office/2006/metadata/properties" ma:root="true" ma:fieldsID="b5df155c13473b2b10ecc35bd86e62cd" ns2:_="" ns3:_="">
    <xsd:import namespace="e72fefab-26f4-4f8e-acec-6e6d651a5d7b"/>
    <xsd:import namespace="f2bdb49b-df4c-4545-9582-97c448393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fefab-26f4-4f8e-acec-6e6d651a5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db49b-df4c-4545-9582-97c448393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92568e57-ccbb-40f3-bddf-106e11d0d2a7}" ma:internalName="TaxCatchAll" ma:readOnly="false" ma:showField="CatchAllData" ma:web="f2bdb49b-df4c-4545-9582-97c448393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2fefab-26f4-4f8e-acec-6e6d651a5d7b">
      <Terms xmlns="http://schemas.microsoft.com/office/infopath/2007/PartnerControls"/>
    </lcf76f155ced4ddcb4097134ff3c332f>
    <TaxCatchAll xmlns="f2bdb49b-df4c-4545-9582-97c448393580" xsi:nil="true"/>
  </documentManagement>
</p:properties>
</file>

<file path=customXml/itemProps1.xml><?xml version="1.0" encoding="utf-8"?>
<ds:datastoreItem xmlns:ds="http://schemas.openxmlformats.org/officeDocument/2006/customXml" ds:itemID="{F6CEE9B0-F121-4293-9433-390CD0E2C83C}"/>
</file>

<file path=customXml/itemProps2.xml><?xml version="1.0" encoding="utf-8"?>
<ds:datastoreItem xmlns:ds="http://schemas.openxmlformats.org/officeDocument/2006/customXml" ds:itemID="{91BEF77D-8545-47C0-B606-5384F09DC9E3}"/>
</file>

<file path=customXml/itemProps3.xml><?xml version="1.0" encoding="utf-8"?>
<ds:datastoreItem xmlns:ds="http://schemas.openxmlformats.org/officeDocument/2006/customXml" ds:itemID="{0063ABA6-37BF-45BC-805F-50F23CEE0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 DENR DLR Sediment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NC DENR DLR Sediment</dc:creator>
  <cp:keywords/>
  <dc:description/>
  <cp:lastModifiedBy/>
  <cp:revision/>
  <dcterms:created xsi:type="dcterms:W3CDTF">2006-12-21T21:02:27Z</dcterms:created>
  <dcterms:modified xsi:type="dcterms:W3CDTF">2025-05-30T14:19:12Z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0x0101001044410DE08FA24F88D8C0ECEE3D6C98</vt:lpwstr>
  </property>
  <property fmtid="{D5CDD505-2E9C-101B-9397-08002B2CF9AE}" pid="3" name="MediaServiceImageTags">
    <vt:lpwstr/>
  </property>
</Properties>
</file>