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rlkuntz\Documents\HWA Accessibility\"/>
    </mc:Choice>
  </mc:AlternateContent>
  <xr:revisionPtr revIDLastSave="0" documentId="8_{17E708CF-0BC3-4654-A772-9FBF2C977E9A}" xr6:coauthVersionLast="47" xr6:coauthVersionMax="47" xr10:uidLastSave="{00000000-0000-0000-0000-000000000000}"/>
  <bookViews>
    <workbookView xWindow="-110" yWindow="-110" windowWidth="19420" windowHeight="10300" tabRatio="602" activeTab="1" xr2:uid="{00000000-000D-0000-FFFF-FFFF00000000}"/>
  </bookViews>
  <sheets>
    <sheet name="DMC Example and Instructions" sheetId="18" r:id="rId1"/>
    <sheet name="DMC For Use" sheetId="19" r:id="rId2"/>
    <sheet name="Sheet12" sheetId="12" state="hidden" r:id="rId3"/>
  </sheets>
  <definedNames>
    <definedName name="_xlnm.Print_Area" localSheetId="0">'DMC Example and Instructions'!$A$1:$K$50</definedName>
    <definedName name="_xlnm.Print_Area" localSheetId="1">'DMC For Use'!$A$1:$K$50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9" i="19" l="1"/>
  <c r="E39" i="19"/>
  <c r="D38" i="19"/>
  <c r="D36" i="19"/>
  <c r="F34" i="19"/>
  <c r="E34" i="19"/>
  <c r="J34" i="19" s="1"/>
  <c r="E33" i="19"/>
  <c r="G33" i="19" s="1"/>
  <c r="D32" i="19"/>
  <c r="E31" i="19"/>
  <c r="G31" i="19" s="1"/>
  <c r="E30" i="19"/>
  <c r="J30" i="19" s="1"/>
  <c r="D29" i="19"/>
  <c r="E28" i="19"/>
  <c r="J28" i="19" s="1"/>
  <c r="F27" i="19"/>
  <c r="E27" i="19"/>
  <c r="J27" i="19" s="1"/>
  <c r="D26" i="19"/>
  <c r="D23" i="19"/>
  <c r="E22" i="19"/>
  <c r="J22" i="19" s="1"/>
  <c r="D21" i="19"/>
  <c r="J19" i="19"/>
  <c r="G19" i="19"/>
  <c r="C9" i="19"/>
  <c r="J39" i="19" s="1"/>
  <c r="K34" i="19" l="1"/>
  <c r="G24" i="19"/>
  <c r="J31" i="19"/>
  <c r="J33" i="19"/>
  <c r="D9" i="19"/>
  <c r="J20" i="19"/>
  <c r="G22" i="19"/>
  <c r="G9" i="19"/>
  <c r="J24" i="19"/>
  <c r="H9" i="19"/>
  <c r="G27" i="19"/>
  <c r="G34" i="19"/>
  <c r="G18" i="19"/>
  <c r="J18" i="19"/>
  <c r="G28" i="19"/>
  <c r="G30" i="19"/>
  <c r="G35" i="19"/>
  <c r="G39" i="19"/>
  <c r="G20" i="19"/>
  <c r="J35" i="19"/>
  <c r="G19" i="18"/>
  <c r="H39" i="19" l="1"/>
  <c r="K18" i="19"/>
  <c r="H18" i="19"/>
  <c r="I9" i="19"/>
  <c r="K24" i="19"/>
  <c r="K20" i="19"/>
  <c r="H24" i="19"/>
  <c r="K39" i="19"/>
  <c r="H20" i="19"/>
  <c r="C38" i="19"/>
  <c r="F38" i="19" s="1"/>
  <c r="C29" i="19"/>
  <c r="F29" i="19" s="1"/>
  <c r="B38" i="19"/>
  <c r="E38" i="19" s="1"/>
  <c r="B29" i="19"/>
  <c r="E29" i="19" s="1"/>
  <c r="C35" i="19"/>
  <c r="F35" i="19" s="1"/>
  <c r="C26" i="19"/>
  <c r="F26" i="19" s="1"/>
  <c r="B26" i="19"/>
  <c r="E26" i="19" s="1"/>
  <c r="C23" i="19"/>
  <c r="F23" i="19" s="1"/>
  <c r="C21" i="19"/>
  <c r="F21" i="19" s="1"/>
  <c r="B23" i="19"/>
  <c r="E23" i="19" s="1"/>
  <c r="B21" i="19"/>
  <c r="E21" i="19" s="1"/>
  <c r="C36" i="19"/>
  <c r="F36" i="19" s="1"/>
  <c r="C32" i="19"/>
  <c r="F32" i="19" s="1"/>
  <c r="B36" i="19"/>
  <c r="E36" i="19" s="1"/>
  <c r="B32" i="19"/>
  <c r="E32" i="19" s="1"/>
  <c r="H34" i="19"/>
  <c r="H27" i="19"/>
  <c r="K27" i="19"/>
  <c r="J32" i="19" l="1"/>
  <c r="G32" i="19"/>
  <c r="G36" i="19"/>
  <c r="J36" i="19"/>
  <c r="K32" i="19"/>
  <c r="H32" i="19"/>
  <c r="J21" i="19"/>
  <c r="G21" i="19"/>
  <c r="K21" i="19"/>
  <c r="H21" i="19"/>
  <c r="K23" i="19"/>
  <c r="H23" i="19"/>
  <c r="J26" i="19"/>
  <c r="G26" i="19"/>
  <c r="J38" i="19"/>
  <c r="G38" i="19"/>
  <c r="K29" i="19"/>
  <c r="H29" i="19"/>
  <c r="K36" i="19"/>
  <c r="H36" i="19"/>
  <c r="G23" i="19"/>
  <c r="J23" i="19"/>
  <c r="H26" i="19"/>
  <c r="K26" i="19"/>
  <c r="H35" i="19"/>
  <c r="K35" i="19"/>
  <c r="K38" i="19"/>
  <c r="H38" i="19"/>
  <c r="J29" i="19"/>
  <c r="G29" i="19"/>
  <c r="F39" i="18" l="1"/>
  <c r="E39" i="18"/>
  <c r="C9" i="18" l="1"/>
  <c r="G9" i="18" l="1"/>
  <c r="G20" i="18"/>
  <c r="G39" i="18"/>
  <c r="J39" i="18"/>
  <c r="E33" i="18"/>
  <c r="J33" i="18" s="1"/>
  <c r="E31" i="18"/>
  <c r="G31" i="18" s="1"/>
  <c r="E30" i="18"/>
  <c r="J30" i="18" s="1"/>
  <c r="E28" i="18"/>
  <c r="G28" i="18" s="1"/>
  <c r="E34" i="18"/>
  <c r="G34" i="18" s="1"/>
  <c r="F34" i="18"/>
  <c r="E27" i="18"/>
  <c r="G27" i="18" s="1"/>
  <c r="F27" i="18"/>
  <c r="E22" i="18"/>
  <c r="G22" i="18" s="1"/>
  <c r="J19" i="18"/>
  <c r="J18" i="18"/>
  <c r="J20" i="18"/>
  <c r="G18" i="18"/>
  <c r="G33" i="18" l="1"/>
  <c r="J28" i="18"/>
  <c r="G30" i="18"/>
  <c r="J31" i="18"/>
  <c r="J27" i="18"/>
  <c r="J22" i="18"/>
  <c r="J34" i="18"/>
  <c r="C38" i="18" l="1"/>
  <c r="C21" i="18"/>
  <c r="B38" i="18"/>
  <c r="B21" i="18"/>
  <c r="D38" i="18"/>
  <c r="D26" i="18"/>
  <c r="D21" i="18"/>
  <c r="D23" i="18"/>
  <c r="D29" i="18"/>
  <c r="D32" i="18"/>
  <c r="D36" i="18"/>
  <c r="F38" i="18" l="1"/>
  <c r="H9" i="18"/>
  <c r="D9" i="18"/>
  <c r="H39" i="18" s="1"/>
  <c r="G35" i="18"/>
  <c r="J24" i="18"/>
  <c r="B23" i="18"/>
  <c r="E23" i="18" s="1"/>
  <c r="G24" i="18"/>
  <c r="J35" i="18"/>
  <c r="K39" i="18" l="1"/>
  <c r="I9" i="18"/>
  <c r="K18" i="18"/>
  <c r="H18" i="18"/>
  <c r="K27" i="18"/>
  <c r="H27" i="18"/>
  <c r="H34" i="18"/>
  <c r="K34" i="18"/>
  <c r="H20" i="18"/>
  <c r="K20" i="18"/>
  <c r="K24" i="18"/>
  <c r="C35" i="18"/>
  <c r="F35" i="18" s="1"/>
  <c r="H35" i="18" s="1"/>
  <c r="C29" i="18"/>
  <c r="F29" i="18" s="1"/>
  <c r="K29" i="18" s="1"/>
  <c r="K38" i="18"/>
  <c r="H38" i="18"/>
  <c r="F21" i="18"/>
  <c r="H24" i="18"/>
  <c r="C26" i="18"/>
  <c r="F26" i="18" s="1"/>
  <c r="K26" i="18" s="1"/>
  <c r="E38" i="18"/>
  <c r="C32" i="18"/>
  <c r="F32" i="18" s="1"/>
  <c r="K32" i="18" s="1"/>
  <c r="B36" i="18"/>
  <c r="E36" i="18" s="1"/>
  <c r="C23" i="18"/>
  <c r="F23" i="18" s="1"/>
  <c r="B26" i="18"/>
  <c r="E26" i="18" s="1"/>
  <c r="C36" i="18"/>
  <c r="F36" i="18" s="1"/>
  <c r="B32" i="18"/>
  <c r="E21" i="18"/>
  <c r="J21" i="18" s="1"/>
  <c r="B29" i="18"/>
  <c r="E29" i="18" s="1"/>
  <c r="J29" i="18" s="1"/>
  <c r="J23" i="18"/>
  <c r="G23" i="18"/>
  <c r="K35" i="18" l="1"/>
  <c r="E32" i="18"/>
  <c r="J32" i="18" s="1"/>
  <c r="H32" i="18"/>
  <c r="H29" i="18"/>
  <c r="H21" i="18"/>
  <c r="K21" i="18"/>
  <c r="H26" i="18"/>
  <c r="G38" i="18"/>
  <c r="J38" i="18"/>
  <c r="G21" i="18"/>
  <c r="G26" i="18"/>
  <c r="J26" i="18"/>
  <c r="H23" i="18"/>
  <c r="K23" i="18"/>
  <c r="G29" i="18"/>
  <c r="J36" i="18"/>
  <c r="G36" i="18"/>
  <c r="H36" i="18"/>
  <c r="K36" i="18"/>
  <c r="G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Kuntz, Richard L</author>
  </authors>
  <commentList>
    <comment ref="A6" authorId="0" shapeId="0" xr:uid="{F7CA16E0-7E23-408A-B155-4B208D273DE2}">
      <text>
        <r>
          <rPr>
            <b/>
            <sz val="9"/>
            <color indexed="81"/>
            <rFont val="Tahoma"/>
            <family val="2"/>
          </rPr>
          <t>Same value in the HWA but in CFS, not MGD</t>
        </r>
      </text>
    </comment>
    <comment ref="B6" authorId="0" shapeId="0" xr:uid="{7DE668CC-4789-4C01-B8D6-30E2F846B1F5}">
      <text>
        <r>
          <rPr>
            <b/>
            <sz val="9"/>
            <color indexed="81"/>
            <rFont val="Tahoma"/>
            <family val="2"/>
          </rPr>
          <t>Same value in the HWA but in CFS, not MGD</t>
        </r>
      </text>
    </comment>
    <comment ref="E6" authorId="0" shapeId="0" xr:uid="{AB56002B-B98A-498B-8DDD-5B534E0603C9}">
      <text>
        <r>
          <rPr>
            <b/>
            <sz val="9"/>
            <color indexed="81"/>
            <rFont val="Tahoma"/>
            <family val="2"/>
          </rPr>
          <t>Use same value that is in the HWA</t>
        </r>
        <r>
          <rPr>
            <sz val="9"/>
            <color indexed="81"/>
            <rFont val="Tahoma"/>
            <family val="2"/>
          </rPr>
          <t xml:space="preserve">
</t>
        </r>
      </text>
    </comment>
    <comment ref="J6" authorId="0" shapeId="0" xr:uid="{2EC785D9-72D3-4A4D-96C3-3B0BE3F3BC2A}">
      <text>
        <r>
          <rPr>
            <b/>
            <sz val="9"/>
            <color indexed="81"/>
            <rFont val="Tahoma"/>
            <family val="2"/>
          </rPr>
          <t>If there is no site specific hardness data, use a literature value of 25 mg/l</t>
        </r>
        <r>
          <rPr>
            <sz val="9"/>
            <color indexed="81"/>
            <rFont val="Tahoma"/>
            <family val="2"/>
          </rPr>
          <t xml:space="preserve">
</t>
        </r>
      </text>
    </comment>
    <comment ref="K6" authorId="0" shapeId="0" xr:uid="{B756BAEA-FC87-41A6-AC82-BCB21FB5C1CE}">
      <text>
        <r>
          <rPr>
            <b/>
            <sz val="9"/>
            <color indexed="81"/>
            <rFont val="Tahoma"/>
            <family val="2"/>
          </rPr>
          <t>If there is no site specific hardness data, use a literature value of 25 mg/l</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Kuntz, Richard L</author>
  </authors>
  <commentList>
    <comment ref="A6" authorId="0" shapeId="0" xr:uid="{E3B41B74-9032-415D-9AE1-E6D25DA1694A}">
      <text>
        <r>
          <rPr>
            <b/>
            <sz val="9"/>
            <color indexed="81"/>
            <rFont val="Tahoma"/>
            <family val="2"/>
          </rPr>
          <t>Same value in the HWA but in CFS, not MGD</t>
        </r>
      </text>
    </comment>
    <comment ref="B6" authorId="0" shapeId="0" xr:uid="{12F807C0-B3C5-426A-9DBB-12BE4FCE45B0}">
      <text>
        <r>
          <rPr>
            <b/>
            <sz val="9"/>
            <color indexed="81"/>
            <rFont val="Tahoma"/>
            <family val="2"/>
          </rPr>
          <t>Same value in the HWA but in CFS, not MGD</t>
        </r>
      </text>
    </comment>
    <comment ref="E6" authorId="0" shapeId="0" xr:uid="{6446B7A0-1025-4F29-B418-40DC79DD6A59}">
      <text>
        <r>
          <rPr>
            <b/>
            <sz val="9"/>
            <color indexed="81"/>
            <rFont val="Tahoma"/>
            <family val="2"/>
          </rPr>
          <t>Use same value that is in the HWA</t>
        </r>
        <r>
          <rPr>
            <sz val="9"/>
            <color indexed="81"/>
            <rFont val="Tahoma"/>
            <family val="2"/>
          </rPr>
          <t xml:space="preserve">
</t>
        </r>
      </text>
    </comment>
    <comment ref="J6" authorId="0" shapeId="0" xr:uid="{9DCBE1E9-2BB9-4BA8-ADF0-9AEDAAE72E05}">
      <text>
        <r>
          <rPr>
            <b/>
            <sz val="9"/>
            <color indexed="81"/>
            <rFont val="Tahoma"/>
            <family val="2"/>
          </rPr>
          <t>If there is no site specific hardness data, use a literature value of 25 mg/l</t>
        </r>
        <r>
          <rPr>
            <sz val="9"/>
            <color indexed="81"/>
            <rFont val="Tahoma"/>
            <family val="2"/>
          </rPr>
          <t xml:space="preserve">
</t>
        </r>
      </text>
    </comment>
    <comment ref="K6" authorId="0" shapeId="0" xr:uid="{B8C0E6D0-B124-462C-A2F5-DEF83E286449}">
      <text>
        <r>
          <rPr>
            <b/>
            <sz val="9"/>
            <color indexed="81"/>
            <rFont val="Tahoma"/>
            <family val="2"/>
          </rPr>
          <t>If there is no site specific hardness data, use a literature value of 25 mg/l</t>
        </r>
        <r>
          <rPr>
            <sz val="9"/>
            <color indexed="81"/>
            <rFont val="Tahoma"/>
            <family val="2"/>
          </rPr>
          <t xml:space="preserve">
</t>
        </r>
      </text>
    </comment>
  </commentList>
</comments>
</file>

<file path=xl/sharedStrings.xml><?xml version="1.0" encoding="utf-8"?>
<sst xmlns="http://schemas.openxmlformats.org/spreadsheetml/2006/main" count="206" uniqueCount="58">
  <si>
    <r>
      <t>Calculator: Estimate NPDES Permit Limitations based on the Dissolved Water Quality Standards and</t>
    </r>
    <r>
      <rPr>
        <b/>
        <u/>
        <sz val="18"/>
        <rFont val="Arial"/>
        <family val="2"/>
      </rPr>
      <t xml:space="preserve"> Stream &amp; Effluent Hardness</t>
    </r>
  </si>
  <si>
    <t>FACILITY:</t>
  </si>
  <si>
    <t>PERMIT #:</t>
  </si>
  <si>
    <t xml:space="preserve">DATE: </t>
  </si>
  <si>
    <t>CALC BY:</t>
  </si>
  <si>
    <t xml:space="preserve"> </t>
  </si>
  <si>
    <t>Receiving Stream summer 7Q10 (CFS)</t>
  </si>
  <si>
    <t>Receiving Stream summer 7Q10 (MGD)</t>
  </si>
  <si>
    <t>Rec. Stream</t>
  </si>
  <si>
    <t>Total Suspended Solids (mg/L)</t>
  </si>
  <si>
    <t>Total Hardness (CaCO3, mg/L)</t>
  </si>
  <si>
    <r>
      <rPr>
        <b/>
        <sz val="9"/>
        <color indexed="17"/>
        <rFont val="Arial"/>
        <family val="2"/>
      </rPr>
      <t>IWC</t>
    </r>
    <r>
      <rPr>
        <sz val="9"/>
        <rFont val="Arial"/>
        <family val="2"/>
      </rPr>
      <t xml:space="preserve"> - Instream Wastewater Concentration (Chronic)</t>
    </r>
  </si>
  <si>
    <r>
      <rPr>
        <b/>
        <sz val="9"/>
        <color indexed="17"/>
        <rFont val="Arial"/>
        <family val="2"/>
      </rPr>
      <t>IWC</t>
    </r>
    <r>
      <rPr>
        <sz val="9"/>
        <rFont val="Arial"/>
        <family val="2"/>
      </rPr>
      <t xml:space="preserve"> - Instream Wastewater Concentration (Acute)</t>
    </r>
  </si>
  <si>
    <t>Average Upstream Hardness</t>
  </si>
  <si>
    <t xml:space="preserve">Average Effluent Hardness  </t>
  </si>
  <si>
    <t>1Q10</t>
  </si>
  <si>
    <t>[MGD]</t>
  </si>
  <si>
    <t>Class C, C-NSW, C-Swamp, and B streams</t>
  </si>
  <si>
    <t>HQW streams</t>
  </si>
  <si>
    <r>
      <t xml:space="preserve">Dissolved Water Quality Criteria  </t>
    </r>
    <r>
      <rPr>
        <b/>
        <sz val="9"/>
        <color indexed="12"/>
        <rFont val="Arial"/>
        <family val="2"/>
      </rPr>
      <t>(function of total hardness)</t>
    </r>
  </si>
  <si>
    <r>
      <rPr>
        <b/>
        <sz val="10"/>
        <rFont val="Arial"/>
        <family val="2"/>
      </rPr>
      <t>Translators</t>
    </r>
    <r>
      <rPr>
        <sz val="10"/>
        <rFont val="Arial"/>
        <family val="2"/>
      </rPr>
      <t>- using EPA Default Partition Coefficients (streams)</t>
    </r>
  </si>
  <si>
    <t>Chronic</t>
  </si>
  <si>
    <t>Acute</t>
  </si>
  <si>
    <t>PARAMETER*</t>
  </si>
  <si>
    <t>[ug/l]</t>
  </si>
  <si>
    <t>Arsenic</t>
  </si>
  <si>
    <t>Arsenic (HH / WS)</t>
  </si>
  <si>
    <t>N/A</t>
  </si>
  <si>
    <t xml:space="preserve">Beryllium </t>
  </si>
  <si>
    <t xml:space="preserve">Cadmium (a) </t>
  </si>
  <si>
    <t>Chlorides (WS)</t>
  </si>
  <si>
    <t>Chromium III (a)</t>
  </si>
  <si>
    <t>Chromium VI</t>
  </si>
  <si>
    <t>Chromium, Total</t>
  </si>
  <si>
    <t>Copper (a)</t>
  </si>
  <si>
    <t>Cyanide</t>
  </si>
  <si>
    <t>Flouride</t>
  </si>
  <si>
    <t>Lead (a)</t>
  </si>
  <si>
    <t>Mercury</t>
  </si>
  <si>
    <t>Molybdenum (WS)</t>
  </si>
  <si>
    <t>Nickel (a)**</t>
  </si>
  <si>
    <t>Nickel (WS)</t>
  </si>
  <si>
    <t>Silver (a)</t>
  </si>
  <si>
    <t>Zinc (a)</t>
  </si>
  <si>
    <r>
      <t>Cadmium</t>
    </r>
    <r>
      <rPr>
        <b/>
        <sz val="10"/>
        <rFont val="Arial"/>
        <family val="2"/>
      </rPr>
      <t>(trout streams)</t>
    </r>
  </si>
  <si>
    <r>
      <t>Selenium</t>
    </r>
    <r>
      <rPr>
        <b/>
        <sz val="10"/>
        <rFont val="Arial"/>
        <family val="2"/>
      </rPr>
      <t xml:space="preserve"> (lentic streams))</t>
    </r>
  </si>
  <si>
    <t>Average Stream Flow (CFS)</t>
  </si>
  <si>
    <t>NPDES Flow Limit [MGD]</t>
  </si>
  <si>
    <r>
      <rPr>
        <b/>
        <sz val="10"/>
        <color indexed="60"/>
        <rFont val="Arial Narrow"/>
        <family val="2"/>
      </rPr>
      <t xml:space="preserve">Total Metal </t>
    </r>
    <r>
      <rPr>
        <sz val="10"/>
        <color indexed="60"/>
        <rFont val="Arial Narrow"/>
        <family val="2"/>
      </rPr>
      <t xml:space="preserve">                    (allocated to permittee) </t>
    </r>
    <r>
      <rPr>
        <sz val="9"/>
        <color indexed="12"/>
        <rFont val="Arial Narrow"/>
        <family val="2"/>
      </rPr>
      <t>Diss. Metal</t>
    </r>
    <r>
      <rPr>
        <sz val="9"/>
        <color indexed="60"/>
        <rFont val="Arial Narrow"/>
        <family val="2"/>
      </rPr>
      <t xml:space="preserve"> ÷ Translator</t>
    </r>
  </si>
  <si>
    <t>Typicalville</t>
  </si>
  <si>
    <t xml:space="preserve">Example  </t>
  </si>
  <si>
    <r>
      <rPr>
        <b/>
        <sz val="10"/>
        <color rgb="FFC00000"/>
        <rFont val="Arial"/>
        <family val="2"/>
      </rPr>
      <t xml:space="preserve">Estimated NPDES           Permit Limits   </t>
    </r>
    <r>
      <rPr>
        <b/>
        <sz val="10"/>
        <color theme="1"/>
        <rFont val="Arial"/>
        <family val="2"/>
      </rPr>
      <t xml:space="preserve">                  [Total Metal </t>
    </r>
    <r>
      <rPr>
        <b/>
        <sz val="10"/>
        <color theme="1"/>
        <rFont val="Calibri"/>
        <family val="2"/>
      </rPr>
      <t xml:space="preserve">÷ </t>
    </r>
    <r>
      <rPr>
        <b/>
        <sz val="10"/>
        <color rgb="FF2F8000"/>
        <rFont val="Calibri"/>
        <family val="2"/>
      </rPr>
      <t>IWC</t>
    </r>
    <r>
      <rPr>
        <b/>
        <sz val="10"/>
        <color theme="1"/>
        <rFont val="Calibri"/>
        <family val="2"/>
      </rPr>
      <t>]</t>
    </r>
  </si>
  <si>
    <r>
      <rPr>
        <b/>
        <sz val="10"/>
        <color rgb="FFC00000"/>
        <rFont val="Arial"/>
        <family val="2"/>
      </rPr>
      <t xml:space="preserve">Estimated NPDES           Permit Limits  </t>
    </r>
    <r>
      <rPr>
        <b/>
        <sz val="10"/>
        <color theme="1"/>
        <rFont val="Arial"/>
        <family val="2"/>
      </rPr>
      <t xml:space="preserve">                 [Total Metal ÷ </t>
    </r>
    <r>
      <rPr>
        <b/>
        <sz val="10"/>
        <color rgb="FF2F8000"/>
        <rFont val="Arial"/>
        <family val="2"/>
      </rPr>
      <t>IWC</t>
    </r>
    <r>
      <rPr>
        <b/>
        <sz val="10"/>
        <color theme="1"/>
        <rFont val="Arial"/>
        <family val="2"/>
      </rPr>
      <t>]</t>
    </r>
  </si>
  <si>
    <r>
      <t xml:space="preserve">Estimated NPDES           Permit Limits                     [Total Metal </t>
    </r>
    <r>
      <rPr>
        <b/>
        <sz val="10"/>
        <color rgb="FF4A4A4A"/>
        <rFont val="Calibri"/>
        <family val="2"/>
      </rPr>
      <t xml:space="preserve">÷ </t>
    </r>
    <r>
      <rPr>
        <b/>
        <sz val="10"/>
        <color rgb="FF2F8000"/>
        <rFont val="Calibri"/>
        <family val="2"/>
      </rPr>
      <t>IWC</t>
    </r>
    <r>
      <rPr>
        <b/>
        <sz val="10"/>
        <color rgb="FF4A4A4A"/>
        <rFont val="Calibri"/>
        <family val="2"/>
      </rPr>
      <t>]</t>
    </r>
  </si>
  <si>
    <r>
      <t xml:space="preserve">Estimated NPDES           Permit Limits                   [Total Metal ÷ </t>
    </r>
    <r>
      <rPr>
        <b/>
        <sz val="10"/>
        <color rgb="FF2F8000"/>
        <rFont val="Arial"/>
        <family val="2"/>
      </rPr>
      <t>IWC</t>
    </r>
    <r>
      <rPr>
        <b/>
        <sz val="10"/>
        <color rgb="FF4A4A4A"/>
        <rFont val="Arial"/>
        <family val="2"/>
      </rPr>
      <t>]</t>
    </r>
  </si>
  <si>
    <t>NC0000000</t>
  </si>
  <si>
    <t>DWR</t>
  </si>
  <si>
    <r>
      <t>Selenium</t>
    </r>
    <r>
      <rPr>
        <b/>
        <sz val="10"/>
        <rFont val="Arial"/>
        <family val="2"/>
      </rPr>
      <t xml:space="preserve"> (lotic streams)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</si>
</sst>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000"/>
    <numFmt numFmtId="167" formatCode="0.000000"/>
    <numFmt numFmtId="168" formatCode="0.0000000"/>
  </numFmts>
  <fonts count="39" x14ac:knownFonts="1">
    <font>
      <sz val="12"/>
      <name val="Arial"/>
    </font>
    <font>
      <b/>
      <sz val="12"/>
      <name val="Arial"/>
      <family val="2"/>
    </font>
    <font>
      <sz val="12"/>
      <name val="Arial"/>
      <family val="2"/>
    </font>
    <font>
      <sz val="10"/>
      <name val="Arial"/>
      <family val="2"/>
    </font>
    <font>
      <b/>
      <sz val="18"/>
      <name val="Arial"/>
      <family val="2"/>
    </font>
    <font>
      <b/>
      <sz val="10"/>
      <name val="Arial"/>
      <family val="2"/>
    </font>
    <font>
      <sz val="9"/>
      <name val="Arial"/>
      <family val="2"/>
    </font>
    <font>
      <sz val="11"/>
      <name val="Arial"/>
      <family val="2"/>
    </font>
    <font>
      <sz val="10"/>
      <color indexed="60"/>
      <name val="Arial Narrow"/>
      <family val="2"/>
    </font>
    <font>
      <b/>
      <u/>
      <sz val="18"/>
      <name val="Arial"/>
      <family val="2"/>
    </font>
    <font>
      <b/>
      <sz val="9"/>
      <color indexed="12"/>
      <name val="Arial"/>
      <family val="2"/>
    </font>
    <font>
      <sz val="9"/>
      <color indexed="12"/>
      <name val="Arial Narrow"/>
      <family val="2"/>
    </font>
    <font>
      <b/>
      <sz val="10"/>
      <color indexed="60"/>
      <name val="Arial Narrow"/>
      <family val="2"/>
    </font>
    <font>
      <sz val="9"/>
      <color indexed="60"/>
      <name val="Arial Narrow"/>
      <family val="2"/>
    </font>
    <font>
      <b/>
      <sz val="9"/>
      <color indexed="17"/>
      <name val="Arial"/>
      <family val="2"/>
    </font>
    <font>
      <sz val="12"/>
      <name val="Cambria"/>
      <family val="1"/>
      <scheme val="major"/>
    </font>
    <font>
      <b/>
      <sz val="12"/>
      <color rgb="FFFF0000"/>
      <name val="Arial"/>
      <family val="2"/>
    </font>
    <font>
      <sz val="10"/>
      <color rgb="FF0000FF"/>
      <name val="Arial"/>
      <family val="2"/>
    </font>
    <font>
      <sz val="12"/>
      <color rgb="FF0000FF"/>
      <name val="Arial"/>
      <family val="2"/>
    </font>
    <font>
      <sz val="10"/>
      <color theme="9" tint="-0.499984740745262"/>
      <name val="Arial"/>
      <family val="2"/>
    </font>
    <font>
      <sz val="12"/>
      <color theme="9" tint="-0.499984740745262"/>
      <name val="Arial"/>
      <family val="2"/>
    </font>
    <font>
      <sz val="12"/>
      <color theme="1"/>
      <name val="Arial"/>
      <family val="2"/>
    </font>
    <font>
      <b/>
      <sz val="12"/>
      <color rgb="FF008000"/>
      <name val="Arial"/>
      <family val="2"/>
    </font>
    <font>
      <b/>
      <sz val="10"/>
      <color rgb="FF0000FF"/>
      <name val="Arial"/>
      <family val="2"/>
    </font>
    <font>
      <sz val="10"/>
      <color theme="9" tint="-0.499984740745262"/>
      <name val="Arial Narrow"/>
      <family val="2"/>
    </font>
    <font>
      <sz val="9"/>
      <color indexed="81"/>
      <name val="Tahoma"/>
      <family val="2"/>
    </font>
    <font>
      <b/>
      <sz val="9"/>
      <color indexed="81"/>
      <name val="Tahoma"/>
      <family val="2"/>
    </font>
    <font>
      <b/>
      <sz val="26"/>
      <color rgb="FFFF0000"/>
      <name val="Arial"/>
      <family val="2"/>
    </font>
    <font>
      <sz val="10"/>
      <color rgb="FF980000"/>
      <name val="Arial"/>
      <family val="2"/>
    </font>
    <font>
      <b/>
      <sz val="10"/>
      <color rgb="FF4A4A4A"/>
      <name val="Arial"/>
      <family val="2"/>
    </font>
    <font>
      <b/>
      <sz val="10"/>
      <color rgb="FF4A4A4A"/>
      <name val="Calibri"/>
      <family val="2"/>
    </font>
    <font>
      <sz val="10"/>
      <color rgb="FF181818"/>
      <name val="Arial"/>
      <family val="2"/>
    </font>
    <font>
      <b/>
      <sz val="10"/>
      <color theme="1"/>
      <name val="Arial"/>
      <family val="2"/>
    </font>
    <font>
      <b/>
      <sz val="10"/>
      <color theme="1"/>
      <name val="Calibri"/>
      <family val="2"/>
    </font>
    <font>
      <b/>
      <sz val="12"/>
      <color rgb="FFC00000"/>
      <name val="Arial"/>
      <family val="2"/>
    </font>
    <font>
      <sz val="12"/>
      <color rgb="FFC00000"/>
      <name val="Arial"/>
      <family val="2"/>
    </font>
    <font>
      <b/>
      <sz val="10"/>
      <color rgb="FFC00000"/>
      <name val="Arial"/>
      <family val="2"/>
    </font>
    <font>
      <b/>
      <sz val="10"/>
      <color rgb="FF2F8000"/>
      <name val="Calibri"/>
      <family val="2"/>
    </font>
    <font>
      <b/>
      <sz val="10"/>
      <color rgb="FF2F8000"/>
      <name val="Arial"/>
      <family val="2"/>
    </font>
  </fonts>
  <fills count="8">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111">
    <border>
      <left/>
      <right/>
      <top/>
      <bottom/>
      <diagonal/>
    </border>
    <border>
      <left style="thick">
        <color indexed="56"/>
      </left>
      <right style="thick">
        <color indexed="56"/>
      </right>
      <top style="thick">
        <color indexed="56"/>
      </top>
      <bottom style="thick">
        <color indexed="56"/>
      </bottom>
      <diagonal/>
    </border>
    <border>
      <left style="thick">
        <color indexed="56"/>
      </left>
      <right/>
      <top style="thick">
        <color indexed="56"/>
      </top>
      <bottom style="thick">
        <color indexed="56"/>
      </bottom>
      <diagonal/>
    </border>
    <border>
      <left style="thick">
        <color indexed="56"/>
      </left>
      <right/>
      <top/>
      <bottom/>
      <diagonal/>
    </border>
    <border>
      <left/>
      <right style="double">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double">
        <color indexed="64"/>
      </left>
      <right style="double">
        <color indexed="64"/>
      </right>
      <top/>
      <bottom style="double">
        <color indexed="64"/>
      </bottom>
      <diagonal/>
    </border>
    <border>
      <left/>
      <right/>
      <top style="thin">
        <color theme="0"/>
      </top>
      <bottom/>
      <diagonal/>
    </border>
    <border>
      <left/>
      <right/>
      <top style="thin">
        <color theme="0"/>
      </top>
      <bottom style="thin">
        <color theme="0"/>
      </bottom>
      <diagonal/>
    </border>
    <border>
      <left style="medium">
        <color rgb="FF0000FF"/>
      </left>
      <right style="thick">
        <color indexed="56"/>
      </right>
      <top/>
      <bottom/>
      <diagonal/>
    </border>
    <border>
      <left/>
      <right/>
      <top/>
      <bottom style="medium">
        <color rgb="FF0000FF"/>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style="thick">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ck">
        <color theme="0"/>
      </left>
      <right style="thick">
        <color theme="0"/>
      </right>
      <top style="thick">
        <color rgb="FF3333FF"/>
      </top>
      <bottom style="thick">
        <color theme="0"/>
      </bottom>
      <diagonal/>
    </border>
    <border>
      <left/>
      <right/>
      <top style="thick">
        <color rgb="FF3333FF"/>
      </top>
      <bottom/>
      <diagonal/>
    </border>
    <border>
      <left style="thick">
        <color rgb="FF3333FF"/>
      </left>
      <right style="thick">
        <color rgb="FF3333FF"/>
      </right>
      <top style="thick">
        <color rgb="FF3333FF"/>
      </top>
      <bottom style="thick">
        <color rgb="FF3333FF"/>
      </bottom>
      <diagonal/>
    </border>
    <border>
      <left style="thick">
        <color theme="0"/>
      </left>
      <right style="thick">
        <color theme="0"/>
      </right>
      <top/>
      <bottom style="thick">
        <color theme="0"/>
      </bottom>
      <diagonal/>
    </border>
    <border>
      <left style="double">
        <color indexed="64"/>
      </left>
      <right style="double">
        <color theme="1"/>
      </right>
      <top style="double">
        <color indexed="64"/>
      </top>
      <bottom/>
      <diagonal/>
    </border>
    <border>
      <left style="double">
        <color indexed="64"/>
      </left>
      <right style="double">
        <color theme="1"/>
      </right>
      <top/>
      <bottom/>
      <diagonal/>
    </border>
    <border>
      <left style="double">
        <color indexed="64"/>
      </left>
      <right style="double">
        <color theme="1"/>
      </right>
      <top/>
      <bottom style="double">
        <color indexed="64"/>
      </bottom>
      <diagonal/>
    </border>
    <border>
      <left style="double">
        <color indexed="64"/>
      </left>
      <right style="double">
        <color indexed="64"/>
      </right>
      <top/>
      <bottom style="thick">
        <color rgb="FF3333FF"/>
      </bottom>
      <diagonal/>
    </border>
    <border>
      <left style="thick">
        <color rgb="FF3333FF"/>
      </left>
      <right style="double">
        <color auto="1"/>
      </right>
      <top style="double">
        <color auto="1"/>
      </top>
      <bottom style="double">
        <color auto="1"/>
      </bottom>
      <diagonal/>
    </border>
    <border>
      <left/>
      <right style="double">
        <color indexed="64"/>
      </right>
      <top style="double">
        <color indexed="64"/>
      </top>
      <bottom/>
      <diagonal/>
    </border>
    <border>
      <left/>
      <right style="thick">
        <color rgb="FF3333FF"/>
      </right>
      <top style="thick">
        <color rgb="FF3333FF"/>
      </top>
      <bottom style="thick">
        <color rgb="FF3333FF"/>
      </bottom>
      <diagonal/>
    </border>
    <border>
      <left style="thick">
        <color rgb="FF0070C0"/>
      </left>
      <right style="thick">
        <color rgb="FF3333FF"/>
      </right>
      <top style="thick">
        <color rgb="FF3333FF"/>
      </top>
      <bottom style="thick">
        <color rgb="FF3333FF"/>
      </bottom>
      <diagonal/>
    </border>
    <border>
      <left/>
      <right/>
      <top style="thin">
        <color indexed="64"/>
      </top>
      <bottom/>
      <diagonal/>
    </border>
    <border>
      <left/>
      <right/>
      <top style="hair">
        <color theme="1"/>
      </top>
      <bottom style="hair">
        <color theme="1"/>
      </bottom>
      <diagonal/>
    </border>
    <border>
      <left/>
      <right/>
      <top/>
      <bottom style="thick">
        <color indexed="64"/>
      </bottom>
      <diagonal/>
    </border>
    <border>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hair">
        <color theme="1"/>
      </left>
      <right style="thick">
        <color indexed="64"/>
      </right>
      <top style="hair">
        <color theme="1"/>
      </top>
      <bottom style="hair">
        <color theme="1"/>
      </bottom>
      <diagonal/>
    </border>
    <border>
      <left/>
      <right style="thick">
        <color indexed="64"/>
      </right>
      <top style="medium">
        <color theme="1"/>
      </top>
      <bottom/>
      <diagonal/>
    </border>
    <border>
      <left/>
      <right style="thick">
        <color indexed="64"/>
      </right>
      <top/>
      <bottom style="thin">
        <color indexed="64"/>
      </bottom>
      <diagonal/>
    </border>
    <border>
      <left style="thick">
        <color indexed="64"/>
      </left>
      <right/>
      <top/>
      <bottom style="thick">
        <color indexed="64"/>
      </bottom>
      <diagonal/>
    </border>
    <border>
      <left style="thick">
        <color indexed="64"/>
      </left>
      <right style="thick">
        <color indexed="64"/>
      </right>
      <top/>
      <bottom/>
      <diagonal/>
    </border>
    <border>
      <left/>
      <right style="thin">
        <color indexed="64"/>
      </right>
      <top style="thin">
        <color indexed="64"/>
      </top>
      <bottom/>
      <diagonal/>
    </border>
    <border>
      <left/>
      <right style="hair">
        <color theme="1"/>
      </right>
      <top style="hair">
        <color theme="1"/>
      </top>
      <bottom style="hair">
        <color theme="1"/>
      </bottom>
      <diagonal/>
    </border>
    <border>
      <left/>
      <right/>
      <top/>
      <bottom style="thin">
        <color indexed="64"/>
      </bottom>
      <diagonal/>
    </border>
    <border>
      <left style="thick">
        <color indexed="64"/>
      </left>
      <right style="thick">
        <color indexed="64"/>
      </right>
      <top style="medium">
        <color theme="1"/>
      </top>
      <bottom/>
      <diagonal/>
    </border>
    <border>
      <left style="thick">
        <color indexed="64"/>
      </left>
      <right style="thick">
        <color indexed="64"/>
      </right>
      <top style="hair">
        <color theme="1"/>
      </top>
      <bottom style="hair">
        <color theme="1"/>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n">
        <color theme="1"/>
      </left>
      <right style="thick">
        <color indexed="64"/>
      </right>
      <top style="thin">
        <color theme="1"/>
      </top>
      <bottom style="thin">
        <color indexed="64"/>
      </bottom>
      <diagonal/>
    </border>
    <border>
      <left/>
      <right style="thick">
        <color indexed="64"/>
      </right>
      <top style="thin">
        <color indexed="64"/>
      </top>
      <bottom/>
      <diagonal/>
    </border>
    <border>
      <left style="thin">
        <color indexed="64"/>
      </left>
      <right style="thick">
        <color indexed="64"/>
      </right>
      <top style="hair">
        <color theme="1"/>
      </top>
      <bottom style="hair">
        <color theme="1"/>
      </bottom>
      <diagonal/>
    </border>
    <border>
      <left/>
      <right style="thick">
        <color indexed="64"/>
      </right>
      <top style="hair">
        <color theme="1"/>
      </top>
      <bottom style="hair">
        <color theme="1"/>
      </bottom>
      <diagonal/>
    </border>
    <border>
      <left/>
      <right style="thick">
        <color indexed="64"/>
      </right>
      <top/>
      <bottom style="thin">
        <color theme="1"/>
      </bottom>
      <diagonal/>
    </border>
    <border>
      <left style="thick">
        <color indexed="64"/>
      </left>
      <right/>
      <top style="medium">
        <color theme="1"/>
      </top>
      <bottom/>
      <diagonal/>
    </border>
    <border>
      <left style="thick">
        <color indexed="64"/>
      </left>
      <right/>
      <top/>
      <bottom/>
      <diagonal/>
    </border>
    <border>
      <left style="thick">
        <color indexed="64"/>
      </left>
      <right style="thick">
        <color indexed="64"/>
      </right>
      <top style="thick">
        <color indexed="64"/>
      </top>
      <bottom style="medium">
        <color theme="1"/>
      </bottom>
      <diagonal/>
    </border>
    <border>
      <left style="thick">
        <color indexed="64"/>
      </left>
      <right/>
      <top style="thick">
        <color indexed="64"/>
      </top>
      <bottom/>
      <diagonal/>
    </border>
    <border>
      <left/>
      <right style="thick">
        <color indexed="64"/>
      </right>
      <top/>
      <bottom style="thick">
        <color indexed="64"/>
      </bottom>
      <diagonal/>
    </border>
    <border>
      <left style="thick">
        <color indexed="64"/>
      </left>
      <right style="thick">
        <color indexed="64"/>
      </right>
      <top/>
      <bottom style="thin">
        <color theme="0"/>
      </bottom>
      <diagonal/>
    </border>
    <border>
      <left style="thick">
        <color indexed="64"/>
      </left>
      <right style="thick">
        <color indexed="64"/>
      </right>
      <top style="thin">
        <color theme="0"/>
      </top>
      <bottom style="thick">
        <color theme="0"/>
      </bottom>
      <diagonal/>
    </border>
    <border>
      <left style="thick">
        <color indexed="64"/>
      </left>
      <right style="thick">
        <color indexed="64"/>
      </right>
      <top style="thin">
        <color theme="0"/>
      </top>
      <bottom style="thin">
        <color theme="0"/>
      </bottom>
      <diagonal/>
    </border>
    <border>
      <left style="thick">
        <color indexed="64"/>
      </left>
      <right style="thick">
        <color indexed="64"/>
      </right>
      <top style="thin">
        <color theme="0"/>
      </top>
      <bottom/>
      <diagonal/>
    </border>
    <border>
      <left style="thick">
        <color theme="0"/>
      </left>
      <right/>
      <top style="thick">
        <color theme="0"/>
      </top>
      <bottom style="thick">
        <color indexed="64"/>
      </bottom>
      <diagonal/>
    </border>
    <border>
      <left/>
      <right style="thick">
        <color theme="0"/>
      </right>
      <top style="thick">
        <color theme="0"/>
      </top>
      <bottom style="thick">
        <color indexed="64"/>
      </bottom>
      <diagonal/>
    </border>
    <border>
      <left style="thick">
        <color indexed="64"/>
      </left>
      <right style="thin">
        <color theme="1"/>
      </right>
      <top style="thick">
        <color indexed="64"/>
      </top>
      <bottom style="thick">
        <color indexed="64"/>
      </bottom>
      <diagonal/>
    </border>
    <border>
      <left style="thin">
        <color theme="1"/>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hair">
        <color theme="1"/>
      </right>
      <top style="hair">
        <color indexed="64"/>
      </top>
      <bottom style="hair">
        <color indexed="64"/>
      </bottom>
      <diagonal/>
    </border>
    <border>
      <left style="hair">
        <color theme="1"/>
      </left>
      <right style="thick">
        <color indexed="64"/>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theme="1"/>
      </top>
      <bottom style="hair">
        <color indexed="64"/>
      </bottom>
      <diagonal/>
    </border>
    <border>
      <left style="thick">
        <color indexed="64"/>
      </left>
      <right style="hair">
        <color theme="1"/>
      </right>
      <top style="hair">
        <color theme="1"/>
      </top>
      <bottom style="hair">
        <color indexed="64"/>
      </bottom>
      <diagonal/>
    </border>
    <border>
      <left style="hair">
        <color theme="1"/>
      </left>
      <right style="thick">
        <color indexed="64"/>
      </right>
      <top style="hair">
        <color theme="1"/>
      </top>
      <bottom style="hair">
        <color indexed="64"/>
      </bottom>
      <diagonal/>
    </border>
    <border>
      <left/>
      <right/>
      <top style="hair">
        <color theme="1"/>
      </top>
      <bottom style="hair">
        <color indexed="64"/>
      </bottom>
      <diagonal/>
    </border>
    <border>
      <left/>
      <right style="thick">
        <color indexed="64"/>
      </right>
      <top style="hair">
        <color theme="1"/>
      </top>
      <bottom style="hair">
        <color indexed="64"/>
      </bottom>
      <diagonal/>
    </border>
    <border>
      <left/>
      <right style="hair">
        <color theme="1"/>
      </right>
      <top style="hair">
        <color theme="1"/>
      </top>
      <bottom style="hair">
        <color indexed="64"/>
      </bottom>
      <diagonal/>
    </border>
    <border>
      <left style="thick">
        <color indexed="64"/>
      </left>
      <right style="hair">
        <color indexed="64"/>
      </right>
      <top style="hair">
        <color indexed="64"/>
      </top>
      <bottom style="hair">
        <color indexed="64"/>
      </bottom>
      <diagonal/>
    </border>
    <border>
      <left style="thick">
        <color indexed="64"/>
      </left>
      <right style="hair">
        <color indexed="64"/>
      </right>
      <top style="hair">
        <color theme="1"/>
      </top>
      <bottom style="hair">
        <color indexed="64"/>
      </bottom>
      <diagonal/>
    </border>
    <border>
      <left/>
      <right style="hair">
        <color indexed="64"/>
      </right>
      <top style="hair">
        <color indexed="64"/>
      </top>
      <bottom style="hair">
        <color indexed="64"/>
      </bottom>
      <diagonal/>
    </border>
    <border>
      <left style="thick">
        <color rgb="FFFFFF00"/>
      </left>
      <right style="thick">
        <color rgb="FFFFFF00"/>
      </right>
      <top style="thick">
        <color rgb="FFFFFF00"/>
      </top>
      <bottom style="thin">
        <color indexed="64"/>
      </bottom>
      <diagonal/>
    </border>
    <border>
      <left style="thick">
        <color rgb="FFFFFF00"/>
      </left>
      <right style="thick">
        <color rgb="FFFFFF00"/>
      </right>
      <top style="thin">
        <color indexed="64"/>
      </top>
      <bottom/>
      <diagonal/>
    </border>
    <border>
      <left style="thick">
        <color rgb="FFFFFF00"/>
      </left>
      <right style="thick">
        <color rgb="FFFFFF00"/>
      </right>
      <top style="hair">
        <color theme="1"/>
      </top>
      <bottom style="hair">
        <color theme="1"/>
      </bottom>
      <diagonal/>
    </border>
    <border>
      <left style="thick">
        <color rgb="FFFFFF00"/>
      </left>
      <right style="thick">
        <color rgb="FFFFFF00"/>
      </right>
      <top style="hair">
        <color theme="1"/>
      </top>
      <bottom style="hair">
        <color indexed="64"/>
      </bottom>
      <diagonal/>
    </border>
    <border>
      <left style="thick">
        <color rgb="FFFFFF00"/>
      </left>
      <right style="thick">
        <color rgb="FFFFFF00"/>
      </right>
      <top style="hair">
        <color indexed="64"/>
      </top>
      <bottom style="hair">
        <color indexed="64"/>
      </bottom>
      <diagonal/>
    </border>
    <border>
      <left style="thick">
        <color indexed="56"/>
      </left>
      <right/>
      <top style="medium">
        <color rgb="FF0000FF"/>
      </top>
      <bottom style="medium">
        <color rgb="FF0000FF"/>
      </bottom>
      <diagonal/>
    </border>
    <border>
      <left/>
      <right style="medium">
        <color rgb="FF0000FF"/>
      </right>
      <top style="medium">
        <color rgb="FF0000FF"/>
      </top>
      <bottom style="medium">
        <color rgb="FF0000FF"/>
      </bottom>
      <diagonal/>
    </border>
    <border>
      <left/>
      <right style="thin">
        <color theme="0"/>
      </right>
      <top/>
      <bottom/>
      <diagonal/>
    </border>
    <border>
      <left style="thick">
        <color theme="0"/>
      </left>
      <right style="thick">
        <color theme="0"/>
      </right>
      <top style="thick">
        <color theme="1"/>
      </top>
      <bottom style="thick">
        <color theme="0"/>
      </bottom>
      <diagonal/>
    </border>
    <border>
      <left/>
      <right style="hair">
        <color theme="1"/>
      </right>
      <top/>
      <bottom/>
      <diagonal/>
    </border>
    <border>
      <left style="hair">
        <color theme="1"/>
      </left>
      <right style="thick">
        <color indexed="64"/>
      </right>
      <top/>
      <bottom/>
      <diagonal/>
    </border>
    <border>
      <left style="thick">
        <color rgb="FFFFFF00"/>
      </left>
      <right style="thick">
        <color rgb="FFFFFF00"/>
      </right>
      <top/>
      <bottom/>
      <diagonal/>
    </border>
    <border>
      <left style="thick">
        <color theme="0"/>
      </left>
      <right/>
      <top style="thick">
        <color theme="1"/>
      </top>
      <bottom style="thick">
        <color theme="0"/>
      </bottom>
      <diagonal/>
    </border>
    <border>
      <left style="thick">
        <color theme="0"/>
      </left>
      <right style="thick">
        <color theme="0"/>
      </right>
      <top style="hair">
        <color theme="1"/>
      </top>
      <bottom style="thick">
        <color theme="0"/>
      </bottom>
      <diagonal/>
    </border>
    <border>
      <left style="thick">
        <color indexed="64"/>
      </left>
      <right style="thick">
        <color theme="1"/>
      </right>
      <top style="thin">
        <color theme="0"/>
      </top>
      <bottom/>
      <diagonal/>
    </border>
    <border>
      <left style="thick">
        <color theme="1"/>
      </left>
      <right style="hair">
        <color theme="1"/>
      </right>
      <top style="hair">
        <color indexed="64"/>
      </top>
      <bottom style="hair">
        <color indexed="64"/>
      </bottom>
      <diagonal/>
    </border>
    <border>
      <left style="thick">
        <color indexed="64"/>
      </left>
      <right/>
      <top/>
      <bottom style="hair">
        <color theme="1"/>
      </bottom>
      <diagonal/>
    </border>
    <border>
      <left style="thick">
        <color indexed="64"/>
      </left>
      <right/>
      <top/>
      <bottom style="thin">
        <color theme="1"/>
      </bottom>
      <diagonal/>
    </border>
    <border>
      <left/>
      <right/>
      <top style="thick">
        <color theme="0"/>
      </top>
      <bottom/>
      <diagonal/>
    </border>
    <border>
      <left style="double">
        <color theme="1"/>
      </left>
      <right style="double">
        <color indexed="64"/>
      </right>
      <top style="double">
        <color indexed="64"/>
      </top>
      <bottom/>
      <diagonal/>
    </border>
    <border>
      <left style="double">
        <color theme="1"/>
      </left>
      <right style="double">
        <color indexed="64"/>
      </right>
      <top/>
      <bottom/>
      <diagonal/>
    </border>
    <border>
      <left style="double">
        <color theme="1"/>
      </left>
      <right style="double">
        <color indexed="64"/>
      </right>
      <top/>
      <bottom style="thick">
        <color rgb="FF3333FF"/>
      </bottom>
      <diagonal/>
    </border>
    <border>
      <left style="thick">
        <color indexed="64"/>
      </left>
      <right/>
      <top/>
      <bottom style="thin">
        <color indexed="64"/>
      </bottom>
      <diagonal/>
    </border>
  </borders>
  <cellStyleXfs count="1">
    <xf numFmtId="0" fontId="0" fillId="0" borderId="0"/>
  </cellStyleXfs>
  <cellXfs count="246">
    <xf numFmtId="0" fontId="0" fillId="0" borderId="0" xfId="0"/>
    <xf numFmtId="0" fontId="3" fillId="0" borderId="0" xfId="0" applyFont="1"/>
    <xf numFmtId="0" fontId="0" fillId="2" borderId="0" xfId="0" applyFill="1"/>
    <xf numFmtId="0" fontId="0" fillId="2" borderId="0" xfId="0" quotePrefix="1" applyFill="1" applyAlignment="1">
      <alignment horizontal="left"/>
    </xf>
    <xf numFmtId="0" fontId="0" fillId="0" borderId="13" xfId="0" applyBorder="1"/>
    <xf numFmtId="0" fontId="0" fillId="0" borderId="14" xfId="0" applyBorder="1"/>
    <xf numFmtId="0" fontId="3" fillId="2" borderId="5" xfId="0" applyFont="1" applyFill="1" applyBorder="1" applyAlignment="1">
      <alignment horizontal="center" wrapText="1"/>
    </xf>
    <xf numFmtId="0" fontId="0" fillId="0" borderId="0" xfId="0" applyAlignment="1">
      <alignment wrapText="1"/>
    </xf>
    <xf numFmtId="0" fontId="3" fillId="2" borderId="6" xfId="0" applyFont="1" applyFill="1" applyBorder="1" applyAlignment="1">
      <alignment horizontal="center" wrapText="1"/>
    </xf>
    <xf numFmtId="0" fontId="3" fillId="3" borderId="6" xfId="0" applyFont="1" applyFill="1" applyBorder="1" applyAlignment="1">
      <alignment horizontal="center" wrapText="1"/>
    </xf>
    <xf numFmtId="2" fontId="0" fillId="0" borderId="7" xfId="0" applyNumberFormat="1" applyBorder="1"/>
    <xf numFmtId="0" fontId="0" fillId="2" borderId="16" xfId="0" applyFill="1" applyBorder="1" applyAlignment="1">
      <alignment horizontal="left"/>
    </xf>
    <xf numFmtId="0" fontId="2" fillId="2" borderId="0" xfId="0" applyFont="1" applyFill="1"/>
    <xf numFmtId="2" fontId="0" fillId="0" borderId="8" xfId="0" applyNumberFormat="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applyAlignment="1">
      <alignment wrapText="1"/>
    </xf>
    <xf numFmtId="0" fontId="0" fillId="0" borderId="23" xfId="0" applyBorder="1" applyAlignment="1">
      <alignment wrapText="1"/>
    </xf>
    <xf numFmtId="0" fontId="0" fillId="0" borderId="24" xfId="0" applyBorder="1"/>
    <xf numFmtId="2" fontId="0" fillId="0" borderId="9" xfId="0" applyNumberFormat="1" applyBorder="1"/>
    <xf numFmtId="0" fontId="0" fillId="2" borderId="25" xfId="0" applyFill="1" applyBorder="1"/>
    <xf numFmtId="2" fontId="0" fillId="0" borderId="10" xfId="0" applyNumberFormat="1" applyBorder="1"/>
    <xf numFmtId="2" fontId="0" fillId="0" borderId="26" xfId="0" applyNumberFormat="1" applyBorder="1" applyProtection="1">
      <protection locked="0"/>
    </xf>
    <xf numFmtId="0" fontId="2" fillId="0" borderId="27" xfId="0" applyFont="1" applyBorder="1"/>
    <xf numFmtId="2" fontId="21" fillId="0" borderId="26" xfId="0" applyNumberFormat="1" applyFont="1" applyBorder="1"/>
    <xf numFmtId="1" fontId="0" fillId="2" borderId="5" xfId="0" applyNumberFormat="1" applyFill="1" applyBorder="1" applyAlignment="1">
      <alignment horizontal="center" wrapText="1"/>
    </xf>
    <xf numFmtId="1" fontId="2" fillId="2" borderId="11" xfId="0" applyNumberFormat="1" applyFont="1" applyFill="1" applyBorder="1" applyAlignment="1">
      <alignment horizontal="center" wrapText="1"/>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5" fillId="0" borderId="0" xfId="0" applyFont="1"/>
    <xf numFmtId="166" fontId="0" fillId="0" borderId="32" xfId="0" applyNumberFormat="1" applyBorder="1" applyProtection="1">
      <protection locked="0"/>
    </xf>
    <xf numFmtId="2" fontId="0" fillId="0" borderId="34" xfId="0" applyNumberFormat="1" applyBorder="1" applyProtection="1">
      <protection locked="0"/>
    </xf>
    <xf numFmtId="0" fontId="1" fillId="2" borderId="0" xfId="0" applyFont="1" applyFill="1"/>
    <xf numFmtId="0" fontId="1" fillId="2" borderId="0" xfId="0" applyFont="1" applyFill="1" applyAlignment="1">
      <alignment horizontal="left"/>
    </xf>
    <xf numFmtId="0" fontId="1" fillId="2" borderId="15" xfId="0" applyFont="1" applyFill="1" applyBorder="1"/>
    <xf numFmtId="14" fontId="1" fillId="2" borderId="1" xfId="0" applyNumberFormat="1" applyFont="1" applyFill="1" applyBorder="1" applyAlignment="1" applyProtection="1">
      <alignment horizontal="left"/>
      <protection locked="0"/>
    </xf>
    <xf numFmtId="0" fontId="1" fillId="2" borderId="3" xfId="0" applyFont="1" applyFill="1" applyBorder="1" applyAlignment="1">
      <alignment horizontal="center"/>
    </xf>
    <xf numFmtId="2" fontId="0" fillId="0" borderId="35" xfId="0" applyNumberFormat="1" applyBorder="1" applyAlignment="1" applyProtection="1">
      <alignment horizontal="center"/>
      <protection locked="0"/>
    </xf>
    <xf numFmtId="0" fontId="0" fillId="0" borderId="0" xfId="0" applyAlignment="1">
      <alignment horizontal="center" vertical="center" wrapText="1"/>
    </xf>
    <xf numFmtId="0" fontId="7" fillId="2" borderId="0" xfId="0" applyFont="1" applyFill="1" applyAlignment="1">
      <alignment horizontal="center"/>
    </xf>
    <xf numFmtId="0" fontId="17" fillId="4" borderId="47" xfId="0" applyFont="1" applyFill="1" applyBorder="1" applyAlignment="1">
      <alignment horizontal="center"/>
    </xf>
    <xf numFmtId="0" fontId="18" fillId="7" borderId="48" xfId="0" applyFont="1" applyFill="1" applyBorder="1" applyAlignment="1">
      <alignment horizontal="right"/>
    </xf>
    <xf numFmtId="2" fontId="18" fillId="0" borderId="37" xfId="0" applyNumberFormat="1" applyFont="1" applyBorder="1" applyAlignment="1">
      <alignment horizontal="right"/>
    </xf>
    <xf numFmtId="1" fontId="18" fillId="7" borderId="37" xfId="0" applyNumberFormat="1" applyFont="1" applyFill="1" applyBorder="1" applyAlignment="1">
      <alignment horizontal="right"/>
    </xf>
    <xf numFmtId="1" fontId="18" fillId="0" borderId="48" xfId="0" applyNumberFormat="1" applyFont="1" applyBorder="1" applyAlignment="1">
      <alignment horizontal="right"/>
    </xf>
    <xf numFmtId="1" fontId="18" fillId="7" borderId="48" xfId="0" applyNumberFormat="1" applyFont="1" applyFill="1" applyBorder="1" applyAlignment="1">
      <alignment horizontal="right"/>
    </xf>
    <xf numFmtId="164" fontId="18" fillId="7" borderId="48" xfId="0" applyNumberFormat="1" applyFont="1" applyFill="1" applyBorder="1" applyAlignment="1">
      <alignment horizontal="right"/>
    </xf>
    <xf numFmtId="165" fontId="18" fillId="0" borderId="48" xfId="0" applyNumberFormat="1" applyFont="1" applyBorder="1" applyAlignment="1">
      <alignment horizontal="right"/>
    </xf>
    <xf numFmtId="165" fontId="18" fillId="7" borderId="48" xfId="0" applyNumberFormat="1" applyFont="1" applyFill="1" applyBorder="1" applyAlignment="1">
      <alignment horizontal="right"/>
    </xf>
    <xf numFmtId="2" fontId="18" fillId="0" borderId="48" xfId="0" applyNumberFormat="1" applyFont="1" applyBorder="1" applyAlignment="1">
      <alignment horizontal="right"/>
    </xf>
    <xf numFmtId="167" fontId="18" fillId="7" borderId="48" xfId="0" applyNumberFormat="1" applyFont="1" applyFill="1" applyBorder="1" applyAlignment="1">
      <alignment horizontal="right"/>
    </xf>
    <xf numFmtId="2" fontId="18" fillId="7" borderId="48" xfId="0" applyNumberFormat="1" applyFont="1" applyFill="1" applyBorder="1" applyAlignment="1">
      <alignment horizontal="right"/>
    </xf>
    <xf numFmtId="0" fontId="17" fillId="4" borderId="49" xfId="0" applyFont="1" applyFill="1" applyBorder="1" applyAlignment="1">
      <alignment horizontal="center" vertical="center" wrapText="1"/>
    </xf>
    <xf numFmtId="0" fontId="1" fillId="4" borderId="50" xfId="0" quotePrefix="1" applyFont="1" applyFill="1" applyBorder="1" applyAlignment="1">
      <alignment horizontal="center"/>
    </xf>
    <xf numFmtId="0" fontId="1" fillId="7" borderId="51" xfId="0" quotePrefix="1" applyFont="1" applyFill="1" applyBorder="1" applyAlignment="1">
      <alignment horizontal="left"/>
    </xf>
    <xf numFmtId="0" fontId="1" fillId="2" borderId="51" xfId="0" quotePrefix="1" applyFont="1" applyFill="1" applyBorder="1" applyAlignment="1">
      <alignment horizontal="left"/>
    </xf>
    <xf numFmtId="0" fontId="1" fillId="0" borderId="51" xfId="0" quotePrefix="1" applyFont="1" applyBorder="1" applyAlignment="1">
      <alignment horizontal="left"/>
    </xf>
    <xf numFmtId="0" fontId="1" fillId="2" borderId="53" xfId="0" quotePrefix="1" applyFont="1" applyFill="1" applyBorder="1" applyAlignment="1">
      <alignment horizontal="center"/>
    </xf>
    <xf numFmtId="164" fontId="0" fillId="7" borderId="37" xfId="0" applyNumberFormat="1" applyFill="1" applyBorder="1" applyAlignment="1">
      <alignment horizontal="right" vertical="center" wrapText="1"/>
    </xf>
    <xf numFmtId="164" fontId="2" fillId="0" borderId="37" xfId="0" applyNumberFormat="1" applyFont="1" applyBorder="1" applyAlignment="1">
      <alignment horizontal="right"/>
    </xf>
    <xf numFmtId="164" fontId="2" fillId="7" borderId="37" xfId="0" applyNumberFormat="1" applyFont="1" applyFill="1" applyBorder="1" applyAlignment="1">
      <alignment horizontal="right"/>
    </xf>
    <xf numFmtId="0" fontId="17" fillId="4" borderId="54" xfId="0" applyFont="1" applyFill="1" applyBorder="1" applyAlignment="1">
      <alignment horizontal="center" vertical="center"/>
    </xf>
    <xf numFmtId="0" fontId="17" fillId="4" borderId="55" xfId="0" applyFont="1" applyFill="1" applyBorder="1" applyAlignment="1">
      <alignment horizontal="center"/>
    </xf>
    <xf numFmtId="0" fontId="18" fillId="7" borderId="42" xfId="0" applyFont="1" applyFill="1" applyBorder="1" applyAlignment="1">
      <alignment horizontal="right"/>
    </xf>
    <xf numFmtId="2" fontId="18" fillId="0" borderId="56" xfId="0" applyNumberFormat="1" applyFont="1" applyBorder="1" applyAlignment="1">
      <alignment horizontal="right"/>
    </xf>
    <xf numFmtId="2" fontId="18" fillId="7" borderId="57" xfId="0" applyNumberFormat="1" applyFont="1" applyFill="1" applyBorder="1" applyAlignment="1">
      <alignment horizontal="right"/>
    </xf>
    <xf numFmtId="1" fontId="18" fillId="0" borderId="42" xfId="0" applyNumberFormat="1" applyFont="1" applyBorder="1" applyAlignment="1">
      <alignment horizontal="right"/>
    </xf>
    <xf numFmtId="1" fontId="18" fillId="7" borderId="42" xfId="0" applyNumberFormat="1" applyFont="1" applyFill="1" applyBorder="1" applyAlignment="1">
      <alignment horizontal="right"/>
    </xf>
    <xf numFmtId="164" fontId="18" fillId="7" borderId="42" xfId="0" applyNumberFormat="1" applyFont="1" applyFill="1" applyBorder="1" applyAlignment="1">
      <alignment horizontal="right"/>
    </xf>
    <xf numFmtId="165" fontId="18" fillId="0" borderId="42" xfId="0" applyNumberFormat="1" applyFont="1" applyBorder="1" applyAlignment="1">
      <alignment horizontal="right"/>
    </xf>
    <xf numFmtId="165" fontId="18" fillId="7" borderId="42" xfId="0" applyNumberFormat="1" applyFont="1" applyFill="1" applyBorder="1" applyAlignment="1">
      <alignment horizontal="right"/>
    </xf>
    <xf numFmtId="2" fontId="18" fillId="7" borderId="42" xfId="0" applyNumberFormat="1" applyFont="1" applyFill="1" applyBorder="1" applyAlignment="1">
      <alignment horizontal="right"/>
    </xf>
    <xf numFmtId="0" fontId="19" fillId="4" borderId="44" xfId="0" applyFont="1" applyFill="1" applyBorder="1" applyAlignment="1">
      <alignment horizontal="center"/>
    </xf>
    <xf numFmtId="0" fontId="19" fillId="4" borderId="55" xfId="0" applyFont="1" applyFill="1" applyBorder="1" applyAlignment="1">
      <alignment horizontal="center"/>
    </xf>
    <xf numFmtId="0" fontId="20" fillId="7" borderId="57" xfId="0" applyFont="1" applyFill="1" applyBorder="1" applyAlignment="1">
      <alignment horizontal="center"/>
    </xf>
    <xf numFmtId="166" fontId="20" fillId="2" borderId="57" xfId="0" applyNumberFormat="1" applyFont="1" applyFill="1" applyBorder="1" applyAlignment="1">
      <alignment horizontal="right"/>
    </xf>
    <xf numFmtId="0" fontId="20" fillId="7" borderId="57" xfId="0" applyFont="1" applyFill="1" applyBorder="1" applyAlignment="1">
      <alignment horizontal="right"/>
    </xf>
    <xf numFmtId="164" fontId="20" fillId="0" borderId="57" xfId="0" applyNumberFormat="1" applyFont="1" applyBorder="1" applyAlignment="1">
      <alignment horizontal="right"/>
    </xf>
    <xf numFmtId="1" fontId="20" fillId="7" borderId="57" xfId="0" applyNumberFormat="1" applyFont="1" applyFill="1" applyBorder="1" applyAlignment="1">
      <alignment horizontal="right"/>
    </xf>
    <xf numFmtId="164" fontId="20" fillId="2" borderId="57" xfId="0" applyNumberFormat="1" applyFont="1" applyFill="1" applyBorder="1" applyAlignment="1">
      <alignment horizontal="right"/>
    </xf>
    <xf numFmtId="166" fontId="20" fillId="7" borderId="57" xfId="0" applyNumberFormat="1" applyFont="1" applyFill="1" applyBorder="1" applyAlignment="1">
      <alignment horizontal="right"/>
    </xf>
    <xf numFmtId="0" fontId="7" fillId="2" borderId="39" xfId="0" applyFont="1" applyFill="1" applyBorder="1" applyAlignment="1">
      <alignment horizontal="center"/>
    </xf>
    <xf numFmtId="0" fontId="7" fillId="2" borderId="61" xfId="0" applyFont="1" applyFill="1" applyBorder="1" applyAlignment="1">
      <alignment horizontal="center"/>
    </xf>
    <xf numFmtId="0" fontId="7" fillId="6" borderId="39" xfId="0" applyFont="1" applyFill="1" applyBorder="1" applyAlignment="1">
      <alignment horizontal="center"/>
    </xf>
    <xf numFmtId="0" fontId="7" fillId="6" borderId="61" xfId="0" applyFont="1" applyFill="1" applyBorder="1" applyAlignment="1">
      <alignment horizontal="center"/>
    </xf>
    <xf numFmtId="0" fontId="0" fillId="2" borderId="46" xfId="0" applyFill="1" applyBorder="1"/>
    <xf numFmtId="0" fontId="0" fillId="0" borderId="64" xfId="0" applyBorder="1"/>
    <xf numFmtId="0" fontId="0" fillId="0" borderId="46" xfId="0" applyBorder="1"/>
    <xf numFmtId="0" fontId="0" fillId="0" borderId="65" xfId="0" applyBorder="1"/>
    <xf numFmtId="0" fontId="0" fillId="0" borderId="66" xfId="0" applyBorder="1"/>
    <xf numFmtId="0" fontId="0" fillId="0" borderId="67" xfId="0" applyBorder="1"/>
    <xf numFmtId="0" fontId="7" fillId="0" borderId="70" xfId="0" applyFont="1" applyBorder="1"/>
    <xf numFmtId="0" fontId="7" fillId="0" borderId="71" xfId="0" applyFont="1" applyBorder="1"/>
    <xf numFmtId="164" fontId="2" fillId="0" borderId="76" xfId="0" applyNumberFormat="1" applyFont="1" applyBorder="1" applyAlignment="1">
      <alignment horizontal="right"/>
    </xf>
    <xf numFmtId="0" fontId="1" fillId="2" borderId="79" xfId="0" applyFont="1" applyFill="1" applyBorder="1" applyAlignment="1">
      <alignment horizontal="left"/>
    </xf>
    <xf numFmtId="1" fontId="18" fillId="0" borderId="80" xfId="0" applyNumberFormat="1" applyFont="1" applyBorder="1" applyAlignment="1">
      <alignment horizontal="right"/>
    </xf>
    <xf numFmtId="1" fontId="18" fillId="0" borderId="81" xfId="0" applyNumberFormat="1" applyFont="1" applyBorder="1" applyAlignment="1">
      <alignment horizontal="right"/>
    </xf>
    <xf numFmtId="164" fontId="2" fillId="0" borderId="82" xfId="0" applyNumberFormat="1" applyFont="1" applyBorder="1" applyAlignment="1">
      <alignment horizontal="right"/>
    </xf>
    <xf numFmtId="166" fontId="20" fillId="2" borderId="83" xfId="0" applyNumberFormat="1" applyFont="1" applyFill="1" applyBorder="1" applyAlignment="1">
      <alignment horizontal="right"/>
    </xf>
    <xf numFmtId="0" fontId="1" fillId="2" borderId="78" xfId="0" quotePrefix="1" applyFont="1" applyFill="1" applyBorder="1" applyAlignment="1">
      <alignment horizontal="left"/>
    </xf>
    <xf numFmtId="1" fontId="20" fillId="2" borderId="77" xfId="0" applyNumberFormat="1" applyFont="1" applyFill="1" applyBorder="1" applyAlignment="1">
      <alignment horizontal="right"/>
    </xf>
    <xf numFmtId="2" fontId="18" fillId="0" borderId="74" xfId="0" applyNumberFormat="1" applyFont="1" applyBorder="1" applyAlignment="1">
      <alignment horizontal="right"/>
    </xf>
    <xf numFmtId="2" fontId="18" fillId="0" borderId="75" xfId="0" applyNumberFormat="1" applyFont="1" applyBorder="1" applyAlignment="1">
      <alignment horizontal="right"/>
    </xf>
    <xf numFmtId="2" fontId="20" fillId="2" borderId="77" xfId="0" applyNumberFormat="1" applyFont="1" applyFill="1" applyBorder="1" applyAlignment="1">
      <alignment horizontal="right"/>
    </xf>
    <xf numFmtId="1" fontId="2" fillId="0" borderId="77" xfId="0" applyNumberFormat="1" applyFont="1" applyBorder="1" applyAlignment="1">
      <alignment horizontal="right"/>
    </xf>
    <xf numFmtId="1" fontId="2" fillId="0" borderId="85" xfId="0" applyNumberFormat="1" applyFont="1" applyBorder="1" applyAlignment="1">
      <alignment horizontal="right"/>
    </xf>
    <xf numFmtId="0" fontId="19" fillId="4" borderId="88" xfId="0" applyFont="1" applyFill="1" applyBorder="1" applyAlignment="1">
      <alignment horizontal="center" vertical="center"/>
    </xf>
    <xf numFmtId="0" fontId="19" fillId="4" borderId="89" xfId="0" applyFont="1" applyFill="1" applyBorder="1" applyAlignment="1">
      <alignment horizontal="center"/>
    </xf>
    <xf numFmtId="0" fontId="20" fillId="7" borderId="90" xfId="0" applyFont="1" applyFill="1" applyBorder="1" applyAlignment="1">
      <alignment horizontal="center"/>
    </xf>
    <xf numFmtId="0" fontId="20" fillId="7" borderId="90" xfId="0" applyFont="1" applyFill="1" applyBorder="1" applyAlignment="1">
      <alignment horizontal="right"/>
    </xf>
    <xf numFmtId="166" fontId="20" fillId="2" borderId="90" xfId="0" applyNumberFormat="1" applyFont="1" applyFill="1" applyBorder="1" applyAlignment="1">
      <alignment horizontal="right"/>
    </xf>
    <xf numFmtId="1" fontId="20" fillId="7" borderId="90" xfId="0" applyNumberFormat="1" applyFont="1" applyFill="1" applyBorder="1" applyAlignment="1">
      <alignment horizontal="right"/>
    </xf>
    <xf numFmtId="166" fontId="20" fillId="0" borderId="90" xfId="0" applyNumberFormat="1" applyFont="1" applyBorder="1" applyAlignment="1">
      <alignment horizontal="right"/>
    </xf>
    <xf numFmtId="164" fontId="20" fillId="2" borderId="90" xfId="0" applyNumberFormat="1" applyFont="1" applyFill="1" applyBorder="1" applyAlignment="1">
      <alignment horizontal="right"/>
    </xf>
    <xf numFmtId="166" fontId="20" fillId="7" borderId="90" xfId="0" applyNumberFormat="1" applyFont="1" applyFill="1" applyBorder="1" applyAlignment="1">
      <alignment horizontal="right"/>
    </xf>
    <xf numFmtId="165" fontId="20" fillId="7" borderId="90" xfId="0" applyNumberFormat="1" applyFont="1" applyFill="1" applyBorder="1" applyAlignment="1">
      <alignment horizontal="right"/>
    </xf>
    <xf numFmtId="167" fontId="20" fillId="7" borderId="90" xfId="0" applyNumberFormat="1" applyFont="1" applyFill="1" applyBorder="1" applyAlignment="1">
      <alignment horizontal="right"/>
    </xf>
    <xf numFmtId="2" fontId="20" fillId="7" borderId="90" xfId="0" applyNumberFormat="1" applyFont="1" applyFill="1" applyBorder="1" applyAlignment="1">
      <alignment horizontal="right"/>
    </xf>
    <xf numFmtId="166" fontId="20" fillId="2" borderId="91" xfId="0" applyNumberFormat="1" applyFont="1" applyFill="1" applyBorder="1" applyAlignment="1">
      <alignment horizontal="right"/>
    </xf>
    <xf numFmtId="1" fontId="20" fillId="2" borderId="92" xfId="0" applyNumberFormat="1" applyFont="1" applyFill="1" applyBorder="1" applyAlignment="1">
      <alignment horizontal="right"/>
    </xf>
    <xf numFmtId="2" fontId="20" fillId="2" borderId="92" xfId="0" applyNumberFormat="1" applyFont="1" applyFill="1" applyBorder="1" applyAlignment="1">
      <alignment horizontal="right"/>
    </xf>
    <xf numFmtId="0" fontId="1" fillId="2" borderId="45" xfId="0" applyFont="1" applyFill="1" applyBorder="1" applyAlignment="1">
      <alignment horizontal="right"/>
    </xf>
    <xf numFmtId="0" fontId="1" fillId="5" borderId="16" xfId="0" applyFont="1" applyFill="1" applyBorder="1" applyAlignment="1">
      <alignment horizontal="center"/>
    </xf>
    <xf numFmtId="0" fontId="1" fillId="5" borderId="0" xfId="0" applyFont="1" applyFill="1" applyAlignment="1">
      <alignment horizontal="left"/>
    </xf>
    <xf numFmtId="0" fontId="1" fillId="7" borderId="46" xfId="0" quotePrefix="1" applyFont="1" applyFill="1" applyBorder="1" applyAlignment="1">
      <alignment horizontal="left"/>
    </xf>
    <xf numFmtId="165" fontId="18" fillId="7" borderId="97" xfId="0" applyNumberFormat="1" applyFont="1" applyFill="1" applyBorder="1" applyAlignment="1">
      <alignment horizontal="right"/>
    </xf>
    <xf numFmtId="1" fontId="18" fillId="7" borderId="98" xfId="0" applyNumberFormat="1" applyFont="1" applyFill="1" applyBorder="1" applyAlignment="1">
      <alignment horizontal="right"/>
    </xf>
    <xf numFmtId="164" fontId="2" fillId="7" borderId="0" xfId="0" applyNumberFormat="1" applyFont="1" applyFill="1" applyAlignment="1">
      <alignment horizontal="right"/>
    </xf>
    <xf numFmtId="166" fontId="20" fillId="7" borderId="99" xfId="0" applyNumberFormat="1" applyFont="1" applyFill="1" applyBorder="1" applyAlignment="1">
      <alignment horizontal="right"/>
    </xf>
    <xf numFmtId="166" fontId="20" fillId="7" borderId="39" xfId="0" applyNumberFormat="1" applyFont="1" applyFill="1" applyBorder="1" applyAlignment="1">
      <alignment horizontal="right"/>
    </xf>
    <xf numFmtId="165" fontId="16" fillId="2" borderId="97" xfId="0" applyNumberFormat="1" applyFont="1" applyFill="1" applyBorder="1" applyAlignment="1">
      <alignment horizontal="right"/>
    </xf>
    <xf numFmtId="2" fontId="16" fillId="2" borderId="98" xfId="0" applyNumberFormat="1" applyFont="1" applyFill="1" applyBorder="1" applyAlignment="1">
      <alignment horizontal="right"/>
    </xf>
    <xf numFmtId="2" fontId="16" fillId="2" borderId="97" xfId="0" applyNumberFormat="1" applyFont="1" applyFill="1" applyBorder="1" applyAlignment="1">
      <alignment horizontal="right"/>
    </xf>
    <xf numFmtId="2" fontId="16" fillId="6" borderId="98" xfId="0" applyNumberFormat="1" applyFont="1" applyFill="1" applyBorder="1" applyAlignment="1">
      <alignment horizontal="right"/>
    </xf>
    <xf numFmtId="0" fontId="0" fillId="0" borderId="100" xfId="0" applyBorder="1"/>
    <xf numFmtId="0" fontId="0" fillId="0" borderId="96" xfId="0" applyBorder="1"/>
    <xf numFmtId="0" fontId="0" fillId="0" borderId="101" xfId="0" applyBorder="1"/>
    <xf numFmtId="0" fontId="0" fillId="0" borderId="102" xfId="0" applyBorder="1"/>
    <xf numFmtId="0" fontId="0" fillId="4" borderId="0" xfId="0" applyFill="1" applyAlignment="1">
      <alignment horizontal="center" vertical="center" wrapText="1"/>
    </xf>
    <xf numFmtId="0" fontId="28" fillId="4" borderId="49" xfId="0" applyFont="1" applyFill="1" applyBorder="1" applyAlignment="1">
      <alignment horizontal="center"/>
    </xf>
    <xf numFmtId="0" fontId="28" fillId="4" borderId="40" xfId="0" applyFont="1" applyFill="1" applyBorder="1" applyAlignment="1">
      <alignment horizontal="center"/>
    </xf>
    <xf numFmtId="0" fontId="28" fillId="4" borderId="36" xfId="0" applyFont="1" applyFill="1" applyBorder="1" applyAlignment="1">
      <alignment horizontal="center"/>
    </xf>
    <xf numFmtId="0" fontId="28" fillId="4" borderId="41" xfId="0" applyFont="1" applyFill="1" applyBorder="1" applyAlignment="1">
      <alignment horizontal="center"/>
    </xf>
    <xf numFmtId="0" fontId="31" fillId="4" borderId="49" xfId="0" applyFont="1" applyFill="1" applyBorder="1" applyAlignment="1">
      <alignment horizontal="center"/>
    </xf>
    <xf numFmtId="0" fontId="31" fillId="4" borderId="40" xfId="0" applyFont="1" applyFill="1" applyBorder="1" applyAlignment="1">
      <alignment horizontal="center"/>
    </xf>
    <xf numFmtId="0" fontId="31" fillId="4" borderId="36" xfId="0" applyFont="1" applyFill="1" applyBorder="1" applyAlignment="1">
      <alignment horizontal="center"/>
    </xf>
    <xf numFmtId="0" fontId="31" fillId="4" borderId="41" xfId="0" applyFont="1" applyFill="1" applyBorder="1" applyAlignment="1">
      <alignment horizontal="center"/>
    </xf>
    <xf numFmtId="0" fontId="3" fillId="4" borderId="60" xfId="0" applyFont="1" applyFill="1" applyBorder="1" applyAlignment="1">
      <alignment horizontal="center" vertical="center" wrapText="1"/>
    </xf>
    <xf numFmtId="0" fontId="3" fillId="4" borderId="104" xfId="0" applyFont="1" applyFill="1" applyBorder="1" applyAlignment="1">
      <alignment horizontal="center" vertical="center" wrapText="1"/>
    </xf>
    <xf numFmtId="0" fontId="1" fillId="2" borderId="38" xfId="0" applyFont="1" applyFill="1" applyBorder="1" applyAlignment="1">
      <alignment horizontal="right"/>
    </xf>
    <xf numFmtId="0" fontId="1" fillId="0" borderId="68" xfId="0" applyFont="1" applyBorder="1"/>
    <xf numFmtId="0" fontId="1" fillId="0" borderId="69" xfId="0" applyFont="1" applyBorder="1"/>
    <xf numFmtId="0" fontId="0" fillId="0" borderId="106" xfId="0" applyBorder="1"/>
    <xf numFmtId="2" fontId="34" fillId="6" borderId="48" xfId="0" applyNumberFormat="1" applyFont="1" applyFill="1" applyBorder="1" applyAlignment="1">
      <alignment horizontal="right"/>
    </xf>
    <xf numFmtId="2" fontId="34" fillId="6" borderId="42" xfId="0" applyNumberFormat="1" applyFont="1" applyFill="1" applyBorder="1" applyAlignment="1">
      <alignment horizontal="right"/>
    </xf>
    <xf numFmtId="165" fontId="34" fillId="2" borderId="48" xfId="0" applyNumberFormat="1" applyFont="1" applyFill="1" applyBorder="1" applyAlignment="1">
      <alignment horizontal="right"/>
    </xf>
    <xf numFmtId="2" fontId="34" fillId="2" borderId="42" xfId="0" applyNumberFormat="1" applyFont="1" applyFill="1" applyBorder="1" applyAlignment="1">
      <alignment horizontal="right"/>
    </xf>
    <xf numFmtId="1" fontId="34" fillId="2" borderId="48" xfId="0" applyNumberFormat="1" applyFont="1" applyFill="1" applyBorder="1" applyAlignment="1">
      <alignment horizontal="right"/>
    </xf>
    <xf numFmtId="165" fontId="34" fillId="0" borderId="48" xfId="0" applyNumberFormat="1" applyFont="1" applyBorder="1" applyAlignment="1">
      <alignment horizontal="right"/>
    </xf>
    <xf numFmtId="2" fontId="34" fillId="0" borderId="42" xfId="0" applyNumberFormat="1" applyFont="1" applyBorder="1" applyAlignment="1">
      <alignment horizontal="right"/>
    </xf>
    <xf numFmtId="164" fontId="34" fillId="0" borderId="48" xfId="0" applyNumberFormat="1" applyFont="1" applyBorder="1" applyAlignment="1">
      <alignment horizontal="right"/>
    </xf>
    <xf numFmtId="2" fontId="34" fillId="2" borderId="48" xfId="0" applyNumberFormat="1" applyFont="1" applyFill="1" applyBorder="1" applyAlignment="1">
      <alignment horizontal="right"/>
    </xf>
    <xf numFmtId="167" fontId="34" fillId="2" borderId="48" xfId="0" applyNumberFormat="1" applyFont="1" applyFill="1" applyBorder="1" applyAlignment="1">
      <alignment horizontal="right"/>
    </xf>
    <xf numFmtId="1" fontId="34" fillId="2" borderId="84" xfId="0" applyNumberFormat="1" applyFont="1" applyFill="1" applyBorder="1" applyAlignment="1">
      <alignment horizontal="right"/>
    </xf>
    <xf numFmtId="2" fontId="34" fillId="2" borderId="81" xfId="0" applyNumberFormat="1" applyFont="1" applyFill="1" applyBorder="1" applyAlignment="1">
      <alignment horizontal="right"/>
    </xf>
    <xf numFmtId="1" fontId="34" fillId="2" borderId="85" xfId="0" applyNumberFormat="1" applyFont="1" applyFill="1" applyBorder="1" applyAlignment="1">
      <alignment horizontal="left"/>
    </xf>
    <xf numFmtId="1" fontId="34" fillId="2" borderId="77" xfId="0" applyNumberFormat="1" applyFont="1" applyFill="1" applyBorder="1" applyAlignment="1">
      <alignment horizontal="right"/>
    </xf>
    <xf numFmtId="165" fontId="34" fillId="2" borderId="85" xfId="0" applyNumberFormat="1" applyFont="1" applyFill="1" applyBorder="1" applyAlignment="1">
      <alignment horizontal="right"/>
    </xf>
    <xf numFmtId="2" fontId="34" fillId="2" borderId="77" xfId="0" applyNumberFormat="1" applyFont="1" applyFill="1" applyBorder="1" applyAlignment="1">
      <alignment horizontal="right"/>
    </xf>
    <xf numFmtId="168" fontId="34" fillId="2" borderId="48" xfId="0" applyNumberFormat="1" applyFont="1" applyFill="1" applyBorder="1" applyAlignment="1">
      <alignment horizontal="right"/>
    </xf>
    <xf numFmtId="1" fontId="34" fillId="2" borderId="86" xfId="0" applyNumberFormat="1" applyFont="1" applyFill="1" applyBorder="1" applyAlignment="1">
      <alignment horizontal="right"/>
    </xf>
    <xf numFmtId="2" fontId="34" fillId="2" borderId="83" xfId="0" applyNumberFormat="1" applyFont="1" applyFill="1" applyBorder="1" applyAlignment="1">
      <alignment horizontal="right"/>
    </xf>
    <xf numFmtId="2" fontId="35" fillId="0" borderId="87" xfId="0" applyNumberFormat="1" applyFont="1" applyBorder="1"/>
    <xf numFmtId="2" fontId="34" fillId="6" borderId="77" xfId="0" applyNumberFormat="1" applyFont="1" applyFill="1" applyBorder="1" applyAlignment="1">
      <alignment horizontal="right"/>
    </xf>
    <xf numFmtId="2" fontId="34" fillId="2" borderId="103" xfId="0" applyNumberFormat="1" applyFont="1" applyFill="1" applyBorder="1" applyAlignment="1">
      <alignment horizontal="right"/>
    </xf>
    <xf numFmtId="2" fontId="34" fillId="6" borderId="75" xfId="0" applyNumberFormat="1" applyFont="1" applyFill="1" applyBorder="1" applyAlignment="1">
      <alignment horizontal="right"/>
    </xf>
    <xf numFmtId="2" fontId="34" fillId="2" borderId="74" xfId="0" applyNumberFormat="1" applyFont="1" applyFill="1" applyBorder="1" applyAlignment="1">
      <alignment horizontal="right"/>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6"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27" fillId="0" borderId="60" xfId="0" applyFont="1" applyBorder="1" applyAlignment="1">
      <alignment horizontal="center" vertical="center"/>
    </xf>
    <xf numFmtId="0" fontId="27" fillId="0" borderId="0" xfId="0" applyFont="1" applyAlignment="1">
      <alignment horizontal="center" vertical="center"/>
    </xf>
    <xf numFmtId="0" fontId="27" fillId="0" borderId="95" xfId="0" applyFont="1" applyBorder="1" applyAlignment="1">
      <alignment horizontal="center" vertical="center"/>
    </xf>
    <xf numFmtId="0" fontId="3" fillId="4" borderId="50"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22" fillId="2" borderId="93" xfId="0" applyFont="1" applyFill="1" applyBorder="1" applyAlignment="1" applyProtection="1">
      <alignment horizontal="center" vertical="center"/>
      <protection locked="0"/>
    </xf>
    <xf numFmtId="0" fontId="22" fillId="2" borderId="94" xfId="0" applyFont="1" applyFill="1" applyBorder="1" applyAlignment="1" applyProtection="1">
      <alignment horizontal="center" vertical="center"/>
      <protection locked="0"/>
    </xf>
    <xf numFmtId="0" fontId="4" fillId="2" borderId="62"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23" fillId="4" borderId="59" xfId="0" applyFont="1" applyFill="1" applyBorder="1" applyAlignment="1">
      <alignment horizontal="center" vertical="center" wrapText="1"/>
    </xf>
    <xf numFmtId="0" fontId="23" fillId="4" borderId="43" xfId="0" applyFont="1" applyFill="1" applyBorder="1" applyAlignment="1">
      <alignment horizontal="center" vertical="center" wrapText="1"/>
    </xf>
    <xf numFmtId="0" fontId="23" fillId="4" borderId="60" xfId="0" applyFont="1" applyFill="1" applyBorder="1" applyAlignment="1">
      <alignment horizontal="center" vertical="center" wrapText="1"/>
    </xf>
    <xf numFmtId="0" fontId="23" fillId="4" borderId="39" xfId="0" applyFont="1" applyFill="1" applyBorder="1" applyAlignment="1">
      <alignment horizontal="center" vertical="center" wrapText="1"/>
    </xf>
    <xf numFmtId="0" fontId="23" fillId="4" borderId="105" xfId="0" applyFont="1" applyFill="1" applyBorder="1" applyAlignment="1">
      <alignment horizontal="center" vertical="center" wrapText="1"/>
    </xf>
    <xf numFmtId="0" fontId="23" fillId="4" borderId="58" xfId="0" applyFont="1" applyFill="1" applyBorder="1" applyAlignment="1">
      <alignment horizontal="center" vertical="center" wrapText="1"/>
    </xf>
    <xf numFmtId="0" fontId="24" fillId="4" borderId="59" xfId="0" applyFont="1" applyFill="1" applyBorder="1" applyAlignment="1">
      <alignment horizontal="center" vertical="center" wrapText="1"/>
    </xf>
    <xf numFmtId="0" fontId="24" fillId="4" borderId="43" xfId="0" applyFont="1" applyFill="1" applyBorder="1" applyAlignment="1">
      <alignment horizontal="center" vertical="center" wrapText="1"/>
    </xf>
    <xf numFmtId="0" fontId="24" fillId="4" borderId="60" xfId="0" applyFont="1" applyFill="1" applyBorder="1" applyAlignment="1">
      <alignment horizontal="center" vertical="center" wrapText="1"/>
    </xf>
    <xf numFmtId="0" fontId="24" fillId="4" borderId="39" xfId="0" applyFont="1" applyFill="1" applyBorder="1" applyAlignment="1">
      <alignment horizontal="center" vertical="center" wrapText="1"/>
    </xf>
    <xf numFmtId="0" fontId="29" fillId="4" borderId="59"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29" fillId="4" borderId="60"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29" fillId="4" borderId="110" xfId="0" applyFont="1" applyFill="1" applyBorder="1" applyAlignment="1">
      <alignment horizontal="center" vertical="center" wrapText="1"/>
    </xf>
    <xf numFmtId="0" fontId="29" fillId="4" borderId="44" xfId="0" applyFont="1" applyFill="1" applyBorder="1" applyAlignment="1">
      <alignment horizontal="center" vertical="center" wrapText="1"/>
    </xf>
    <xf numFmtId="0" fontId="1" fillId="4" borderId="52" xfId="0" quotePrefix="1" applyFont="1" applyFill="1" applyBorder="1" applyAlignment="1">
      <alignment horizontal="center"/>
    </xf>
    <xf numFmtId="0" fontId="1" fillId="4" borderId="46" xfId="0" quotePrefix="1" applyFont="1" applyFill="1" applyBorder="1" applyAlignment="1">
      <alignment horizontal="center"/>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29" fillId="4" borderId="62" xfId="0" applyFont="1" applyFill="1" applyBorder="1" applyAlignment="1">
      <alignment horizontal="center" vertical="center" wrapText="1"/>
    </xf>
    <xf numFmtId="0" fontId="29" fillId="4" borderId="73" xfId="0" applyFont="1" applyFill="1" applyBorder="1" applyAlignment="1">
      <alignment horizontal="center" vertical="center" wrapText="1"/>
    </xf>
    <xf numFmtId="0" fontId="6" fillId="2" borderId="5" xfId="0" applyFont="1" applyFill="1" applyBorder="1" applyAlignment="1">
      <alignment horizontal="center" vertical="top" wrapText="1"/>
    </xf>
    <xf numFmtId="0" fontId="6" fillId="2" borderId="6" xfId="0" applyFont="1" applyFill="1" applyBorder="1" applyAlignment="1">
      <alignment horizontal="center" vertical="top" wrapText="1"/>
    </xf>
    <xf numFmtId="0" fontId="6" fillId="2" borderId="12" xfId="0" applyFont="1" applyFill="1" applyBorder="1" applyAlignment="1">
      <alignment horizontal="center" vertical="top" wrapText="1"/>
    </xf>
    <xf numFmtId="0" fontId="6" fillId="2" borderId="28" xfId="0" applyFont="1" applyFill="1" applyBorder="1" applyAlignment="1">
      <alignment horizontal="center" vertical="top" wrapText="1"/>
    </xf>
    <xf numFmtId="0" fontId="6" fillId="2" borderId="29" xfId="0" applyFont="1" applyFill="1" applyBorder="1" applyAlignment="1">
      <alignment horizontal="center" vertical="top" wrapText="1"/>
    </xf>
    <xf numFmtId="0" fontId="6" fillId="2" borderId="30" xfId="0" applyFont="1" applyFill="1" applyBorder="1" applyAlignment="1">
      <alignment horizontal="center" vertical="top" wrapText="1"/>
    </xf>
    <xf numFmtId="0" fontId="3" fillId="5" borderId="33"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6" fillId="5" borderId="107" xfId="0" applyFont="1" applyFill="1" applyBorder="1" applyAlignment="1">
      <alignment horizontal="center" vertical="center" wrapText="1"/>
    </xf>
    <xf numFmtId="0" fontId="6" fillId="5" borderId="108" xfId="0" applyFont="1" applyFill="1" applyBorder="1" applyAlignment="1">
      <alignment horizontal="center" vertical="center" wrapText="1"/>
    </xf>
    <xf numFmtId="0" fontId="6" fillId="5" borderId="109" xfId="0" applyFont="1" applyFill="1" applyBorder="1" applyAlignment="1">
      <alignment horizontal="center" vertical="center" wrapText="1"/>
    </xf>
    <xf numFmtId="0" fontId="0" fillId="0" borderId="0" xfId="0" applyAlignment="1">
      <alignment horizontal="center" vertical="center"/>
    </xf>
    <xf numFmtId="0" fontId="0" fillId="0" borderId="95" xfId="0" applyBorder="1" applyAlignment="1">
      <alignment horizontal="center" vertical="center"/>
    </xf>
    <xf numFmtId="0" fontId="0" fillId="0" borderId="60" xfId="0" applyBorder="1" applyAlignment="1">
      <alignment horizontal="center" vertical="center"/>
    </xf>
    <xf numFmtId="0" fontId="32" fillId="4" borderId="59" xfId="0" applyFont="1" applyFill="1" applyBorder="1" applyAlignment="1">
      <alignment horizontal="center" vertical="center" wrapText="1"/>
    </xf>
    <xf numFmtId="0" fontId="32" fillId="4" borderId="43" xfId="0" applyFont="1" applyFill="1" applyBorder="1" applyAlignment="1">
      <alignment horizontal="center" vertical="center" wrapText="1"/>
    </xf>
    <xf numFmtId="0" fontId="32" fillId="4" borderId="60" xfId="0" applyFont="1" applyFill="1" applyBorder="1" applyAlignment="1">
      <alignment horizontal="center" vertical="center" wrapText="1"/>
    </xf>
    <xf numFmtId="0" fontId="32" fillId="4" borderId="39" xfId="0" applyFont="1" applyFill="1" applyBorder="1" applyAlignment="1">
      <alignment horizontal="center" vertical="center" wrapText="1"/>
    </xf>
    <xf numFmtId="0" fontId="32" fillId="4" borderId="110" xfId="0" applyFont="1" applyFill="1" applyBorder="1" applyAlignment="1">
      <alignment horizontal="center" vertical="center" wrapText="1"/>
    </xf>
    <xf numFmtId="0" fontId="32" fillId="4" borderId="44" xfId="0" applyFont="1" applyFill="1" applyBorder="1" applyAlignment="1">
      <alignment horizontal="center" vertical="center" wrapText="1"/>
    </xf>
    <xf numFmtId="0" fontId="32" fillId="4" borderId="62" xfId="0" applyFont="1" applyFill="1" applyBorder="1" applyAlignment="1">
      <alignment horizontal="center" vertical="center" wrapText="1"/>
    </xf>
    <xf numFmtId="0" fontId="32" fillId="4" borderId="7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15874</xdr:rowOff>
    </xdr:from>
    <xdr:to>
      <xdr:col>12</xdr:col>
      <xdr:colOff>0</xdr:colOff>
      <xdr:row>77</xdr:row>
      <xdr:rowOff>152041</xdr:rowOff>
    </xdr:to>
    <xdr:sp macro="" textlink="">
      <xdr:nvSpPr>
        <xdr:cNvPr id="4" name="TextBox 3">
          <a:extLst>
            <a:ext uri="{FF2B5EF4-FFF2-40B4-BE49-F238E27FC236}">
              <a16:creationId xmlns:a16="http://schemas.microsoft.com/office/drawing/2014/main" id="{3B2F3A71-D1ED-4096-8A57-CD6F361321A6}"/>
            </a:ext>
          </a:extLst>
        </xdr:cNvPr>
        <xdr:cNvSpPr txBox="1"/>
      </xdr:nvSpPr>
      <xdr:spPr>
        <a:xfrm>
          <a:off x="0" y="8360311"/>
          <a:ext cx="11206408" cy="74789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u="sng">
              <a:solidFill>
                <a:srgbClr val="747474"/>
              </a:solidFill>
              <a:latin typeface="+mj-lt"/>
            </a:rPr>
            <a:t>General</a:t>
          </a:r>
          <a:r>
            <a:rPr lang="en-US" sz="1600" b="1" u="sng" baseline="0">
              <a:solidFill>
                <a:srgbClr val="747474"/>
              </a:solidFill>
              <a:latin typeface="+mj-lt"/>
            </a:rPr>
            <a:t> Information:</a:t>
          </a:r>
        </a:p>
        <a:p>
          <a:endParaRPr lang="en-US" sz="1100" baseline="0">
            <a:solidFill>
              <a:srgbClr val="747474"/>
            </a:solidFill>
            <a:latin typeface="+mj-lt"/>
          </a:endParaRPr>
        </a:p>
        <a:p>
          <a:r>
            <a:rPr lang="en-US" sz="1400" i="0" u="sng">
              <a:solidFill>
                <a:srgbClr val="747474"/>
              </a:solidFill>
              <a:latin typeface="+mj-lt"/>
            </a:rPr>
            <a:t>When to</a:t>
          </a:r>
          <a:r>
            <a:rPr lang="en-US" sz="1400" i="0" u="sng" baseline="0">
              <a:solidFill>
                <a:srgbClr val="747474"/>
              </a:solidFill>
              <a:latin typeface="+mj-lt"/>
            </a:rPr>
            <a:t> use RPA vs DMC:</a:t>
          </a:r>
        </a:p>
        <a:p>
          <a:r>
            <a:rPr lang="en-US" sz="1200" baseline="0">
              <a:solidFill>
                <a:srgbClr val="747474"/>
              </a:solidFill>
            </a:rPr>
            <a:t>The fact sheet from your most recently renewed NPDES Permit provides a RPA that can be used for the HWA.</a:t>
          </a:r>
        </a:p>
        <a:p>
          <a:r>
            <a:rPr lang="en-US" sz="1200" baseline="0">
              <a:solidFill>
                <a:srgbClr val="747474"/>
              </a:solidFill>
              <a:effectLst/>
              <a:latin typeface="+mn-lt"/>
              <a:ea typeface="+mn-ea"/>
              <a:cs typeface="+mn-cs"/>
            </a:rPr>
            <a:t>All RPAs from 2017 or before can not be used and the DMC must be used instead.</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747474"/>
              </a:solidFill>
              <a:effectLst/>
              <a:latin typeface="+mn-lt"/>
              <a:ea typeface="+mn-ea"/>
              <a:cs typeface="+mn-cs"/>
            </a:rPr>
            <a:t>If there is updated hardness data available than the data in the RPA, use the Dissolved Metals Calculator (DMC).</a:t>
          </a:r>
          <a:endParaRPr lang="en-US" sz="1200">
            <a:solidFill>
              <a:srgbClr val="747474"/>
            </a:solidFill>
            <a:effectLst/>
          </a:endParaRPr>
        </a:p>
        <a:p>
          <a:endParaRPr lang="en-US" sz="1100">
            <a:solidFill>
              <a:srgbClr val="747474"/>
            </a:solidFill>
          </a:endParaRPr>
        </a:p>
        <a:p>
          <a:pPr marL="0" indent="0"/>
          <a:r>
            <a:rPr lang="en-US" sz="1400" i="0" u="sng">
              <a:solidFill>
                <a:srgbClr val="747474"/>
              </a:solidFill>
              <a:latin typeface="+mj-lt"/>
              <a:ea typeface="+mn-ea"/>
              <a:cs typeface="+mn-cs"/>
            </a:rPr>
            <a:t>Water Quality Standards:</a:t>
          </a:r>
        </a:p>
        <a:p>
          <a:r>
            <a:rPr lang="en-US" sz="1200">
              <a:solidFill>
                <a:srgbClr val="747474"/>
              </a:solidFill>
            </a:rPr>
            <a:t>The compunds in grey are always the same because they are water</a:t>
          </a:r>
          <a:r>
            <a:rPr lang="en-US" sz="1200" baseline="0">
              <a:solidFill>
                <a:srgbClr val="747474"/>
              </a:solidFill>
            </a:rPr>
            <a:t> quaility stream standards, which are not hardness dependent.</a:t>
          </a:r>
        </a:p>
        <a:p>
          <a:r>
            <a:rPr lang="en-US" sz="1200" baseline="0">
              <a:solidFill>
                <a:srgbClr val="747474"/>
              </a:solidFill>
            </a:rPr>
            <a:t>The compunds in white will change based on the hardness values that are used.</a:t>
          </a:r>
          <a:endParaRPr lang="en-US" sz="1200">
            <a:solidFill>
              <a:srgbClr val="747474"/>
            </a:solidFill>
          </a:endParaRPr>
        </a:p>
        <a:p>
          <a:endParaRPr lang="en-US" sz="1100">
            <a:solidFill>
              <a:srgbClr val="747474"/>
            </a:solidFill>
          </a:endParaRPr>
        </a:p>
        <a:p>
          <a:pPr marL="0" indent="0"/>
          <a:r>
            <a:rPr lang="en-US" sz="1400" i="0" u="sng">
              <a:solidFill>
                <a:srgbClr val="747474"/>
              </a:solidFill>
              <a:latin typeface="+mj-lt"/>
              <a:ea typeface="+mn-ea"/>
              <a:cs typeface="+mn-cs"/>
            </a:rPr>
            <a:t>Stream Classifications:</a:t>
          </a:r>
        </a:p>
        <a:p>
          <a:r>
            <a:rPr lang="en-US" sz="1200">
              <a:solidFill>
                <a:srgbClr val="747474"/>
              </a:solidFill>
            </a:rPr>
            <a:t>Class C: Use</a:t>
          </a:r>
          <a:r>
            <a:rPr lang="en-US" sz="1200" baseline="0">
              <a:solidFill>
                <a:srgbClr val="747474"/>
              </a:solidFill>
            </a:rPr>
            <a:t> aquatic life stream standards (a)</a:t>
          </a:r>
          <a:endParaRPr lang="en-US" sz="1200">
            <a:solidFill>
              <a:srgbClr val="747474"/>
            </a:solidFill>
          </a:endParaRPr>
        </a:p>
        <a:p>
          <a:r>
            <a:rPr lang="en-US" sz="1200" baseline="0">
              <a:solidFill>
                <a:srgbClr val="747474"/>
              </a:solidFill>
            </a:rPr>
            <a:t>Class WS: Use water supply stream standards(WS)</a:t>
          </a:r>
        </a:p>
        <a:p>
          <a:endParaRPr lang="en-US" sz="1100" baseline="0">
            <a:solidFill>
              <a:srgbClr val="747474"/>
            </a:solidFill>
          </a:endParaRPr>
        </a:p>
        <a:p>
          <a:pPr marL="0" indent="0"/>
          <a:r>
            <a:rPr lang="en-US" sz="1400" i="0" u="sng">
              <a:solidFill>
                <a:srgbClr val="747474"/>
              </a:solidFill>
              <a:latin typeface="+mj-lt"/>
              <a:ea typeface="+mn-ea"/>
              <a:cs typeface="+mn-cs"/>
            </a:rPr>
            <a:t>How to use the DMC:</a:t>
          </a:r>
        </a:p>
        <a:p>
          <a:r>
            <a:rPr lang="en-US" sz="1200" baseline="0">
              <a:solidFill>
                <a:srgbClr val="747474"/>
              </a:solidFill>
              <a:effectLst/>
              <a:latin typeface="+mn-lt"/>
              <a:ea typeface="+mn-ea"/>
              <a:cs typeface="+mn-cs"/>
            </a:rPr>
            <a:t>Fill in values under the 5 following yellow boxes: average stream flow, receiving stream summer 7Q10, NPDES flow limit, average upstream hardness, and average effluent hardness. </a:t>
          </a:r>
          <a:endParaRPr lang="en-US" sz="1200" baseline="0">
            <a:solidFill>
              <a:srgbClr val="747474"/>
            </a:solidFill>
          </a:endParaRPr>
        </a:p>
        <a:p>
          <a:r>
            <a:rPr lang="en-US" sz="1200" baseline="0">
              <a:solidFill>
                <a:srgbClr val="747474"/>
              </a:solidFill>
            </a:rPr>
            <a:t>Choose the chronic values in the total metal column as the stream standard for each parameter unless otherwise noted in your NPDES permit. The acute values are the next limiting factor and can be used instead. Use of acute values should be discussed with the Division. Once there are selected values for each parameter, input the values in the HWA under the column "Stream Standard". </a:t>
          </a:r>
          <a:r>
            <a:rPr lang="en-US" sz="1200" b="1" baseline="0">
              <a:solidFill>
                <a:srgbClr val="747474"/>
              </a:solidFill>
            </a:rPr>
            <a:t>Convert to mg/L in the HWA.</a:t>
          </a:r>
        </a:p>
        <a:p>
          <a:r>
            <a:rPr lang="en-US" sz="1200" b="0" baseline="0">
              <a:solidFill>
                <a:srgbClr val="747474"/>
              </a:solidFill>
            </a:rPr>
            <a:t>In the "Stream Standard Source" column in the HWA, "standard" should be written for the grey compounds </a:t>
          </a:r>
          <a:r>
            <a:rPr lang="en-US" sz="1200" b="0" baseline="0">
              <a:solidFill>
                <a:srgbClr val="747474"/>
              </a:solidFill>
              <a:effectLst/>
              <a:latin typeface="+mn-lt"/>
              <a:ea typeface="+mn-ea"/>
              <a:cs typeface="+mn-cs"/>
            </a:rPr>
            <a:t>and "calculated" should be written for the white compounds. </a:t>
          </a:r>
        </a:p>
        <a:p>
          <a:endParaRPr lang="en-US" sz="1200" b="0" baseline="0">
            <a:solidFill>
              <a:srgbClr val="747474"/>
            </a:solidFill>
            <a:effectLst/>
            <a:latin typeface="+mn-lt"/>
            <a:ea typeface="+mn-ea"/>
            <a:cs typeface="+mn-cs"/>
          </a:endParaRPr>
        </a:p>
        <a:p>
          <a:r>
            <a:rPr lang="en-US" sz="1200" b="0" baseline="0">
              <a:solidFill>
                <a:srgbClr val="747474"/>
              </a:solidFill>
              <a:effectLst/>
              <a:latin typeface="+mn-lt"/>
              <a:ea typeface="+mn-ea"/>
              <a:cs typeface="+mn-cs"/>
            </a:rPr>
            <a:t>If using the RPA values, in the "Stream Standard Source" column in the HWA, "standard" should be written for the blue compounds and "RPA" should be written for orange compounds.</a:t>
          </a:r>
          <a:endParaRPr lang="en-US" sz="1200" b="0" baseline="0">
            <a:solidFill>
              <a:srgbClr val="747474"/>
            </a:solidFill>
          </a:endParaRPr>
        </a:p>
        <a:p>
          <a:endParaRPr lang="en-US" sz="1200" baseline="0">
            <a:solidFill>
              <a:srgbClr val="747474"/>
            </a:solidFill>
          </a:endParaRPr>
        </a:p>
        <a:p>
          <a:r>
            <a:rPr lang="en-US" sz="1200" b="0" i="0" u="none" strike="noStrike">
              <a:solidFill>
                <a:srgbClr val="747474"/>
              </a:solidFill>
              <a:effectLst/>
              <a:latin typeface="+mn-lt"/>
              <a:ea typeface="+mn-ea"/>
              <a:cs typeface="+mn-cs"/>
            </a:rPr>
            <a:t>Arsenic has a Human Health standard of 10 ug/L is more stingent than the freshwater standards.  The Permit limit for arsenic would be determined by taking the Human Health Standard and dividing it by an IWC based on the mean annual flow of the receiving stream and the permitted plant flow.</a:t>
          </a:r>
          <a:r>
            <a:rPr lang="en-US" sz="1200">
              <a:solidFill>
                <a:srgbClr val="747474"/>
              </a:solidFill>
              <a:effectLst/>
            </a:rPr>
            <a:t> </a:t>
          </a:r>
        </a:p>
        <a:p>
          <a:endParaRPr lang="en-US" sz="1200" b="0" i="0" u="none" strike="noStrike">
            <a:solidFill>
              <a:srgbClr val="747474"/>
            </a:solidFill>
            <a:effectLst/>
            <a:latin typeface="+mn-lt"/>
            <a:ea typeface="+mn-ea"/>
            <a:cs typeface="+mn-cs"/>
          </a:endParaRPr>
        </a:p>
        <a:p>
          <a:r>
            <a:rPr lang="en-US" sz="1200" b="0" i="0" u="none" strike="noStrike">
              <a:solidFill>
                <a:srgbClr val="747474"/>
              </a:solidFill>
              <a:effectLst/>
              <a:latin typeface="+mn-lt"/>
              <a:ea typeface="+mn-ea"/>
              <a:cs typeface="+mn-cs"/>
            </a:rPr>
            <a:t>Nickel has a Water Supply standard of 25 ug/L and in most cases is more stringent than the freshwater standard. The Permit limit for nickel using the 25 ug/L WS standard would be determined by dividing 25 by an IWC based on the 7Q10 summer flow of the receiving stream and the permitted flow.</a:t>
          </a:r>
        </a:p>
        <a:p>
          <a:endParaRPr lang="en-US" sz="1200" b="0" i="0" u="none" strike="noStrike">
            <a:solidFill>
              <a:srgbClr val="747474"/>
            </a:solidFill>
            <a:effectLst/>
            <a:latin typeface="+mn-lt"/>
            <a:ea typeface="+mn-ea"/>
            <a:cs typeface="+mn-cs"/>
          </a:endParaRPr>
        </a:p>
        <a:p>
          <a:r>
            <a:rPr lang="en-US" sz="1200">
              <a:solidFill>
                <a:srgbClr val="747474"/>
              </a:solidFill>
            </a:rPr>
            <a:t>Lotic systems consist of rapidly flowing freshwater, such as rivers and streams, while lentic systems are characterized by still or standing water, including lakes, ponds, and swamps. </a:t>
          </a:r>
          <a:r>
            <a:rPr lang="en-US" sz="1200" baseline="0">
              <a:solidFill>
                <a:srgbClr val="747474"/>
              </a:solidFill>
              <a:effectLst/>
              <a:latin typeface="+mn-lt"/>
              <a:ea typeface="+mn-ea"/>
              <a:cs typeface="+mn-cs"/>
            </a:rPr>
            <a:t>Use of Lentic Selenium value should be discussed with the Division. </a:t>
          </a:r>
        </a:p>
        <a:p>
          <a:endParaRPr lang="en-US" sz="1200" b="0" i="0" u="none" strike="noStrike">
            <a:solidFill>
              <a:srgbClr val="747474"/>
            </a:solidFill>
            <a:effectLst/>
            <a:latin typeface="+mn-lt"/>
            <a:ea typeface="+mn-ea"/>
            <a:cs typeface="+mn-cs"/>
          </a:endParaRPr>
        </a:p>
        <a:p>
          <a:r>
            <a:rPr lang="en-US" sz="1200" b="0" i="0" u="none" strike="noStrike">
              <a:solidFill>
                <a:srgbClr val="747474"/>
              </a:solidFill>
              <a:effectLst/>
              <a:latin typeface="+mn-lt"/>
              <a:ea typeface="+mn-ea"/>
              <a:cs typeface="+mn-cs"/>
            </a:rPr>
            <a:t>A fixed value of 10 mg/L will be used for TSS.</a:t>
          </a:r>
          <a:r>
            <a:rPr lang="en-US" sz="1200">
              <a:solidFill>
                <a:srgbClr val="747474"/>
              </a:solidFill>
              <a:effectLst/>
            </a:rPr>
            <a:t> </a:t>
          </a:r>
        </a:p>
        <a:p>
          <a:endParaRPr lang="en-US" sz="1200">
            <a:solidFill>
              <a:srgbClr val="747474"/>
            </a:solidFill>
            <a:effectLst/>
          </a:endParaRPr>
        </a:p>
        <a:p>
          <a:r>
            <a:rPr lang="en-US" sz="1200" b="0" i="0" u="none" strike="noStrike">
              <a:solidFill>
                <a:srgbClr val="747474"/>
              </a:solidFill>
              <a:effectLst/>
              <a:latin typeface="+mn-lt"/>
              <a:ea typeface="+mn-ea"/>
              <a:cs typeface="+mn-cs"/>
            </a:rPr>
            <a:t>IWC = Permitted Flow ÷ (Permitted Flow + 7Q10 summer)</a:t>
          </a:r>
          <a:r>
            <a:rPr lang="en-US" sz="1200">
              <a:solidFill>
                <a:srgbClr val="747474"/>
              </a:solidFill>
              <a:effectLst/>
            </a:rPr>
            <a:t> </a:t>
          </a:r>
          <a:endParaRPr lang="en-US" sz="1200">
            <a:solidFill>
              <a:srgbClr val="747474"/>
            </a:solidFill>
          </a:endParaRPr>
        </a:p>
      </xdr:txBody>
    </xdr:sp>
    <xdr:clientData/>
  </xdr:twoCellAnchor>
  <xdr:twoCellAnchor>
    <xdr:from>
      <xdr:col>12</xdr:col>
      <xdr:colOff>142878</xdr:colOff>
      <xdr:row>40</xdr:row>
      <xdr:rowOff>104775</xdr:rowOff>
    </xdr:from>
    <xdr:to>
      <xdr:col>16</xdr:col>
      <xdr:colOff>364030</xdr:colOff>
      <xdr:row>48</xdr:row>
      <xdr:rowOff>88987</xdr:rowOff>
    </xdr:to>
    <xdr:grpSp>
      <xdr:nvGrpSpPr>
        <xdr:cNvPr id="5" name="Group 4">
          <a:extLst>
            <a:ext uri="{FF2B5EF4-FFF2-40B4-BE49-F238E27FC236}">
              <a16:creationId xmlns:a16="http://schemas.microsoft.com/office/drawing/2014/main" id="{3C02C3FE-70C8-4741-9836-3501F7528AA4}"/>
            </a:ext>
          </a:extLst>
        </xdr:cNvPr>
        <xdr:cNvGrpSpPr/>
      </xdr:nvGrpSpPr>
      <xdr:grpSpPr>
        <a:xfrm>
          <a:off x="11215132" y="8332944"/>
          <a:ext cx="3002630" cy="1692451"/>
          <a:chOff x="12226926" y="1177925"/>
          <a:chExt cx="2867040" cy="1679662"/>
        </a:xfrm>
      </xdr:grpSpPr>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91A72C11-4183-09BF-9C47-0174AB22CF84}"/>
                  </a:ext>
                </a:extLst>
              </xdr:cNvPr>
              <xdr:cNvSpPr txBox="1"/>
            </xdr:nvSpPr>
            <xdr:spPr>
              <a:xfrm>
                <a:off x="12957175" y="2066925"/>
                <a:ext cx="1128129" cy="409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400" b="0" i="1">
                          <a:latin typeface="Cambria Math" panose="02040503050406030204" pitchFamily="18" charset="0"/>
                        </a:rPr>
                        <m:t>𝑚𝑔</m:t>
                      </m:r>
                      <m:r>
                        <a:rPr lang="en-US" sz="1400" b="0" i="1">
                          <a:latin typeface="Cambria Math" panose="02040503050406030204" pitchFamily="18" charset="0"/>
                        </a:rPr>
                        <m:t>/</m:t>
                      </m:r>
                      <m:r>
                        <a:rPr lang="en-US" sz="1400" b="0" i="1">
                          <a:latin typeface="Cambria Math" panose="02040503050406030204" pitchFamily="18" charset="0"/>
                        </a:rPr>
                        <m:t>𝐿</m:t>
                      </m:r>
                      <m:r>
                        <a:rPr lang="en-US" sz="1400" b="0" i="1">
                          <a:latin typeface="Cambria Math" panose="02040503050406030204" pitchFamily="18" charset="0"/>
                        </a:rPr>
                        <m:t>=</m:t>
                      </m:r>
                      <m:f>
                        <m:fPr>
                          <m:ctrlPr>
                            <a:rPr lang="en-US" sz="1400" b="0" i="1">
                              <a:latin typeface="Cambria Math" panose="02040503050406030204" pitchFamily="18" charset="0"/>
                            </a:rPr>
                          </m:ctrlPr>
                        </m:fPr>
                        <m:num>
                          <m:r>
                            <a:rPr lang="en-US" sz="1400" b="0" i="1">
                              <a:latin typeface="Cambria Math" panose="02040503050406030204" pitchFamily="18" charset="0"/>
                            </a:rPr>
                            <m:t>𝑢𝑔</m:t>
                          </m:r>
                          <m:r>
                            <a:rPr lang="en-US" sz="1400" b="0" i="1">
                              <a:latin typeface="Cambria Math" panose="02040503050406030204" pitchFamily="18" charset="0"/>
                            </a:rPr>
                            <m:t>/</m:t>
                          </m:r>
                          <m:r>
                            <a:rPr lang="en-US" sz="1400" b="0" i="1">
                              <a:latin typeface="Cambria Math" panose="02040503050406030204" pitchFamily="18" charset="0"/>
                            </a:rPr>
                            <m:t>𝐿</m:t>
                          </m:r>
                        </m:num>
                        <m:den>
                          <m:r>
                            <a:rPr lang="en-US" sz="1400" b="0" i="1">
                              <a:latin typeface="Cambria Math" panose="02040503050406030204" pitchFamily="18" charset="0"/>
                            </a:rPr>
                            <m:t>1000</m:t>
                          </m:r>
                        </m:den>
                      </m:f>
                    </m:oMath>
                  </m:oMathPara>
                </a14:m>
                <a:endParaRPr lang="en-US" sz="1400"/>
              </a:p>
            </xdr:txBody>
          </xdr:sp>
        </mc:Choice>
        <mc:Fallback xmlns="">
          <xdr:sp macro="" textlink="">
            <xdr:nvSpPr>
              <xdr:cNvPr id="6" name="TextBox 5">
                <a:extLst>
                  <a:ext uri="{FF2B5EF4-FFF2-40B4-BE49-F238E27FC236}">
                    <a16:creationId xmlns:a16="http://schemas.microsoft.com/office/drawing/2014/main" id="{91A72C11-4183-09BF-9C47-0174AB22CF84}"/>
                  </a:ext>
                </a:extLst>
              </xdr:cNvPr>
              <xdr:cNvSpPr txBox="1"/>
            </xdr:nvSpPr>
            <xdr:spPr>
              <a:xfrm>
                <a:off x="12957175" y="2066925"/>
                <a:ext cx="1128129" cy="4090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400" b="0" i="0">
                    <a:latin typeface="Cambria Math" panose="02040503050406030204" pitchFamily="18" charset="0"/>
                  </a:rPr>
                  <a:t>𝑚𝑔/𝐿=(𝑢𝑔/𝐿)/1000</a:t>
                </a:r>
                <a:endParaRPr lang="en-US" sz="1400"/>
              </a:p>
            </xdr:txBody>
          </xdr:sp>
        </mc:Fallback>
      </mc:AlternateContent>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1AD0E5CD-1FDC-848B-3BBE-DE19AC8B9D3D}"/>
                  </a:ext>
                </a:extLst>
              </xdr:cNvPr>
              <xdr:cNvSpPr txBox="1"/>
            </xdr:nvSpPr>
            <xdr:spPr>
              <a:xfrm>
                <a:off x="12893674" y="2638424"/>
                <a:ext cx="1602939"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en-US" sz="1400" b="0" i="1">
                        <a:latin typeface="Cambria Math" panose="02040503050406030204" pitchFamily="18" charset="0"/>
                      </a:rPr>
                      <m:t>𝑢𝑔</m:t>
                    </m:r>
                    <m:r>
                      <a:rPr lang="en-US" sz="1400" b="0" i="1">
                        <a:latin typeface="Cambria Math" panose="02040503050406030204" pitchFamily="18" charset="0"/>
                      </a:rPr>
                      <m:t>/</m:t>
                    </m:r>
                    <m:r>
                      <a:rPr lang="en-US" sz="1400" b="0" i="1">
                        <a:latin typeface="Cambria Math" panose="02040503050406030204" pitchFamily="18" charset="0"/>
                      </a:rPr>
                      <m:t>𝐿</m:t>
                    </m:r>
                  </m:oMath>
                </a14:m>
                <a:r>
                  <a:rPr lang="en-US" sz="1400"/>
                  <a:t> =</a:t>
                </a:r>
                <a14:m>
                  <m:oMath xmlns:m="http://schemas.openxmlformats.org/officeDocument/2006/math">
                    <m:r>
                      <a:rPr lang="en-US" sz="1400" b="0" i="1">
                        <a:latin typeface="Cambria Math" panose="02040503050406030204" pitchFamily="18" charset="0"/>
                      </a:rPr>
                      <m:t>𝑚𝑔</m:t>
                    </m:r>
                    <m:r>
                      <a:rPr lang="en-US" sz="1400" b="0" i="1">
                        <a:latin typeface="Cambria Math" panose="02040503050406030204" pitchFamily="18" charset="0"/>
                      </a:rPr>
                      <m:t>/</m:t>
                    </m:r>
                    <m:r>
                      <a:rPr lang="en-US" sz="1400" b="0" i="1">
                        <a:latin typeface="Cambria Math" panose="02040503050406030204" pitchFamily="18" charset="0"/>
                      </a:rPr>
                      <m:t>𝐿</m:t>
                    </m:r>
                  </m:oMath>
                </a14:m>
                <a:r>
                  <a:rPr lang="en-US" sz="1400"/>
                  <a:t> </a:t>
                </a:r>
                <a14:m>
                  <m:oMath xmlns:m="http://schemas.openxmlformats.org/officeDocument/2006/math">
                    <m:r>
                      <a:rPr lang="en-US" sz="1400" b="0" i="1">
                        <a:latin typeface="Cambria Math" panose="02040503050406030204" pitchFamily="18" charset="0"/>
                      </a:rPr>
                      <m:t>𝑥</m:t>
                    </m:r>
                    <m:r>
                      <a:rPr lang="en-US" sz="1400" b="0" i="1">
                        <a:latin typeface="Cambria Math" panose="02040503050406030204" pitchFamily="18" charset="0"/>
                      </a:rPr>
                      <m:t> 1000</m:t>
                    </m:r>
                  </m:oMath>
                </a14:m>
                <a:r>
                  <a:rPr lang="en-US" sz="1400"/>
                  <a:t> </a:t>
                </a:r>
              </a:p>
            </xdr:txBody>
          </xdr:sp>
        </mc:Choice>
        <mc:Fallback xmlns="">
          <xdr:sp macro="" textlink="">
            <xdr:nvSpPr>
              <xdr:cNvPr id="7" name="TextBox 6">
                <a:extLst>
                  <a:ext uri="{FF2B5EF4-FFF2-40B4-BE49-F238E27FC236}">
                    <a16:creationId xmlns:a16="http://schemas.microsoft.com/office/drawing/2014/main" id="{1AD0E5CD-1FDC-848B-3BBE-DE19AC8B9D3D}"/>
                  </a:ext>
                </a:extLst>
              </xdr:cNvPr>
              <xdr:cNvSpPr txBox="1"/>
            </xdr:nvSpPr>
            <xdr:spPr>
              <a:xfrm>
                <a:off x="12893674" y="2638424"/>
                <a:ext cx="1602939"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400" b="0" i="0">
                    <a:latin typeface="Cambria Math" panose="02040503050406030204" pitchFamily="18" charset="0"/>
                  </a:rPr>
                  <a:t>𝑢𝑔/𝐿</a:t>
                </a:r>
                <a:r>
                  <a:rPr lang="en-US" sz="1400"/>
                  <a:t> =</a:t>
                </a:r>
                <a:r>
                  <a:rPr lang="en-US" sz="1400" b="0" i="0">
                    <a:latin typeface="Cambria Math" panose="02040503050406030204" pitchFamily="18" charset="0"/>
                  </a:rPr>
                  <a:t>𝑚𝑔/𝐿</a:t>
                </a:r>
                <a:r>
                  <a:rPr lang="en-US" sz="1400"/>
                  <a:t> </a:t>
                </a:r>
                <a:r>
                  <a:rPr lang="en-US" sz="1400" b="0" i="0">
                    <a:latin typeface="Cambria Math" panose="02040503050406030204" pitchFamily="18" charset="0"/>
                  </a:rPr>
                  <a:t>𝑥 1000</a:t>
                </a:r>
                <a:r>
                  <a:rPr lang="en-US" sz="1400"/>
                  <a:t> </a:t>
                </a:r>
              </a:p>
            </xdr:txBody>
          </xdr:sp>
        </mc:Fallback>
      </mc:AlternateContent>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B764EC7A-FA02-FBDB-CDAD-639BC393D322}"/>
                  </a:ext>
                </a:extLst>
              </xdr:cNvPr>
              <xdr:cNvSpPr txBox="1"/>
            </xdr:nvSpPr>
            <xdr:spPr>
              <a:xfrm>
                <a:off x="12226926" y="1177925"/>
                <a:ext cx="2867040" cy="779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lang="en-US" sz="1400" b="0" i="0">
                          <a:latin typeface="Cambria Math" panose="02040503050406030204" pitchFamily="18" charset="0"/>
                        </a:rPr>
                        <m:t>Dissolved</m:t>
                      </m:r>
                      <m:r>
                        <m:rPr>
                          <m:nor/>
                        </m:rPr>
                        <a:rPr lang="en-US" sz="1400" b="0" i="0">
                          <a:latin typeface="Cambria Math" panose="02040503050406030204" pitchFamily="18" charset="0"/>
                        </a:rPr>
                        <m:t> </m:t>
                      </m:r>
                      <m:r>
                        <m:rPr>
                          <m:nor/>
                        </m:rPr>
                        <a:rPr lang="en-US" sz="1400" b="0" i="0">
                          <a:latin typeface="Cambria Math" panose="02040503050406030204" pitchFamily="18" charset="0"/>
                        </a:rPr>
                        <m:t>Metals</m:t>
                      </m:r>
                      <m:r>
                        <m:rPr>
                          <m:nor/>
                        </m:rPr>
                        <a:rPr lang="en-US" sz="1400" b="0" i="0">
                          <a:latin typeface="Cambria Math" panose="02040503050406030204" pitchFamily="18" charset="0"/>
                        </a:rPr>
                        <m:t> </m:t>
                      </m:r>
                      <m:r>
                        <m:rPr>
                          <m:nor/>
                        </m:rPr>
                        <a:rPr lang="en-US" sz="1400" b="0" i="0">
                          <a:latin typeface="Cambria Math" panose="02040503050406030204" pitchFamily="18" charset="0"/>
                        </a:rPr>
                        <m:t>Calucaltor</m:t>
                      </m:r>
                      <m:r>
                        <m:rPr>
                          <m:nor/>
                        </m:rPr>
                        <a:rPr lang="en-US" sz="1400" b="0" i="0">
                          <a:latin typeface="Cambria Math" panose="02040503050406030204" pitchFamily="18" charset="0"/>
                        </a:rPr>
                        <m:t> </m:t>
                      </m:r>
                      <m:r>
                        <m:rPr>
                          <m:nor/>
                        </m:rPr>
                        <a:rPr lang="en-US" sz="1400" b="0" i="0">
                          <a:latin typeface="Cambria Math" panose="02040503050406030204" pitchFamily="18" charset="0"/>
                        </a:rPr>
                        <m:t>is</m:t>
                      </m:r>
                      <m:r>
                        <m:rPr>
                          <m:nor/>
                        </m:rPr>
                        <a:rPr lang="en-US" sz="1400" b="0" i="0">
                          <a:latin typeface="Cambria Math" panose="02040503050406030204" pitchFamily="18" charset="0"/>
                        </a:rPr>
                        <m:t> </m:t>
                      </m:r>
                      <m:r>
                        <m:rPr>
                          <m:nor/>
                        </m:rPr>
                        <a:rPr lang="en-US" sz="1400" b="0" i="0">
                          <a:latin typeface="Cambria Math" panose="02040503050406030204" pitchFamily="18" charset="0"/>
                        </a:rPr>
                        <m:t>in</m:t>
                      </m:r>
                      <m:r>
                        <m:rPr>
                          <m:nor/>
                        </m:rPr>
                        <a:rPr lang="en-US" sz="1400" b="0" i="0">
                          <a:latin typeface="Cambria Math" panose="02040503050406030204" pitchFamily="18" charset="0"/>
                        </a:rPr>
                        <m:t> </m:t>
                      </m:r>
                      <m:r>
                        <a:rPr lang="en-US" sz="1400" b="0" i="1">
                          <a:latin typeface="Cambria Math" panose="02040503050406030204" pitchFamily="18" charset="0"/>
                        </a:rPr>
                        <m:t>𝑢𝑔</m:t>
                      </m:r>
                      <m:r>
                        <a:rPr lang="en-US" sz="1400" b="0" i="1">
                          <a:latin typeface="Cambria Math" panose="02040503050406030204" pitchFamily="18" charset="0"/>
                        </a:rPr>
                        <m:t>/</m:t>
                      </m:r>
                      <m:r>
                        <a:rPr lang="en-US" sz="1400" b="0" i="1">
                          <a:latin typeface="Cambria Math" panose="02040503050406030204" pitchFamily="18" charset="0"/>
                        </a:rPr>
                        <m:t>𝐿</m:t>
                      </m:r>
                    </m:oMath>
                  </m:oMathPara>
                </a14:m>
                <a:endParaRPr lang="en-US" sz="1400" b="0" i="0">
                  <a:latin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m:rPr>
                          <m:nor/>
                        </m:rPr>
                        <a:rPr lang="en-US" sz="1400" b="0" i="0">
                          <a:latin typeface="Cambria Math" panose="02040503050406030204" pitchFamily="18" charset="0"/>
                        </a:rPr>
                        <m:t>HWA</m:t>
                      </m:r>
                      <m:r>
                        <m:rPr>
                          <m:nor/>
                        </m:rPr>
                        <a:rPr lang="en-US" sz="1400" b="0" i="0">
                          <a:latin typeface="Cambria Math" panose="02040503050406030204" pitchFamily="18" charset="0"/>
                        </a:rPr>
                        <m:t> </m:t>
                      </m:r>
                      <m:r>
                        <m:rPr>
                          <m:nor/>
                        </m:rPr>
                        <a:rPr lang="en-US" sz="1400" b="0" i="0">
                          <a:latin typeface="Cambria Math" panose="02040503050406030204" pitchFamily="18" charset="0"/>
                        </a:rPr>
                        <m:t>Design</m:t>
                      </m:r>
                      <m:r>
                        <m:rPr>
                          <m:nor/>
                        </m:rPr>
                        <a:rPr lang="en-US" sz="1400" b="0" i="0">
                          <a:latin typeface="Cambria Math" panose="02040503050406030204" pitchFamily="18" charset="0"/>
                        </a:rPr>
                        <m:t> </m:t>
                      </m:r>
                      <m:r>
                        <m:rPr>
                          <m:nor/>
                        </m:rPr>
                        <a:rPr lang="en-US" sz="1400" b="0" i="0">
                          <a:latin typeface="Cambria Math" panose="02040503050406030204" pitchFamily="18" charset="0"/>
                        </a:rPr>
                        <m:t>is</m:t>
                      </m:r>
                      <m:r>
                        <m:rPr>
                          <m:nor/>
                        </m:rPr>
                        <a:rPr lang="en-US" sz="1400" b="0" i="0">
                          <a:latin typeface="Cambria Math" panose="02040503050406030204" pitchFamily="18" charset="0"/>
                        </a:rPr>
                        <m:t> </m:t>
                      </m:r>
                      <m:r>
                        <m:rPr>
                          <m:nor/>
                        </m:rPr>
                        <a:rPr lang="en-US" sz="1400" b="0" i="0">
                          <a:latin typeface="Cambria Math" panose="02040503050406030204" pitchFamily="18" charset="0"/>
                        </a:rPr>
                        <m:t>in</m:t>
                      </m:r>
                      <m:r>
                        <m:rPr>
                          <m:nor/>
                        </m:rPr>
                        <a:rPr lang="en-US" sz="1400" b="0" i="0">
                          <a:latin typeface="Cambria Math" panose="02040503050406030204" pitchFamily="18" charset="0"/>
                        </a:rPr>
                        <m:t> </m:t>
                      </m:r>
                      <m:r>
                        <a:rPr lang="en-US" sz="1400" b="0" i="1">
                          <a:latin typeface="Cambria Math" panose="02040503050406030204" pitchFamily="18" charset="0"/>
                        </a:rPr>
                        <m:t>𝑚𝑔</m:t>
                      </m:r>
                      <m:r>
                        <a:rPr lang="en-US" sz="1400" b="0" i="1">
                          <a:latin typeface="Cambria Math" panose="02040503050406030204" pitchFamily="18" charset="0"/>
                        </a:rPr>
                        <m:t>/</m:t>
                      </m:r>
                      <m:r>
                        <a:rPr lang="en-US" sz="1400" b="0" i="1">
                          <a:latin typeface="Cambria Math" panose="02040503050406030204" pitchFamily="18" charset="0"/>
                        </a:rPr>
                        <m:t>𝐿</m:t>
                      </m:r>
                      <m:r>
                        <a:rPr lang="en-US" sz="1400" b="0" i="1">
                          <a:latin typeface="Cambria Math" panose="02040503050406030204" pitchFamily="18" charset="0"/>
                        </a:rPr>
                        <m:t> </m:t>
                      </m:r>
                    </m:oMath>
                  </m:oMathPara>
                </a14:m>
                <a:endParaRPr lang="en-US" sz="1400"/>
              </a:p>
              <a:p>
                <a:endParaRPr lang="en-US" sz="1400">
                  <a:latin typeface="Cambria Math" panose="02040503050406030204" pitchFamily="18" charset="0"/>
                  <a:ea typeface="Cambria Math" panose="02040503050406030204" pitchFamily="18" charset="0"/>
                </a:endParaRPr>
              </a:p>
              <a:p>
                <a:r>
                  <a:rPr lang="en-US" sz="1400" b="1">
                    <a:latin typeface="Cambria Math" panose="02040503050406030204" pitchFamily="18" charset="0"/>
                    <a:ea typeface="Cambria Math" panose="02040503050406030204" pitchFamily="18" charset="0"/>
                  </a:rPr>
                  <a:t>   Use</a:t>
                </a:r>
                <a:r>
                  <a:rPr lang="en-US" sz="1400" b="1" baseline="0">
                    <a:latin typeface="Cambria Math" panose="02040503050406030204" pitchFamily="18" charset="0"/>
                    <a:ea typeface="Cambria Math" panose="02040503050406030204" pitchFamily="18" charset="0"/>
                  </a:rPr>
                  <a:t> Conversion:</a:t>
                </a:r>
                <a:endParaRPr lang="en-US" sz="1400" b="1">
                  <a:latin typeface="Cambria Math" panose="02040503050406030204" pitchFamily="18" charset="0"/>
                  <a:ea typeface="Cambria Math" panose="02040503050406030204" pitchFamily="18" charset="0"/>
                </a:endParaRPr>
              </a:p>
            </xdr:txBody>
          </xdr:sp>
        </mc:Choice>
        <mc:Fallback xmlns="">
          <xdr:sp macro="" textlink="">
            <xdr:nvSpPr>
              <xdr:cNvPr id="8" name="TextBox 7">
                <a:extLst>
                  <a:ext uri="{FF2B5EF4-FFF2-40B4-BE49-F238E27FC236}">
                    <a16:creationId xmlns:a16="http://schemas.microsoft.com/office/drawing/2014/main" id="{B764EC7A-FA02-FBDB-CDAD-639BC393D322}"/>
                  </a:ext>
                </a:extLst>
              </xdr:cNvPr>
              <xdr:cNvSpPr txBox="1"/>
            </xdr:nvSpPr>
            <xdr:spPr>
              <a:xfrm>
                <a:off x="12226926" y="1177925"/>
                <a:ext cx="2867040" cy="7799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400" b="0" i="0">
                    <a:latin typeface="Cambria Math" panose="02040503050406030204" pitchFamily="18" charset="0"/>
                  </a:rPr>
                  <a:t>"Dissolved Metals Calucaltor is in " 𝑢𝑔/𝐿</a:t>
                </a:r>
              </a:p>
              <a:p>
                <a:pPr/>
                <a:r>
                  <a:rPr lang="en-US" sz="1400" b="0" i="0">
                    <a:latin typeface="Cambria Math" panose="02040503050406030204" pitchFamily="18" charset="0"/>
                  </a:rPr>
                  <a:t>"HWA Design is in " 𝑚𝑔/𝐿 </a:t>
                </a:r>
                <a:endParaRPr lang="en-US" sz="1400"/>
              </a:p>
              <a:p>
                <a:endParaRPr lang="en-US" sz="1400">
                  <a:latin typeface="Cambria Math" panose="02040503050406030204" pitchFamily="18" charset="0"/>
                  <a:ea typeface="Cambria Math" panose="02040503050406030204" pitchFamily="18" charset="0"/>
                </a:endParaRPr>
              </a:p>
              <a:p>
                <a:r>
                  <a:rPr lang="en-US" sz="1400" b="1">
                    <a:latin typeface="Cambria Math" panose="02040503050406030204" pitchFamily="18" charset="0"/>
                    <a:ea typeface="Cambria Math" panose="02040503050406030204" pitchFamily="18" charset="0"/>
                  </a:rPr>
                  <a:t>   Use</a:t>
                </a:r>
                <a:r>
                  <a:rPr lang="en-US" sz="1400" b="1" baseline="0">
                    <a:latin typeface="Cambria Math" panose="02040503050406030204" pitchFamily="18" charset="0"/>
                    <a:ea typeface="Cambria Math" panose="02040503050406030204" pitchFamily="18" charset="0"/>
                  </a:rPr>
                  <a:t> Conversion:</a:t>
                </a:r>
                <a:endParaRPr lang="en-US" sz="1400" b="1">
                  <a:latin typeface="Cambria Math" panose="02040503050406030204" pitchFamily="18" charset="0"/>
                  <a:ea typeface="Cambria Math" panose="02040503050406030204" pitchFamily="18" charset="0"/>
                </a:endParaRPr>
              </a:p>
            </xdr:txBody>
          </xdr:sp>
        </mc:Fallback>
      </mc:AlternateContent>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5"/>
  <sheetViews>
    <sheetView topLeftCell="A2" zoomScale="71" zoomScaleNormal="100" zoomScaleSheetLayoutView="50" workbookViewId="0">
      <selection activeCell="A34" sqref="A34"/>
    </sheetView>
  </sheetViews>
  <sheetFormatPr defaultRowHeight="15.5" x14ac:dyDescent="0.35"/>
  <cols>
    <col min="1" max="1" width="22.84375" customWidth="1"/>
    <col min="2" max="2" width="10" customWidth="1"/>
    <col min="3" max="3" width="9.765625" customWidth="1"/>
    <col min="4" max="4" width="11" customWidth="1"/>
    <col min="5" max="5" width="8.4609375" customWidth="1"/>
    <col min="6" max="6" width="8.765625" customWidth="1"/>
    <col min="7" max="7" width="9.84375" customWidth="1"/>
    <col min="8" max="8" width="11.4609375" customWidth="1"/>
    <col min="9" max="9" width="10.84375" customWidth="1"/>
    <col min="10" max="10" width="10.4609375" customWidth="1"/>
    <col min="11" max="11" width="10.84375" customWidth="1"/>
    <col min="12" max="12" width="9.765625" bestFit="1" customWidth="1"/>
    <col min="13" max="14" width="8.84375" customWidth="1"/>
    <col min="15" max="15" width="8.07421875" bestFit="1" customWidth="1"/>
    <col min="16" max="16" width="7.84375" style="1" bestFit="1" customWidth="1"/>
    <col min="17" max="17" width="8.84375" customWidth="1"/>
  </cols>
  <sheetData>
    <row r="1" spans="1:16" ht="36" customHeight="1" thickTop="1" x14ac:dyDescent="0.35">
      <c r="A1" s="193" t="s">
        <v>0</v>
      </c>
      <c r="B1" s="194"/>
      <c r="C1" s="194"/>
      <c r="D1" s="194"/>
      <c r="E1" s="194"/>
      <c r="F1" s="194"/>
      <c r="G1" s="194"/>
      <c r="H1" s="194"/>
      <c r="I1" s="195"/>
      <c r="J1" s="186" t="s">
        <v>50</v>
      </c>
      <c r="K1" s="187"/>
      <c r="L1" s="188"/>
      <c r="P1"/>
    </row>
    <row r="2" spans="1:16" ht="36" customHeight="1" thickBot="1" x14ac:dyDescent="0.4">
      <c r="A2" s="196"/>
      <c r="B2" s="197"/>
      <c r="C2" s="197"/>
      <c r="D2" s="197"/>
      <c r="E2" s="197"/>
      <c r="F2" s="197"/>
      <c r="G2" s="197"/>
      <c r="H2" s="197"/>
      <c r="I2" s="198"/>
      <c r="J2" s="186"/>
      <c r="K2" s="187"/>
      <c r="L2" s="188"/>
      <c r="O2" s="7"/>
      <c r="P2"/>
    </row>
    <row r="3" spans="1:16" ht="16.5" thickTop="1" thickBot="1" x14ac:dyDescent="0.4">
      <c r="A3" s="125" t="s">
        <v>1</v>
      </c>
      <c r="B3" s="11"/>
      <c r="C3" s="35"/>
      <c r="D3" s="126" t="s">
        <v>2</v>
      </c>
      <c r="E3" s="35"/>
      <c r="F3" s="126" t="s">
        <v>3</v>
      </c>
      <c r="G3" s="126" t="s">
        <v>4</v>
      </c>
      <c r="H3" s="36"/>
      <c r="I3" s="12"/>
      <c r="J3" s="14"/>
      <c r="K3" s="15"/>
      <c r="L3" s="16"/>
      <c r="O3" s="7"/>
      <c r="P3"/>
    </row>
    <row r="4" spans="1:16" ht="21" customHeight="1" thickTop="1" thickBot="1" x14ac:dyDescent="0.4">
      <c r="A4" s="191" t="s">
        <v>49</v>
      </c>
      <c r="B4" s="192"/>
      <c r="C4" s="37"/>
      <c r="D4" s="30" t="s">
        <v>55</v>
      </c>
      <c r="E4" s="35"/>
      <c r="F4" s="38">
        <v>46023</v>
      </c>
      <c r="G4" s="31" t="s">
        <v>56</v>
      </c>
      <c r="H4" s="39"/>
      <c r="I4" s="12"/>
      <c r="J4" s="14"/>
      <c r="K4" s="15"/>
      <c r="L4" s="17"/>
      <c r="O4" s="7"/>
      <c r="P4"/>
    </row>
    <row r="5" spans="1:16" ht="19.5" customHeight="1" thickTop="1" thickBot="1" x14ac:dyDescent="0.4">
      <c r="A5" s="2"/>
      <c r="B5" s="2"/>
      <c r="C5" s="2"/>
      <c r="D5" s="2"/>
      <c r="E5" s="2"/>
      <c r="F5" s="2"/>
      <c r="G5" s="2"/>
      <c r="H5" s="12" t="s">
        <v>5</v>
      </c>
      <c r="I5" s="12"/>
      <c r="J5" s="14"/>
      <c r="K5" s="15"/>
      <c r="L5" s="17"/>
      <c r="P5"/>
    </row>
    <row r="6" spans="1:16" s="7" customFormat="1" ht="20.25" customHeight="1" thickTop="1" x14ac:dyDescent="0.35">
      <c r="A6" s="217" t="s">
        <v>46</v>
      </c>
      <c r="B6" s="228" t="s">
        <v>6</v>
      </c>
      <c r="C6" s="230" t="s">
        <v>7</v>
      </c>
      <c r="D6" s="6" t="s">
        <v>8</v>
      </c>
      <c r="E6" s="217" t="s">
        <v>47</v>
      </c>
      <c r="F6" s="183" t="s">
        <v>9</v>
      </c>
      <c r="G6" s="183" t="s">
        <v>10</v>
      </c>
      <c r="H6" s="222" t="s">
        <v>11</v>
      </c>
      <c r="I6" s="225" t="s">
        <v>12</v>
      </c>
      <c r="J6" s="232" t="s">
        <v>13</v>
      </c>
      <c r="K6" s="180" t="s">
        <v>14</v>
      </c>
      <c r="L6" s="19"/>
    </row>
    <row r="7" spans="1:16" s="7" customFormat="1" x14ac:dyDescent="0.35">
      <c r="A7" s="218"/>
      <c r="B7" s="229"/>
      <c r="C7" s="231"/>
      <c r="D7" s="8" t="s">
        <v>15</v>
      </c>
      <c r="E7" s="218"/>
      <c r="F7" s="184"/>
      <c r="G7" s="184"/>
      <c r="H7" s="223"/>
      <c r="I7" s="226"/>
      <c r="J7" s="233"/>
      <c r="K7" s="181"/>
      <c r="L7" s="20"/>
    </row>
    <row r="8" spans="1:16" s="7" customFormat="1" ht="23.5" customHeight="1" thickBot="1" x14ac:dyDescent="0.4">
      <c r="A8" s="219"/>
      <c r="B8" s="229"/>
      <c r="C8" s="231"/>
      <c r="D8" s="9" t="s">
        <v>16</v>
      </c>
      <c r="E8" s="219"/>
      <c r="F8" s="185"/>
      <c r="G8" s="185"/>
      <c r="H8" s="224"/>
      <c r="I8" s="227"/>
      <c r="J8" s="234"/>
      <c r="K8" s="182"/>
      <c r="L8" s="20"/>
    </row>
    <row r="9" spans="1:16" ht="16.5" thickTop="1" thickBot="1" x14ac:dyDescent="0.4">
      <c r="A9" s="40">
        <v>0</v>
      </c>
      <c r="B9" s="34">
        <v>0</v>
      </c>
      <c r="C9" s="33">
        <f>B9/1.55</f>
        <v>0</v>
      </c>
      <c r="D9" s="24">
        <f>0.843*((C9)^0.993)</f>
        <v>0</v>
      </c>
      <c r="E9" s="25">
        <v>0</v>
      </c>
      <c r="F9" s="22">
        <v>10</v>
      </c>
      <c r="G9" s="28" t="e">
        <f>IF((($J$9*$C$9)+($K$9*$E$9))/($E$9+$C$9)&lt;25,25,(($J$9*$C$9)+($K$9*$E$9))/($E$9+$C$9))</f>
        <v>#DIV/0!</v>
      </c>
      <c r="H9" s="10" t="e">
        <f>$E$9/($C$9+$E$9)</f>
        <v>#DIV/0!</v>
      </c>
      <c r="I9" s="13" t="e">
        <f>$E$9/($D$9+$E$9)</f>
        <v>#DIV/0!</v>
      </c>
      <c r="J9" s="27">
        <v>25</v>
      </c>
      <c r="K9" s="27">
        <v>25</v>
      </c>
      <c r="L9" s="5"/>
      <c r="P9"/>
    </row>
    <row r="10" spans="1:16" ht="16.5" thickTop="1" thickBot="1" x14ac:dyDescent="0.4">
      <c r="A10" s="41"/>
      <c r="B10" s="2"/>
      <c r="C10" s="3"/>
      <c r="D10" s="2"/>
      <c r="E10" s="23"/>
      <c r="F10" s="2"/>
      <c r="G10" s="29" t="s">
        <v>5</v>
      </c>
      <c r="H10" s="2"/>
      <c r="I10" s="2"/>
      <c r="J10" s="21"/>
      <c r="K10" s="26" t="s">
        <v>5</v>
      </c>
      <c r="L10" s="18"/>
      <c r="P10"/>
    </row>
    <row r="11" spans="1:16" ht="21.75" customHeight="1" thickTop="1" thickBot="1" x14ac:dyDescent="0.4">
      <c r="A11" s="124" t="s">
        <v>17</v>
      </c>
      <c r="B11" s="152"/>
      <c r="C11" s="152"/>
      <c r="D11" s="152"/>
      <c r="E11" s="152"/>
      <c r="F11" s="152"/>
      <c r="G11" s="152"/>
      <c r="H11" s="152"/>
      <c r="I11" s="2"/>
      <c r="J11" s="153" t="s">
        <v>18</v>
      </c>
      <c r="K11" s="154"/>
      <c r="L11" s="18"/>
      <c r="N11" s="7"/>
      <c r="P11"/>
    </row>
    <row r="12" spans="1:16" ht="16.5" thickTop="1" thickBot="1" x14ac:dyDescent="0.4">
      <c r="A12" s="60"/>
      <c r="B12" s="85">
        <v>2</v>
      </c>
      <c r="C12" s="84">
        <v>3</v>
      </c>
      <c r="D12" s="42">
        <v>4</v>
      </c>
      <c r="E12" s="85">
        <v>5</v>
      </c>
      <c r="F12" s="84">
        <v>6</v>
      </c>
      <c r="G12" s="87">
        <v>7</v>
      </c>
      <c r="H12" s="86">
        <v>8</v>
      </c>
      <c r="I12" s="88"/>
      <c r="J12" s="94">
        <v>9</v>
      </c>
      <c r="K12" s="95">
        <v>10</v>
      </c>
      <c r="P12"/>
    </row>
    <row r="13" spans="1:16" ht="15.75" customHeight="1" thickTop="1" x14ac:dyDescent="0.35">
      <c r="A13" s="215"/>
      <c r="B13" s="199" t="s">
        <v>19</v>
      </c>
      <c r="C13" s="200"/>
      <c r="D13" s="189" t="s">
        <v>20</v>
      </c>
      <c r="E13" s="205" t="s">
        <v>48</v>
      </c>
      <c r="F13" s="206"/>
      <c r="G13" s="209" t="s">
        <v>53</v>
      </c>
      <c r="H13" s="210"/>
      <c r="I13" s="88"/>
      <c r="J13" s="220" t="s">
        <v>54</v>
      </c>
      <c r="K13" s="221"/>
      <c r="L13" s="4"/>
      <c r="P13"/>
    </row>
    <row r="14" spans="1:16" ht="15" customHeight="1" x14ac:dyDescent="0.35">
      <c r="A14" s="216"/>
      <c r="B14" s="201"/>
      <c r="C14" s="202"/>
      <c r="D14" s="190"/>
      <c r="E14" s="207"/>
      <c r="F14" s="208"/>
      <c r="G14" s="211"/>
      <c r="H14" s="212"/>
      <c r="I14" s="88"/>
      <c r="J14" s="211"/>
      <c r="K14" s="212"/>
      <c r="L14" s="4"/>
      <c r="P14"/>
    </row>
    <row r="15" spans="1:16" ht="15.75" customHeight="1" thickBot="1" x14ac:dyDescent="0.4">
      <c r="A15" s="216"/>
      <c r="B15" s="203"/>
      <c r="C15" s="204"/>
      <c r="D15" s="190"/>
      <c r="E15" s="207"/>
      <c r="F15" s="208"/>
      <c r="G15" s="213"/>
      <c r="H15" s="214"/>
      <c r="I15" s="88"/>
      <c r="J15" s="213"/>
      <c r="K15" s="214"/>
      <c r="L15" s="4"/>
      <c r="P15"/>
    </row>
    <row r="16" spans="1:16" ht="16.5" thickTop="1" thickBot="1" x14ac:dyDescent="0.4">
      <c r="A16" s="216"/>
      <c r="B16" s="55" t="s">
        <v>21</v>
      </c>
      <c r="C16" s="64" t="s">
        <v>22</v>
      </c>
      <c r="D16" s="150"/>
      <c r="E16" s="109" t="s">
        <v>21</v>
      </c>
      <c r="F16" s="75" t="s">
        <v>22</v>
      </c>
      <c r="G16" s="142" t="s">
        <v>21</v>
      </c>
      <c r="H16" s="143" t="s">
        <v>22</v>
      </c>
      <c r="I16" s="88"/>
      <c r="J16" s="142" t="s">
        <v>21</v>
      </c>
      <c r="K16" s="143" t="s">
        <v>22</v>
      </c>
      <c r="L16" s="4"/>
      <c r="P16"/>
    </row>
    <row r="17" spans="1:16" x14ac:dyDescent="0.35">
      <c r="A17" s="56" t="s">
        <v>23</v>
      </c>
      <c r="B17" s="43" t="s">
        <v>24</v>
      </c>
      <c r="C17" s="65" t="s">
        <v>24</v>
      </c>
      <c r="D17" s="151"/>
      <c r="E17" s="110" t="s">
        <v>24</v>
      </c>
      <c r="F17" s="76" t="s">
        <v>24</v>
      </c>
      <c r="G17" s="144" t="s">
        <v>24</v>
      </c>
      <c r="H17" s="145" t="s">
        <v>24</v>
      </c>
      <c r="I17" s="89"/>
      <c r="J17" s="144" t="s">
        <v>24</v>
      </c>
      <c r="K17" s="145" t="s">
        <v>24</v>
      </c>
      <c r="L17" s="4"/>
      <c r="P17"/>
    </row>
    <row r="18" spans="1:16" x14ac:dyDescent="0.35">
      <c r="A18" s="57" t="s">
        <v>25</v>
      </c>
      <c r="B18" s="44">
        <v>150</v>
      </c>
      <c r="C18" s="66">
        <v>340</v>
      </c>
      <c r="D18" s="61">
        <v>1</v>
      </c>
      <c r="E18" s="111">
        <v>150</v>
      </c>
      <c r="F18" s="77">
        <v>340</v>
      </c>
      <c r="G18" s="156" t="e">
        <f t="shared" ref="G18:G24" si="0">((E18)*($C$9+$E$9))/$E$9</f>
        <v>#DIV/0!</v>
      </c>
      <c r="H18" s="157" t="e">
        <f>((F18)*($D$9+$E$9))/$E$9</f>
        <v>#DIV/0!</v>
      </c>
      <c r="I18" s="88"/>
      <c r="J18" s="156" t="e">
        <f>((E18/2)*($C$9+$E$9))/$E$9</f>
        <v>#DIV/0!</v>
      </c>
      <c r="K18" s="157" t="e">
        <f>((F18/2)*($D$9+$E$9))/$E$9</f>
        <v>#DIV/0!</v>
      </c>
      <c r="L18" s="4"/>
      <c r="P18"/>
    </row>
    <row r="19" spans="1:16" x14ac:dyDescent="0.35">
      <c r="A19" s="57" t="s">
        <v>26</v>
      </c>
      <c r="B19" s="44">
        <v>10</v>
      </c>
      <c r="C19" s="66" t="s">
        <v>27</v>
      </c>
      <c r="D19" s="61">
        <v>1</v>
      </c>
      <c r="E19" s="111">
        <v>10</v>
      </c>
      <c r="F19" s="78" t="s">
        <v>27</v>
      </c>
      <c r="G19" s="156" t="e">
        <f>((E19)*(($A$9/1.55)+$E$9))/$E$9</f>
        <v>#DIV/0!</v>
      </c>
      <c r="H19" s="157" t="s">
        <v>27</v>
      </c>
      <c r="I19" s="90"/>
      <c r="J19" s="156" t="e">
        <f>((E19/2)*($C$9+$E$9))/$E$9</f>
        <v>#DIV/0!</v>
      </c>
      <c r="K19" s="157" t="s">
        <v>27</v>
      </c>
      <c r="L19" s="4"/>
      <c r="P19"/>
    </row>
    <row r="20" spans="1:16" ht="16" thickBot="1" x14ac:dyDescent="0.4">
      <c r="A20" s="57" t="s">
        <v>28</v>
      </c>
      <c r="B20" s="44">
        <v>6.5</v>
      </c>
      <c r="C20" s="66">
        <v>65</v>
      </c>
      <c r="D20" s="61">
        <v>1</v>
      </c>
      <c r="E20" s="112">
        <v>6.5</v>
      </c>
      <c r="F20" s="79">
        <v>65</v>
      </c>
      <c r="G20" s="156" t="e">
        <f>((E20)*($C$9+$E$9))/$E$9</f>
        <v>#DIV/0!</v>
      </c>
      <c r="H20" s="157" t="e">
        <f>((F20)*($D$9+$E$9))/$E$9</f>
        <v>#DIV/0!</v>
      </c>
      <c r="I20" s="91"/>
      <c r="J20" s="156" t="e">
        <f>((E20/2)*($C$9+$E$9))/$E$9</f>
        <v>#DIV/0!</v>
      </c>
      <c r="K20" s="157" t="e">
        <f>((F20/2)*($D$9+$E$9))/$E$9</f>
        <v>#DIV/0!</v>
      </c>
      <c r="L20" s="5"/>
      <c r="P20"/>
    </row>
    <row r="21" spans="1:16" ht="16" thickTop="1" x14ac:dyDescent="0.35">
      <c r="A21" s="58" t="s">
        <v>29</v>
      </c>
      <c r="B21" s="45" t="e">
        <f>(EXP((0.7977*LN(G9))-3.909))*(1.101672-((LN(G9)*(0.041838))))</f>
        <v>#DIV/0!</v>
      </c>
      <c r="C21" s="67" t="e">
        <f>EXP((0.9789*LN(G9))-3.443)*(1.136672-(LN(G9)*(0.041838)))</f>
        <v>#DIV/0!</v>
      </c>
      <c r="D21" s="62">
        <f>1/(1+(0.000001*4000000*($F$9)^(1-1.1307)))</f>
        <v>0.25249557720918481</v>
      </c>
      <c r="E21" s="113" t="e">
        <f>B21/D21</f>
        <v>#DIV/0!</v>
      </c>
      <c r="F21" s="78" t="e">
        <f>C21/D21</f>
        <v>#DIV/0!</v>
      </c>
      <c r="G21" s="158" t="e">
        <f t="shared" si="0"/>
        <v>#DIV/0!</v>
      </c>
      <c r="H21" s="159" t="e">
        <f>((F21)*($D$9+$E$9))/$E$9</f>
        <v>#DIV/0!</v>
      </c>
      <c r="I21" s="89"/>
      <c r="J21" s="158" t="e">
        <f>((E21/2)*($C$9+$E$9))/$E$9</f>
        <v>#DIV/0!</v>
      </c>
      <c r="K21" s="159" t="e">
        <f>((F21/2)*($D$9+$E$9))/$E$9</f>
        <v>#DIV/0!</v>
      </c>
      <c r="L21" s="5"/>
      <c r="P21"/>
    </row>
    <row r="22" spans="1:16" x14ac:dyDescent="0.35">
      <c r="A22" s="57" t="s">
        <v>30</v>
      </c>
      <c r="B22" s="46">
        <v>250000</v>
      </c>
      <c r="C22" s="68" t="s">
        <v>27</v>
      </c>
      <c r="D22" s="63">
        <v>1</v>
      </c>
      <c r="E22" s="114">
        <f>B22/D22</f>
        <v>250000</v>
      </c>
      <c r="F22" s="78" t="s">
        <v>27</v>
      </c>
      <c r="G22" s="160" t="e">
        <f t="shared" si="0"/>
        <v>#DIV/0!</v>
      </c>
      <c r="H22" s="159" t="s">
        <v>27</v>
      </c>
      <c r="I22" s="89"/>
      <c r="J22" s="158" t="e">
        <f>((E22/2)*($C$9+$E$9))/$E$9</f>
        <v>#DIV/0!</v>
      </c>
      <c r="K22" s="159" t="s">
        <v>27</v>
      </c>
      <c r="L22" s="5"/>
      <c r="P22"/>
    </row>
    <row r="23" spans="1:16" hidden="1" x14ac:dyDescent="0.35">
      <c r="A23" s="59" t="s">
        <v>31</v>
      </c>
      <c r="B23" s="47" t="e">
        <f>(EXP((0.819*LN($G$9))+0.6848))*0.86</f>
        <v>#DIV/0!</v>
      </c>
      <c r="C23" s="69" t="e">
        <f>(EXP((0.819*LN($G$9))+3.7256))*0.316</f>
        <v>#DIV/0!</v>
      </c>
      <c r="D23" s="62">
        <f>1/(1+((3360000)*($F$9^(1-0.9304))*0.000001))</f>
        <v>0.20226449122363688</v>
      </c>
      <c r="E23" s="115" t="e">
        <f>B23/D23</f>
        <v>#DIV/0!</v>
      </c>
      <c r="F23" s="80" t="e">
        <f>C23/D23</f>
        <v>#DIV/0!</v>
      </c>
      <c r="G23" s="161" t="e">
        <f t="shared" si="0"/>
        <v>#DIV/0!</v>
      </c>
      <c r="H23" s="162" t="e">
        <f t="shared" ref="H23:H36" si="1">((F23)*($D$9+$E$9))/$E$9</f>
        <v>#DIV/0!</v>
      </c>
      <c r="I23" s="92"/>
      <c r="J23" s="161" t="e">
        <f t="shared" ref="J23:J36" si="2">((E23/2)*($C$9+$E$9))/$E$9</f>
        <v>#DIV/0!</v>
      </c>
      <c r="K23" s="162" t="e">
        <f t="shared" ref="K23:K38" si="3">((F23/2)*($D$9+$E$9))/$E$9</f>
        <v>#DIV/0!</v>
      </c>
      <c r="L23" s="5"/>
      <c r="P23"/>
    </row>
    <row r="24" spans="1:16" x14ac:dyDescent="0.35">
      <c r="A24" s="57" t="s">
        <v>32</v>
      </c>
      <c r="B24" s="48">
        <v>11</v>
      </c>
      <c r="C24" s="70">
        <v>16</v>
      </c>
      <c r="D24" s="63">
        <v>1</v>
      </c>
      <c r="E24" s="114">
        <v>11</v>
      </c>
      <c r="F24" s="81">
        <v>16</v>
      </c>
      <c r="G24" s="161" t="e">
        <f t="shared" si="0"/>
        <v>#DIV/0!</v>
      </c>
      <c r="H24" s="162" t="e">
        <f t="shared" si="1"/>
        <v>#DIV/0!</v>
      </c>
      <c r="I24" s="92"/>
      <c r="J24" s="161" t="e">
        <f t="shared" si="2"/>
        <v>#DIV/0!</v>
      </c>
      <c r="K24" s="162" t="e">
        <f t="shared" si="3"/>
        <v>#DIV/0!</v>
      </c>
      <c r="P24"/>
    </row>
    <row r="25" spans="1:16" hidden="1" x14ac:dyDescent="0.35">
      <c r="A25" s="57" t="s">
        <v>33</v>
      </c>
      <c r="B25" s="49" t="s">
        <v>27</v>
      </c>
      <c r="C25" s="71" t="s">
        <v>27</v>
      </c>
      <c r="D25" s="62" t="s">
        <v>27</v>
      </c>
      <c r="E25" s="116" t="s">
        <v>27</v>
      </c>
      <c r="F25" s="82" t="s">
        <v>27</v>
      </c>
      <c r="G25" s="163" t="s">
        <v>27</v>
      </c>
      <c r="H25" s="162" t="s">
        <v>27</v>
      </c>
      <c r="I25" s="90"/>
      <c r="J25" s="163" t="s">
        <v>27</v>
      </c>
      <c r="K25" s="162" t="s">
        <v>27</v>
      </c>
      <c r="L25" s="4"/>
      <c r="P25"/>
    </row>
    <row r="26" spans="1:16" x14ac:dyDescent="0.35">
      <c r="A26" s="58" t="s">
        <v>34</v>
      </c>
      <c r="B26" s="50" t="e">
        <f>(EXP((0.8545*LN($G$9))-1.702))*0.96</f>
        <v>#DIV/0!</v>
      </c>
      <c r="C26" s="72" t="e">
        <f>(EXP((0.9422*LN($G$9))-1.7))*0.96</f>
        <v>#DIV/0!</v>
      </c>
      <c r="D26" s="62">
        <f>1/(1+((1040000)*($F$9^(1-0.7436))*0.000001))</f>
        <v>0.34760044138413848</v>
      </c>
      <c r="E26" s="113" t="e">
        <f t="shared" ref="E26:E34" si="4">B26/D26</f>
        <v>#DIV/0!</v>
      </c>
      <c r="F26" s="78" t="e">
        <f>C26/D26</f>
        <v>#DIV/0!</v>
      </c>
      <c r="G26" s="158" t="e">
        <f t="shared" ref="G26:G36" si="5">((E26)*($C$9+$E$9))/$E$9</f>
        <v>#DIV/0!</v>
      </c>
      <c r="H26" s="159" t="e">
        <f t="shared" si="1"/>
        <v>#DIV/0!</v>
      </c>
      <c r="I26" s="93"/>
      <c r="J26" s="158" t="e">
        <f t="shared" si="2"/>
        <v>#DIV/0!</v>
      </c>
      <c r="K26" s="159" t="e">
        <f t="shared" si="3"/>
        <v>#DIV/0!</v>
      </c>
      <c r="L26" s="4"/>
      <c r="P26"/>
    </row>
    <row r="27" spans="1:16" x14ac:dyDescent="0.35">
      <c r="A27" s="57" t="s">
        <v>35</v>
      </c>
      <c r="B27" s="51">
        <v>5</v>
      </c>
      <c r="C27" s="73">
        <v>22</v>
      </c>
      <c r="D27" s="63">
        <v>1</v>
      </c>
      <c r="E27" s="117">
        <f t="shared" si="4"/>
        <v>5</v>
      </c>
      <c r="F27" s="83">
        <f>C27/D27</f>
        <v>22</v>
      </c>
      <c r="G27" s="158" t="e">
        <f t="shared" si="5"/>
        <v>#DIV/0!</v>
      </c>
      <c r="H27" s="159" t="e">
        <f t="shared" ref="H27" si="6">((F27)*($D$9+$E$9))/$E$9</f>
        <v>#DIV/0!</v>
      </c>
      <c r="I27" s="93"/>
      <c r="J27" s="158" t="e">
        <f t="shared" ref="J27:J28" si="7">((E27/2)*($C$9+$E$9))/$E$9</f>
        <v>#DIV/0!</v>
      </c>
      <c r="K27" s="159" t="e">
        <f t="shared" ref="K27" si="8">((F27/2)*($D$9+$E$9))/$E$9</f>
        <v>#DIV/0!</v>
      </c>
      <c r="L27" s="4"/>
      <c r="P27"/>
    </row>
    <row r="28" spans="1:16" x14ac:dyDescent="0.35">
      <c r="A28" s="57" t="s">
        <v>36</v>
      </c>
      <c r="B28" s="51">
        <v>1800</v>
      </c>
      <c r="C28" s="73" t="s">
        <v>27</v>
      </c>
      <c r="D28" s="63">
        <v>1</v>
      </c>
      <c r="E28" s="118">
        <f t="shared" si="4"/>
        <v>1800</v>
      </c>
      <c r="F28" s="78" t="s">
        <v>27</v>
      </c>
      <c r="G28" s="158" t="e">
        <f t="shared" si="5"/>
        <v>#DIV/0!</v>
      </c>
      <c r="H28" s="159" t="s">
        <v>27</v>
      </c>
      <c r="I28" s="93"/>
      <c r="J28" s="158" t="e">
        <f t="shared" si="7"/>
        <v>#DIV/0!</v>
      </c>
      <c r="K28" s="159" t="s">
        <v>27</v>
      </c>
      <c r="L28" s="4"/>
      <c r="P28"/>
    </row>
    <row r="29" spans="1:16" x14ac:dyDescent="0.35">
      <c r="A29" s="58" t="s">
        <v>37</v>
      </c>
      <c r="B29" s="52" t="e">
        <f>(EXP((1.273*LN($G$9))-4.705))*(1.46203-((LN($G$9))*(0.145712)))</f>
        <v>#DIV/0!</v>
      </c>
      <c r="C29" s="69" t="e">
        <f>EXP((1.273*LN($G$9))-1.46)*(1.46203-((LN($G$9))*(0.145712)))</f>
        <v>#DIV/0!</v>
      </c>
      <c r="D29" s="62">
        <f>1/(1+((2800000)*($F$9^(1-0.8))*0.000001))</f>
        <v>0.18390125003894109</v>
      </c>
      <c r="E29" s="113" t="e">
        <f t="shared" si="4"/>
        <v>#DIV/0!</v>
      </c>
      <c r="F29" s="78" t="e">
        <f>C29/D29</f>
        <v>#DIV/0!</v>
      </c>
      <c r="G29" s="164" t="e">
        <f t="shared" si="5"/>
        <v>#DIV/0!</v>
      </c>
      <c r="H29" s="159" t="e">
        <f t="shared" si="1"/>
        <v>#DIV/0!</v>
      </c>
      <c r="I29" s="93"/>
      <c r="J29" s="164" t="e">
        <f t="shared" si="2"/>
        <v>#DIV/0!</v>
      </c>
      <c r="K29" s="159" t="e">
        <f t="shared" si="3"/>
        <v>#DIV/0!</v>
      </c>
      <c r="L29" s="4"/>
      <c r="P29"/>
    </row>
    <row r="30" spans="1:16" x14ac:dyDescent="0.35">
      <c r="A30" s="57" t="s">
        <v>38</v>
      </c>
      <c r="B30" s="53">
        <v>1.2E-2</v>
      </c>
      <c r="C30" s="70" t="s">
        <v>27</v>
      </c>
      <c r="D30" s="63">
        <v>1</v>
      </c>
      <c r="E30" s="119">
        <f t="shared" si="4"/>
        <v>1.2E-2</v>
      </c>
      <c r="F30" s="78" t="s">
        <v>27</v>
      </c>
      <c r="G30" s="165" t="e">
        <f t="shared" si="5"/>
        <v>#DIV/0!</v>
      </c>
      <c r="H30" s="159" t="s">
        <v>27</v>
      </c>
      <c r="I30" s="93"/>
      <c r="J30" s="172" t="e">
        <f t="shared" si="2"/>
        <v>#DIV/0!</v>
      </c>
      <c r="K30" s="159" t="s">
        <v>27</v>
      </c>
      <c r="L30" s="4"/>
      <c r="P30"/>
    </row>
    <row r="31" spans="1:16" x14ac:dyDescent="0.35">
      <c r="A31" s="57" t="s">
        <v>39</v>
      </c>
      <c r="B31" s="54">
        <v>160</v>
      </c>
      <c r="C31" s="70" t="s">
        <v>27</v>
      </c>
      <c r="D31" s="63">
        <v>1</v>
      </c>
      <c r="E31" s="117">
        <f t="shared" si="4"/>
        <v>160</v>
      </c>
      <c r="F31" s="78" t="s">
        <v>27</v>
      </c>
      <c r="G31" s="164" t="e">
        <f t="shared" si="5"/>
        <v>#DIV/0!</v>
      </c>
      <c r="H31" s="159" t="s">
        <v>27</v>
      </c>
      <c r="I31" s="93"/>
      <c r="J31" s="164" t="e">
        <f t="shared" si="2"/>
        <v>#DIV/0!</v>
      </c>
      <c r="K31" s="159" t="s">
        <v>27</v>
      </c>
      <c r="L31" s="4"/>
      <c r="P31"/>
    </row>
    <row r="32" spans="1:16" x14ac:dyDescent="0.35">
      <c r="A32" s="58" t="s">
        <v>40</v>
      </c>
      <c r="B32" s="47" t="e">
        <f>(EXP((0.846*LN($G$9))+0.0584))*0.997</f>
        <v>#DIV/0!</v>
      </c>
      <c r="C32" s="69" t="e">
        <f>EXP((0.846*LN($G$9))+2.255)*0.998</f>
        <v>#DIV/0!</v>
      </c>
      <c r="D32" s="62">
        <f>1/(1+((490000)*($F$9^(1-0.5719))*0.000001))</f>
        <v>0.43232123555859853</v>
      </c>
      <c r="E32" s="113" t="e">
        <f t="shared" si="4"/>
        <v>#DIV/0!</v>
      </c>
      <c r="F32" s="78" t="e">
        <f>C32/D32</f>
        <v>#DIV/0!</v>
      </c>
      <c r="G32" s="160" t="e">
        <f t="shared" si="5"/>
        <v>#DIV/0!</v>
      </c>
      <c r="H32" s="159" t="e">
        <f t="shared" si="1"/>
        <v>#DIV/0!</v>
      </c>
      <c r="I32" s="92"/>
      <c r="J32" s="160" t="e">
        <f t="shared" si="2"/>
        <v>#DIV/0!</v>
      </c>
      <c r="K32" s="159" t="e">
        <f t="shared" si="3"/>
        <v>#DIV/0!</v>
      </c>
      <c r="L32" s="4"/>
      <c r="P32"/>
    </row>
    <row r="33" spans="1:17" x14ac:dyDescent="0.35">
      <c r="A33" s="57" t="s">
        <v>41</v>
      </c>
      <c r="B33" s="48">
        <v>25</v>
      </c>
      <c r="C33" s="70" t="s">
        <v>27</v>
      </c>
      <c r="D33" s="63">
        <v>1</v>
      </c>
      <c r="E33" s="117">
        <f t="shared" si="4"/>
        <v>25</v>
      </c>
      <c r="F33" s="78" t="s">
        <v>27</v>
      </c>
      <c r="G33" s="160" t="e">
        <f t="shared" si="5"/>
        <v>#DIV/0!</v>
      </c>
      <c r="H33" s="159" t="s">
        <v>27</v>
      </c>
      <c r="I33" s="93"/>
      <c r="J33" s="160" t="e">
        <f t="shared" si="2"/>
        <v>#DIV/0!</v>
      </c>
      <c r="K33" s="159" t="s">
        <v>27</v>
      </c>
      <c r="L33" s="4"/>
      <c r="P33"/>
    </row>
    <row r="34" spans="1:17" x14ac:dyDescent="0.35">
      <c r="A34" s="57" t="s">
        <v>57</v>
      </c>
      <c r="B34" s="51">
        <v>3.1</v>
      </c>
      <c r="C34" s="70">
        <v>56</v>
      </c>
      <c r="D34" s="63">
        <v>1</v>
      </c>
      <c r="E34" s="117">
        <f t="shared" si="4"/>
        <v>3.1</v>
      </c>
      <c r="F34" s="83">
        <f>C34/D34</f>
        <v>56</v>
      </c>
      <c r="G34" s="158" t="e">
        <f t="shared" si="5"/>
        <v>#DIV/0!</v>
      </c>
      <c r="H34" s="159" t="e">
        <f t="shared" ref="H34" si="9">((F34)*($D$9+$E$9))/$E$9</f>
        <v>#DIV/0!</v>
      </c>
      <c r="I34" s="89"/>
      <c r="J34" s="160" t="e">
        <f t="shared" ref="J34" si="10">((E34/2)*($C$9+$E$9))/$E$9</f>
        <v>#DIV/0!</v>
      </c>
      <c r="K34" s="159" t="e">
        <f t="shared" ref="K34" si="11">((F34/2)*($D$9+$E$9))/$E$9</f>
        <v>#DIV/0!</v>
      </c>
      <c r="L34" s="4"/>
      <c r="P34"/>
    </row>
    <row r="35" spans="1:17" x14ac:dyDescent="0.35">
      <c r="A35" s="57" t="s">
        <v>42</v>
      </c>
      <c r="B35" s="54">
        <v>0.06</v>
      </c>
      <c r="C35" s="74" t="e">
        <f>EXP((1.72*LN($G$9))-6.59)*0.85</f>
        <v>#DIV/0!</v>
      </c>
      <c r="D35" s="63">
        <v>1</v>
      </c>
      <c r="E35" s="120">
        <v>0.06</v>
      </c>
      <c r="F35" s="83" t="e">
        <f>C35/D35</f>
        <v>#DIV/0!</v>
      </c>
      <c r="G35" s="164" t="e">
        <f t="shared" si="5"/>
        <v>#DIV/0!</v>
      </c>
      <c r="H35" s="159" t="e">
        <f t="shared" si="1"/>
        <v>#DIV/0!</v>
      </c>
      <c r="I35" s="90"/>
      <c r="J35" s="164" t="e">
        <f t="shared" si="2"/>
        <v>#DIV/0!</v>
      </c>
      <c r="K35" s="159" t="e">
        <f t="shared" si="3"/>
        <v>#DIV/0!</v>
      </c>
      <c r="L35" s="5"/>
      <c r="P35"/>
    </row>
    <row r="36" spans="1:17" x14ac:dyDescent="0.35">
      <c r="A36" s="97" t="s">
        <v>43</v>
      </c>
      <c r="B36" s="98" t="e">
        <f>(EXP((0.8473*LN($G$9))+0.884))*0.986</f>
        <v>#DIV/0!</v>
      </c>
      <c r="C36" s="99" t="e">
        <f>(EXP((0.8473*LN($G$9))+0.884))*0.978</f>
        <v>#DIV/0!</v>
      </c>
      <c r="D36" s="100">
        <f>1/(1+((1250000)*($F$9^(1-0.7038))*0.000001))</f>
        <v>0.28798937317506229</v>
      </c>
      <c r="E36" s="121" t="e">
        <f>B36/D36</f>
        <v>#DIV/0!</v>
      </c>
      <c r="F36" s="101" t="e">
        <f>C36/D36</f>
        <v>#DIV/0!</v>
      </c>
      <c r="G36" s="166" t="e">
        <f t="shared" si="5"/>
        <v>#DIV/0!</v>
      </c>
      <c r="H36" s="167" t="e">
        <f t="shared" si="1"/>
        <v>#DIV/0!</v>
      </c>
      <c r="I36" s="92"/>
      <c r="J36" s="173" t="e">
        <f t="shared" si="2"/>
        <v>#DIV/0!</v>
      </c>
      <c r="K36" s="174" t="e">
        <f t="shared" si="3"/>
        <v>#DIV/0!</v>
      </c>
      <c r="L36" s="5"/>
      <c r="P36"/>
    </row>
    <row r="37" spans="1:17" x14ac:dyDescent="0.35">
      <c r="A37" s="102"/>
      <c r="B37" s="108"/>
      <c r="C37" s="107"/>
      <c r="D37" s="96"/>
      <c r="E37" s="122"/>
      <c r="F37" s="103"/>
      <c r="G37" s="168"/>
      <c r="H37" s="169"/>
      <c r="I37" s="92"/>
      <c r="J37" s="175" t="s">
        <v>5</v>
      </c>
      <c r="K37" s="176" t="s">
        <v>5</v>
      </c>
      <c r="L37" s="5"/>
      <c r="P37"/>
    </row>
    <row r="38" spans="1:17" ht="16" thickBot="1" x14ac:dyDescent="0.4">
      <c r="A38" s="102" t="s">
        <v>44</v>
      </c>
      <c r="B38" s="104" t="e">
        <f>(EXP((0.7977*LN(G9))-3.909))*(1.101672-((LN(G9)*(0.041838))))</f>
        <v>#DIV/0!</v>
      </c>
      <c r="C38" s="105" t="e">
        <f>EXP((0.9789*LN(G9))-3.866)*(1.136672-(LN(G9)*(0.041838)))</f>
        <v>#DIV/0!</v>
      </c>
      <c r="D38" s="96">
        <f>1/(1+(0.000001*4000000*($F$9)^(1-1.1307)))</f>
        <v>0.25249557720918481</v>
      </c>
      <c r="E38" s="123" t="e">
        <f>B38/D38</f>
        <v>#DIV/0!</v>
      </c>
      <c r="F38" s="106" t="e">
        <f>C38/D38</f>
        <v>#DIV/0!</v>
      </c>
      <c r="G38" s="170" t="e">
        <f>((E38)*($C$9+$E$9))/$E$9</f>
        <v>#DIV/0!</v>
      </c>
      <c r="H38" s="171" t="e">
        <f>((F38)*($D$9+$E$9))/$E$9</f>
        <v>#DIV/0!</v>
      </c>
      <c r="I38" s="89"/>
      <c r="J38" s="179" t="e">
        <f>((E38/2)*($C$9+$E$9))/$E$9</f>
        <v>#DIV/0!</v>
      </c>
      <c r="K38" s="178" t="e">
        <f t="shared" si="3"/>
        <v>#DIV/0!</v>
      </c>
      <c r="L38" s="5"/>
      <c r="P38"/>
    </row>
    <row r="39" spans="1:17" ht="16" hidden="1" thickBot="1" x14ac:dyDescent="0.4">
      <c r="A39" s="127" t="s">
        <v>45</v>
      </c>
      <c r="B39" s="128">
        <v>1.5</v>
      </c>
      <c r="C39" s="129">
        <v>56</v>
      </c>
      <c r="D39" s="130">
        <v>1</v>
      </c>
      <c r="E39" s="131">
        <f t="shared" ref="E39" si="12">B39/D39</f>
        <v>1.5</v>
      </c>
      <c r="F39" s="132">
        <f>C39/D39</f>
        <v>56</v>
      </c>
      <c r="G39" s="133" t="e">
        <f t="shared" ref="G39" si="13">((E39)*($C$9+$E$9))/$E$9</f>
        <v>#DIV/0!</v>
      </c>
      <c r="H39" s="134" t="e">
        <f t="shared" ref="H39" si="14">((F39)*($D$9+$E$9))/$E$9</f>
        <v>#DIV/0!</v>
      </c>
      <c r="I39" s="90"/>
      <c r="J39" s="135" t="e">
        <f>((E39/2)*($C$9+$E$9))/$E$9</f>
        <v>#DIV/0!</v>
      </c>
      <c r="K39" s="136" t="e">
        <f t="shared" ref="K39" si="15">((F39/2)*($D$9+$E$9))/$E$9</f>
        <v>#DIV/0!</v>
      </c>
      <c r="L39" s="5"/>
      <c r="P39"/>
    </row>
    <row r="40" spans="1:17" ht="16.5" customHeight="1" thickTop="1" thickBot="1" x14ac:dyDescent="0.4">
      <c r="A40" s="137"/>
      <c r="B40" s="137"/>
      <c r="C40" s="137"/>
      <c r="D40" s="137"/>
      <c r="E40" s="137"/>
      <c r="F40" s="137"/>
      <c r="G40" s="137"/>
      <c r="H40" s="137"/>
      <c r="I40" s="139"/>
      <c r="J40" s="137"/>
      <c r="K40" s="138"/>
      <c r="L40" s="15"/>
      <c r="P40"/>
    </row>
    <row r="41" spans="1:17" ht="17.25" customHeight="1" thickTop="1" thickBot="1" x14ac:dyDescent="0.4">
      <c r="M41" s="15"/>
      <c r="N41" s="15"/>
      <c r="O41" s="15"/>
      <c r="P41" s="15"/>
      <c r="Q41" s="15"/>
    </row>
    <row r="42" spans="1:17" ht="17.25" customHeight="1" thickTop="1" thickBot="1" x14ac:dyDescent="0.4">
      <c r="M42" s="15"/>
      <c r="N42" s="15"/>
      <c r="O42" s="15"/>
      <c r="P42" s="15"/>
      <c r="Q42" s="15"/>
    </row>
    <row r="43" spans="1:17" ht="17.25" customHeight="1" thickTop="1" thickBot="1" x14ac:dyDescent="0.4">
      <c r="M43" s="15"/>
      <c r="N43" s="15"/>
      <c r="O43" s="15"/>
      <c r="P43" s="15"/>
      <c r="Q43" s="15"/>
    </row>
    <row r="44" spans="1:17" ht="17.25" customHeight="1" thickTop="1" thickBot="1" x14ac:dyDescent="0.4">
      <c r="M44" s="15"/>
      <c r="N44" s="15"/>
      <c r="O44" s="15"/>
      <c r="P44" s="15"/>
      <c r="Q44" s="15"/>
    </row>
    <row r="45" spans="1:17" ht="17.25" customHeight="1" thickTop="1" thickBot="1" x14ac:dyDescent="0.4">
      <c r="M45" s="15"/>
      <c r="N45" s="15"/>
      <c r="O45" s="15"/>
      <c r="P45" s="15"/>
      <c r="Q45" s="15"/>
    </row>
    <row r="46" spans="1:17" ht="17.25" customHeight="1" thickTop="1" thickBot="1" x14ac:dyDescent="0.4">
      <c r="M46" s="15"/>
      <c r="N46" s="15"/>
      <c r="O46" s="15"/>
      <c r="P46" s="15"/>
      <c r="Q46" s="15"/>
    </row>
    <row r="47" spans="1:17" ht="16.5" customHeight="1" thickTop="1" thickBot="1" x14ac:dyDescent="0.4">
      <c r="M47" s="15"/>
      <c r="N47" s="15"/>
      <c r="O47" s="15"/>
      <c r="P47" s="15"/>
      <c r="Q47" s="15"/>
    </row>
    <row r="48" spans="1:17" ht="17.25" customHeight="1" thickTop="1" thickBot="1" x14ac:dyDescent="0.4">
      <c r="M48" s="15"/>
      <c r="N48" s="15"/>
      <c r="O48" s="15"/>
      <c r="P48" s="15"/>
      <c r="Q48" s="15"/>
    </row>
    <row r="49" spans="1:8" ht="15" customHeight="1" thickTop="1" x14ac:dyDescent="0.35"/>
    <row r="52" spans="1:8" ht="17.25" customHeight="1" x14ac:dyDescent="0.35"/>
    <row r="53" spans="1:8" ht="17.25" customHeight="1" x14ac:dyDescent="0.35"/>
    <row r="54" spans="1:8" ht="17.25" customHeight="1" x14ac:dyDescent="0.35">
      <c r="A54" s="32"/>
      <c r="B54" s="32"/>
      <c r="C54" s="32"/>
      <c r="D54" s="32"/>
      <c r="E54" s="32"/>
      <c r="F54" s="32"/>
      <c r="G54" s="32"/>
      <c r="H54" s="32"/>
    </row>
    <row r="55" spans="1:8" x14ac:dyDescent="0.35">
      <c r="A55" s="32"/>
      <c r="B55" s="32"/>
      <c r="C55" s="32"/>
      <c r="D55" s="32"/>
      <c r="E55" s="32"/>
      <c r="F55" s="32"/>
      <c r="G55" s="32"/>
      <c r="H55" s="32"/>
    </row>
  </sheetData>
  <mergeCells count="19">
    <mergeCell ref="A4:B4"/>
    <mergeCell ref="A1:I2"/>
    <mergeCell ref="B13:C15"/>
    <mergeCell ref="E13:F15"/>
    <mergeCell ref="G13:H15"/>
    <mergeCell ref="A13:A16"/>
    <mergeCell ref="A6:A8"/>
    <mergeCell ref="E6:E8"/>
    <mergeCell ref="H6:H8"/>
    <mergeCell ref="I6:I8"/>
    <mergeCell ref="B6:B8"/>
    <mergeCell ref="C6:C8"/>
    <mergeCell ref="K6:K8"/>
    <mergeCell ref="F6:F8"/>
    <mergeCell ref="G6:G8"/>
    <mergeCell ref="J1:L2"/>
    <mergeCell ref="D13:D15"/>
    <mergeCell ref="J13:K15"/>
    <mergeCell ref="J6:J8"/>
  </mergeCells>
  <phoneticPr fontId="0" type="noConversion"/>
  <pageMargins left="0.5" right="0.25" top="0.25" bottom="0.25" header="0.5" footer="0.5"/>
  <pageSetup scale="68"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5CDFB-0AA6-46E1-9AA2-37D20880B3A6}">
  <sheetPr>
    <pageSetUpPr fitToPage="1"/>
  </sheetPr>
  <dimension ref="A1:P55"/>
  <sheetViews>
    <sheetView tabSelected="1" zoomScale="71" zoomScaleNormal="100" zoomScaleSheetLayoutView="50" workbookViewId="0">
      <selection activeCell="T30" sqref="T30"/>
    </sheetView>
  </sheetViews>
  <sheetFormatPr defaultRowHeight="15.5" x14ac:dyDescent="0.35"/>
  <cols>
    <col min="1" max="1" width="22.53515625" customWidth="1"/>
    <col min="2" max="2" width="10" customWidth="1"/>
    <col min="3" max="3" width="9.765625" customWidth="1"/>
    <col min="4" max="4" width="11.23046875" customWidth="1"/>
    <col min="5" max="5" width="8.4609375" customWidth="1"/>
    <col min="6" max="6" width="8.765625" customWidth="1"/>
    <col min="7" max="7" width="9.84375" customWidth="1"/>
    <col min="8" max="8" width="11.4609375" customWidth="1"/>
    <col min="9" max="9" width="10.84375" customWidth="1"/>
    <col min="10" max="10" width="10.4609375" customWidth="1"/>
    <col min="11" max="11" width="10.84375" customWidth="1"/>
    <col min="12" max="12" width="9.765625" bestFit="1" customWidth="1"/>
    <col min="13" max="14" width="8.84375" customWidth="1"/>
    <col min="15" max="15" width="8.07421875" bestFit="1" customWidth="1"/>
    <col min="16" max="16" width="7.84375" style="1" bestFit="1" customWidth="1"/>
    <col min="17" max="17" width="8.84375" customWidth="1"/>
  </cols>
  <sheetData>
    <row r="1" spans="1:16" ht="36" customHeight="1" thickTop="1" x14ac:dyDescent="0.35">
      <c r="A1" s="193" t="s">
        <v>0</v>
      </c>
      <c r="B1" s="194"/>
      <c r="C1" s="194"/>
      <c r="D1" s="194"/>
      <c r="E1" s="194"/>
      <c r="F1" s="194"/>
      <c r="G1" s="194"/>
      <c r="H1" s="194"/>
      <c r="I1" s="195"/>
      <c r="J1" s="186"/>
      <c r="K1" s="235"/>
      <c r="L1" s="236"/>
      <c r="P1"/>
    </row>
    <row r="2" spans="1:16" ht="36" customHeight="1" thickBot="1" x14ac:dyDescent="0.4">
      <c r="A2" s="196"/>
      <c r="B2" s="197"/>
      <c r="C2" s="197"/>
      <c r="D2" s="197"/>
      <c r="E2" s="197"/>
      <c r="F2" s="197"/>
      <c r="G2" s="197"/>
      <c r="H2" s="197"/>
      <c r="I2" s="198"/>
      <c r="J2" s="237"/>
      <c r="K2" s="235"/>
      <c r="L2" s="236"/>
      <c r="O2" s="7"/>
      <c r="P2"/>
    </row>
    <row r="3" spans="1:16" ht="16.5" thickTop="1" thickBot="1" x14ac:dyDescent="0.4">
      <c r="A3" s="125" t="s">
        <v>1</v>
      </c>
      <c r="B3" s="11"/>
      <c r="C3" s="35"/>
      <c r="D3" s="126" t="s">
        <v>2</v>
      </c>
      <c r="E3" s="35"/>
      <c r="F3" s="126" t="s">
        <v>3</v>
      </c>
      <c r="G3" s="126" t="s">
        <v>4</v>
      </c>
      <c r="H3" s="36"/>
      <c r="I3" s="12"/>
      <c r="J3" s="14"/>
      <c r="K3" s="15"/>
      <c r="L3" s="16"/>
      <c r="O3" s="7"/>
      <c r="P3"/>
    </row>
    <row r="4" spans="1:16" ht="21" customHeight="1" thickTop="1" thickBot="1" x14ac:dyDescent="0.4">
      <c r="A4" s="191"/>
      <c r="B4" s="192"/>
      <c r="C4" s="37"/>
      <c r="D4" s="30"/>
      <c r="E4" s="35"/>
      <c r="F4" s="38"/>
      <c r="G4" s="31"/>
      <c r="H4" s="39"/>
      <c r="I4" s="12"/>
      <c r="J4" s="14"/>
      <c r="K4" s="15"/>
      <c r="L4" s="17"/>
      <c r="O4" s="7"/>
      <c r="P4"/>
    </row>
    <row r="5" spans="1:16" ht="19.5" customHeight="1" thickTop="1" thickBot="1" x14ac:dyDescent="0.4">
      <c r="A5" s="2"/>
      <c r="B5" s="2"/>
      <c r="C5" s="2"/>
      <c r="D5" s="2"/>
      <c r="E5" s="2"/>
      <c r="F5" s="2"/>
      <c r="G5" s="2"/>
      <c r="H5" s="12" t="s">
        <v>5</v>
      </c>
      <c r="I5" s="12"/>
      <c r="J5" s="14"/>
      <c r="K5" s="15"/>
      <c r="L5" s="17"/>
      <c r="P5"/>
    </row>
    <row r="6" spans="1:16" s="7" customFormat="1" ht="20.25" customHeight="1" thickTop="1" x14ac:dyDescent="0.35">
      <c r="A6" s="217" t="s">
        <v>46</v>
      </c>
      <c r="B6" s="228" t="s">
        <v>6</v>
      </c>
      <c r="C6" s="230" t="s">
        <v>7</v>
      </c>
      <c r="D6" s="6" t="s">
        <v>8</v>
      </c>
      <c r="E6" s="217" t="s">
        <v>47</v>
      </c>
      <c r="F6" s="183" t="s">
        <v>9</v>
      </c>
      <c r="G6" s="183" t="s">
        <v>10</v>
      </c>
      <c r="H6" s="222" t="s">
        <v>11</v>
      </c>
      <c r="I6" s="225" t="s">
        <v>12</v>
      </c>
      <c r="J6" s="232" t="s">
        <v>13</v>
      </c>
      <c r="K6" s="180" t="s">
        <v>14</v>
      </c>
      <c r="L6" s="19"/>
    </row>
    <row r="7" spans="1:16" s="7" customFormat="1" ht="27" customHeight="1" x14ac:dyDescent="0.35">
      <c r="A7" s="218"/>
      <c r="B7" s="229"/>
      <c r="C7" s="231"/>
      <c r="D7" s="8" t="s">
        <v>15</v>
      </c>
      <c r="E7" s="218"/>
      <c r="F7" s="184"/>
      <c r="G7" s="184"/>
      <c r="H7" s="223"/>
      <c r="I7" s="226"/>
      <c r="J7" s="233"/>
      <c r="K7" s="181"/>
      <c r="L7" s="20"/>
    </row>
    <row r="8" spans="1:16" s="7" customFormat="1" ht="16" thickBot="1" x14ac:dyDescent="0.4">
      <c r="A8" s="219"/>
      <c r="B8" s="229"/>
      <c r="C8" s="231"/>
      <c r="D8" s="9" t="s">
        <v>16</v>
      </c>
      <c r="E8" s="219"/>
      <c r="F8" s="185"/>
      <c r="G8" s="185"/>
      <c r="H8" s="224"/>
      <c r="I8" s="227"/>
      <c r="J8" s="234"/>
      <c r="K8" s="182"/>
      <c r="L8" s="20"/>
    </row>
    <row r="9" spans="1:16" ht="16.5" thickTop="1" thickBot="1" x14ac:dyDescent="0.4">
      <c r="A9" s="40">
        <v>0</v>
      </c>
      <c r="B9" s="34">
        <v>0</v>
      </c>
      <c r="C9" s="33">
        <f>B9/1.55</f>
        <v>0</v>
      </c>
      <c r="D9" s="24">
        <f>0.843*((C9)^0.993)</f>
        <v>0</v>
      </c>
      <c r="E9" s="25">
        <v>0</v>
      </c>
      <c r="F9" s="22">
        <v>10</v>
      </c>
      <c r="G9" s="28" t="e">
        <f>IF((($J$9*$C$9)+($K$9*$E$9))/($E$9+$C$9)&lt;25,25,(($J$9*$C$9)+($K$9*$E$9))/($E$9+$C$9))</f>
        <v>#DIV/0!</v>
      </c>
      <c r="H9" s="10" t="e">
        <f>$E$9/($C$9+$E$9)</f>
        <v>#DIV/0!</v>
      </c>
      <c r="I9" s="13" t="e">
        <f>$E$9/($D$9+$E$9)</f>
        <v>#DIV/0!</v>
      </c>
      <c r="J9" s="27">
        <v>0</v>
      </c>
      <c r="K9" s="27">
        <v>0</v>
      </c>
      <c r="L9" s="5"/>
      <c r="P9"/>
    </row>
    <row r="10" spans="1:16" ht="16.5" thickTop="1" thickBot="1" x14ac:dyDescent="0.4">
      <c r="A10" s="41"/>
      <c r="B10" s="2"/>
      <c r="C10" s="3"/>
      <c r="D10" s="2"/>
      <c r="E10" s="23"/>
      <c r="F10" s="2"/>
      <c r="G10" s="29" t="s">
        <v>5</v>
      </c>
      <c r="H10" s="2"/>
      <c r="I10" s="2"/>
      <c r="J10" s="21"/>
      <c r="K10" s="26" t="s">
        <v>5</v>
      </c>
      <c r="L10" s="18"/>
      <c r="P10"/>
    </row>
    <row r="11" spans="1:16" ht="21.75" customHeight="1" thickTop="1" thickBot="1" x14ac:dyDescent="0.4">
      <c r="A11" s="124" t="s">
        <v>17</v>
      </c>
      <c r="B11" s="152"/>
      <c r="C11" s="152"/>
      <c r="D11" s="152"/>
      <c r="E11" s="152"/>
      <c r="F11" s="152"/>
      <c r="G11" s="152"/>
      <c r="H11" s="152"/>
      <c r="I11" s="2"/>
      <c r="J11" s="153" t="s">
        <v>18</v>
      </c>
      <c r="K11" s="154"/>
      <c r="L11" s="18"/>
      <c r="N11" s="7"/>
      <c r="P11"/>
    </row>
    <row r="12" spans="1:16" ht="16.5" thickTop="1" thickBot="1" x14ac:dyDescent="0.4">
      <c r="A12" s="60"/>
      <c r="B12" s="85">
        <v>2</v>
      </c>
      <c r="C12" s="84">
        <v>3</v>
      </c>
      <c r="D12" s="42">
        <v>4</v>
      </c>
      <c r="E12" s="85">
        <v>5</v>
      </c>
      <c r="F12" s="84">
        <v>6</v>
      </c>
      <c r="G12" s="87">
        <v>7</v>
      </c>
      <c r="H12" s="86">
        <v>8</v>
      </c>
      <c r="I12" s="88"/>
      <c r="J12" s="94">
        <v>9</v>
      </c>
      <c r="K12" s="95">
        <v>10</v>
      </c>
      <c r="P12"/>
    </row>
    <row r="13" spans="1:16" ht="20.25" customHeight="1" thickTop="1" x14ac:dyDescent="0.35">
      <c r="A13" s="215"/>
      <c r="B13" s="199" t="s">
        <v>19</v>
      </c>
      <c r="C13" s="200"/>
      <c r="D13" s="189" t="s">
        <v>20</v>
      </c>
      <c r="E13" s="205" t="s">
        <v>48</v>
      </c>
      <c r="F13" s="206"/>
      <c r="G13" s="238" t="s">
        <v>51</v>
      </c>
      <c r="H13" s="239"/>
      <c r="I13" s="88"/>
      <c r="J13" s="244" t="s">
        <v>52</v>
      </c>
      <c r="K13" s="245"/>
      <c r="L13" s="4"/>
      <c r="P13"/>
    </row>
    <row r="14" spans="1:16" ht="15" customHeight="1" x14ac:dyDescent="0.35">
      <c r="A14" s="216"/>
      <c r="B14" s="201"/>
      <c r="C14" s="202"/>
      <c r="D14" s="190"/>
      <c r="E14" s="207"/>
      <c r="F14" s="208"/>
      <c r="G14" s="240"/>
      <c r="H14" s="241"/>
      <c r="I14" s="88"/>
      <c r="J14" s="240"/>
      <c r="K14" s="241"/>
      <c r="L14" s="4"/>
      <c r="P14"/>
    </row>
    <row r="15" spans="1:16" ht="15.75" customHeight="1" thickBot="1" x14ac:dyDescent="0.4">
      <c r="A15" s="216"/>
      <c r="B15" s="203"/>
      <c r="C15" s="204"/>
      <c r="D15" s="190"/>
      <c r="E15" s="207"/>
      <c r="F15" s="208"/>
      <c r="G15" s="242"/>
      <c r="H15" s="243"/>
      <c r="I15" s="88"/>
      <c r="J15" s="242"/>
      <c r="K15" s="243"/>
      <c r="L15" s="4"/>
      <c r="P15"/>
    </row>
    <row r="16" spans="1:16" ht="16.5" thickTop="1" thickBot="1" x14ac:dyDescent="0.4">
      <c r="A16" s="216"/>
      <c r="B16" s="55" t="s">
        <v>21</v>
      </c>
      <c r="C16" s="64" t="s">
        <v>22</v>
      </c>
      <c r="D16" s="141"/>
      <c r="E16" s="109" t="s">
        <v>21</v>
      </c>
      <c r="F16" s="75" t="s">
        <v>22</v>
      </c>
      <c r="G16" s="146" t="s">
        <v>21</v>
      </c>
      <c r="H16" s="147" t="s">
        <v>22</v>
      </c>
      <c r="I16" s="88"/>
      <c r="J16" s="146" t="s">
        <v>21</v>
      </c>
      <c r="K16" s="147" t="s">
        <v>22</v>
      </c>
      <c r="L16" s="4"/>
      <c r="P16"/>
    </row>
    <row r="17" spans="1:16" x14ac:dyDescent="0.35">
      <c r="A17" s="56" t="s">
        <v>23</v>
      </c>
      <c r="B17" s="43" t="s">
        <v>24</v>
      </c>
      <c r="C17" s="65" t="s">
        <v>24</v>
      </c>
      <c r="D17" s="141"/>
      <c r="E17" s="110" t="s">
        <v>24</v>
      </c>
      <c r="F17" s="76" t="s">
        <v>24</v>
      </c>
      <c r="G17" s="148" t="s">
        <v>24</v>
      </c>
      <c r="H17" s="149" t="s">
        <v>24</v>
      </c>
      <c r="I17" s="89"/>
      <c r="J17" s="148" t="s">
        <v>24</v>
      </c>
      <c r="K17" s="149" t="s">
        <v>24</v>
      </c>
      <c r="L17" s="4"/>
      <c r="P17"/>
    </row>
    <row r="18" spans="1:16" x14ac:dyDescent="0.35">
      <c r="A18" s="57" t="s">
        <v>25</v>
      </c>
      <c r="B18" s="44">
        <v>150</v>
      </c>
      <c r="C18" s="66">
        <v>340</v>
      </c>
      <c r="D18" s="61">
        <v>1</v>
      </c>
      <c r="E18" s="111">
        <v>150</v>
      </c>
      <c r="F18" s="77">
        <v>340</v>
      </c>
      <c r="G18" s="156" t="e">
        <f t="shared" ref="G18:G24" si="0">((E18)*($C$9+$E$9))/$E$9</f>
        <v>#DIV/0!</v>
      </c>
      <c r="H18" s="157" t="e">
        <f>((F18)*($D$9+$E$9))/$E$9</f>
        <v>#DIV/0!</v>
      </c>
      <c r="I18" s="90"/>
      <c r="J18" s="156" t="e">
        <f>((E18/2)*($C$9+$E$9))/$E$9</f>
        <v>#DIV/0!</v>
      </c>
      <c r="K18" s="157" t="e">
        <f>((F18/2)*($D$9+$E$9))/$E$9</f>
        <v>#DIV/0!</v>
      </c>
      <c r="L18" s="4"/>
      <c r="P18"/>
    </row>
    <row r="19" spans="1:16" x14ac:dyDescent="0.35">
      <c r="A19" s="57" t="s">
        <v>26</v>
      </c>
      <c r="B19" s="44">
        <v>10</v>
      </c>
      <c r="C19" s="66" t="s">
        <v>27</v>
      </c>
      <c r="D19" s="61">
        <v>1</v>
      </c>
      <c r="E19" s="111">
        <v>10</v>
      </c>
      <c r="F19" s="78" t="s">
        <v>27</v>
      </c>
      <c r="G19" s="156" t="e">
        <f>((E19)*(($A$9/1.55)+$E$9))/$E$9</f>
        <v>#DIV/0!</v>
      </c>
      <c r="H19" s="157" t="s">
        <v>27</v>
      </c>
      <c r="I19" s="90"/>
      <c r="J19" s="156" t="e">
        <f>((E19/2)*($C$9+$E$9))/$E$9</f>
        <v>#DIV/0!</v>
      </c>
      <c r="K19" s="157" t="s">
        <v>27</v>
      </c>
      <c r="L19" s="4"/>
      <c r="P19"/>
    </row>
    <row r="20" spans="1:16" ht="16" thickBot="1" x14ac:dyDescent="0.4">
      <c r="A20" s="57" t="s">
        <v>28</v>
      </c>
      <c r="B20" s="44">
        <v>6.5</v>
      </c>
      <c r="C20" s="66">
        <v>65</v>
      </c>
      <c r="D20" s="61">
        <v>1</v>
      </c>
      <c r="E20" s="112">
        <v>6.5</v>
      </c>
      <c r="F20" s="79">
        <v>65</v>
      </c>
      <c r="G20" s="156" t="e">
        <f>((E20)*($C$9+$E$9))/$E$9</f>
        <v>#DIV/0!</v>
      </c>
      <c r="H20" s="157" t="e">
        <f>((F20)*($D$9+$E$9))/$E$9</f>
        <v>#DIV/0!</v>
      </c>
      <c r="I20" s="91"/>
      <c r="J20" s="156" t="e">
        <f>((E20/2)*($C$9+$E$9))/$E$9</f>
        <v>#DIV/0!</v>
      </c>
      <c r="K20" s="157" t="e">
        <f>((F20/2)*($D$9+$E$9))/$E$9</f>
        <v>#DIV/0!</v>
      </c>
      <c r="L20" s="5"/>
      <c r="P20"/>
    </row>
    <row r="21" spans="1:16" ht="16" thickTop="1" x14ac:dyDescent="0.35">
      <c r="A21" s="58" t="s">
        <v>29</v>
      </c>
      <c r="B21" s="45" t="e">
        <f>(EXP((0.7977*LN(G9))-3.909))*(1.101672-((LN(G9)*(0.041838))))</f>
        <v>#DIV/0!</v>
      </c>
      <c r="C21" s="67" t="e">
        <f>EXP((0.9789*LN(G9))-3.443)*(1.136672-(LN(G9)*(0.041838)))</f>
        <v>#DIV/0!</v>
      </c>
      <c r="D21" s="62">
        <f>1/(1+(0.000001*4000000*($F$9)^(1-1.1307)))</f>
        <v>0.25249557720918481</v>
      </c>
      <c r="E21" s="113" t="e">
        <f>B21/D21</f>
        <v>#DIV/0!</v>
      </c>
      <c r="F21" s="78" t="e">
        <f>C21/D21</f>
        <v>#DIV/0!</v>
      </c>
      <c r="G21" s="158" t="e">
        <f t="shared" si="0"/>
        <v>#DIV/0!</v>
      </c>
      <c r="H21" s="159" t="e">
        <f>((F21)*($D$9+$E$9))/$E$9</f>
        <v>#DIV/0!</v>
      </c>
      <c r="I21" s="89"/>
      <c r="J21" s="158" t="e">
        <f>((E21/2)*($C$9+$E$9))/$E$9</f>
        <v>#DIV/0!</v>
      </c>
      <c r="K21" s="159" t="e">
        <f>((F21/2)*($D$9+$E$9))/$E$9</f>
        <v>#DIV/0!</v>
      </c>
      <c r="L21" s="5"/>
      <c r="P21"/>
    </row>
    <row r="22" spans="1:16" x14ac:dyDescent="0.35">
      <c r="A22" s="57" t="s">
        <v>30</v>
      </c>
      <c r="B22" s="46">
        <v>250000</v>
      </c>
      <c r="C22" s="68" t="s">
        <v>27</v>
      </c>
      <c r="D22" s="63">
        <v>1</v>
      </c>
      <c r="E22" s="114">
        <f>B22/D22</f>
        <v>250000</v>
      </c>
      <c r="F22" s="78" t="s">
        <v>27</v>
      </c>
      <c r="G22" s="160" t="e">
        <f t="shared" si="0"/>
        <v>#DIV/0!</v>
      </c>
      <c r="H22" s="159" t="s">
        <v>27</v>
      </c>
      <c r="I22" s="89"/>
      <c r="J22" s="158" t="e">
        <f>((E22/2)*($C$9+$E$9))/$E$9</f>
        <v>#DIV/0!</v>
      </c>
      <c r="K22" s="159" t="s">
        <v>27</v>
      </c>
      <c r="L22" s="5"/>
      <c r="P22"/>
    </row>
    <row r="23" spans="1:16" hidden="1" x14ac:dyDescent="0.35">
      <c r="A23" s="59" t="s">
        <v>31</v>
      </c>
      <c r="B23" s="47" t="e">
        <f>(EXP((0.819*LN($G$9))+0.6848))*0.86</f>
        <v>#DIV/0!</v>
      </c>
      <c r="C23" s="69" t="e">
        <f>(EXP((0.819*LN($G$9))+3.7256))*0.316</f>
        <v>#DIV/0!</v>
      </c>
      <c r="D23" s="62">
        <f>1/(1+((3360000)*($F$9^(1-0.9304))*0.000001))</f>
        <v>0.20226449122363688</v>
      </c>
      <c r="E23" s="115" t="e">
        <f>B23/D23</f>
        <v>#DIV/0!</v>
      </c>
      <c r="F23" s="80" t="e">
        <f>C23/D23</f>
        <v>#DIV/0!</v>
      </c>
      <c r="G23" s="161" t="e">
        <f t="shared" si="0"/>
        <v>#DIV/0!</v>
      </c>
      <c r="H23" s="162" t="e">
        <f t="shared" ref="H23:H36" si="1">((F23)*($D$9+$E$9))/$E$9</f>
        <v>#DIV/0!</v>
      </c>
      <c r="I23" s="92"/>
      <c r="J23" s="161" t="e">
        <f t="shared" ref="J23:J36" si="2">((E23/2)*($C$9+$E$9))/$E$9</f>
        <v>#DIV/0!</v>
      </c>
      <c r="K23" s="162" t="e">
        <f t="shared" ref="K23:K39" si="3">((F23/2)*($D$9+$E$9))/$E$9</f>
        <v>#DIV/0!</v>
      </c>
      <c r="L23" s="5"/>
      <c r="P23"/>
    </row>
    <row r="24" spans="1:16" x14ac:dyDescent="0.35">
      <c r="A24" s="57" t="s">
        <v>32</v>
      </c>
      <c r="B24" s="48">
        <v>11</v>
      </c>
      <c r="C24" s="70">
        <v>16</v>
      </c>
      <c r="D24" s="63">
        <v>1</v>
      </c>
      <c r="E24" s="114">
        <v>11</v>
      </c>
      <c r="F24" s="81">
        <v>16</v>
      </c>
      <c r="G24" s="161" t="e">
        <f t="shared" si="0"/>
        <v>#DIV/0!</v>
      </c>
      <c r="H24" s="162" t="e">
        <f t="shared" si="1"/>
        <v>#DIV/0!</v>
      </c>
      <c r="I24" s="92"/>
      <c r="J24" s="161" t="e">
        <f t="shared" si="2"/>
        <v>#DIV/0!</v>
      </c>
      <c r="K24" s="162" t="e">
        <f t="shared" si="3"/>
        <v>#DIV/0!</v>
      </c>
      <c r="P24"/>
    </row>
    <row r="25" spans="1:16" hidden="1" x14ac:dyDescent="0.35">
      <c r="A25" s="57" t="s">
        <v>33</v>
      </c>
      <c r="B25" s="49" t="s">
        <v>27</v>
      </c>
      <c r="C25" s="71" t="s">
        <v>27</v>
      </c>
      <c r="D25" s="62" t="s">
        <v>27</v>
      </c>
      <c r="E25" s="116" t="s">
        <v>27</v>
      </c>
      <c r="F25" s="82" t="s">
        <v>27</v>
      </c>
      <c r="G25" s="163" t="s">
        <v>27</v>
      </c>
      <c r="H25" s="162" t="s">
        <v>27</v>
      </c>
      <c r="I25" s="90"/>
      <c r="J25" s="163" t="s">
        <v>27</v>
      </c>
      <c r="K25" s="162" t="s">
        <v>27</v>
      </c>
      <c r="L25" s="4"/>
      <c r="P25"/>
    </row>
    <row r="26" spans="1:16" x14ac:dyDescent="0.35">
      <c r="A26" s="58" t="s">
        <v>34</v>
      </c>
      <c r="B26" s="50" t="e">
        <f>(EXP((0.8545*LN($G$9))-1.702))*0.96</f>
        <v>#DIV/0!</v>
      </c>
      <c r="C26" s="72" t="e">
        <f>(EXP((0.9422*LN($G$9))-1.7))*0.96</f>
        <v>#DIV/0!</v>
      </c>
      <c r="D26" s="62">
        <f>1/(1+((1040000)*($F$9^(1-0.7436))*0.000001))</f>
        <v>0.34760044138413848</v>
      </c>
      <c r="E26" s="113" t="e">
        <f t="shared" ref="E26:E34" si="4">B26/D26</f>
        <v>#DIV/0!</v>
      </c>
      <c r="F26" s="78" t="e">
        <f>C26/D26</f>
        <v>#DIV/0!</v>
      </c>
      <c r="G26" s="158" t="e">
        <f t="shared" ref="G26:G36" si="5">((E26)*($C$9+$E$9))/$E$9</f>
        <v>#DIV/0!</v>
      </c>
      <c r="H26" s="159" t="e">
        <f t="shared" si="1"/>
        <v>#DIV/0!</v>
      </c>
      <c r="I26" s="93"/>
      <c r="J26" s="158" t="e">
        <f t="shared" si="2"/>
        <v>#DIV/0!</v>
      </c>
      <c r="K26" s="159" t="e">
        <f t="shared" si="3"/>
        <v>#DIV/0!</v>
      </c>
      <c r="L26" s="4"/>
      <c r="P26"/>
    </row>
    <row r="27" spans="1:16" x14ac:dyDescent="0.35">
      <c r="A27" s="57" t="s">
        <v>35</v>
      </c>
      <c r="B27" s="51">
        <v>5</v>
      </c>
      <c r="C27" s="73">
        <v>22</v>
      </c>
      <c r="D27" s="63">
        <v>1</v>
      </c>
      <c r="E27" s="117">
        <f t="shared" si="4"/>
        <v>5</v>
      </c>
      <c r="F27" s="83">
        <f>C27/D27</f>
        <v>22</v>
      </c>
      <c r="G27" s="158" t="e">
        <f t="shared" si="5"/>
        <v>#DIV/0!</v>
      </c>
      <c r="H27" s="159" t="e">
        <f t="shared" si="1"/>
        <v>#DIV/0!</v>
      </c>
      <c r="I27" s="93"/>
      <c r="J27" s="158" t="e">
        <f t="shared" si="2"/>
        <v>#DIV/0!</v>
      </c>
      <c r="K27" s="159" t="e">
        <f t="shared" si="3"/>
        <v>#DIV/0!</v>
      </c>
      <c r="L27" s="4"/>
      <c r="P27"/>
    </row>
    <row r="28" spans="1:16" x14ac:dyDescent="0.35">
      <c r="A28" s="57" t="s">
        <v>36</v>
      </c>
      <c r="B28" s="51">
        <v>1800</v>
      </c>
      <c r="C28" s="73" t="s">
        <v>27</v>
      </c>
      <c r="D28" s="63">
        <v>1</v>
      </c>
      <c r="E28" s="118">
        <f t="shared" si="4"/>
        <v>1800</v>
      </c>
      <c r="F28" s="78" t="s">
        <v>27</v>
      </c>
      <c r="G28" s="158" t="e">
        <f t="shared" si="5"/>
        <v>#DIV/0!</v>
      </c>
      <c r="H28" s="159" t="s">
        <v>27</v>
      </c>
      <c r="I28" s="93"/>
      <c r="J28" s="158" t="e">
        <f t="shared" si="2"/>
        <v>#DIV/0!</v>
      </c>
      <c r="K28" s="159" t="s">
        <v>27</v>
      </c>
      <c r="L28" s="4"/>
      <c r="P28"/>
    </row>
    <row r="29" spans="1:16" x14ac:dyDescent="0.35">
      <c r="A29" s="58" t="s">
        <v>37</v>
      </c>
      <c r="B29" s="52" t="e">
        <f>(EXP((1.273*LN($G$9))-4.705))*(1.46203-((LN($G$9))*(0.145712)))</f>
        <v>#DIV/0!</v>
      </c>
      <c r="C29" s="69" t="e">
        <f>EXP((1.273*LN($G$9))-1.46)*(1.46203-((LN($G$9))*(0.145712)))</f>
        <v>#DIV/0!</v>
      </c>
      <c r="D29" s="62">
        <f>1/(1+((2800000)*($F$9^(1-0.8))*0.000001))</f>
        <v>0.18390125003894109</v>
      </c>
      <c r="E29" s="113" t="e">
        <f t="shared" si="4"/>
        <v>#DIV/0!</v>
      </c>
      <c r="F29" s="78" t="e">
        <f>C29/D29</f>
        <v>#DIV/0!</v>
      </c>
      <c r="G29" s="164" t="e">
        <f t="shared" si="5"/>
        <v>#DIV/0!</v>
      </c>
      <c r="H29" s="159" t="e">
        <f t="shared" si="1"/>
        <v>#DIV/0!</v>
      </c>
      <c r="I29" s="93"/>
      <c r="J29" s="164" t="e">
        <f t="shared" si="2"/>
        <v>#DIV/0!</v>
      </c>
      <c r="K29" s="159" t="e">
        <f t="shared" si="3"/>
        <v>#DIV/0!</v>
      </c>
      <c r="L29" s="4"/>
      <c r="P29"/>
    </row>
    <row r="30" spans="1:16" x14ac:dyDescent="0.35">
      <c r="A30" s="57" t="s">
        <v>38</v>
      </c>
      <c r="B30" s="53">
        <v>1.2E-2</v>
      </c>
      <c r="C30" s="70" t="s">
        <v>27</v>
      </c>
      <c r="D30" s="63">
        <v>1</v>
      </c>
      <c r="E30" s="119">
        <f t="shared" si="4"/>
        <v>1.2E-2</v>
      </c>
      <c r="F30" s="78" t="s">
        <v>27</v>
      </c>
      <c r="G30" s="165" t="e">
        <f t="shared" si="5"/>
        <v>#DIV/0!</v>
      </c>
      <c r="H30" s="159" t="s">
        <v>27</v>
      </c>
      <c r="I30" s="93"/>
      <c r="J30" s="172" t="e">
        <f t="shared" si="2"/>
        <v>#DIV/0!</v>
      </c>
      <c r="K30" s="159" t="s">
        <v>27</v>
      </c>
      <c r="L30" s="4"/>
      <c r="P30"/>
    </row>
    <row r="31" spans="1:16" x14ac:dyDescent="0.35">
      <c r="A31" s="57" t="s">
        <v>39</v>
      </c>
      <c r="B31" s="54">
        <v>160</v>
      </c>
      <c r="C31" s="70" t="s">
        <v>27</v>
      </c>
      <c r="D31" s="63">
        <v>1</v>
      </c>
      <c r="E31" s="117">
        <f t="shared" si="4"/>
        <v>160</v>
      </c>
      <c r="F31" s="78" t="s">
        <v>27</v>
      </c>
      <c r="G31" s="164" t="e">
        <f t="shared" si="5"/>
        <v>#DIV/0!</v>
      </c>
      <c r="H31" s="159" t="s">
        <v>27</v>
      </c>
      <c r="I31" s="93"/>
      <c r="J31" s="164" t="e">
        <f t="shared" si="2"/>
        <v>#DIV/0!</v>
      </c>
      <c r="K31" s="159" t="s">
        <v>27</v>
      </c>
      <c r="L31" s="4"/>
      <c r="P31"/>
    </row>
    <row r="32" spans="1:16" x14ac:dyDescent="0.35">
      <c r="A32" s="58" t="s">
        <v>40</v>
      </c>
      <c r="B32" s="47" t="e">
        <f>(EXP((0.846*LN($G$9))+0.0584))*0.997</f>
        <v>#DIV/0!</v>
      </c>
      <c r="C32" s="69" t="e">
        <f>EXP((0.846*LN($G$9))+2.255)*0.998</f>
        <v>#DIV/0!</v>
      </c>
      <c r="D32" s="62">
        <f>1/(1+((490000)*($F$9^(1-0.5719))*0.000001))</f>
        <v>0.43232123555859853</v>
      </c>
      <c r="E32" s="113" t="e">
        <f t="shared" si="4"/>
        <v>#DIV/0!</v>
      </c>
      <c r="F32" s="78" t="e">
        <f>C32/D32</f>
        <v>#DIV/0!</v>
      </c>
      <c r="G32" s="160" t="e">
        <f t="shared" si="5"/>
        <v>#DIV/0!</v>
      </c>
      <c r="H32" s="159" t="e">
        <f t="shared" si="1"/>
        <v>#DIV/0!</v>
      </c>
      <c r="I32" s="92"/>
      <c r="J32" s="160" t="e">
        <f t="shared" si="2"/>
        <v>#DIV/0!</v>
      </c>
      <c r="K32" s="159" t="e">
        <f t="shared" si="3"/>
        <v>#DIV/0!</v>
      </c>
      <c r="L32" s="4"/>
      <c r="P32"/>
    </row>
    <row r="33" spans="1:16" x14ac:dyDescent="0.35">
      <c r="A33" s="57" t="s">
        <v>41</v>
      </c>
      <c r="B33" s="48">
        <v>25</v>
      </c>
      <c r="C33" s="70" t="s">
        <v>27</v>
      </c>
      <c r="D33" s="63">
        <v>1</v>
      </c>
      <c r="E33" s="117">
        <f t="shared" si="4"/>
        <v>25</v>
      </c>
      <c r="F33" s="78" t="s">
        <v>27</v>
      </c>
      <c r="G33" s="160" t="e">
        <f t="shared" si="5"/>
        <v>#DIV/0!</v>
      </c>
      <c r="H33" s="159" t="s">
        <v>27</v>
      </c>
      <c r="I33" s="90"/>
      <c r="J33" s="160" t="e">
        <f t="shared" si="2"/>
        <v>#DIV/0!</v>
      </c>
      <c r="K33" s="159" t="s">
        <v>27</v>
      </c>
      <c r="L33" s="4"/>
      <c r="P33"/>
    </row>
    <row r="34" spans="1:16" x14ac:dyDescent="0.35">
      <c r="A34" s="57" t="s">
        <v>57</v>
      </c>
      <c r="B34" s="51">
        <v>3.1</v>
      </c>
      <c r="C34" s="70">
        <v>56</v>
      </c>
      <c r="D34" s="63">
        <v>1</v>
      </c>
      <c r="E34" s="117">
        <f t="shared" si="4"/>
        <v>3.1</v>
      </c>
      <c r="F34" s="83">
        <f>C34/D34</f>
        <v>56</v>
      </c>
      <c r="G34" s="158" t="e">
        <f t="shared" si="5"/>
        <v>#DIV/0!</v>
      </c>
      <c r="H34" s="159" t="e">
        <f t="shared" ref="H34" si="6">((F34)*($D$9+$E$9))/$E$9</f>
        <v>#DIV/0!</v>
      </c>
      <c r="I34" s="140"/>
      <c r="J34" s="160" t="e">
        <f t="shared" si="2"/>
        <v>#DIV/0!</v>
      </c>
      <c r="K34" s="159" t="e">
        <f t="shared" ref="K34" si="7">((F34/2)*($D$9+$E$9))/$E$9</f>
        <v>#DIV/0!</v>
      </c>
      <c r="L34" s="4"/>
      <c r="P34"/>
    </row>
    <row r="35" spans="1:16" x14ac:dyDescent="0.35">
      <c r="A35" s="57" t="s">
        <v>42</v>
      </c>
      <c r="B35" s="54">
        <v>0.06</v>
      </c>
      <c r="C35" s="74" t="e">
        <f>EXP((1.72*LN($G$9))-6.59)*0.85</f>
        <v>#DIV/0!</v>
      </c>
      <c r="D35" s="63">
        <v>1</v>
      </c>
      <c r="E35" s="120">
        <v>0.06</v>
      </c>
      <c r="F35" s="83" t="e">
        <f>C35/D35</f>
        <v>#DIV/0!</v>
      </c>
      <c r="G35" s="164" t="e">
        <f t="shared" si="5"/>
        <v>#DIV/0!</v>
      </c>
      <c r="H35" s="159" t="e">
        <f t="shared" si="1"/>
        <v>#DIV/0!</v>
      </c>
      <c r="I35" s="90"/>
      <c r="J35" s="164" t="e">
        <f t="shared" si="2"/>
        <v>#DIV/0!</v>
      </c>
      <c r="K35" s="159" t="e">
        <f t="shared" si="3"/>
        <v>#DIV/0!</v>
      </c>
      <c r="L35" s="5"/>
      <c r="P35"/>
    </row>
    <row r="36" spans="1:16" x14ac:dyDescent="0.35">
      <c r="A36" s="97" t="s">
        <v>43</v>
      </c>
      <c r="B36" s="98" t="e">
        <f>(EXP((0.8473*LN($G$9))+0.884))*0.986</f>
        <v>#DIV/0!</v>
      </c>
      <c r="C36" s="99" t="e">
        <f>(EXP((0.8473*LN($G$9))+0.884))*0.978</f>
        <v>#DIV/0!</v>
      </c>
      <c r="D36" s="100">
        <f>1/(1+((1250000)*($F$9^(1-0.7038))*0.000001))</f>
        <v>0.28798937317506229</v>
      </c>
      <c r="E36" s="121" t="e">
        <f>B36/D36</f>
        <v>#DIV/0!</v>
      </c>
      <c r="F36" s="101" t="e">
        <f>C36/D36</f>
        <v>#DIV/0!</v>
      </c>
      <c r="G36" s="166" t="e">
        <f t="shared" si="5"/>
        <v>#DIV/0!</v>
      </c>
      <c r="H36" s="167" t="e">
        <f t="shared" si="1"/>
        <v>#DIV/0!</v>
      </c>
      <c r="I36" s="92"/>
      <c r="J36" s="173" t="e">
        <f t="shared" si="2"/>
        <v>#DIV/0!</v>
      </c>
      <c r="K36" s="174" t="e">
        <f t="shared" si="3"/>
        <v>#DIV/0!</v>
      </c>
      <c r="L36" s="5"/>
      <c r="P36"/>
    </row>
    <row r="37" spans="1:16" ht="16" thickBot="1" x14ac:dyDescent="0.4">
      <c r="A37" s="102"/>
      <c r="B37" s="108"/>
      <c r="C37" s="107"/>
      <c r="D37" s="96"/>
      <c r="E37" s="122"/>
      <c r="F37" s="103"/>
      <c r="G37" s="168"/>
      <c r="H37" s="169"/>
      <c r="I37" s="92"/>
      <c r="J37" s="175" t="s">
        <v>5</v>
      </c>
      <c r="K37" s="176" t="s">
        <v>5</v>
      </c>
      <c r="L37" s="5"/>
      <c r="P37"/>
    </row>
    <row r="38" spans="1:16" ht="16.5" thickTop="1" thickBot="1" x14ac:dyDescent="0.4">
      <c r="A38" s="102" t="s">
        <v>44</v>
      </c>
      <c r="B38" s="104" t="e">
        <f>(EXP((0.7977*LN(G9))-3.909))*(1.101672-((LN(G9)*(0.041838))))</f>
        <v>#DIV/0!</v>
      </c>
      <c r="C38" s="105" t="e">
        <f>EXP((0.9789*LN(G9))-3.866)*(1.136672-(LN(G9)*(0.041838)))</f>
        <v>#DIV/0!</v>
      </c>
      <c r="D38" s="96">
        <f>1/(1+(0.000001*4000000*($F$9)^(1-1.1307)))</f>
        <v>0.25249557720918481</v>
      </c>
      <c r="E38" s="123" t="e">
        <f>B38/D38</f>
        <v>#DIV/0!</v>
      </c>
      <c r="F38" s="106" t="e">
        <f>C38/D38</f>
        <v>#DIV/0!</v>
      </c>
      <c r="G38" s="170" t="e">
        <f>((E38)*($C$9+$E$9))/$E$9</f>
        <v>#DIV/0!</v>
      </c>
      <c r="H38" s="171" t="e">
        <f>((F38)*($D$9+$E$9))/$E$9</f>
        <v>#DIV/0!</v>
      </c>
      <c r="I38" s="15"/>
      <c r="J38" s="177" t="e">
        <f>((E38/2)*($C$9+$E$9))/$E$9</f>
        <v>#DIV/0!</v>
      </c>
      <c r="K38" s="178" t="e">
        <f t="shared" si="3"/>
        <v>#DIV/0!</v>
      </c>
      <c r="L38" s="5"/>
      <c r="P38"/>
    </row>
    <row r="39" spans="1:16" ht="16" hidden="1" thickBot="1" x14ac:dyDescent="0.4">
      <c r="A39" s="127" t="s">
        <v>45</v>
      </c>
      <c r="B39" s="128">
        <v>1.5</v>
      </c>
      <c r="C39" s="129">
        <v>56</v>
      </c>
      <c r="D39" s="130">
        <v>1</v>
      </c>
      <c r="E39" s="131">
        <f t="shared" ref="E39" si="8">B39/D39</f>
        <v>1.5</v>
      </c>
      <c r="F39" s="132">
        <f>C39/D39</f>
        <v>56</v>
      </c>
      <c r="G39" s="133" t="e">
        <f t="shared" ref="G39" si="9">((E39)*($C$9+$E$9))/$E$9</f>
        <v>#DIV/0!</v>
      </c>
      <c r="H39" s="134" t="e">
        <f t="shared" ref="H39" si="10">((F39)*($D$9+$E$9))/$E$9</f>
        <v>#DIV/0!</v>
      </c>
      <c r="I39" s="90"/>
      <c r="J39" s="135" t="e">
        <f>((E39/2)*($C$9+$E$9))/$E$9</f>
        <v>#DIV/0!</v>
      </c>
      <c r="K39" s="136" t="e">
        <f t="shared" si="3"/>
        <v>#DIV/0!</v>
      </c>
      <c r="L39" s="5"/>
      <c r="P39"/>
    </row>
    <row r="40" spans="1:16" ht="16.5" customHeight="1" thickTop="1" thickBot="1" x14ac:dyDescent="0.4">
      <c r="A40" s="137"/>
      <c r="B40" s="137"/>
      <c r="C40" s="137"/>
      <c r="D40" s="137"/>
      <c r="E40" s="137"/>
      <c r="F40" s="137"/>
      <c r="G40" s="137"/>
      <c r="H40" s="137"/>
      <c r="I40" s="137"/>
      <c r="J40" s="137"/>
      <c r="K40" s="138"/>
      <c r="L40" s="15"/>
      <c r="P40"/>
    </row>
    <row r="41" spans="1:16" ht="17.25" customHeight="1" thickTop="1" x14ac:dyDescent="0.35">
      <c r="I41" s="155"/>
      <c r="P41"/>
    </row>
    <row r="42" spans="1:16" ht="17.25" customHeight="1" x14ac:dyDescent="0.35">
      <c r="P42"/>
    </row>
    <row r="43" spans="1:16" ht="17.25" customHeight="1" x14ac:dyDescent="0.35">
      <c r="P43"/>
    </row>
    <row r="44" spans="1:16" ht="17.25" customHeight="1" x14ac:dyDescent="0.35">
      <c r="P44"/>
    </row>
    <row r="45" spans="1:16" ht="17.25" customHeight="1" x14ac:dyDescent="0.35">
      <c r="P45"/>
    </row>
    <row r="46" spans="1:16" ht="17.25" customHeight="1" x14ac:dyDescent="0.35">
      <c r="P46"/>
    </row>
    <row r="47" spans="1:16" ht="16.5" customHeight="1" x14ac:dyDescent="0.35">
      <c r="P47"/>
    </row>
    <row r="48" spans="1:16" ht="17.25" customHeight="1" x14ac:dyDescent="0.35">
      <c r="P48"/>
    </row>
    <row r="49" spans="1:16" ht="15" customHeight="1" x14ac:dyDescent="0.35">
      <c r="P49"/>
    </row>
    <row r="50" spans="1:16" x14ac:dyDescent="0.35">
      <c r="P50"/>
    </row>
    <row r="51" spans="1:16" x14ac:dyDescent="0.35">
      <c r="P51"/>
    </row>
    <row r="52" spans="1:16" ht="17.25" customHeight="1" x14ac:dyDescent="0.35"/>
    <row r="53" spans="1:16" ht="17.25" customHeight="1" x14ac:dyDescent="0.35"/>
    <row r="54" spans="1:16" ht="17.25" customHeight="1" x14ac:dyDescent="0.35">
      <c r="A54" s="32"/>
      <c r="B54" s="32"/>
      <c r="C54" s="32"/>
      <c r="D54" s="32"/>
      <c r="E54" s="32"/>
      <c r="F54" s="32"/>
      <c r="G54" s="32"/>
      <c r="H54" s="32"/>
    </row>
    <row r="55" spans="1:16" x14ac:dyDescent="0.35">
      <c r="A55" s="32"/>
      <c r="B55" s="32"/>
      <c r="C55" s="32"/>
      <c r="D55" s="32"/>
      <c r="E55" s="32"/>
      <c r="F55" s="32"/>
      <c r="G55" s="32"/>
      <c r="H55" s="32"/>
    </row>
  </sheetData>
  <mergeCells count="19">
    <mergeCell ref="A13:A16"/>
    <mergeCell ref="B13:C15"/>
    <mergeCell ref="E13:F15"/>
    <mergeCell ref="G13:H15"/>
    <mergeCell ref="J13:K15"/>
    <mergeCell ref="G6:G8"/>
    <mergeCell ref="H6:H8"/>
    <mergeCell ref="I6:I8"/>
    <mergeCell ref="J1:L2"/>
    <mergeCell ref="D13:D15"/>
    <mergeCell ref="J6:J8"/>
    <mergeCell ref="K6:K8"/>
    <mergeCell ref="A1:I2"/>
    <mergeCell ref="A4:B4"/>
    <mergeCell ref="A6:A8"/>
    <mergeCell ref="B6:B8"/>
    <mergeCell ref="C6:C8"/>
    <mergeCell ref="E6:E8"/>
    <mergeCell ref="F6:F8"/>
  </mergeCells>
  <pageMargins left="0.5" right="0.25" top="0.25" bottom="0.25" header="0.5" footer="0.5"/>
  <pageSetup scale="68"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5" x14ac:dyDescent="0.35"/>
  <sheetData/>
  <phoneticPr fontId="0" type="noConversion"/>
  <printOptions gridLines="1" gridLinesSet="0"/>
  <pageMargins left="0.75" right="0.75" top="1" bottom="1" header="0.5" footer="0.5"/>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27e8c24-5d71-4690-8dae-8c7628d86b8b">
      <Terms xmlns="http://schemas.microsoft.com/office/infopath/2007/PartnerControls"/>
    </lcf76f155ced4ddcb4097134ff3c332f>
    <_ip_UnifiedCompliancePolicyProperties xmlns="http://schemas.microsoft.com/sharepoint/v3" xsi:nil="true"/>
    <TaxCatchAll xmlns="b08123df-d820-4faf-a145-45bb15d68f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7DBCA0DDAB8D4DB06F6673BC468448" ma:contentTypeVersion="18" ma:contentTypeDescription="Create a new document." ma:contentTypeScope="" ma:versionID="f94d404fc4518881416e733ebd12191a">
  <xsd:schema xmlns:xsd="http://www.w3.org/2001/XMLSchema" xmlns:xs="http://www.w3.org/2001/XMLSchema" xmlns:p="http://schemas.microsoft.com/office/2006/metadata/properties" xmlns:ns1="http://schemas.microsoft.com/sharepoint/v3" xmlns:ns2="627e8c24-5d71-4690-8dae-8c7628d86b8b" xmlns:ns3="b08123df-d820-4faf-a145-45bb15d68fff" targetNamespace="http://schemas.microsoft.com/office/2006/metadata/properties" ma:root="true" ma:fieldsID="04caaf5e215af430402e6d6bfcc13a6e" ns1:_="" ns2:_="" ns3:_="">
    <xsd:import namespace="http://schemas.microsoft.com/sharepoint/v3"/>
    <xsd:import namespace="627e8c24-5d71-4690-8dae-8c7628d86b8b"/>
    <xsd:import namespace="b08123df-d820-4faf-a145-45bb15d68ff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7e8c24-5d71-4690-8dae-8c7628d86b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8123df-d820-4faf-a145-45bb15d68ff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d38170f-e477-4be4-b6dd-cf4e4feef9a4}" ma:internalName="TaxCatchAll" ma:showField="CatchAllData" ma:web="b08123df-d820-4faf-a145-45bb15d68f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65974C-F36C-47E6-98BD-56D7B1D2282A}">
  <ds:schemaRefs>
    <ds:schemaRef ds:uri="http://purl.org/dc/terms/"/>
    <ds:schemaRef ds:uri="627e8c24-5d71-4690-8dae-8c7628d86b8b"/>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b08123df-d820-4faf-a145-45bb15d68fff"/>
    <ds:schemaRef ds:uri="http://purl.org/dc/elements/1.1/"/>
    <ds:schemaRef ds:uri="http://schemas.microsoft.com/sharepoint/v3"/>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3B354AA-7B94-4EA4-BEAF-1F77548E1E3F}">
  <ds:schemaRefs>
    <ds:schemaRef ds:uri="http://schemas.microsoft.com/sharepoint/v3/contenttype/forms"/>
  </ds:schemaRefs>
</ds:datastoreItem>
</file>

<file path=customXml/itemProps3.xml><?xml version="1.0" encoding="utf-8"?>
<ds:datastoreItem xmlns:ds="http://schemas.openxmlformats.org/officeDocument/2006/customXml" ds:itemID="{4128E478-35DE-44AB-86D4-58DA918CD3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7e8c24-5d71-4690-8dae-8c7628d86b8b"/>
    <ds:schemaRef ds:uri="b08123df-d820-4faf-a145-45bb15d68f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DMC Example and Instructions</vt:lpstr>
      <vt:lpstr>DMC For Use</vt:lpstr>
      <vt:lpstr>Sheet12</vt:lpstr>
      <vt:lpstr>'DMC Example and Instructions'!Print_Area</vt:lpstr>
      <vt:lpstr>'DMC For Use'!Print_Area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SAYA ANN QUALLS</dc:creator>
  <cp:keywords/>
  <dc:description/>
  <cp:lastModifiedBy>Kuntz, Ricky</cp:lastModifiedBy>
  <cp:revision/>
  <dcterms:created xsi:type="dcterms:W3CDTF">2000-05-19T17:54:00Z</dcterms:created>
  <dcterms:modified xsi:type="dcterms:W3CDTF">2026-05-27T17:24:38Z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0x010100857DBCA0DDAB8D4DB06F6673BC468448</vt:lpwstr>
  </property>
  <property fmtid="{D5CDD505-2E9C-101B-9397-08002B2CF9AE}" pid="3" name="MediaServiceImageTags">
    <vt:lpwstr/>
  </property>
</Properties>
</file>