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KPPC\Technical Services\Sustainability Projects\Grant Specific\P2G\P2G 18-20 SSBI\SSBI Calculator\"/>
    </mc:Choice>
  </mc:AlternateContent>
  <bookViews>
    <workbookView xWindow="0" yWindow="0" windowWidth="18768" windowHeight="8760" tabRatio="674"/>
  </bookViews>
  <sheets>
    <sheet name="Read Me" sheetId="5" r:id="rId1"/>
    <sheet name="Production, Utility Data Input" sheetId="1" r:id="rId2"/>
    <sheet name="Sustainability Data Output" sheetId="4" r:id="rId3"/>
    <sheet name="Figures" sheetId="3" r:id="rId4"/>
  </sheets>
  <externalReferences>
    <externalReference r:id="rId5"/>
  </externalReferences>
  <definedNames>
    <definedName name="_">#REF!</definedName>
    <definedName name="_1_0_4">#REF!</definedName>
    <definedName name="_2_5_9">#REF!</definedName>
    <definedName name="CH4GWP">#REF!</definedName>
    <definedName name="F861UTIL">#REF!</definedName>
    <definedName name="GWPCH4">#REF!</definedName>
    <definedName name="GWPN2O">#REF!</definedName>
    <definedName name="N2OGWP">#REF!</definedName>
    <definedName name="Power_Profiler_subregions_04_19_2007">#REF!</definedName>
    <definedName name="_xlnm.Print_Area" localSheetId="3">Figures!$A$1:$N$36</definedName>
    <definedName name="_xlnm.Print_Area" localSheetId="2">'Sustainability Data Output'!$B$1:$P$30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3" i="1"/>
  <c r="M25" i="1"/>
  <c r="M23" i="1"/>
  <c r="M22" i="1"/>
  <c r="L25" i="1"/>
  <c r="K25" i="1"/>
  <c r="J25" i="1"/>
  <c r="I25" i="1"/>
  <c r="H25" i="1"/>
  <c r="G25" i="1"/>
  <c r="F25" i="1"/>
  <c r="E25" i="1"/>
  <c r="D25" i="1"/>
  <c r="C25" i="1"/>
  <c r="L23" i="1"/>
  <c r="K23" i="1"/>
  <c r="J23" i="1"/>
  <c r="I23" i="1"/>
  <c r="H23" i="1"/>
  <c r="G23" i="1"/>
  <c r="F23" i="1"/>
  <c r="E23" i="1"/>
  <c r="D23" i="1"/>
  <c r="C23" i="1"/>
  <c r="L22" i="1"/>
  <c r="K22" i="1"/>
  <c r="J22" i="1"/>
  <c r="I22" i="1"/>
  <c r="H22" i="1"/>
  <c r="G22" i="1"/>
  <c r="F22" i="1"/>
  <c r="E22" i="1"/>
  <c r="D22" i="1"/>
  <c r="C22" i="1"/>
  <c r="C6" i="4"/>
  <c r="G24" i="1" l="1"/>
  <c r="M24" i="1"/>
  <c r="E24" i="1"/>
  <c r="F24" i="1"/>
  <c r="C24" i="1"/>
  <c r="J24" i="1"/>
  <c r="H24" i="1"/>
  <c r="K24" i="1"/>
  <c r="L24" i="1"/>
  <c r="D24" i="1"/>
  <c r="I24" i="1"/>
  <c r="B24" i="1" l="1"/>
  <c r="N7" i="1"/>
  <c r="N11" i="1"/>
  <c r="N13" i="1"/>
  <c r="N17" i="1"/>
  <c r="N18" i="1"/>
  <c r="N25" i="1" l="1"/>
  <c r="N23" i="1"/>
  <c r="N22" i="1"/>
  <c r="N8" i="1"/>
  <c r="N24" i="1" l="1"/>
  <c r="P11" i="4"/>
  <c r="P10" i="4"/>
  <c r="P12" i="4"/>
  <c r="N7" i="4"/>
  <c r="M7" i="4"/>
  <c r="L7" i="4"/>
  <c r="K7" i="4"/>
  <c r="J7" i="4"/>
  <c r="I7" i="4"/>
  <c r="H7" i="4"/>
  <c r="G7" i="4"/>
  <c r="F7" i="4"/>
  <c r="E7" i="4"/>
  <c r="D7" i="4"/>
  <c r="C7" i="4"/>
  <c r="O7" i="4" l="1"/>
  <c r="N6" i="4"/>
  <c r="N8" i="4" s="1"/>
  <c r="M6" i="4"/>
  <c r="M8" i="4" s="1"/>
  <c r="L6" i="4"/>
  <c r="L8" i="4" s="1"/>
  <c r="K6" i="4"/>
  <c r="K8" i="4" s="1"/>
  <c r="J6" i="4"/>
  <c r="J8" i="4" s="1"/>
  <c r="I6" i="4"/>
  <c r="I8" i="4" s="1"/>
  <c r="H6" i="4"/>
  <c r="H8" i="4" s="1"/>
  <c r="G6" i="4"/>
  <c r="G8" i="4" s="1"/>
  <c r="F6" i="4"/>
  <c r="F8" i="4" s="1"/>
  <c r="E6" i="4"/>
  <c r="E8" i="4" s="1"/>
  <c r="D6" i="4"/>
  <c r="D8" i="4" s="1"/>
  <c r="XBZ3" i="4"/>
  <c r="XCA3" i="4" s="1"/>
  <c r="O6" i="4" l="1"/>
  <c r="C8" i="4"/>
  <c r="O8" i="4" s="1"/>
  <c r="XCJ3" i="4"/>
  <c r="XCK3" i="4"/>
  <c r="XCL3" i="4"/>
  <c r="XCB3" i="4"/>
  <c r="XCC3" i="4"/>
  <c r="XCD3" i="4"/>
  <c r="XCE3" i="4"/>
  <c r="XCF3" i="4"/>
  <c r="XCG3" i="4"/>
  <c r="XCH3" i="4"/>
  <c r="XCI3" i="4"/>
  <c r="N16" i="4" l="1"/>
  <c r="M16" i="4"/>
  <c r="L16" i="4"/>
  <c r="K16" i="4"/>
  <c r="J16" i="4"/>
  <c r="I16" i="4"/>
  <c r="H16" i="4"/>
  <c r="G16" i="4"/>
  <c r="F16" i="4"/>
  <c r="E16" i="4"/>
  <c r="D16" i="4"/>
  <c r="C16" i="4"/>
  <c r="N17" i="4" l="1"/>
  <c r="M17" i="4"/>
  <c r="L17" i="4"/>
  <c r="K17" i="4"/>
  <c r="J17" i="4"/>
  <c r="I17" i="4"/>
  <c r="H17" i="4"/>
  <c r="G17" i="4"/>
  <c r="F17" i="4"/>
  <c r="E17" i="4"/>
  <c r="D17" i="4"/>
  <c r="C17" i="4"/>
  <c r="XBZ1" i="4" l="1"/>
  <c r="XCA1" i="4" l="1"/>
  <c r="XCL1" i="4" l="1"/>
  <c r="XCK1" i="4"/>
  <c r="XCJ1" i="4"/>
  <c r="XCI1" i="4"/>
  <c r="XCH1" i="4"/>
  <c r="XCG1" i="4"/>
  <c r="XCF1" i="4"/>
  <c r="XCE1" i="4"/>
  <c r="XCD1" i="4"/>
  <c r="XCC1" i="4"/>
  <c r="XCB1" i="4"/>
  <c r="B8" i="1"/>
  <c r="C14" i="4" s="1"/>
  <c r="C8" i="1"/>
  <c r="D14" i="4" s="1"/>
  <c r="D8" i="1"/>
  <c r="E14" i="4" s="1"/>
  <c r="E8" i="1"/>
  <c r="F14" i="4" s="1"/>
  <c r="F8" i="1"/>
  <c r="G14" i="4" s="1"/>
  <c r="G8" i="1"/>
  <c r="H14" i="4" s="1"/>
  <c r="H8" i="1"/>
  <c r="I14" i="4" s="1"/>
  <c r="I8" i="1"/>
  <c r="J14" i="4" s="1"/>
  <c r="J8" i="1"/>
  <c r="K14" i="4" s="1"/>
  <c r="K8" i="1"/>
  <c r="L14" i="4" s="1"/>
  <c r="L8" i="1"/>
  <c r="M14" i="4" s="1"/>
  <c r="M8" i="1"/>
  <c r="N14" i="4" s="1"/>
  <c r="C5" i="1"/>
  <c r="D4" i="4" s="1"/>
  <c r="C4" i="4"/>
  <c r="N20" i="4" l="1"/>
  <c r="N10" i="4"/>
  <c r="N21" i="4"/>
  <c r="N11" i="4"/>
  <c r="C20" i="4"/>
  <c r="C10" i="4"/>
  <c r="C11" i="4"/>
  <c r="C21" i="4"/>
  <c r="M20" i="4"/>
  <c r="M10" i="4"/>
  <c r="M21" i="4"/>
  <c r="M11" i="4"/>
  <c r="L20" i="4"/>
  <c r="L10" i="4"/>
  <c r="L21" i="4"/>
  <c r="L11" i="4"/>
  <c r="K20" i="4"/>
  <c r="K10" i="4"/>
  <c r="K21" i="4"/>
  <c r="K11" i="4"/>
  <c r="J20" i="4"/>
  <c r="J10" i="4"/>
  <c r="J21" i="4"/>
  <c r="J11" i="4"/>
  <c r="I20" i="4"/>
  <c r="I10" i="4"/>
  <c r="I21" i="4"/>
  <c r="I11" i="4"/>
  <c r="H11" i="4"/>
  <c r="H20" i="4"/>
  <c r="H10" i="4"/>
  <c r="H21" i="4"/>
  <c r="G21" i="4"/>
  <c r="G11" i="4"/>
  <c r="G20" i="4"/>
  <c r="G10" i="4"/>
  <c r="F20" i="4"/>
  <c r="F21" i="4"/>
  <c r="F10" i="4"/>
  <c r="F11" i="4"/>
  <c r="E10" i="4"/>
  <c r="E11" i="4"/>
  <c r="E20" i="4"/>
  <c r="E21" i="4"/>
  <c r="D21" i="4"/>
  <c r="D10" i="4"/>
  <c r="D11" i="4"/>
  <c r="D20" i="4"/>
  <c r="D22" i="4" s="1"/>
  <c r="D5" i="1"/>
  <c r="J18" i="4"/>
  <c r="C18" i="4"/>
  <c r="D18" i="4"/>
  <c r="G18" i="4"/>
  <c r="H18" i="4"/>
  <c r="K18" i="4"/>
  <c r="O16" i="4"/>
  <c r="XEZ1" i="3" s="1"/>
  <c r="XFC1" i="3" s="1"/>
  <c r="F18" i="4"/>
  <c r="N18" i="4"/>
  <c r="O17" i="4"/>
  <c r="L18" i="4"/>
  <c r="M18" i="4"/>
  <c r="I18" i="4"/>
  <c r="E18" i="4"/>
  <c r="L12" i="4" l="1"/>
  <c r="C22" i="4"/>
  <c r="XFC2" i="3"/>
  <c r="XEZ2" i="3"/>
  <c r="K22" i="4"/>
  <c r="L22" i="4"/>
  <c r="G22" i="4"/>
  <c r="M12" i="4"/>
  <c r="XFB5" i="3"/>
  <c r="XFB4" i="3"/>
  <c r="N15" i="1"/>
  <c r="P14" i="4" s="1"/>
  <c r="G12" i="4"/>
  <c r="D12" i="4"/>
  <c r="E12" i="4"/>
  <c r="F12" i="4"/>
  <c r="E22" i="4"/>
  <c r="J22" i="4"/>
  <c r="K12" i="4"/>
  <c r="M22" i="4"/>
  <c r="J12" i="4"/>
  <c r="H22" i="4"/>
  <c r="I12" i="4"/>
  <c r="N22" i="4"/>
  <c r="I22" i="4"/>
  <c r="N12" i="4"/>
  <c r="P21" i="4"/>
  <c r="C12" i="4"/>
  <c r="O21" i="4"/>
  <c r="F22" i="4"/>
  <c r="P20" i="4"/>
  <c r="O20" i="4"/>
  <c r="H12" i="4"/>
  <c r="E4" i="4"/>
  <c r="E5" i="1"/>
  <c r="O18" i="4"/>
  <c r="P22" i="4" s="1"/>
  <c r="N19" i="1" l="1"/>
  <c r="XFC5" i="3"/>
  <c r="XFB8" i="3" s="1"/>
  <c r="XFC4" i="3"/>
  <c r="XFB7" i="3" s="1"/>
  <c r="F4" i="4"/>
  <c r="F5" i="1"/>
  <c r="G4" i="4" l="1"/>
  <c r="G5" i="1"/>
  <c r="H4" i="4" l="1"/>
  <c r="H5" i="1"/>
  <c r="I4" i="4" l="1"/>
  <c r="I5" i="1"/>
  <c r="J5" i="1" l="1"/>
  <c r="J4" i="4"/>
  <c r="K5" i="1" l="1"/>
  <c r="K4" i="4"/>
  <c r="L4" i="4" l="1"/>
  <c r="L5" i="1"/>
  <c r="M4" i="4" l="1"/>
  <c r="M5" i="1"/>
  <c r="N4" i="4" s="1"/>
</calcChain>
</file>

<file path=xl/sharedStrings.xml><?xml version="1.0" encoding="utf-8"?>
<sst xmlns="http://schemas.openxmlformats.org/spreadsheetml/2006/main" count="93" uniqueCount="86">
  <si>
    <t>Month</t>
  </si>
  <si>
    <t>Total</t>
  </si>
  <si>
    <t>Annual</t>
  </si>
  <si>
    <t>Electric Use per Liter (kWh/L)</t>
  </si>
  <si>
    <t xml:space="preserve">Liters Produced </t>
  </si>
  <si>
    <t>Natural Gas Charge ($)</t>
  </si>
  <si>
    <t>Electric Charge ($)</t>
  </si>
  <si>
    <t xml:space="preserve">Sustainability Data </t>
  </si>
  <si>
    <t>Energy Use Ratios</t>
  </si>
  <si>
    <t>Energy Use Ratio (EUR) (MJ/L)</t>
  </si>
  <si>
    <t xml:space="preserve">Brewery </t>
  </si>
  <si>
    <t xml:space="preserve">Distillery </t>
  </si>
  <si>
    <t xml:space="preserve">Winery </t>
  </si>
  <si>
    <t>Bottling (All)</t>
  </si>
  <si>
    <t>440 N. Whittington Parkway Burhans Hall Room 206</t>
  </si>
  <si>
    <t>Louisville, KY 40222</t>
  </si>
  <si>
    <t>How to use this spreadsheet:</t>
  </si>
  <si>
    <t>Use this spreadsheet for a look at a facility's:</t>
  </si>
  <si>
    <t>Contact KPPC for any assistance!</t>
  </si>
  <si>
    <t>phone: 502-852-0965</t>
  </si>
  <si>
    <t>email: info@kppc.org</t>
  </si>
  <si>
    <t>The Kentucky Pollution Prevention Center</t>
  </si>
  <si>
    <t xml:space="preserve">Electric Use: </t>
  </si>
  <si>
    <t xml:space="preserve">Natural Gas Use: </t>
  </si>
  <si>
    <t>Natural Gas Cost per Gallon</t>
  </si>
  <si>
    <t>Energy Cost per Gallon</t>
  </si>
  <si>
    <t>- Observe sustainability data output and figures in the remaining tabs</t>
  </si>
  <si>
    <t>- Input facility production and utility data into the "Production, Utility Data Input" tab</t>
  </si>
  <si>
    <r>
      <t>Natural Gas Emissions Ratio (g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e/L)</t>
    </r>
  </si>
  <si>
    <t>Beverage Industry Environmental Roundtable (BIER) Benchmarks</t>
  </si>
  <si>
    <r>
      <t>Electric Emissions Ratio (g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e/L)</t>
    </r>
  </si>
  <si>
    <t>- Energy usage and cost per unit of production</t>
  </si>
  <si>
    <t>Ave.</t>
  </si>
  <si>
    <r>
      <t>Electric Emissions (Metric Tons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e)</t>
    </r>
  </si>
  <si>
    <r>
      <t>Natural Gas Emissions (Metric Tons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e)</t>
    </r>
  </si>
  <si>
    <r>
      <t>Total Emissions Ratio (g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e/L)     [BIER]</t>
    </r>
  </si>
  <si>
    <t>Total Energy Use per Liter (MJ/L)     [BIER]</t>
  </si>
  <si>
    <t>Natural Gas Use per Liter (ccf/L)</t>
  </si>
  <si>
    <t>Conversion Factors:</t>
  </si>
  <si>
    <t>1 therm = 0.9643 ccf</t>
  </si>
  <si>
    <t>1 litre = 0.2642 gal</t>
  </si>
  <si>
    <t xml:space="preserve">Water Use: </t>
  </si>
  <si>
    <t xml:space="preserve">kWh Consumed </t>
  </si>
  <si>
    <t xml:space="preserve">ccf Consumed </t>
  </si>
  <si>
    <t>Gallons Consumed</t>
  </si>
  <si>
    <t>Water Use Ratios</t>
  </si>
  <si>
    <r>
      <t>GHG Emissions Ratio (g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e/L)</t>
    </r>
  </si>
  <si>
    <r>
      <t>Water Use Ratio (L</t>
    </r>
    <r>
      <rPr>
        <vertAlign val="subscript"/>
        <sz val="10"/>
        <color theme="1"/>
        <rFont val="Arial"/>
        <family val="2"/>
      </rPr>
      <t>water</t>
    </r>
    <r>
      <rPr>
        <sz val="10"/>
        <color theme="1"/>
        <rFont val="Arial"/>
        <family val="2"/>
      </rPr>
      <t>/L</t>
    </r>
    <r>
      <rPr>
        <vertAlign val="subscript"/>
        <sz val="10"/>
        <color theme="1"/>
        <rFont val="Arial"/>
        <family val="2"/>
      </rPr>
      <t>production</t>
    </r>
    <r>
      <rPr>
        <sz val="10"/>
        <color theme="1"/>
        <rFont val="Arial"/>
        <family val="2"/>
      </rPr>
      <t>)</t>
    </r>
  </si>
  <si>
    <t>Water Charge ($)</t>
  </si>
  <si>
    <t>Water Cost per Gallon</t>
  </si>
  <si>
    <t>Utility Costs:</t>
  </si>
  <si>
    <t>Electric Cost per Gallon</t>
  </si>
  <si>
    <t>Production Data:</t>
  </si>
  <si>
    <t>Utility Cost Ratio:</t>
  </si>
  <si>
    <t>- Greenhouse gas emissions per unit of production</t>
  </si>
  <si>
    <t>- Water usage and cost per unit of production</t>
  </si>
  <si>
    <t xml:space="preserve">- Energy, water, and greenhouse gas emissions benchmarked against similar brewing or distilling facilities globally </t>
  </si>
  <si>
    <t>What data is needed to use this spreadsheet:</t>
  </si>
  <si>
    <t xml:space="preserve">- Utility bills for twelve consecutive months for: </t>
  </si>
  <si>
    <t>- Production for corresponding months in gallons</t>
  </si>
  <si>
    <t>Kentucky Pollution Prevention Center Spirits and Brewing Sustainability Worksheet</t>
  </si>
  <si>
    <r>
      <t>Total Emissions (Metric Tons 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e)</t>
    </r>
  </si>
  <si>
    <t xml:space="preserve">KPPC SSBI Energy, Water, and Greenhouse Gas Emissions Calculator </t>
  </si>
  <si>
    <t>KPPC SSBI Energy, Water, and Greenhouse Gas Emissions Calculator Inputs</t>
  </si>
  <si>
    <t>Greenhouse Gas Emissions</t>
  </si>
  <si>
    <t>Greenhouse Gas Emissions Ratios</t>
  </si>
  <si>
    <t xml:space="preserve">Averaged from 2013, 2015, 2017 energy, water, and emissions surveys </t>
  </si>
  <si>
    <t>Facility Type (dropdown)</t>
  </si>
  <si>
    <t>Greenhouse Gas Emissions are estimated using the average Kentucky emission factor from eGRID 2018 and EPA EF Hub</t>
  </si>
  <si>
    <t>KPPC SSBI Energy, Water, and GHG Emissions Calculator Figures</t>
  </si>
  <si>
    <t>ENERGY</t>
  </si>
  <si>
    <t>WATER</t>
  </si>
  <si>
    <t xml:space="preserve">Energy </t>
  </si>
  <si>
    <t>Electric Use (MMbtu)</t>
  </si>
  <si>
    <t>Natural Gas Use (MMbtu)</t>
  </si>
  <si>
    <t>Total Energy Use (MMbtu)</t>
  </si>
  <si>
    <t>Electric</t>
  </si>
  <si>
    <t>Natural Gas</t>
  </si>
  <si>
    <t xml:space="preserve"> MT</t>
  </si>
  <si>
    <t>- Electric usage in kWh and cost</t>
  </si>
  <si>
    <t>- Natural gas usage in ccf and cost</t>
  </si>
  <si>
    <t>- Water in gallons and cost</t>
  </si>
  <si>
    <t>Input data cells are white and all others will fill in automatically</t>
  </si>
  <si>
    <t>Input utility bill starting date (initial reading date) (mm-dd-yyyy). Remaining 11 consecutive months will fill in automatically.</t>
  </si>
  <si>
    <t>Wine Gallons Produced</t>
  </si>
  <si>
    <t>Water Use per Liter Produced (L/L)  [BIER]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</si>
</sst>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_(* #,##0.0_);_(* \(#,##0.0\);_(* &quot;-&quot;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sz val="12"/>
      <color rgb="FF636B75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vertAlign val="subscript"/>
      <sz val="10"/>
      <color theme="1"/>
      <name val="Arial"/>
      <family val="2"/>
    </font>
    <font>
      <b/>
      <sz val="10"/>
      <color theme="0"/>
      <name val="Arial"/>
      <family val="2"/>
    </font>
    <font>
      <u/>
      <sz val="14"/>
      <color theme="1"/>
      <name val="Arial"/>
      <family val="2"/>
    </font>
    <font>
      <u/>
      <sz val="16"/>
      <color theme="1"/>
      <name val="Arial"/>
      <family val="2"/>
    </font>
    <font>
      <u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53548A"/>
      <name val="Arial"/>
      <family val="2"/>
    </font>
    <font>
      <sz val="10"/>
      <name val="MS Sans Serif"/>
    </font>
    <font>
      <sz val="10"/>
      <name val="Verdana"/>
      <family val="2"/>
    </font>
    <font>
      <u/>
      <sz val="10"/>
      <color indexed="12"/>
      <name val="Verdana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C92B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164" fontId="12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/>
    <xf numFmtId="2" fontId="12" fillId="0" borderId="0" xfId="1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14" fillId="0" borderId="0" xfId="0" applyFont="1" applyFill="1"/>
    <xf numFmtId="0" fontId="5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left" indent="2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left" indent="5"/>
    </xf>
    <xf numFmtId="0" fontId="10" fillId="0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16" fillId="4" borderId="14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right" vertical="center"/>
    </xf>
    <xf numFmtId="0" fontId="16" fillId="4" borderId="4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2" fontId="5" fillId="5" borderId="1" xfId="0" applyNumberFormat="1" applyFont="1" applyFill="1" applyBorder="1" applyAlignment="1">
      <alignment horizontal="right" vertical="center"/>
    </xf>
    <xf numFmtId="2" fontId="5" fillId="6" borderId="1" xfId="0" applyNumberFormat="1" applyFont="1" applyFill="1" applyBorder="1" applyAlignment="1">
      <alignment horizontal="right" vertical="center"/>
    </xf>
    <xf numFmtId="164" fontId="5" fillId="6" borderId="1" xfId="1" applyNumberFormat="1" applyFont="1" applyFill="1" applyBorder="1" applyAlignment="1">
      <alignment horizontal="right" vertical="center"/>
    </xf>
    <xf numFmtId="164" fontId="5" fillId="6" borderId="8" xfId="1" applyNumberFormat="1" applyFont="1" applyFill="1" applyBorder="1" applyAlignment="1">
      <alignment horizontal="right" vertical="center"/>
    </xf>
    <xf numFmtId="164" fontId="5" fillId="6" borderId="2" xfId="1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right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Border="1" applyAlignment="1"/>
    <xf numFmtId="14" fontId="5" fillId="2" borderId="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165" fontId="5" fillId="3" borderId="7" xfId="0" applyNumberFormat="1" applyFont="1" applyFill="1" applyBorder="1" applyAlignment="1">
      <alignment horizontal="left" vertical="center"/>
    </xf>
    <xf numFmtId="0" fontId="5" fillId="3" borderId="24" xfId="0" applyFont="1" applyFill="1" applyBorder="1" applyAlignment="1">
      <alignment vertical="center"/>
    </xf>
    <xf numFmtId="0" fontId="5" fillId="3" borderId="24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166" fontId="5" fillId="0" borderId="1" xfId="2" applyNumberFormat="1" applyFont="1" applyBorder="1" applyAlignment="1">
      <alignment horizontal="center" vertical="center"/>
    </xf>
    <xf numFmtId="166" fontId="5" fillId="0" borderId="25" xfId="2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Fill="1"/>
    <xf numFmtId="0" fontId="23" fillId="0" borderId="0" xfId="0" applyFont="1" applyFill="1" applyAlignment="1">
      <alignment horizontal="left"/>
    </xf>
    <xf numFmtId="49" fontId="23" fillId="0" borderId="0" xfId="0" applyNumberFormat="1" applyFont="1" applyFill="1" applyAlignment="1">
      <alignment horizontal="left"/>
    </xf>
    <xf numFmtId="0" fontId="23" fillId="0" borderId="0" xfId="0" applyFont="1" applyFill="1" applyAlignment="1"/>
    <xf numFmtId="0" fontId="19" fillId="0" borderId="0" xfId="0" applyFont="1" applyAlignment="1"/>
    <xf numFmtId="0" fontId="20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9" fontId="11" fillId="0" borderId="0" xfId="3" applyFont="1" applyAlignment="1">
      <alignment vertical="center"/>
    </xf>
    <xf numFmtId="43" fontId="10" fillId="0" borderId="0" xfId="0" applyNumberFormat="1" applyFont="1" applyAlignment="1">
      <alignment vertical="center"/>
    </xf>
    <xf numFmtId="43" fontId="5" fillId="6" borderId="2" xfId="1" applyNumberFormat="1" applyFont="1" applyFill="1" applyBorder="1" applyAlignment="1">
      <alignment horizontal="right" vertical="center"/>
    </xf>
    <xf numFmtId="43" fontId="5" fillId="5" borderId="2" xfId="1" applyNumberFormat="1" applyFont="1" applyFill="1" applyBorder="1" applyAlignment="1">
      <alignment horizontal="right" vertical="center"/>
    </xf>
    <xf numFmtId="43" fontId="5" fillId="6" borderId="8" xfId="1" applyNumberFormat="1" applyFont="1" applyFill="1" applyBorder="1" applyAlignment="1">
      <alignment horizontal="right" vertical="center"/>
    </xf>
    <xf numFmtId="43" fontId="5" fillId="5" borderId="8" xfId="1" applyNumberFormat="1" applyFont="1" applyFill="1" applyBorder="1" applyAlignment="1">
      <alignment horizontal="right" vertical="center"/>
    </xf>
    <xf numFmtId="164" fontId="5" fillId="5" borderId="18" xfId="1" applyNumberFormat="1" applyFont="1" applyFill="1" applyBorder="1" applyAlignment="1">
      <alignment horizontal="right" vertical="center"/>
    </xf>
    <xf numFmtId="164" fontId="5" fillId="5" borderId="11" xfId="1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164" fontId="5" fillId="6" borderId="8" xfId="1" applyNumberFormat="1" applyFont="1" applyFill="1" applyBorder="1" applyAlignment="1">
      <alignment horizontal="center" vertical="center"/>
    </xf>
    <xf numFmtId="166" fontId="5" fillId="6" borderId="8" xfId="2" applyNumberFormat="1" applyFont="1" applyFill="1" applyBorder="1" applyAlignment="1">
      <alignment horizontal="center" vertical="center"/>
    </xf>
    <xf numFmtId="166" fontId="5" fillId="6" borderId="11" xfId="2" applyNumberFormat="1" applyFont="1" applyFill="1" applyBorder="1" applyAlignment="1">
      <alignment horizontal="center" vertical="center"/>
    </xf>
    <xf numFmtId="0" fontId="23" fillId="0" borderId="0" xfId="0" applyFont="1" applyFill="1"/>
    <xf numFmtId="3" fontId="5" fillId="2" borderId="1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vertical="center"/>
    </xf>
    <xf numFmtId="44" fontId="5" fillId="6" borderId="1" xfId="2" applyFont="1" applyFill="1" applyBorder="1" applyAlignment="1">
      <alignment horizontal="right" vertical="center"/>
    </xf>
    <xf numFmtId="44" fontId="5" fillId="6" borderId="8" xfId="2" applyFont="1" applyFill="1" applyBorder="1" applyAlignment="1">
      <alignment horizontal="right" vertical="center"/>
    </xf>
    <xf numFmtId="44" fontId="5" fillId="6" borderId="25" xfId="2" applyFont="1" applyFill="1" applyBorder="1" applyAlignment="1">
      <alignment horizontal="right" vertical="center"/>
    </xf>
    <xf numFmtId="0" fontId="27" fillId="0" borderId="0" xfId="0" applyFont="1"/>
    <xf numFmtId="44" fontId="5" fillId="6" borderId="11" xfId="2" applyFont="1" applyFill="1" applyBorder="1" applyAlignment="1">
      <alignment horizontal="right" vertical="center"/>
    </xf>
    <xf numFmtId="41" fontId="5" fillId="6" borderId="2" xfId="1" applyNumberFormat="1" applyFont="1" applyFill="1" applyBorder="1" applyAlignment="1">
      <alignment horizontal="right" vertical="center"/>
    </xf>
    <xf numFmtId="41" fontId="5" fillId="6" borderId="1" xfId="0" applyNumberFormat="1" applyFont="1" applyFill="1" applyBorder="1" applyAlignment="1">
      <alignment horizontal="right" vertical="center"/>
    </xf>
    <xf numFmtId="41" fontId="5" fillId="6" borderId="10" xfId="1" applyNumberFormat="1" applyFont="1" applyFill="1" applyBorder="1" applyAlignment="1">
      <alignment horizontal="center" vertical="center"/>
    </xf>
    <xf numFmtId="41" fontId="5" fillId="6" borderId="11" xfId="1" applyNumberFormat="1" applyFont="1" applyFill="1" applyBorder="1" applyAlignment="1">
      <alignment horizontal="center" vertical="center"/>
    </xf>
    <xf numFmtId="41" fontId="5" fillId="6" borderId="8" xfId="1" applyNumberFormat="1" applyFont="1" applyFill="1" applyBorder="1" applyAlignment="1">
      <alignment horizontal="center" vertical="center"/>
    </xf>
    <xf numFmtId="41" fontId="5" fillId="0" borderId="1" xfId="0" applyNumberFormat="1" applyFont="1" applyBorder="1" applyAlignment="1">
      <alignment horizontal="right" vertical="center"/>
    </xf>
    <xf numFmtId="41" fontId="28" fillId="0" borderId="1" xfId="0" applyNumberFormat="1" applyFont="1" applyBorder="1" applyAlignment="1">
      <alignment horizontal="right" vertical="center"/>
    </xf>
    <xf numFmtId="0" fontId="29" fillId="7" borderId="0" xfId="0" applyFont="1" applyFill="1"/>
    <xf numFmtId="164" fontId="27" fillId="0" borderId="0" xfId="1" applyNumberFormat="1" applyFont="1"/>
    <xf numFmtId="0" fontId="29" fillId="0" borderId="0" xfId="0" applyFont="1"/>
    <xf numFmtId="164" fontId="5" fillId="0" borderId="0" xfId="1" applyNumberFormat="1" applyFont="1"/>
    <xf numFmtId="167" fontId="5" fillId="5" borderId="2" xfId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center"/>
    </xf>
    <xf numFmtId="0" fontId="20" fillId="0" borderId="0" xfId="0" applyFont="1" applyAlignment="1">
      <alignment horizontal="center"/>
    </xf>
    <xf numFmtId="0" fontId="16" fillId="4" borderId="14" xfId="0" applyFont="1" applyFill="1" applyBorder="1" applyAlignment="1">
      <alignment horizontal="left" vertical="center" indent="3"/>
    </xf>
    <xf numFmtId="0" fontId="16" fillId="4" borderId="3" xfId="0" applyFont="1" applyFill="1" applyBorder="1" applyAlignment="1">
      <alignment horizontal="left" vertical="center" indent="3"/>
    </xf>
    <xf numFmtId="0" fontId="16" fillId="4" borderId="15" xfId="0" applyFont="1" applyFill="1" applyBorder="1" applyAlignment="1">
      <alignment horizontal="left" vertical="center" indent="3"/>
    </xf>
    <xf numFmtId="0" fontId="16" fillId="4" borderId="16" xfId="0" applyFont="1" applyFill="1" applyBorder="1" applyAlignment="1">
      <alignment horizontal="left" vertical="center" indent="3"/>
    </xf>
    <xf numFmtId="0" fontId="16" fillId="4" borderId="13" xfId="0" applyFont="1" applyFill="1" applyBorder="1" applyAlignment="1">
      <alignment horizontal="left" vertical="center" indent="3"/>
    </xf>
    <xf numFmtId="0" fontId="16" fillId="4" borderId="17" xfId="0" applyFont="1" applyFill="1" applyBorder="1" applyAlignment="1">
      <alignment horizontal="left" vertical="center" indent="3"/>
    </xf>
    <xf numFmtId="0" fontId="15" fillId="3" borderId="16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</cellXfs>
  <cellStyles count="10">
    <cellStyle name="Comma" xfId="1" builtinId="3"/>
    <cellStyle name="Comma 2" xfId="5"/>
    <cellStyle name="Comma 2 2" xfId="7"/>
    <cellStyle name="Currency" xfId="2" builtinId="4"/>
    <cellStyle name="Hyperlink 2 2" xfId="9"/>
    <cellStyle name="Normal" xfId="0" builtinId="0"/>
    <cellStyle name="Normal 2" xfId="4"/>
    <cellStyle name="Normal 2 2" xfId="6"/>
    <cellStyle name="Percent" xfId="3" builtinId="5"/>
    <cellStyle name="Percent 2" xfId="8"/>
  </cellStyles>
  <dxfs count="14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9" tint="0.79998168889431442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9" tint="0.79998168889431442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67AFBD"/>
      <color rgb="FF5C92B5"/>
      <color rgb="FF53548A"/>
      <color rgb="FFFFC000"/>
      <color rgb="FFFAB4A7"/>
      <color rgb="FFBFBFBF"/>
      <color rgb="FFFFFF00"/>
      <color rgb="FFFFFFCC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Energy</a:t>
            </a:r>
            <a:r>
              <a:rPr lang="en-US" sz="1100" baseline="0"/>
              <a:t> </a:t>
            </a:r>
            <a:r>
              <a:rPr lang="en-US" sz="1100"/>
              <a:t>Use by Month</a:t>
            </a:r>
          </a:p>
        </c:rich>
      </c:tx>
      <c:layout>
        <c:manualLayout>
          <c:xMode val="edge"/>
          <c:yMode val="edge"/>
          <c:x val="0.10948388406009243"/>
          <c:y val="4.8341232227488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60029565269858"/>
          <c:y val="0.1810186963572013"/>
          <c:w val="0.71515309643406644"/>
          <c:h val="0.58816338912409805"/>
        </c:manualLayout>
      </c:layout>
      <c:lineChart>
        <c:grouping val="stacked"/>
        <c:varyColors val="0"/>
        <c:ser>
          <c:idx val="0"/>
          <c:order val="0"/>
          <c:tx>
            <c:v>Electric</c:v>
          </c:tx>
          <c:spPr>
            <a:ln w="28575" cap="rnd">
              <a:solidFill>
                <a:srgbClr val="53548A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3548A"/>
              </a:solidFill>
              <a:ln w="9525">
                <a:solidFill>
                  <a:srgbClr val="53548A"/>
                </a:solidFill>
              </a:ln>
              <a:effectLst/>
            </c:spPr>
          </c:marker>
          <c:cat>
            <c:numRef>
              <c:f>'Sustainability Data Output'!$C$4:$N$4</c:f>
              <c:numCache>
                <c:formatCode>[$-409]mmm\-yy;@</c:formatCode>
                <c:ptCount val="12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'Production, Utility Data Input'!$B$11:$M$11</c:f>
              <c:numCache>
                <c:formatCode>_(* #,##0_);_(* \(#,##0\);_(* "-"_);_(@_)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BF-4D67-99D2-5474532CC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2384"/>
        <c:axId val="422973040"/>
      </c:lineChart>
      <c:lineChart>
        <c:grouping val="stacked"/>
        <c:varyColors val="0"/>
        <c:ser>
          <c:idx val="1"/>
          <c:order val="1"/>
          <c:tx>
            <c:v>Natural Gas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'Production, Utility Data Input'!$B$13:$M$13</c:f>
              <c:numCache>
                <c:formatCode>_(* #,##0_);_(* \(#,##0\);_(* "-"_);_(@_)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4BF-4D67-99D2-5474532CC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040080"/>
        <c:axId val="573035488"/>
      </c:lineChart>
      <c:dateAx>
        <c:axId val="422972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3040"/>
        <c:crosses val="autoZero"/>
        <c:auto val="1"/>
        <c:lblOffset val="100"/>
        <c:baseTimeUnit val="months"/>
      </c:dateAx>
      <c:valAx>
        <c:axId val="422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Electric (kWh)</a:t>
                </a:r>
              </a:p>
            </c:rich>
          </c:tx>
          <c:layout>
            <c:manualLayout>
              <c:xMode val="edge"/>
              <c:yMode val="edge"/>
              <c:x val="3.2926245210727797E-4"/>
              <c:y val="0.32192956923038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2384"/>
        <c:crosses val="autoZero"/>
        <c:crossBetween val="between"/>
      </c:valAx>
      <c:valAx>
        <c:axId val="5730354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Natural Gas (ccf)</a:t>
                </a:r>
              </a:p>
            </c:rich>
          </c:tx>
          <c:layout>
            <c:manualLayout>
              <c:xMode val="edge"/>
              <c:yMode val="edge"/>
              <c:x val="0.9610871647509579"/>
              <c:y val="0.25031856799890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3040080"/>
        <c:crosses val="max"/>
        <c:crossBetween val="between"/>
      </c:valAx>
      <c:catAx>
        <c:axId val="573040080"/>
        <c:scaling>
          <c:orientation val="minMax"/>
        </c:scaling>
        <c:delete val="1"/>
        <c:axPos val="b"/>
        <c:majorTickMark val="out"/>
        <c:minorTickMark val="none"/>
        <c:tickLblPos val="nextTo"/>
        <c:crossAx val="573035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101770229020271"/>
          <c:y val="2.1273270546734589E-2"/>
          <c:w val="0.36926538414324045"/>
          <c:h val="0.15865674172743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Water</a:t>
            </a:r>
            <a:r>
              <a:rPr lang="en-US" sz="1100" baseline="0"/>
              <a:t> </a:t>
            </a:r>
            <a:r>
              <a:rPr lang="en-US" sz="1100"/>
              <a:t>Use Ratios</a:t>
            </a:r>
          </a:p>
        </c:rich>
      </c:tx>
      <c:layout>
        <c:manualLayout>
          <c:xMode val="edge"/>
          <c:yMode val="edge"/>
          <c:x val="6.3408082634122342E-2"/>
          <c:y val="4.3095925191283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84066446091633"/>
          <c:y val="0.23317718270109067"/>
          <c:w val="0.84796532355279697"/>
          <c:h val="0.54737785875939049"/>
        </c:manualLayout>
      </c:layout>
      <c:barChart>
        <c:barDir val="col"/>
        <c:grouping val="clustered"/>
        <c:varyColors val="0"/>
        <c:ser>
          <c:idx val="0"/>
          <c:order val="0"/>
          <c:tx>
            <c:v>Water (L/L)</c:v>
          </c:tx>
          <c:spPr>
            <a:solidFill>
              <a:srgbClr val="67AFBD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'Sustainability Data Output'!$C$4:$N$4</c:f>
              <c:numCache>
                <c:formatCode>[$-409]mmm\-yy;@</c:formatCode>
                <c:ptCount val="12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'Sustainability Data Output'!$C$14:$N$14</c:f>
              <c:numCache>
                <c:formatCode>_(* #,##0.0_);_(* \(#,##0.0\);_(* "-"?_);_(@_)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C-4C6C-A133-8FB48A9FD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2972384"/>
        <c:axId val="422973040"/>
      </c:barChart>
      <c:lineChart>
        <c:grouping val="standard"/>
        <c:varyColors val="0"/>
        <c:ser>
          <c:idx val="1"/>
          <c:order val="1"/>
          <c:tx>
            <c:v>BIER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'Sustainability Data Output'!$XCA$3:$XCL$3</c:f>
              <c:numCache>
                <c:formatCode>General</c:formatCode>
                <c:ptCount val="12"/>
                <c:pt idx="0">
                  <c:v>3.49</c:v>
                </c:pt>
                <c:pt idx="1">
                  <c:v>3.49</c:v>
                </c:pt>
                <c:pt idx="2">
                  <c:v>3.49</c:v>
                </c:pt>
                <c:pt idx="3">
                  <c:v>3.49</c:v>
                </c:pt>
                <c:pt idx="4">
                  <c:v>3.49</c:v>
                </c:pt>
                <c:pt idx="5">
                  <c:v>3.49</c:v>
                </c:pt>
                <c:pt idx="6">
                  <c:v>3.49</c:v>
                </c:pt>
                <c:pt idx="7">
                  <c:v>3.49</c:v>
                </c:pt>
                <c:pt idx="8">
                  <c:v>3.49</c:v>
                </c:pt>
                <c:pt idx="9">
                  <c:v>3.49</c:v>
                </c:pt>
                <c:pt idx="10">
                  <c:v>3.49</c:v>
                </c:pt>
                <c:pt idx="11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C-4C6C-A133-8FB48A9FD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2384"/>
        <c:axId val="422973040"/>
      </c:lineChart>
      <c:dateAx>
        <c:axId val="422972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3040"/>
        <c:crosses val="autoZero"/>
        <c:auto val="1"/>
        <c:lblOffset val="100"/>
        <c:baseTimeUnit val="months"/>
      </c:dateAx>
      <c:valAx>
        <c:axId val="422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Water Ratio (L/L)</a:t>
                </a:r>
              </a:p>
            </c:rich>
          </c:tx>
          <c:layout>
            <c:manualLayout>
              <c:xMode val="edge"/>
              <c:yMode val="edge"/>
              <c:x val="9.1215471030290599E-3"/>
              <c:y val="0.314832288525917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92104610702164"/>
          <c:y val="3.5708550671672369E-2"/>
          <c:w val="0.33257995844981914"/>
          <c:h val="0.13248040724867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Energy Use Ratios</a:t>
            </a:r>
          </a:p>
        </c:rich>
      </c:tx>
      <c:layout>
        <c:manualLayout>
          <c:xMode val="edge"/>
          <c:yMode val="edge"/>
          <c:x val="6.3408082634122342E-2"/>
          <c:y val="4.3095925191283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084066446091633"/>
          <c:y val="0.23317718270109067"/>
          <c:w val="0.84796532355279697"/>
          <c:h val="0.56459537873683407"/>
        </c:manualLayout>
      </c:layout>
      <c:barChart>
        <c:barDir val="col"/>
        <c:grouping val="clustered"/>
        <c:varyColors val="0"/>
        <c:ser>
          <c:idx val="0"/>
          <c:order val="0"/>
          <c:tx>
            <c:v>Energy (MJ/L)</c:v>
          </c:tx>
          <c:spPr>
            <a:solidFill>
              <a:srgbClr val="C4652D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'Sustainability Data Output'!$C$4:$N$4</c:f>
              <c:numCache>
                <c:formatCode>[$-409]mmm\-yy;@</c:formatCode>
                <c:ptCount val="12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'Sustainability Data Output'!$C$12:$N$12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B-4274-99DD-022CD427E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2972384"/>
        <c:axId val="422973040"/>
      </c:barChart>
      <c:lineChart>
        <c:grouping val="standard"/>
        <c:varyColors val="0"/>
        <c:ser>
          <c:idx val="1"/>
          <c:order val="1"/>
          <c:tx>
            <c:v>BIER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'Sustainability Data Output'!$XCA$1:$XCL$1</c:f>
              <c:numCache>
                <c:formatCode>General</c:formatCode>
                <c:ptCount val="12"/>
                <c:pt idx="0">
                  <c:v>1.17</c:v>
                </c:pt>
                <c:pt idx="1">
                  <c:v>1.17</c:v>
                </c:pt>
                <c:pt idx="2">
                  <c:v>1.17</c:v>
                </c:pt>
                <c:pt idx="3">
                  <c:v>1.17</c:v>
                </c:pt>
                <c:pt idx="4">
                  <c:v>1.17</c:v>
                </c:pt>
                <c:pt idx="5">
                  <c:v>1.17</c:v>
                </c:pt>
                <c:pt idx="6">
                  <c:v>1.17</c:v>
                </c:pt>
                <c:pt idx="7">
                  <c:v>1.17</c:v>
                </c:pt>
                <c:pt idx="8">
                  <c:v>1.17</c:v>
                </c:pt>
                <c:pt idx="9">
                  <c:v>1.17</c:v>
                </c:pt>
                <c:pt idx="10">
                  <c:v>1.17</c:v>
                </c:pt>
                <c:pt idx="11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B-4274-99DD-022CD427E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2384"/>
        <c:axId val="422973040"/>
      </c:lineChart>
      <c:dateAx>
        <c:axId val="422972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3040"/>
        <c:crosses val="autoZero"/>
        <c:auto val="1"/>
        <c:lblOffset val="100"/>
        <c:baseTimeUnit val="months"/>
      </c:dateAx>
      <c:valAx>
        <c:axId val="422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Energy Ratio (MJ/L)</a:t>
                </a:r>
              </a:p>
            </c:rich>
          </c:tx>
          <c:layout>
            <c:manualLayout>
              <c:xMode val="edge"/>
              <c:yMode val="edge"/>
              <c:x val="1.7807757743637093E-2"/>
              <c:y val="0.29428925031369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5789667171082433"/>
          <c:y val="3.5708550671672369E-2"/>
          <c:w val="0.33692306377012321"/>
          <c:h val="0.14420098858950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cap="non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GHG Emissions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GHG Emissions</c:v>
          </c:tx>
          <c:spPr>
            <a:solidFill>
              <a:srgbClr val="53548A"/>
            </a:solidFill>
            <a:ln w="3175">
              <a:solidFill>
                <a:sysClr val="windowText" lastClr="000000"/>
              </a:solidFill>
            </a:ln>
            <a:effectLst>
              <a:outerShdw blurRad="40005" dist="2286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/>
            </a:scene3d>
            <a:ex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B85-4CE8-9C80-42D5C7F9E7DB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3175">
                <a:solidFill>
                  <a:sysClr val="windowText" lastClr="000000"/>
                </a:solidFill>
              </a:ln>
              <a:effectLst>
                <a:outerShdw blurRad="40005" dist="2286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extLst/>
            </c:spPr>
            <c:extLst>
              <c:ext xmlns:c16="http://schemas.microsoft.com/office/drawing/2014/chart" uri="{C3380CC4-5D6E-409C-BE32-E72D297353CC}">
                <c16:uniqueId val="{00000003-4B85-4CE8-9C80-42D5C7F9E7DB}"/>
              </c:ext>
            </c:extLst>
          </c:dPt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0FF4F991-EED8-4BC8-820F-E3AD14B1F9C4}" type="CELLRANGE">
                      <a:rPr lang="en-US"/>
                      <a:pPr>
                        <a:defRPr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[CELLRANGE]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B85-4CE8-9C80-42D5C7F9E7D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08BF5A3-C350-46FB-9CFB-81F00FDA71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B85-4CE8-9C80-42D5C7F9E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'Sustainability Data Output'!$B$16:$B$17</c:f>
              <c:strCache>
                <c:ptCount val="2"/>
                <c:pt idx="0">
                  <c:v>Electric Emissions (Metric Tons CO2e)</c:v>
                </c:pt>
                <c:pt idx="1">
                  <c:v>Natural Gas Emissions (Metric Tons CO2e)</c:v>
                </c:pt>
              </c:strCache>
            </c:strRef>
          </c:cat>
          <c:val>
            <c:numRef>
              <c:f>'Sustainability Data Output'!$O$16:$O$17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Figures!$XFB$7:$XFB$8</c15:f>
                <c15:dlblRangeCache>
                  <c:ptCount val="2"/>
                </c15:dlblRangeCache>
              </c15:datalabelsRange>
            </c:ext>
            <c:ext xmlns:c16="http://schemas.microsoft.com/office/drawing/2014/chart" uri="{C3380CC4-5D6E-409C-BE32-E72D297353CC}">
              <c16:uniqueId val="{00000004-4B85-4CE8-9C80-42D5C7F9E7D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Energy Costs per</a:t>
            </a:r>
            <a:r>
              <a:rPr lang="en-US" sz="1100" baseline="0"/>
              <a:t> Gallon Produced</a:t>
            </a:r>
            <a:endParaRPr lang="en-US" sz="1100"/>
          </a:p>
        </c:rich>
      </c:tx>
      <c:layout>
        <c:manualLayout>
          <c:xMode val="edge"/>
          <c:yMode val="edge"/>
          <c:x val="8.8023508225862204E-2"/>
          <c:y val="5.0900170142048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9469320686443"/>
          <c:y val="0.20781914823461134"/>
          <c:w val="0.86131061816228749"/>
          <c:h val="0.54138559346748327"/>
        </c:manualLayout>
      </c:layout>
      <c:barChart>
        <c:barDir val="col"/>
        <c:grouping val="stacked"/>
        <c:varyColors val="0"/>
        <c:ser>
          <c:idx val="0"/>
          <c:order val="0"/>
          <c:tx>
            <c:v>Electric</c:v>
          </c:tx>
          <c:spPr>
            <a:solidFill>
              <a:srgbClr val="53548A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'[1]Environmental Data Output'!$C$3:$N$3</c:f>
              <c:numCache>
                <c:formatCode>General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'Production, Utility Data Input'!$B$22:$M$22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7-4D14-8BA0-89F1965487CF}"/>
            </c:ext>
          </c:extLst>
        </c:ser>
        <c:ser>
          <c:idx val="1"/>
          <c:order val="1"/>
          <c:tx>
            <c:v>Natural Gas</c:v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val>
            <c:numRef>
              <c:f>'Production, Utility Data Input'!$B$23:$M$23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7-4D14-8BA0-89F196548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22972384"/>
        <c:axId val="422973040"/>
      </c:barChart>
      <c:catAx>
        <c:axId val="422972384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3040"/>
        <c:crosses val="autoZero"/>
        <c:auto val="1"/>
        <c:lblAlgn val="ctr"/>
        <c:lblOffset val="100"/>
        <c:noMultiLvlLbl val="1"/>
      </c:catAx>
      <c:valAx>
        <c:axId val="422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16094224781043"/>
          <c:y val="3.2628291198750041E-2"/>
          <c:w val="0.25882680876199932"/>
          <c:h val="0.16821303587051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/>
              <a:t>Water Costs per</a:t>
            </a:r>
            <a:r>
              <a:rPr lang="en-US" sz="1100" baseline="0"/>
              <a:t> Gallon Produced</a:t>
            </a:r>
            <a:endParaRPr lang="en-US" sz="1100"/>
          </a:p>
        </c:rich>
      </c:tx>
      <c:layout>
        <c:manualLayout>
          <c:xMode val="edge"/>
          <c:yMode val="edge"/>
          <c:x val="8.8023508225862204E-2"/>
          <c:y val="5.0900170142048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09469320686443"/>
          <c:y val="0.20781914823461134"/>
          <c:w val="0.86131061816228749"/>
          <c:h val="0.54138559346748327"/>
        </c:manualLayout>
      </c:layout>
      <c:barChart>
        <c:barDir val="col"/>
        <c:grouping val="stacked"/>
        <c:varyColors val="0"/>
        <c:ser>
          <c:idx val="0"/>
          <c:order val="0"/>
          <c:tx>
            <c:v>Water</c:v>
          </c:tx>
          <c:spPr>
            <a:solidFill>
              <a:srgbClr val="67AFBD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'[1]Environmental Data Output'!$C$3:$N$3</c:f>
              <c:numCache>
                <c:formatCode>General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'Production, Utility Data Input'!$B$25:$M$25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F-4C4F-B5BF-FC469D61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22972384"/>
        <c:axId val="422973040"/>
      </c:barChart>
      <c:catAx>
        <c:axId val="422972384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3040"/>
        <c:crosses val="autoZero"/>
        <c:auto val="1"/>
        <c:lblAlgn val="ctr"/>
        <c:lblOffset val="100"/>
        <c:noMultiLvlLbl val="1"/>
      </c:catAx>
      <c:valAx>
        <c:axId val="422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98997706588675"/>
          <c:y val="3.2628233028660365E-2"/>
          <c:w val="0.25882680876199932"/>
          <c:h val="0.168213035870516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aseline="0"/>
              <a:t>Water</a:t>
            </a:r>
            <a:r>
              <a:rPr lang="en-US" sz="1100"/>
              <a:t> Use by Month (gals)</a:t>
            </a:r>
          </a:p>
        </c:rich>
      </c:tx>
      <c:layout>
        <c:manualLayout>
          <c:xMode val="edge"/>
          <c:yMode val="edge"/>
          <c:x val="0.10646605128224627"/>
          <c:y val="4.2022116903633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49378148852084"/>
          <c:y val="0.1810186963572013"/>
          <c:w val="0.77196607159018915"/>
          <c:h val="0.60445323731518485"/>
        </c:manualLayout>
      </c:layout>
      <c:lineChart>
        <c:grouping val="stacked"/>
        <c:varyColors val="0"/>
        <c:ser>
          <c:idx val="2"/>
          <c:order val="0"/>
          <c:tx>
            <c:v>Water</c:v>
          </c:tx>
          <c:spPr>
            <a:ln w="28575" cap="rnd">
              <a:solidFill>
                <a:srgbClr val="67AFB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7AFBD"/>
              </a:solidFill>
              <a:ln w="9525">
                <a:solidFill>
                  <a:srgbClr val="67AFBD"/>
                </a:solidFill>
              </a:ln>
              <a:effectLst/>
            </c:spPr>
          </c:marker>
          <c:cat>
            <c:numRef>
              <c:f>'Sustainability Data Output'!$C$4:$N$4</c:f>
              <c:numCache>
                <c:formatCode>[$-409]mmm\-yy;@</c:formatCode>
                <c:ptCount val="12"/>
                <c:pt idx="0">
                  <c:v>0</c:v>
                </c:pt>
                <c:pt idx="1">
                  <c:v>31</c:v>
                </c:pt>
                <c:pt idx="2">
                  <c:v>59</c:v>
                </c:pt>
                <c:pt idx="3">
                  <c:v>88</c:v>
                </c:pt>
                <c:pt idx="4">
                  <c:v>119</c:v>
                </c:pt>
                <c:pt idx="5">
                  <c:v>149</c:v>
                </c:pt>
                <c:pt idx="6">
                  <c:v>180</c:v>
                </c:pt>
                <c:pt idx="7">
                  <c:v>210</c:v>
                </c:pt>
                <c:pt idx="8">
                  <c:v>241</c:v>
                </c:pt>
                <c:pt idx="9">
                  <c:v>272</c:v>
                </c:pt>
                <c:pt idx="10">
                  <c:v>302</c:v>
                </c:pt>
                <c:pt idx="11">
                  <c:v>333</c:v>
                </c:pt>
              </c:numCache>
            </c:numRef>
          </c:cat>
          <c:val>
            <c:numRef>
              <c:f>'Production, Utility Data Input'!$B$15:$M$15</c:f>
              <c:numCache>
                <c:formatCode>_(* #,##0_);_(* \(#,##0\);_(* "-"_);_(@_)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AF5-4F1E-9255-0DA9D2CBB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2384"/>
        <c:axId val="422973040"/>
      </c:lineChart>
      <c:dateAx>
        <c:axId val="42297238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3040"/>
        <c:crosses val="autoZero"/>
        <c:auto val="1"/>
        <c:lblOffset val="100"/>
        <c:baseTimeUnit val="months"/>
      </c:dateAx>
      <c:valAx>
        <c:axId val="42297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7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101770229020271"/>
          <c:y val="2.1273270546734589E-2"/>
          <c:w val="0.36926538414324045"/>
          <c:h val="0.15865674172743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jfif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21</xdr:row>
      <xdr:rowOff>977</xdr:rowOff>
    </xdr:from>
    <xdr:to>
      <xdr:col>13</xdr:col>
      <xdr:colOff>459581</xdr:colOff>
      <xdr:row>24</xdr:row>
      <xdr:rowOff>71399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1513" y="5239727"/>
          <a:ext cx="3407568" cy="784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0</xdr:row>
      <xdr:rowOff>104776</xdr:rowOff>
    </xdr:from>
    <xdr:to>
      <xdr:col>13</xdr:col>
      <xdr:colOff>723900</xdr:colOff>
      <xdr:row>2</xdr:row>
      <xdr:rowOff>37077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104776"/>
          <a:ext cx="2228850" cy="5133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0</xdr:row>
      <xdr:rowOff>38100</xdr:rowOff>
    </xdr:from>
    <xdr:to>
      <xdr:col>15</xdr:col>
      <xdr:colOff>419100</xdr:colOff>
      <xdr:row>1</xdr:row>
      <xdr:rowOff>226246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38100"/>
          <a:ext cx="1933575" cy="445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22572</xdr:rowOff>
    </xdr:from>
    <xdr:to>
      <xdr:col>6</xdr:col>
      <xdr:colOff>605998</xdr:colOff>
      <xdr:row>11</xdr:row>
      <xdr:rowOff>119727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323851</xdr:colOff>
      <xdr:row>0</xdr:row>
      <xdr:rowOff>0</xdr:rowOff>
    </xdr:from>
    <xdr:to>
      <xdr:col>13</xdr:col>
      <xdr:colOff>323851</xdr:colOff>
      <xdr:row>1</xdr:row>
      <xdr:rowOff>4087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926" y="0"/>
          <a:ext cx="1695450" cy="39047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76200</xdr:rowOff>
    </xdr:from>
    <xdr:to>
      <xdr:col>4</xdr:col>
      <xdr:colOff>485775</xdr:colOff>
      <xdr:row>24</xdr:row>
      <xdr:rowOff>3048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536383</xdr:colOff>
      <xdr:row>12</xdr:row>
      <xdr:rowOff>71786</xdr:rowOff>
    </xdr:from>
    <xdr:to>
      <xdr:col>9</xdr:col>
      <xdr:colOff>412558</xdr:colOff>
      <xdr:row>24</xdr:row>
      <xdr:rowOff>539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471133</xdr:colOff>
      <xdr:row>12</xdr:row>
      <xdr:rowOff>72391</xdr:rowOff>
    </xdr:from>
    <xdr:to>
      <xdr:col>13</xdr:col>
      <xdr:colOff>533446</xdr:colOff>
      <xdr:row>24</xdr:row>
      <xdr:rowOff>1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</xdr:row>
      <xdr:rowOff>123825</xdr:rowOff>
    </xdr:from>
    <xdr:to>
      <xdr:col>6</xdr:col>
      <xdr:colOff>594360</xdr:colOff>
      <xdr:row>35</xdr:row>
      <xdr:rowOff>85724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28575</xdr:colOff>
      <xdr:row>24</xdr:row>
      <xdr:rowOff>123825</xdr:rowOff>
    </xdr:from>
    <xdr:to>
      <xdr:col>13</xdr:col>
      <xdr:colOff>537210</xdr:colOff>
      <xdr:row>35</xdr:row>
      <xdr:rowOff>87206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33597</xdr:colOff>
      <xdr:row>1</xdr:row>
      <xdr:rowOff>27709</xdr:rowOff>
    </xdr:from>
    <xdr:to>
      <xdr:col>13</xdr:col>
      <xdr:colOff>544345</xdr:colOff>
      <xdr:row>11</xdr:row>
      <xdr:rowOff>124864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0.17018</cdr:x>
      <cdr:y>0.26094</cdr:y>
    </cdr:from>
    <cdr:to>
      <cdr:x>0.52359</cdr:x>
      <cdr:y>0.67853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0306" y="57139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PPC%20SSBI%20Energy%20Use%20and%20Emissions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Production, Utility Data Input"/>
      <sheetName val="Environmental Data Output"/>
      <sheetName val="Figures"/>
    </sheetNames>
    <sheetDataSet>
      <sheetData sheetId="0"/>
      <sheetData sheetId="1"/>
      <sheetData sheetId="2">
        <row r="3">
          <cell r="C3">
            <v>43101</v>
          </cell>
          <cell r="D3">
            <v>43132</v>
          </cell>
          <cell r="E3">
            <v>43160</v>
          </cell>
          <cell r="F3">
            <v>43191</v>
          </cell>
          <cell r="G3">
            <v>43221</v>
          </cell>
          <cell r="H3">
            <v>43252</v>
          </cell>
          <cell r="I3">
            <v>43282</v>
          </cell>
          <cell r="J3">
            <v>43313</v>
          </cell>
          <cell r="K3">
            <v>43344</v>
          </cell>
          <cell r="L3">
            <v>43374</v>
          </cell>
          <cell r="M3">
            <v>43405</v>
          </cell>
          <cell r="N3">
            <v>43435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tabSelected="1" zoomScaleNormal="100" workbookViewId="0"/>
  </sheetViews>
  <sheetFormatPr defaultRowHeight="20.399999999999999" x14ac:dyDescent="0.35"/>
  <cols>
    <col min="1" max="1" width="4.6640625" style="24" customWidth="1"/>
    <col min="2" max="2" width="13" style="24" bestFit="1" customWidth="1"/>
    <col min="3" max="9" width="9.109375" style="24"/>
    <col min="10" max="10" width="2.6640625" style="24" customWidth="1"/>
    <col min="11" max="13" width="9.109375" style="24"/>
    <col min="14" max="14" width="12" style="24" customWidth="1"/>
    <col min="15" max="15" width="9.109375" style="24"/>
    <col min="16" max="24" width="9.109375" style="3"/>
  </cols>
  <sheetData>
    <row r="1" spans="1:14" ht="18.899999999999999" customHeight="1" x14ac:dyDescent="0.35"/>
    <row r="2" spans="1:14" ht="18.899999999999999" customHeight="1" x14ac:dyDescent="0.35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ht="18.899999999999999" customHeight="1" x14ac:dyDescent="0.35"/>
    <row r="4" spans="1:14" ht="18.899999999999999" customHeight="1" x14ac:dyDescent="0.35">
      <c r="B4" s="76" t="s">
        <v>17</v>
      </c>
    </row>
    <row r="5" spans="1:14" ht="18.899999999999999" customHeight="1" x14ac:dyDescent="0.35">
      <c r="B5" s="29" t="s">
        <v>31</v>
      </c>
      <c r="C5" s="30"/>
    </row>
    <row r="6" spans="1:14" ht="18.899999999999999" customHeight="1" x14ac:dyDescent="0.35">
      <c r="B6" s="29" t="s">
        <v>55</v>
      </c>
      <c r="C6" s="30"/>
    </row>
    <row r="7" spans="1:14" ht="18.899999999999999" customHeight="1" x14ac:dyDescent="0.35">
      <c r="B7" s="29" t="s">
        <v>54</v>
      </c>
      <c r="C7" s="30"/>
    </row>
    <row r="8" spans="1:14" ht="18.899999999999999" customHeight="1" x14ac:dyDescent="0.35">
      <c r="B8" s="29" t="s">
        <v>56</v>
      </c>
      <c r="C8" s="30"/>
    </row>
    <row r="9" spans="1:14" ht="18.899999999999999" customHeight="1" x14ac:dyDescent="0.35">
      <c r="B9" s="29"/>
      <c r="C9" s="30"/>
    </row>
    <row r="10" spans="1:14" ht="18.899999999999999" customHeight="1" x14ac:dyDescent="0.35">
      <c r="B10" s="77" t="s">
        <v>57</v>
      </c>
      <c r="C10" s="30"/>
      <c r="G10" s="62"/>
    </row>
    <row r="11" spans="1:14" ht="18.899999999999999" customHeight="1" x14ac:dyDescent="0.35">
      <c r="B11" s="29" t="s">
        <v>58</v>
      </c>
      <c r="C11" s="30"/>
      <c r="G11" s="62"/>
      <c r="K11" s="123" t="s">
        <v>38</v>
      </c>
      <c r="L11" s="123"/>
      <c r="M11" s="123"/>
    </row>
    <row r="12" spans="1:14" ht="18.899999999999999" customHeight="1" x14ac:dyDescent="0.35">
      <c r="B12" s="31" t="s">
        <v>79</v>
      </c>
      <c r="C12" s="30"/>
      <c r="G12" s="62"/>
      <c r="K12" s="120" t="s">
        <v>39</v>
      </c>
      <c r="L12" s="121"/>
      <c r="M12" s="122"/>
    </row>
    <row r="13" spans="1:14" ht="18.899999999999999" customHeight="1" x14ac:dyDescent="0.35">
      <c r="B13" s="31" t="s">
        <v>80</v>
      </c>
      <c r="C13" s="30"/>
      <c r="G13" s="62"/>
      <c r="K13" s="120" t="s">
        <v>40</v>
      </c>
      <c r="L13" s="121"/>
      <c r="M13" s="122"/>
    </row>
    <row r="14" spans="1:14" ht="18.899999999999999" customHeight="1" x14ac:dyDescent="0.35">
      <c r="B14" s="31" t="s">
        <v>81</v>
      </c>
      <c r="C14" s="30"/>
      <c r="G14" s="62"/>
      <c r="H14" s="63"/>
      <c r="I14" s="63"/>
      <c r="J14" s="63"/>
      <c r="K14" s="63"/>
      <c r="L14" s="63"/>
      <c r="M14" s="63"/>
    </row>
    <row r="15" spans="1:14" ht="18.899999999999999" customHeight="1" x14ac:dyDescent="0.35">
      <c r="B15" s="29" t="s">
        <v>59</v>
      </c>
      <c r="C15" s="30"/>
      <c r="G15" s="62"/>
      <c r="H15" s="63"/>
      <c r="I15" s="63"/>
      <c r="J15" s="63"/>
      <c r="K15" s="63"/>
      <c r="L15" s="63"/>
    </row>
    <row r="16" spans="1:14" ht="18.899999999999999" customHeight="1" x14ac:dyDescent="0.35">
      <c r="B16" s="30"/>
      <c r="G16" s="62"/>
      <c r="H16" s="62"/>
      <c r="I16" s="62"/>
      <c r="J16" s="62"/>
      <c r="K16" s="62"/>
      <c r="L16" s="62"/>
    </row>
    <row r="17" spans="1:16" ht="18.899999999999999" customHeight="1" x14ac:dyDescent="0.35">
      <c r="B17" s="78" t="s">
        <v>16</v>
      </c>
    </row>
    <row r="18" spans="1:16" ht="18.899999999999999" customHeight="1" x14ac:dyDescent="0.35">
      <c r="B18" s="29" t="s">
        <v>27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/>
    </row>
    <row r="19" spans="1:16" ht="18.899999999999999" customHeight="1" x14ac:dyDescent="0.35">
      <c r="B19" s="29" t="s">
        <v>26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/>
    </row>
    <row r="20" spans="1:16" ht="18.899999999999999" customHeight="1" x14ac:dyDescent="0.3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/>
    </row>
    <row r="21" spans="1:16" ht="18.899999999999999" customHeight="1" x14ac:dyDescent="0.35">
      <c r="A21" s="22"/>
      <c r="B21" s="95" t="s">
        <v>18</v>
      </c>
      <c r="C21" s="26"/>
      <c r="D21" s="26"/>
      <c r="E21" s="26"/>
    </row>
    <row r="22" spans="1:16" ht="18.899999999999999" customHeight="1" x14ac:dyDescent="0.35">
      <c r="B22" s="26" t="s">
        <v>21</v>
      </c>
      <c r="C22" s="26"/>
      <c r="D22" s="27"/>
      <c r="E22" s="27"/>
    </row>
    <row r="23" spans="1:16" ht="18.899999999999999" customHeight="1" x14ac:dyDescent="0.35">
      <c r="B23" s="27" t="s">
        <v>14</v>
      </c>
      <c r="C23" s="26"/>
      <c r="D23" s="27"/>
      <c r="E23" s="27"/>
    </row>
    <row r="24" spans="1:16" ht="18.899999999999999" customHeight="1" x14ac:dyDescent="0.35">
      <c r="B24" s="27" t="s">
        <v>15</v>
      </c>
      <c r="C24" s="27"/>
      <c r="D24" s="27"/>
      <c r="E24" s="27"/>
    </row>
    <row r="25" spans="1:16" ht="18.899999999999999" customHeight="1" x14ac:dyDescent="0.35">
      <c r="B25" s="27" t="s">
        <v>19</v>
      </c>
      <c r="C25" s="27"/>
      <c r="D25" s="26"/>
      <c r="E25" s="27"/>
    </row>
    <row r="26" spans="1:16" ht="18.899999999999999" customHeight="1" x14ac:dyDescent="0.35">
      <c r="B26" s="27" t="s">
        <v>20</v>
      </c>
      <c r="C26" s="27"/>
      <c r="D26" s="27"/>
      <c r="E26" s="27"/>
    </row>
    <row r="27" spans="1:16" ht="18.899999999999999" customHeight="1" x14ac:dyDescent="0.35"/>
  </sheetData>
  <mergeCells count="4">
    <mergeCell ref="K13:M13"/>
    <mergeCell ref="K12:M12"/>
    <mergeCell ref="K11:M11"/>
    <mergeCell ref="A2:N2"/>
  </mergeCells>
  <pageMargins left="0.5" right="0.5" top="0.5" bottom="0.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zoomScaleNormal="100" workbookViewId="0">
      <selection sqref="A1:J1"/>
    </sheetView>
  </sheetViews>
  <sheetFormatPr defaultColWidth="9.109375" defaultRowHeight="15" x14ac:dyDescent="0.25"/>
  <cols>
    <col min="1" max="1" width="24.6640625" style="10" bestFit="1" customWidth="1"/>
    <col min="2" max="2" width="11.44140625" style="2" customWidth="1"/>
    <col min="3" max="13" width="9.6640625" style="15" customWidth="1"/>
    <col min="14" max="14" width="11.33203125" style="15" bestFit="1" customWidth="1"/>
    <col min="15" max="16384" width="9.109375" style="10"/>
  </cols>
  <sheetData>
    <row r="1" spans="1:14" ht="24" customHeight="1" x14ac:dyDescent="0.35">
      <c r="A1" s="125" t="s">
        <v>63</v>
      </c>
      <c r="B1" s="125"/>
      <c r="C1" s="125"/>
      <c r="D1" s="125"/>
      <c r="E1" s="125"/>
      <c r="F1" s="125"/>
      <c r="G1" s="125"/>
      <c r="H1" s="125"/>
      <c r="I1" s="125"/>
      <c r="J1" s="125"/>
      <c r="K1" s="79"/>
      <c r="L1" s="79"/>
      <c r="M1" s="79"/>
      <c r="N1" s="79"/>
    </row>
    <row r="2" spans="1:14" ht="21.9" customHeight="1" x14ac:dyDescent="0.25">
      <c r="A2" s="8" t="s">
        <v>82</v>
      </c>
    </row>
    <row r="3" spans="1:14" s="6" customFormat="1" ht="21.9" customHeight="1" x14ac:dyDescent="0.3">
      <c r="A3" s="6" t="s">
        <v>83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6" customFormat="1" ht="21.9" customHeight="1" thickBot="1" x14ac:dyDescent="0.35">
      <c r="A4" s="156" t="s">
        <v>67</v>
      </c>
      <c r="B4" s="96" t="s">
        <v>10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69" customFormat="1" ht="21.9" customHeight="1" x14ac:dyDescent="0.3">
      <c r="A5" s="61" t="s">
        <v>0</v>
      </c>
      <c r="B5" s="64"/>
      <c r="C5" s="60">
        <f>EDATE(B5,1)</f>
        <v>31</v>
      </c>
      <c r="D5" s="60">
        <f t="shared" ref="D5:M5" si="0">EDATE(C5,1)</f>
        <v>59</v>
      </c>
      <c r="E5" s="60">
        <f t="shared" si="0"/>
        <v>88</v>
      </c>
      <c r="F5" s="60">
        <f t="shared" si="0"/>
        <v>119</v>
      </c>
      <c r="G5" s="60">
        <f t="shared" si="0"/>
        <v>149</v>
      </c>
      <c r="H5" s="60">
        <f t="shared" si="0"/>
        <v>180</v>
      </c>
      <c r="I5" s="60">
        <f t="shared" si="0"/>
        <v>210</v>
      </c>
      <c r="J5" s="60">
        <f t="shared" si="0"/>
        <v>241</v>
      </c>
      <c r="K5" s="60">
        <f t="shared" si="0"/>
        <v>272</v>
      </c>
      <c r="L5" s="60">
        <f t="shared" si="0"/>
        <v>302</v>
      </c>
      <c r="M5" s="60">
        <f t="shared" si="0"/>
        <v>333</v>
      </c>
      <c r="N5" s="91" t="s">
        <v>1</v>
      </c>
    </row>
    <row r="6" spans="1:14" s="6" customFormat="1" ht="21.9" customHeight="1" x14ac:dyDescent="0.3">
      <c r="A6" s="126" t="s">
        <v>52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</row>
    <row r="7" spans="1:14" s="70" customFormat="1" ht="21.9" customHeight="1" x14ac:dyDescent="0.3">
      <c r="A7" s="33" t="s">
        <v>84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2">
        <f>SUM(B7:M7)</f>
        <v>0</v>
      </c>
    </row>
    <row r="8" spans="1:14" s="70" customFormat="1" ht="21.9" customHeight="1" thickBot="1" x14ac:dyDescent="0.35">
      <c r="A8" s="34" t="s">
        <v>4</v>
      </c>
      <c r="B8" s="110">
        <f t="shared" ref="B8:M8" si="1">B7*3.78541</f>
        <v>0</v>
      </c>
      <c r="C8" s="110">
        <f t="shared" si="1"/>
        <v>0</v>
      </c>
      <c r="D8" s="110">
        <f t="shared" si="1"/>
        <v>0</v>
      </c>
      <c r="E8" s="110">
        <f t="shared" si="1"/>
        <v>0</v>
      </c>
      <c r="F8" s="110">
        <f t="shared" si="1"/>
        <v>0</v>
      </c>
      <c r="G8" s="110">
        <f t="shared" si="1"/>
        <v>0</v>
      </c>
      <c r="H8" s="110">
        <f t="shared" si="1"/>
        <v>0</v>
      </c>
      <c r="I8" s="110">
        <f t="shared" si="1"/>
        <v>0</v>
      </c>
      <c r="J8" s="110">
        <f t="shared" si="1"/>
        <v>0</v>
      </c>
      <c r="K8" s="110">
        <f t="shared" si="1"/>
        <v>0</v>
      </c>
      <c r="L8" s="110">
        <f t="shared" si="1"/>
        <v>0</v>
      </c>
      <c r="M8" s="110">
        <f t="shared" si="1"/>
        <v>0</v>
      </c>
      <c r="N8" s="111">
        <f>N7*3.78541</f>
        <v>0</v>
      </c>
    </row>
    <row r="9" spans="1:14" s="70" customFormat="1" ht="21.9" customHeight="1" thickBot="1" x14ac:dyDescent="0.3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s="6" customFormat="1" ht="21.9" customHeight="1" x14ac:dyDescent="0.3">
      <c r="A10" s="129" t="s">
        <v>22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</row>
    <row r="11" spans="1:14" s="71" customFormat="1" ht="21.9" customHeight="1" x14ac:dyDescent="0.2">
      <c r="A11" s="35" t="s">
        <v>42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92">
        <f>SUM(B11:M11)</f>
        <v>0</v>
      </c>
    </row>
    <row r="12" spans="1:14" s="8" customFormat="1" ht="21.9" customHeight="1" x14ac:dyDescent="0.25">
      <c r="A12" s="126" t="s">
        <v>23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8"/>
    </row>
    <row r="13" spans="1:14" s="71" customFormat="1" ht="21.9" customHeight="1" x14ac:dyDescent="0.2">
      <c r="A13" s="35" t="s">
        <v>43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92">
        <f>SUM(B13:M13)</f>
        <v>0</v>
      </c>
    </row>
    <row r="14" spans="1:14" s="8" customFormat="1" ht="21.9" customHeight="1" x14ac:dyDescent="0.25">
      <c r="A14" s="126" t="s">
        <v>41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14" s="71" customFormat="1" ht="21.9" customHeight="1" x14ac:dyDescent="0.2">
      <c r="A15" s="35" t="s">
        <v>44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92">
        <f>SUM(B15:M15)</f>
        <v>0</v>
      </c>
    </row>
    <row r="16" spans="1:14" s="71" customFormat="1" ht="21.9" customHeight="1" x14ac:dyDescent="0.2">
      <c r="A16" s="126" t="s">
        <v>50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</row>
    <row r="17" spans="1:14" s="71" customFormat="1" ht="21.9" customHeight="1" x14ac:dyDescent="0.2">
      <c r="A17" s="35" t="s">
        <v>6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93">
        <f>SUM(B17:M17)</f>
        <v>0</v>
      </c>
    </row>
    <row r="18" spans="1:14" s="71" customFormat="1" ht="21.9" customHeight="1" x14ac:dyDescent="0.2">
      <c r="A18" s="35" t="s">
        <v>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93">
        <f>SUM(B18:M18)</f>
        <v>0</v>
      </c>
    </row>
    <row r="19" spans="1:14" s="71" customFormat="1" ht="21.9" customHeight="1" thickBot="1" x14ac:dyDescent="0.25">
      <c r="A19" s="67" t="s">
        <v>48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94">
        <f>SUM(B19:M19)</f>
        <v>0</v>
      </c>
    </row>
    <row r="20" spans="1:14" ht="21.9" customHeight="1" thickBot="1" x14ac:dyDescent="0.3">
      <c r="B20" s="13"/>
    </row>
    <row r="21" spans="1:14" ht="21.9" customHeight="1" x14ac:dyDescent="0.25">
      <c r="A21" s="129" t="s">
        <v>53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</row>
    <row r="22" spans="1:14" ht="21.9" customHeight="1" x14ac:dyDescent="0.25">
      <c r="A22" s="33" t="s">
        <v>51</v>
      </c>
      <c r="B22" s="103">
        <f>IFERROR(B17/B7,0)</f>
        <v>0</v>
      </c>
      <c r="C22" s="103">
        <f t="shared" ref="C22:L22" si="2">IFERROR(C17/C7,0)</f>
        <v>0</v>
      </c>
      <c r="D22" s="103">
        <f t="shared" si="2"/>
        <v>0</v>
      </c>
      <c r="E22" s="103">
        <f t="shared" si="2"/>
        <v>0</v>
      </c>
      <c r="F22" s="103">
        <f t="shared" si="2"/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  <c r="M22" s="103">
        <f t="shared" ref="M22" si="3">IFERROR(M17/M7,0)</f>
        <v>0</v>
      </c>
      <c r="N22" s="104">
        <f>IFERROR(N17/N7,0)</f>
        <v>0</v>
      </c>
    </row>
    <row r="23" spans="1:14" ht="21.9" customHeight="1" x14ac:dyDescent="0.25">
      <c r="A23" s="33" t="s">
        <v>24</v>
      </c>
      <c r="B23" s="103">
        <f>IFERROR(B18/B7,0)</f>
        <v>0</v>
      </c>
      <c r="C23" s="103">
        <f t="shared" ref="C23:L23" si="4">IFERROR(C18/C7,0)</f>
        <v>0</v>
      </c>
      <c r="D23" s="103">
        <f t="shared" si="4"/>
        <v>0</v>
      </c>
      <c r="E23" s="103">
        <f t="shared" si="4"/>
        <v>0</v>
      </c>
      <c r="F23" s="103">
        <f t="shared" si="4"/>
        <v>0</v>
      </c>
      <c r="G23" s="103">
        <f t="shared" si="4"/>
        <v>0</v>
      </c>
      <c r="H23" s="103">
        <f t="shared" si="4"/>
        <v>0</v>
      </c>
      <c r="I23" s="103">
        <f t="shared" si="4"/>
        <v>0</v>
      </c>
      <c r="J23" s="103">
        <f t="shared" si="4"/>
        <v>0</v>
      </c>
      <c r="K23" s="103">
        <f t="shared" si="4"/>
        <v>0</v>
      </c>
      <c r="L23" s="103">
        <f t="shared" si="4"/>
        <v>0</v>
      </c>
      <c r="M23" s="103">
        <f t="shared" ref="M23" si="5">IFERROR(M18/M7,0)</f>
        <v>0</v>
      </c>
      <c r="N23" s="104">
        <f>IFERROR(N18/N7,0)</f>
        <v>0</v>
      </c>
    </row>
    <row r="24" spans="1:14" ht="21.9" customHeight="1" x14ac:dyDescent="0.25">
      <c r="A24" s="33" t="s">
        <v>25</v>
      </c>
      <c r="B24" s="103">
        <f>SUM(B22:B23)</f>
        <v>0</v>
      </c>
      <c r="C24" s="103">
        <f t="shared" ref="C24:M24" si="6">SUM(C22:C23)</f>
        <v>0</v>
      </c>
      <c r="D24" s="103">
        <f t="shared" si="6"/>
        <v>0</v>
      </c>
      <c r="E24" s="103">
        <f t="shared" si="6"/>
        <v>0</v>
      </c>
      <c r="F24" s="103">
        <f t="shared" si="6"/>
        <v>0</v>
      </c>
      <c r="G24" s="103">
        <f t="shared" si="6"/>
        <v>0</v>
      </c>
      <c r="H24" s="103">
        <f t="shared" si="6"/>
        <v>0</v>
      </c>
      <c r="I24" s="103">
        <f t="shared" si="6"/>
        <v>0</v>
      </c>
      <c r="J24" s="103">
        <f t="shared" si="6"/>
        <v>0</v>
      </c>
      <c r="K24" s="103">
        <f t="shared" si="6"/>
        <v>0</v>
      </c>
      <c r="L24" s="103">
        <f t="shared" si="6"/>
        <v>0</v>
      </c>
      <c r="M24" s="103">
        <f t="shared" si="6"/>
        <v>0</v>
      </c>
      <c r="N24" s="104">
        <f>IFERROR(SUM(N22:N23),0)</f>
        <v>0</v>
      </c>
    </row>
    <row r="25" spans="1:14" ht="21.9" customHeight="1" thickBot="1" x14ac:dyDescent="0.3">
      <c r="A25" s="68" t="s">
        <v>49</v>
      </c>
      <c r="B25" s="105">
        <f>IFERROR(B19/B7,0)</f>
        <v>0</v>
      </c>
      <c r="C25" s="105">
        <f t="shared" ref="C25:L25" si="7">IFERROR(C19/C7,0)</f>
        <v>0</v>
      </c>
      <c r="D25" s="105">
        <f t="shared" si="7"/>
        <v>0</v>
      </c>
      <c r="E25" s="105">
        <f t="shared" si="7"/>
        <v>0</v>
      </c>
      <c r="F25" s="105">
        <f t="shared" si="7"/>
        <v>0</v>
      </c>
      <c r="G25" s="105">
        <f t="shared" si="7"/>
        <v>0</v>
      </c>
      <c r="H25" s="105">
        <f t="shared" si="7"/>
        <v>0</v>
      </c>
      <c r="I25" s="105">
        <f t="shared" si="7"/>
        <v>0</v>
      </c>
      <c r="J25" s="105">
        <f t="shared" si="7"/>
        <v>0</v>
      </c>
      <c r="K25" s="105">
        <f t="shared" si="7"/>
        <v>0</v>
      </c>
      <c r="L25" s="105">
        <f t="shared" si="7"/>
        <v>0</v>
      </c>
      <c r="M25" s="105">
        <f t="shared" ref="M25" si="8">IFERROR(M19/M7,0)</f>
        <v>0</v>
      </c>
      <c r="N25" s="107">
        <f>IFERROR(N19/N7,0)</f>
        <v>0</v>
      </c>
    </row>
  </sheetData>
  <protectedRanges>
    <protectedRange sqref="B11:M11" name="Electric Usage"/>
    <protectedRange sqref="B7:M7" name="Production Gallons"/>
    <protectedRange sqref="B5" name="Months"/>
    <protectedRange sqref="B13:M13" name="Natural Gas Usage"/>
    <protectedRange sqref="B17:H17 B18:G19 I17:M19" name="Electric and NG costs"/>
  </protectedRanges>
  <mergeCells count="7">
    <mergeCell ref="A1:J1"/>
    <mergeCell ref="A16:N16"/>
    <mergeCell ref="A21:N21"/>
    <mergeCell ref="A6:N6"/>
    <mergeCell ref="A10:N10"/>
    <mergeCell ref="A12:N12"/>
    <mergeCell ref="A14:N14"/>
  </mergeCells>
  <conditionalFormatting sqref="B22:N23 B25:M25">
    <cfRule type="containsErrors" dxfId="13" priority="6">
      <formula>ISERROR(B22)</formula>
    </cfRule>
  </conditionalFormatting>
  <conditionalFormatting sqref="B24:N24">
    <cfRule type="containsErrors" dxfId="12" priority="3">
      <formula>ISERROR(B24)</formula>
    </cfRule>
  </conditionalFormatting>
  <conditionalFormatting sqref="N25">
    <cfRule type="containsErrors" dxfId="11" priority="1">
      <formula>ISERROR(N25)</formula>
    </cfRule>
  </conditionalFormatting>
  <printOptions horizontalCentered="1"/>
  <pageMargins left="0" right="0" top="0.75" bottom="0.75" header="0.3" footer="0.3"/>
  <pageSetup scale="87" orientation="landscape" r:id="rId1"/>
  <headerFooter scaleWithDoc="0">
    <oddHeader>&amp;R&amp;"Arial,Regular"&amp;A</oddHeader>
    <oddFooter>&amp;L&amp;"Arial,Regular"&amp;9Developed by the Kentucky Pollution Prevention Center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'Sustainability Data Output'!$XBW$1:$XBW$4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CL46"/>
  <sheetViews>
    <sheetView showGridLines="0" zoomScaleNormal="100" workbookViewId="0"/>
  </sheetViews>
  <sheetFormatPr defaultRowHeight="15.6" x14ac:dyDescent="0.3"/>
  <cols>
    <col min="1" max="1" width="4.6640625" customWidth="1"/>
    <col min="2" max="2" width="36.5546875" style="2" customWidth="1"/>
    <col min="3" max="14" width="7.109375" style="4" customWidth="1"/>
    <col min="15" max="15" width="7.88671875" style="5" bestFit="1" customWidth="1"/>
    <col min="16" max="16" width="7.109375" style="5" customWidth="1"/>
    <col min="16372" max="16372" width="12.33203125" bestFit="1" customWidth="1"/>
  </cols>
  <sheetData>
    <row r="1" spans="2:20 16299:16314" ht="20.399999999999999" x14ac:dyDescent="0.3">
      <c r="B1" s="140" t="s">
        <v>62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80"/>
      <c r="N1" s="80"/>
      <c r="O1" s="80"/>
      <c r="P1" s="80"/>
      <c r="XBW1" t="s">
        <v>10</v>
      </c>
      <c r="XBY1" s="99" t="s">
        <v>70</v>
      </c>
      <c r="XBZ1" s="99" t="str">
        <f>'Production, Utility Data Input'!$B$4</f>
        <v xml:space="preserve">Brewery </v>
      </c>
      <c r="XCA1" s="98">
        <f>VLOOKUP($XBZ$1,'Sustainability Data Output'!$B$26:$F$30,2,FALSE)</f>
        <v>1.17</v>
      </c>
      <c r="XCB1" s="98">
        <f>$XCA$1</f>
        <v>1.17</v>
      </c>
      <c r="XCC1" s="98">
        <f t="shared" ref="XCC1:XCL1" si="0">$XCA$1</f>
        <v>1.17</v>
      </c>
      <c r="XCD1" s="98">
        <f t="shared" si="0"/>
        <v>1.17</v>
      </c>
      <c r="XCE1" s="98">
        <f t="shared" si="0"/>
        <v>1.17</v>
      </c>
      <c r="XCF1" s="98">
        <f t="shared" si="0"/>
        <v>1.17</v>
      </c>
      <c r="XCG1" s="98">
        <f t="shared" si="0"/>
        <v>1.17</v>
      </c>
      <c r="XCH1" s="98">
        <f t="shared" si="0"/>
        <v>1.17</v>
      </c>
      <c r="XCI1" s="98">
        <f t="shared" si="0"/>
        <v>1.17</v>
      </c>
      <c r="XCJ1" s="98">
        <f t="shared" si="0"/>
        <v>1.17</v>
      </c>
      <c r="XCK1" s="98">
        <f t="shared" si="0"/>
        <v>1.17</v>
      </c>
      <c r="XCL1" s="98">
        <f t="shared" si="0"/>
        <v>1.17</v>
      </c>
    </row>
    <row r="2" spans="2:20 16299:16314" s="1" customFormat="1" ht="24" customHeight="1" thickBot="1" x14ac:dyDescent="0.35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XBW2" t="s">
        <v>11</v>
      </c>
      <c r="XBY2" s="100"/>
      <c r="XBZ2" s="101"/>
      <c r="XCA2" s="101"/>
      <c r="XCB2" s="101"/>
      <c r="XCC2" s="101"/>
      <c r="XCD2" s="101"/>
      <c r="XCE2" s="101"/>
      <c r="XCF2" s="101"/>
      <c r="XCG2" s="101"/>
      <c r="XCH2" s="101"/>
      <c r="XCI2" s="101"/>
      <c r="XCJ2" s="101"/>
      <c r="XCK2" s="101"/>
      <c r="XCL2" s="102"/>
    </row>
    <row r="3" spans="2:20 16299:16314" s="7" customFormat="1" ht="21.9" customHeight="1" x14ac:dyDescent="0.3">
      <c r="B3" s="41" t="s">
        <v>7</v>
      </c>
      <c r="C3" s="148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54" t="s">
        <v>2</v>
      </c>
      <c r="P3" s="55" t="s">
        <v>32</v>
      </c>
      <c r="XBW3" t="s">
        <v>12</v>
      </c>
      <c r="XBY3" s="99" t="s">
        <v>71</v>
      </c>
      <c r="XBZ3" s="99" t="str">
        <f>'Production, Utility Data Input'!$B$4</f>
        <v xml:space="preserve">Brewery </v>
      </c>
      <c r="XCA3" s="98">
        <f>VLOOKUP($XBZ$3,'Sustainability Data Output'!$B$26:$N$30,10,FALSE)</f>
        <v>3.49</v>
      </c>
      <c r="XCB3" s="98">
        <f>$XCA$3</f>
        <v>3.49</v>
      </c>
      <c r="XCC3" s="98">
        <f t="shared" ref="XCC3:XCL3" si="1">$XCA$3</f>
        <v>3.49</v>
      </c>
      <c r="XCD3" s="98">
        <f t="shared" si="1"/>
        <v>3.49</v>
      </c>
      <c r="XCE3" s="98">
        <f t="shared" si="1"/>
        <v>3.49</v>
      </c>
      <c r="XCF3" s="98">
        <f t="shared" si="1"/>
        <v>3.49</v>
      </c>
      <c r="XCG3" s="98">
        <f t="shared" si="1"/>
        <v>3.49</v>
      </c>
      <c r="XCH3" s="98">
        <f t="shared" si="1"/>
        <v>3.49</v>
      </c>
      <c r="XCI3" s="98">
        <f t="shared" si="1"/>
        <v>3.49</v>
      </c>
      <c r="XCJ3" s="98">
        <f t="shared" si="1"/>
        <v>3.49</v>
      </c>
      <c r="XCK3" s="98">
        <f t="shared" si="1"/>
        <v>3.49</v>
      </c>
      <c r="XCL3" s="98">
        <f t="shared" si="1"/>
        <v>3.49</v>
      </c>
    </row>
    <row r="4" spans="2:20 16299:16314" s="16" customFormat="1" ht="21.9" customHeight="1" x14ac:dyDescent="0.3">
      <c r="B4" s="66" t="s">
        <v>0</v>
      </c>
      <c r="C4" s="56">
        <f>'Production, Utility Data Input'!B5</f>
        <v>0</v>
      </c>
      <c r="D4" s="56">
        <f>'Production, Utility Data Input'!C5</f>
        <v>31</v>
      </c>
      <c r="E4" s="56">
        <f>'Production, Utility Data Input'!D5</f>
        <v>59</v>
      </c>
      <c r="F4" s="56">
        <f>'Production, Utility Data Input'!E5</f>
        <v>88</v>
      </c>
      <c r="G4" s="56">
        <f>'Production, Utility Data Input'!F5</f>
        <v>119</v>
      </c>
      <c r="H4" s="56">
        <f>'Production, Utility Data Input'!G5</f>
        <v>149</v>
      </c>
      <c r="I4" s="56">
        <f>'Production, Utility Data Input'!H5</f>
        <v>180</v>
      </c>
      <c r="J4" s="56">
        <f>'Production, Utility Data Input'!I5</f>
        <v>210</v>
      </c>
      <c r="K4" s="56">
        <f>'Production, Utility Data Input'!J5</f>
        <v>241</v>
      </c>
      <c r="L4" s="56">
        <f>'Production, Utility Data Input'!K5</f>
        <v>272</v>
      </c>
      <c r="M4" s="56">
        <f>'Production, Utility Data Input'!L5</f>
        <v>302</v>
      </c>
      <c r="N4" s="57">
        <f>'Production, Utility Data Input'!M5</f>
        <v>333</v>
      </c>
      <c r="O4" s="58"/>
      <c r="P4" s="59"/>
      <c r="XBW4" t="s">
        <v>13</v>
      </c>
    </row>
    <row r="5" spans="2:20 16299:16314" s="16" customFormat="1" ht="21.9" customHeight="1" x14ac:dyDescent="0.3">
      <c r="B5" s="39" t="s">
        <v>72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49"/>
      <c r="P5" s="52"/>
    </row>
    <row r="6" spans="2:20 16299:16314" s="16" customFormat="1" ht="21.9" customHeight="1" x14ac:dyDescent="0.3">
      <c r="B6" s="33" t="s">
        <v>73</v>
      </c>
      <c r="C6" s="108">
        <f>'Production, Utility Data Input'!B11*0.00341214</f>
        <v>0</v>
      </c>
      <c r="D6" s="108">
        <f>'Production, Utility Data Input'!C11*0.00341214</f>
        <v>0</v>
      </c>
      <c r="E6" s="108">
        <f>'Production, Utility Data Input'!D11*0.00341214</f>
        <v>0</v>
      </c>
      <c r="F6" s="108">
        <f>'Production, Utility Data Input'!E11*0.00341214</f>
        <v>0</v>
      </c>
      <c r="G6" s="108">
        <f>'Production, Utility Data Input'!F11*0.00341214</f>
        <v>0</v>
      </c>
      <c r="H6" s="108">
        <f>'Production, Utility Data Input'!G11*0.00341214</f>
        <v>0</v>
      </c>
      <c r="I6" s="108">
        <f>'Production, Utility Data Input'!H11*0.00341214</f>
        <v>0</v>
      </c>
      <c r="J6" s="108">
        <f>'Production, Utility Data Input'!I11*0.00341214</f>
        <v>0</v>
      </c>
      <c r="K6" s="108">
        <f>'Production, Utility Data Input'!J11*0.00341214</f>
        <v>0</v>
      </c>
      <c r="L6" s="108">
        <f>'Production, Utility Data Input'!K11*0.00341214</f>
        <v>0</v>
      </c>
      <c r="M6" s="108">
        <f>'Production, Utility Data Input'!L11*0.00341214</f>
        <v>0</v>
      </c>
      <c r="N6" s="108">
        <f>'Production, Utility Data Input'!M11*0.00341214</f>
        <v>0</v>
      </c>
      <c r="O6" s="109">
        <f>SUM(C6:N6)</f>
        <v>0</v>
      </c>
      <c r="P6" s="87"/>
    </row>
    <row r="7" spans="2:20 16299:16314" s="16" customFormat="1" ht="21.9" customHeight="1" x14ac:dyDescent="0.3">
      <c r="B7" s="33" t="s">
        <v>74</v>
      </c>
      <c r="C7" s="108">
        <f>'Production, Utility Data Input'!B13*1.02/10</f>
        <v>0</v>
      </c>
      <c r="D7" s="108">
        <f>'Production, Utility Data Input'!C13*1.02/10</f>
        <v>0</v>
      </c>
      <c r="E7" s="108">
        <f>'Production, Utility Data Input'!D13*1.02/10</f>
        <v>0</v>
      </c>
      <c r="F7" s="108">
        <f>'Production, Utility Data Input'!E13*1.02/10</f>
        <v>0</v>
      </c>
      <c r="G7" s="108">
        <f>'Production, Utility Data Input'!F13*1.02/10</f>
        <v>0</v>
      </c>
      <c r="H7" s="108">
        <f>'Production, Utility Data Input'!G13*1.02/10</f>
        <v>0</v>
      </c>
      <c r="I7" s="108">
        <f>'Production, Utility Data Input'!H13*1.02/10</f>
        <v>0</v>
      </c>
      <c r="J7" s="108">
        <f>'Production, Utility Data Input'!I13*1.02/10</f>
        <v>0</v>
      </c>
      <c r="K7" s="108">
        <f>'Production, Utility Data Input'!J13*1.02/10</f>
        <v>0</v>
      </c>
      <c r="L7" s="108">
        <f>'Production, Utility Data Input'!K13*1.02/10</f>
        <v>0</v>
      </c>
      <c r="M7" s="108">
        <f>'Production, Utility Data Input'!L13*1.02/10</f>
        <v>0</v>
      </c>
      <c r="N7" s="108">
        <f>'Production, Utility Data Input'!M13*1.02/10</f>
        <v>0</v>
      </c>
      <c r="O7" s="109">
        <f>SUM(C7:N7)</f>
        <v>0</v>
      </c>
      <c r="P7" s="87"/>
    </row>
    <row r="8" spans="2:20 16299:16314" s="7" customFormat="1" ht="21.9" customHeight="1" x14ac:dyDescent="0.3">
      <c r="B8" s="33" t="s">
        <v>75</v>
      </c>
      <c r="C8" s="108">
        <f>SUM(C6:C7)</f>
        <v>0</v>
      </c>
      <c r="D8" s="108">
        <f t="shared" ref="D8:N8" si="2">SUM(D6:D7)</f>
        <v>0</v>
      </c>
      <c r="E8" s="108">
        <f t="shared" si="2"/>
        <v>0</v>
      </c>
      <c r="F8" s="108">
        <f t="shared" si="2"/>
        <v>0</v>
      </c>
      <c r="G8" s="108">
        <f t="shared" si="2"/>
        <v>0</v>
      </c>
      <c r="H8" s="108">
        <f t="shared" si="2"/>
        <v>0</v>
      </c>
      <c r="I8" s="108">
        <f t="shared" si="2"/>
        <v>0</v>
      </c>
      <c r="J8" s="108">
        <f t="shared" si="2"/>
        <v>0</v>
      </c>
      <c r="K8" s="108">
        <f t="shared" si="2"/>
        <v>0</v>
      </c>
      <c r="L8" s="108">
        <f t="shared" si="2"/>
        <v>0</v>
      </c>
      <c r="M8" s="108">
        <f t="shared" si="2"/>
        <v>0</v>
      </c>
      <c r="N8" s="108">
        <f t="shared" si="2"/>
        <v>0</v>
      </c>
      <c r="O8" s="109">
        <f>SUM(C8:N8)</f>
        <v>0</v>
      </c>
      <c r="P8" s="87"/>
      <c r="Q8" s="11"/>
      <c r="R8" s="11"/>
      <c r="S8" s="11"/>
      <c r="T8" s="11"/>
    </row>
    <row r="9" spans="2:20 16299:16314" s="7" customFormat="1" ht="21.9" customHeight="1" x14ac:dyDescent="0.3">
      <c r="B9" s="39" t="s">
        <v>8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49"/>
      <c r="P9" s="52"/>
      <c r="Q9" s="11"/>
      <c r="R9" s="11"/>
      <c r="S9" s="11"/>
      <c r="T9" s="11"/>
    </row>
    <row r="10" spans="2:20 16299:16314" s="16" customFormat="1" ht="21.9" customHeight="1" x14ac:dyDescent="0.3">
      <c r="B10" s="33" t="s">
        <v>3</v>
      </c>
      <c r="C10" s="85">
        <f>IFERROR('Production, Utility Data Input'!B11/'Production, Utility Data Input'!B8,0)</f>
        <v>0</v>
      </c>
      <c r="D10" s="85">
        <f>IFERROR('Production, Utility Data Input'!C11/'Production, Utility Data Input'!C8,0)</f>
        <v>0</v>
      </c>
      <c r="E10" s="85">
        <f>IFERROR('Production, Utility Data Input'!D11/'Production, Utility Data Input'!D8,0)</f>
        <v>0</v>
      </c>
      <c r="F10" s="85">
        <f>IFERROR('Production, Utility Data Input'!E11/'Production, Utility Data Input'!E8,0)</f>
        <v>0</v>
      </c>
      <c r="G10" s="85">
        <f>IFERROR('Production, Utility Data Input'!F11/'Production, Utility Data Input'!F8,0)</f>
        <v>0</v>
      </c>
      <c r="H10" s="85">
        <f>IFERROR('Production, Utility Data Input'!G11/'Production, Utility Data Input'!G8,0)</f>
        <v>0</v>
      </c>
      <c r="I10" s="85">
        <f>IFERROR('Production, Utility Data Input'!H11/'Production, Utility Data Input'!H8,0)</f>
        <v>0</v>
      </c>
      <c r="J10" s="85">
        <f>IFERROR('Production, Utility Data Input'!I11/'Production, Utility Data Input'!I8,0)</f>
        <v>0</v>
      </c>
      <c r="K10" s="85">
        <f>IFERROR('Production, Utility Data Input'!J11/'Production, Utility Data Input'!J8,0)</f>
        <v>0</v>
      </c>
      <c r="L10" s="85">
        <f>IFERROR('Production, Utility Data Input'!K11/'Production, Utility Data Input'!K8,0)</f>
        <v>0</v>
      </c>
      <c r="M10" s="85">
        <f>IFERROR('Production, Utility Data Input'!L11/'Production, Utility Data Input'!L8,0)</f>
        <v>0</v>
      </c>
      <c r="N10" s="85">
        <f>IFERROR('Production, Utility Data Input'!M11/'Production, Utility Data Input'!M8,0)</f>
        <v>0</v>
      </c>
      <c r="O10" s="45"/>
      <c r="P10" s="87">
        <f>IFERROR(('Production, Utility Data Input'!$N$11/'Production, Utility Data Input'!$N$8),0)</f>
        <v>0</v>
      </c>
      <c r="Q10" s="19"/>
      <c r="R10" s="19"/>
      <c r="S10" s="19"/>
      <c r="T10" s="19"/>
    </row>
    <row r="11" spans="2:20 16299:16314" s="16" customFormat="1" ht="21.9" customHeight="1" x14ac:dyDescent="0.3">
      <c r="B11" s="33" t="s">
        <v>37</v>
      </c>
      <c r="C11" s="85">
        <f>IFERROR('Production, Utility Data Input'!B13/'Production, Utility Data Input'!B8,0)</f>
        <v>0</v>
      </c>
      <c r="D11" s="85">
        <f>IFERROR('Production, Utility Data Input'!C13/'Production, Utility Data Input'!C8,0)</f>
        <v>0</v>
      </c>
      <c r="E11" s="85">
        <f>IFERROR('Production, Utility Data Input'!D13/'Production, Utility Data Input'!D8,0)</f>
        <v>0</v>
      </c>
      <c r="F11" s="85">
        <f>IFERROR('Production, Utility Data Input'!E13/'Production, Utility Data Input'!E8,0)</f>
        <v>0</v>
      </c>
      <c r="G11" s="85">
        <f>IFERROR('Production, Utility Data Input'!F13/'Production, Utility Data Input'!F8,0)</f>
        <v>0</v>
      </c>
      <c r="H11" s="85">
        <f>IFERROR('Production, Utility Data Input'!G13/'Production, Utility Data Input'!G8,0)</f>
        <v>0</v>
      </c>
      <c r="I11" s="85">
        <f>IFERROR('Production, Utility Data Input'!H13/'Production, Utility Data Input'!H8,0)</f>
        <v>0</v>
      </c>
      <c r="J11" s="85">
        <f>IFERROR('Production, Utility Data Input'!I13/'Production, Utility Data Input'!I8,0)</f>
        <v>0</v>
      </c>
      <c r="K11" s="85">
        <f>IFERROR('Production, Utility Data Input'!J13/'Production, Utility Data Input'!J8,0)</f>
        <v>0</v>
      </c>
      <c r="L11" s="85">
        <f>IFERROR('Production, Utility Data Input'!K13/'Production, Utility Data Input'!K8,0)</f>
        <v>0</v>
      </c>
      <c r="M11" s="85">
        <f>IFERROR('Production, Utility Data Input'!L13/'Production, Utility Data Input'!L8,0)</f>
        <v>0</v>
      </c>
      <c r="N11" s="85">
        <f>IFERROR('Production, Utility Data Input'!M13/'Production, Utility Data Input'!M8,0)</f>
        <v>0</v>
      </c>
      <c r="O11" s="45"/>
      <c r="P11" s="87">
        <f>IFERROR(('Production, Utility Data Input'!$N$13/'Production, Utility Data Input'!$N$8),0)</f>
        <v>0</v>
      </c>
      <c r="Q11" s="19"/>
      <c r="R11" s="19"/>
      <c r="S11" s="19"/>
      <c r="T11" s="19"/>
    </row>
    <row r="12" spans="2:20 16299:16314" s="16" customFormat="1" ht="21.9" customHeight="1" x14ac:dyDescent="0.3">
      <c r="B12" s="42" t="s">
        <v>36</v>
      </c>
      <c r="C12" s="86">
        <f>(C10*3.6)+(C11*105.51)</f>
        <v>0</v>
      </c>
      <c r="D12" s="86">
        <f t="shared" ref="D12:M12" si="3">(D10*3.6)+(D11*105.51)</f>
        <v>0</v>
      </c>
      <c r="E12" s="86">
        <f t="shared" si="3"/>
        <v>0</v>
      </c>
      <c r="F12" s="86">
        <f t="shared" si="3"/>
        <v>0</v>
      </c>
      <c r="G12" s="86">
        <f t="shared" si="3"/>
        <v>0</v>
      </c>
      <c r="H12" s="86">
        <f t="shared" si="3"/>
        <v>0</v>
      </c>
      <c r="I12" s="86">
        <f t="shared" si="3"/>
        <v>0</v>
      </c>
      <c r="J12" s="86">
        <f t="shared" si="3"/>
        <v>0</v>
      </c>
      <c r="K12" s="86">
        <f t="shared" si="3"/>
        <v>0</v>
      </c>
      <c r="L12" s="86">
        <f t="shared" si="3"/>
        <v>0</v>
      </c>
      <c r="M12" s="86">
        <f t="shared" si="3"/>
        <v>0</v>
      </c>
      <c r="N12" s="86">
        <f>(N10*3.6)+(N11*105.51)</f>
        <v>0</v>
      </c>
      <c r="O12" s="44"/>
      <c r="P12" s="88">
        <f>IFERROR(((('Production, Utility Data Input'!N11*3.6)+('Production, Utility Data Input'!N13*105.51))/'Production, Utility Data Input'!N8),0)</f>
        <v>0</v>
      </c>
      <c r="Q12" s="19"/>
      <c r="R12" s="19"/>
      <c r="S12" s="19"/>
      <c r="T12" s="19"/>
    </row>
    <row r="13" spans="2:20 16299:16314" s="16" customFormat="1" ht="21.9" customHeight="1" x14ac:dyDescent="0.3">
      <c r="B13" s="39" t="s">
        <v>45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49"/>
      <c r="P13" s="52"/>
      <c r="Q13" s="19"/>
      <c r="R13" s="19"/>
      <c r="S13" s="19"/>
      <c r="T13" s="19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</row>
    <row r="14" spans="2:20 16299:16314" s="16" customFormat="1" ht="21.9" customHeight="1" x14ac:dyDescent="0.3">
      <c r="B14" s="42" t="s">
        <v>85</v>
      </c>
      <c r="C14" s="119">
        <f>IFERROR(('Production, Utility Data Input'!B15*3.78541/'Production, Utility Data Input'!B8),0)</f>
        <v>0</v>
      </c>
      <c r="D14" s="119">
        <f>IFERROR(('Production, Utility Data Input'!C15*3.78541/'Production, Utility Data Input'!C8),0)</f>
        <v>0</v>
      </c>
      <c r="E14" s="119">
        <f>IFERROR(('Production, Utility Data Input'!D15*3.78541/'Production, Utility Data Input'!D8),0)</f>
        <v>0</v>
      </c>
      <c r="F14" s="119">
        <f>IFERROR(('Production, Utility Data Input'!E15*3.78541/'Production, Utility Data Input'!E8),0)</f>
        <v>0</v>
      </c>
      <c r="G14" s="119">
        <f>IFERROR(('Production, Utility Data Input'!F15*3.78541/'Production, Utility Data Input'!F8),0)</f>
        <v>0</v>
      </c>
      <c r="H14" s="119">
        <f>IFERROR(('Production, Utility Data Input'!G15*3.78541/'Production, Utility Data Input'!G8),0)</f>
        <v>0</v>
      </c>
      <c r="I14" s="119">
        <f>IFERROR(('Production, Utility Data Input'!H15*3.78541/'Production, Utility Data Input'!H8),0)</f>
        <v>0</v>
      </c>
      <c r="J14" s="119">
        <f>IFERROR(('Production, Utility Data Input'!I15*3.78541/'Production, Utility Data Input'!I8),0)</f>
        <v>0</v>
      </c>
      <c r="K14" s="119">
        <f>IFERROR(('Production, Utility Data Input'!J15*3.78541/'Production, Utility Data Input'!J8),0)</f>
        <v>0</v>
      </c>
      <c r="L14" s="119">
        <f>IFERROR(('Production, Utility Data Input'!K15*3.78541/'Production, Utility Data Input'!K8),0)</f>
        <v>0</v>
      </c>
      <c r="M14" s="119">
        <f>IFERROR(('Production, Utility Data Input'!L15*3.78541/'Production, Utility Data Input'!L8),0)</f>
        <v>0</v>
      </c>
      <c r="N14" s="119">
        <f>IFERROR(('Production, Utility Data Input'!M15*3.78541/'Production, Utility Data Input'!M8),0)</f>
        <v>0</v>
      </c>
      <c r="O14" s="44"/>
      <c r="P14" s="88">
        <f>IFERROR(('Production, Utility Data Input'!N15/'Production, Utility Data Input'!N8),0)</f>
        <v>0</v>
      </c>
      <c r="Q14" s="19"/>
      <c r="R14" s="19"/>
      <c r="S14" s="19"/>
      <c r="T14" s="19"/>
    </row>
    <row r="15" spans="2:20 16299:16314" s="7" customFormat="1" ht="21.9" customHeight="1" x14ac:dyDescent="0.3">
      <c r="B15" s="39" t="s">
        <v>64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50"/>
      <c r="P15" s="38"/>
      <c r="Q15" s="11"/>
      <c r="R15" s="11"/>
      <c r="S15" s="11"/>
      <c r="T15" s="11"/>
      <c r="XBZ15" s="16"/>
      <c r="XCA15" s="16"/>
      <c r="XCB15" s="16"/>
      <c r="XCC15" s="16"/>
      <c r="XCD15" s="16"/>
      <c r="XCE15" s="16"/>
      <c r="XCF15" s="16"/>
      <c r="XCG15" s="16"/>
      <c r="XCH15" s="16"/>
      <c r="XCI15" s="16"/>
      <c r="XCJ15" s="16"/>
      <c r="XCK15" s="16"/>
      <c r="XCL15" s="16"/>
    </row>
    <row r="16" spans="2:20 16299:16314" s="16" customFormat="1" ht="21.9" customHeight="1" x14ac:dyDescent="0.3">
      <c r="B16" s="33" t="s">
        <v>33</v>
      </c>
      <c r="C16" s="46">
        <f>0.0008326*'Production, Utility Data Input'!B11</f>
        <v>0</v>
      </c>
      <c r="D16" s="46">
        <f>0.0008326*'Production, Utility Data Input'!C11</f>
        <v>0</v>
      </c>
      <c r="E16" s="46">
        <f>0.0008326*'Production, Utility Data Input'!D11</f>
        <v>0</v>
      </c>
      <c r="F16" s="46">
        <f>0.0008326*'Production, Utility Data Input'!E11</f>
        <v>0</v>
      </c>
      <c r="G16" s="46">
        <f>0.0008326*'Production, Utility Data Input'!F11</f>
        <v>0</v>
      </c>
      <c r="H16" s="46">
        <f>0.0008326*'Production, Utility Data Input'!G11</f>
        <v>0</v>
      </c>
      <c r="I16" s="46">
        <f>0.0008326*'Production, Utility Data Input'!H11</f>
        <v>0</v>
      </c>
      <c r="J16" s="46">
        <f>0.0008326*'Production, Utility Data Input'!I11</f>
        <v>0</v>
      </c>
      <c r="K16" s="46">
        <f>0.0008326*'Production, Utility Data Input'!J11</f>
        <v>0</v>
      </c>
      <c r="L16" s="46">
        <f>0.0008326*'Production, Utility Data Input'!K11</f>
        <v>0</v>
      </c>
      <c r="M16" s="46">
        <f>0.0008326*'Production, Utility Data Input'!L11</f>
        <v>0</v>
      </c>
      <c r="N16" s="48">
        <f>0.0008326*'Production, Utility Data Input'!M11</f>
        <v>0</v>
      </c>
      <c r="O16" s="46">
        <f>SUM(C16:N16)</f>
        <v>0</v>
      </c>
      <c r="P16" s="47"/>
      <c r="Q16" s="19"/>
      <c r="R16" s="19"/>
      <c r="S16" s="19"/>
      <c r="T16" s="19"/>
    </row>
    <row r="17" spans="2:20 16302:16314" s="16" customFormat="1" ht="21.9" customHeight="1" x14ac:dyDescent="0.3">
      <c r="B17" s="33" t="s">
        <v>34</v>
      </c>
      <c r="C17" s="46">
        <f>0.005444*'Production, Utility Data Input'!B13</f>
        <v>0</v>
      </c>
      <c r="D17" s="46">
        <f>0.005444*'Production, Utility Data Input'!C13</f>
        <v>0</v>
      </c>
      <c r="E17" s="46">
        <f>0.005444*'Production, Utility Data Input'!D13</f>
        <v>0</v>
      </c>
      <c r="F17" s="46">
        <f>0.005444*'Production, Utility Data Input'!E13</f>
        <v>0</v>
      </c>
      <c r="G17" s="46">
        <f>0.005444*'Production, Utility Data Input'!F13</f>
        <v>0</v>
      </c>
      <c r="H17" s="46">
        <f>0.005444*'Production, Utility Data Input'!G13</f>
        <v>0</v>
      </c>
      <c r="I17" s="46">
        <f>0.005444*'Production, Utility Data Input'!H13</f>
        <v>0</v>
      </c>
      <c r="J17" s="46">
        <f>0.005444*'Production, Utility Data Input'!I13</f>
        <v>0</v>
      </c>
      <c r="K17" s="46">
        <f>0.005444*'Production, Utility Data Input'!J13</f>
        <v>0</v>
      </c>
      <c r="L17" s="46">
        <f>0.005444*'Production, Utility Data Input'!K13</f>
        <v>0</v>
      </c>
      <c r="M17" s="46">
        <f>0.005444*'Production, Utility Data Input'!L13</f>
        <v>0</v>
      </c>
      <c r="N17" s="48">
        <f>0.005444*'Production, Utility Data Input'!M13</f>
        <v>0</v>
      </c>
      <c r="O17" s="46">
        <f>SUM(C17:N17)</f>
        <v>0</v>
      </c>
      <c r="P17" s="47"/>
      <c r="Q17" s="19"/>
      <c r="R17" s="19"/>
      <c r="S17" s="19"/>
      <c r="T17" s="19"/>
      <c r="XBZ17" s="7"/>
      <c r="XCA17" s="7"/>
      <c r="XCB17" s="7"/>
      <c r="XCC17" s="7"/>
      <c r="XCD17" s="7"/>
      <c r="XCE17" s="7"/>
      <c r="XCF17" s="7"/>
      <c r="XCG17" s="7"/>
      <c r="XCH17" s="7"/>
      <c r="XCI17" s="7"/>
      <c r="XCJ17" s="7"/>
      <c r="XCK17" s="7"/>
      <c r="XCL17" s="7"/>
    </row>
    <row r="18" spans="2:20 16302:16314" s="16" customFormat="1" ht="21.9" customHeight="1" x14ac:dyDescent="0.3">
      <c r="B18" s="33" t="s">
        <v>61</v>
      </c>
      <c r="C18" s="46">
        <f>SUM(C16:C17)</f>
        <v>0</v>
      </c>
      <c r="D18" s="46">
        <f t="shared" ref="D18:O18" si="4">SUM(D16:D17)</f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  <c r="K18" s="46">
        <f t="shared" si="4"/>
        <v>0</v>
      </c>
      <c r="L18" s="46">
        <f t="shared" si="4"/>
        <v>0</v>
      </c>
      <c r="M18" s="46">
        <f t="shared" si="4"/>
        <v>0</v>
      </c>
      <c r="N18" s="48">
        <f t="shared" si="4"/>
        <v>0</v>
      </c>
      <c r="O18" s="46">
        <f t="shared" si="4"/>
        <v>0</v>
      </c>
      <c r="P18" s="47"/>
      <c r="Q18" s="19"/>
      <c r="R18" s="19"/>
      <c r="S18" s="19"/>
      <c r="T18" s="19"/>
    </row>
    <row r="19" spans="2:20 16302:16314" s="7" customFormat="1" ht="21.9" customHeight="1" x14ac:dyDescent="0.3">
      <c r="B19" s="39" t="s">
        <v>65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51"/>
      <c r="P19" s="53"/>
      <c r="Q19" s="11"/>
      <c r="R19" s="11"/>
      <c r="S19" s="11"/>
      <c r="T19" s="11"/>
      <c r="XBZ19" s="16"/>
      <c r="XCA19" s="16"/>
      <c r="XCB19" s="16"/>
      <c r="XCC19" s="16"/>
      <c r="XCD19" s="16"/>
      <c r="XCE19" s="16"/>
      <c r="XCF19" s="16"/>
      <c r="XCG19" s="16"/>
      <c r="XCH19" s="16"/>
      <c r="XCI19" s="16"/>
      <c r="XCJ19" s="16"/>
      <c r="XCK19" s="16"/>
      <c r="XCL19" s="16"/>
    </row>
    <row r="20" spans="2:20 16302:16314" s="16" customFormat="1" ht="21.9" customHeight="1" x14ac:dyDescent="0.3">
      <c r="B20" s="33" t="s">
        <v>30</v>
      </c>
      <c r="C20" s="48">
        <f>IFERROR(((C16*1000000)/'Production, Utility Data Input'!B8),0)</f>
        <v>0</v>
      </c>
      <c r="D20" s="48">
        <f>IFERROR(((D16*1000000)/'Production, Utility Data Input'!C8),0)</f>
        <v>0</v>
      </c>
      <c r="E20" s="48">
        <f>IFERROR(((E16*1000000)/'Production, Utility Data Input'!D8),0)</f>
        <v>0</v>
      </c>
      <c r="F20" s="48">
        <f>IFERROR(((F16*1000000)/'Production, Utility Data Input'!E8),0)</f>
        <v>0</v>
      </c>
      <c r="G20" s="48">
        <f>IFERROR(((G16*1000000)/'Production, Utility Data Input'!F8),0)</f>
        <v>0</v>
      </c>
      <c r="H20" s="48">
        <f>IFERROR(((H16*1000000)/'Production, Utility Data Input'!G8),0)</f>
        <v>0</v>
      </c>
      <c r="I20" s="48">
        <f>IFERROR(((I16*1000000)/'Production, Utility Data Input'!H8),0)</f>
        <v>0</v>
      </c>
      <c r="J20" s="48">
        <f>IFERROR(((J16*1000000)/'Production, Utility Data Input'!I8),0)</f>
        <v>0</v>
      </c>
      <c r="K20" s="48">
        <f>IFERROR(((K16*1000000)/'Production, Utility Data Input'!J8),0)</f>
        <v>0</v>
      </c>
      <c r="L20" s="48">
        <f>IFERROR(((L16*1000000)/'Production, Utility Data Input'!K8),0)</f>
        <v>0</v>
      </c>
      <c r="M20" s="48">
        <f>IFERROR(((M16*1000000)/'Production, Utility Data Input'!L8),0)</f>
        <v>0</v>
      </c>
      <c r="N20" s="48">
        <f>IFERROR(((N16*1000000)/'Production, Utility Data Input'!M8),0)</f>
        <v>0</v>
      </c>
      <c r="O20" s="46">
        <f>SUM(C20:N20)</f>
        <v>0</v>
      </c>
      <c r="P20" s="47">
        <f t="shared" ref="P20:P21" si="5">AVERAGE(C20:N20)</f>
        <v>0</v>
      </c>
      <c r="Q20" s="19"/>
      <c r="R20" s="19"/>
      <c r="S20" s="19"/>
      <c r="T20" s="19"/>
    </row>
    <row r="21" spans="2:20 16302:16314" s="16" customFormat="1" ht="21.9" customHeight="1" x14ac:dyDescent="0.3">
      <c r="B21" s="33" t="s">
        <v>28</v>
      </c>
      <c r="C21" s="48">
        <f>IFERROR(((C17*1000000)/'Production, Utility Data Input'!B8),0)</f>
        <v>0</v>
      </c>
      <c r="D21" s="48">
        <f>IFERROR(((D17*1000000)/'Production, Utility Data Input'!C8),0)</f>
        <v>0</v>
      </c>
      <c r="E21" s="48">
        <f>IFERROR(((E17*1000000)/'Production, Utility Data Input'!D8),0)</f>
        <v>0</v>
      </c>
      <c r="F21" s="48">
        <f>IFERROR(((F17*1000000)/'Production, Utility Data Input'!E8),0)</f>
        <v>0</v>
      </c>
      <c r="G21" s="48">
        <f>IFERROR(((G17*1000000)/'Production, Utility Data Input'!F8),0)</f>
        <v>0</v>
      </c>
      <c r="H21" s="48">
        <f>IFERROR(((H17*1000000)/'Production, Utility Data Input'!G8),0)</f>
        <v>0</v>
      </c>
      <c r="I21" s="48">
        <f>IFERROR(((I17*1000000)/'Production, Utility Data Input'!H8),0)</f>
        <v>0</v>
      </c>
      <c r="J21" s="48">
        <f>IFERROR(((J17*1000000)/'Production, Utility Data Input'!I8),0)</f>
        <v>0</v>
      </c>
      <c r="K21" s="48">
        <f>IFERROR(((K17*1000000)/'Production, Utility Data Input'!J8),0)</f>
        <v>0</v>
      </c>
      <c r="L21" s="48">
        <f>IFERROR(((L17*1000000)/'Production, Utility Data Input'!K8),0)</f>
        <v>0</v>
      </c>
      <c r="M21" s="48">
        <f>IFERROR(((M17*1000000)/'Production, Utility Data Input'!L8),0)</f>
        <v>0</v>
      </c>
      <c r="N21" s="48">
        <f>IFERROR(((N17*1000000)/'Production, Utility Data Input'!M8),0)</f>
        <v>0</v>
      </c>
      <c r="O21" s="46">
        <f>SUM(C21:N21)</f>
        <v>0</v>
      </c>
      <c r="P21" s="47">
        <f t="shared" si="5"/>
        <v>0</v>
      </c>
      <c r="Q21" s="19"/>
      <c r="R21" s="19"/>
      <c r="S21" s="19"/>
      <c r="T21" s="19"/>
    </row>
    <row r="22" spans="2:20 16302:16314" s="16" customFormat="1" ht="21.9" customHeight="1" thickBot="1" x14ac:dyDescent="0.35">
      <c r="B22" s="43" t="s">
        <v>35</v>
      </c>
      <c r="C22" s="89">
        <f>SUM(C20:C21)</f>
        <v>0</v>
      </c>
      <c r="D22" s="89">
        <f t="shared" ref="D22:L22" si="6">SUM(D20:D21)</f>
        <v>0</v>
      </c>
      <c r="E22" s="89">
        <f t="shared" si="6"/>
        <v>0</v>
      </c>
      <c r="F22" s="89">
        <f t="shared" si="6"/>
        <v>0</v>
      </c>
      <c r="G22" s="89">
        <f t="shared" si="6"/>
        <v>0</v>
      </c>
      <c r="H22" s="89">
        <f t="shared" si="6"/>
        <v>0</v>
      </c>
      <c r="I22" s="89">
        <f t="shared" si="6"/>
        <v>0</v>
      </c>
      <c r="J22" s="89">
        <f t="shared" si="6"/>
        <v>0</v>
      </c>
      <c r="K22" s="89">
        <f t="shared" si="6"/>
        <v>0</v>
      </c>
      <c r="L22" s="89">
        <f t="shared" si="6"/>
        <v>0</v>
      </c>
      <c r="M22" s="89">
        <f>SUM(M20:M21)</f>
        <v>0</v>
      </c>
      <c r="N22" s="89">
        <f>SUM(N20:N21)</f>
        <v>0</v>
      </c>
      <c r="O22" s="89"/>
      <c r="P22" s="90">
        <f>IFERROR((O18*1000000/'Production, Utility Data Input'!N8),0)</f>
        <v>0</v>
      </c>
      <c r="Q22" s="83"/>
      <c r="R22" s="82"/>
    </row>
    <row r="23" spans="2:20 16302:16314" s="16" customFormat="1" ht="21.9" customHeight="1" thickBot="1" x14ac:dyDescent="0.35">
      <c r="B23" s="32" t="s">
        <v>68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</row>
    <row r="24" spans="2:20 16302:16314" s="16" customFormat="1" ht="21.9" customHeight="1" x14ac:dyDescent="0.3">
      <c r="B24" s="132" t="s">
        <v>29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XBZ24" s="9"/>
      <c r="XCA24" s="9"/>
      <c r="XCB24" s="9"/>
      <c r="XCC24" s="9"/>
      <c r="XCD24" s="9"/>
      <c r="XCE24" s="9"/>
      <c r="XCF24" s="9"/>
      <c r="XCG24" s="9"/>
      <c r="XCH24" s="9"/>
      <c r="XCI24" s="9"/>
      <c r="XCJ24" s="9"/>
      <c r="XCK24" s="9"/>
      <c r="XCL24" s="9"/>
    </row>
    <row r="25" spans="2:20 16302:16314" s="1" customFormat="1" ht="14.4" x14ac:dyDescent="0.3">
      <c r="B25" s="135" t="s">
        <v>66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  <c r="XBZ25" s="6"/>
      <c r="XCA25" s="6"/>
      <c r="XCB25" s="6"/>
      <c r="XCC25" s="6"/>
      <c r="XCD25" s="6"/>
      <c r="XCE25" s="6"/>
      <c r="XCF25" s="6"/>
      <c r="XCG25" s="6"/>
      <c r="XCH25" s="6"/>
      <c r="XCI25" s="6"/>
      <c r="XCJ25" s="6"/>
      <c r="XCK25" s="6"/>
      <c r="XCL25" s="6"/>
    </row>
    <row r="26" spans="2:20 16302:16314" s="9" customFormat="1" ht="21.9" customHeight="1" x14ac:dyDescent="0.3">
      <c r="B26" s="65"/>
      <c r="C26" s="138" t="s">
        <v>9</v>
      </c>
      <c r="D26" s="136"/>
      <c r="E26" s="136"/>
      <c r="F26" s="139"/>
      <c r="G26" s="138" t="s">
        <v>46</v>
      </c>
      <c r="H26" s="136"/>
      <c r="I26" s="136"/>
      <c r="J26" s="139"/>
      <c r="K26" s="138" t="s">
        <v>47</v>
      </c>
      <c r="L26" s="136"/>
      <c r="M26" s="136"/>
      <c r="N26" s="137"/>
      <c r="XBZ26" s="12"/>
      <c r="XCA26" s="12"/>
      <c r="XCB26" s="12"/>
      <c r="XCC26" s="12"/>
      <c r="XCD26" s="12"/>
      <c r="XCE26" s="12"/>
      <c r="XCF26" s="12"/>
      <c r="XCG26" s="12"/>
      <c r="XCH26" s="12"/>
      <c r="XCI26" s="12"/>
      <c r="XCJ26" s="12"/>
      <c r="XCK26" s="12"/>
      <c r="XCL26" s="12"/>
    </row>
    <row r="27" spans="2:20 16302:16314" s="6" customFormat="1" ht="21.9" customHeight="1" x14ac:dyDescent="0.3">
      <c r="B27" s="42" t="s">
        <v>10</v>
      </c>
      <c r="C27" s="145">
        <v>1.17</v>
      </c>
      <c r="D27" s="146"/>
      <c r="E27" s="146"/>
      <c r="F27" s="147"/>
      <c r="G27" s="145">
        <v>97.63</v>
      </c>
      <c r="H27" s="146"/>
      <c r="I27" s="146"/>
      <c r="J27" s="147"/>
      <c r="K27" s="145">
        <v>3.49</v>
      </c>
      <c r="L27" s="146"/>
      <c r="M27" s="146"/>
      <c r="N27" s="150"/>
      <c r="XBZ27" s="12"/>
      <c r="XCA27" s="12"/>
      <c r="XCB27" s="12"/>
      <c r="XCC27" s="12"/>
      <c r="XCD27" s="12"/>
      <c r="XCE27" s="12"/>
      <c r="XCF27" s="12"/>
      <c r="XCG27" s="12"/>
      <c r="XCH27" s="12"/>
      <c r="XCI27" s="12"/>
      <c r="XCJ27" s="12"/>
      <c r="XCK27" s="12"/>
      <c r="XCL27" s="12"/>
    </row>
    <row r="28" spans="2:20 16302:16314" s="12" customFormat="1" ht="21.9" customHeight="1" x14ac:dyDescent="0.3">
      <c r="B28" s="42" t="s">
        <v>11</v>
      </c>
      <c r="C28" s="145">
        <v>13.32</v>
      </c>
      <c r="D28" s="146"/>
      <c r="E28" s="146"/>
      <c r="F28" s="147"/>
      <c r="G28" s="142">
        <v>738.4</v>
      </c>
      <c r="H28" s="143"/>
      <c r="I28" s="143"/>
      <c r="J28" s="144"/>
      <c r="K28" s="145">
        <v>36.81</v>
      </c>
      <c r="L28" s="146"/>
      <c r="M28" s="146"/>
      <c r="N28" s="150"/>
    </row>
    <row r="29" spans="2:20 16302:16314" s="12" customFormat="1" ht="21.9" customHeight="1" x14ac:dyDescent="0.3">
      <c r="B29" s="42" t="s">
        <v>12</v>
      </c>
      <c r="C29" s="145">
        <v>1.71</v>
      </c>
      <c r="D29" s="146"/>
      <c r="E29" s="146"/>
      <c r="F29" s="147"/>
      <c r="G29" s="145">
        <v>118.31</v>
      </c>
      <c r="H29" s="146"/>
      <c r="I29" s="146"/>
      <c r="J29" s="147"/>
      <c r="K29" s="145">
        <v>3.92</v>
      </c>
      <c r="L29" s="146"/>
      <c r="M29" s="146"/>
      <c r="N29" s="150"/>
    </row>
    <row r="30" spans="2:20 16302:16314" s="12" customFormat="1" ht="21.9" customHeight="1" thickBot="1" x14ac:dyDescent="0.35">
      <c r="B30" s="43" t="s">
        <v>13</v>
      </c>
      <c r="C30" s="151">
        <v>0.41</v>
      </c>
      <c r="D30" s="152"/>
      <c r="E30" s="152"/>
      <c r="F30" s="154"/>
      <c r="G30" s="151">
        <v>37.119999999999997</v>
      </c>
      <c r="H30" s="152"/>
      <c r="I30" s="152"/>
      <c r="J30" s="154"/>
      <c r="K30" s="151">
        <v>1.93</v>
      </c>
      <c r="L30" s="152"/>
      <c r="M30" s="152"/>
      <c r="N30" s="153"/>
    </row>
    <row r="31" spans="2:20 16302:16314" s="12" customFormat="1" ht="24.9" customHeight="1" x14ac:dyDescent="0.3">
      <c r="K31" s="20"/>
      <c r="L31" s="20"/>
      <c r="M31" s="20"/>
      <c r="N31" s="20"/>
      <c r="O31" s="21"/>
      <c r="P31" s="21"/>
    </row>
    <row r="32" spans="2:20 16302:16314" s="12" customFormat="1" ht="24.9" customHeight="1" x14ac:dyDescent="0.3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21"/>
      <c r="P32" s="21"/>
    </row>
    <row r="33" spans="2:16 16302:16314" s="12" customFormat="1" ht="24.9" customHeight="1" x14ac:dyDescent="0.3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21"/>
    </row>
    <row r="34" spans="2:16 16302:16314" s="12" customFormat="1" ht="24.9" customHeight="1" x14ac:dyDescent="0.3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21"/>
    </row>
    <row r="35" spans="2:16 16302:16314" s="12" customFormat="1" ht="24.9" customHeight="1" x14ac:dyDescent="0.2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21"/>
      <c r="XBZ35" s="13"/>
      <c r="XCA35" s="13"/>
      <c r="XCB35" s="13"/>
      <c r="XCC35" s="13"/>
      <c r="XCD35" s="13"/>
      <c r="XCE35" s="13"/>
      <c r="XCF35" s="13"/>
      <c r="XCG35" s="13"/>
      <c r="XCH35" s="13"/>
      <c r="XCI35" s="13"/>
      <c r="XCJ35" s="13"/>
      <c r="XCK35" s="13"/>
      <c r="XCL35" s="13"/>
    </row>
    <row r="36" spans="2:16 16302:16314" s="12" customFormat="1" ht="24.9" customHeight="1" x14ac:dyDescent="0.25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21"/>
      <c r="XBZ36" s="10"/>
      <c r="XCA36" s="10"/>
      <c r="XCB36" s="10"/>
      <c r="XCC36" s="10"/>
      <c r="XCD36" s="10"/>
      <c r="XCE36" s="10"/>
      <c r="XCF36" s="10"/>
      <c r="XCG36" s="10"/>
      <c r="XCH36" s="10"/>
      <c r="XCI36" s="10"/>
      <c r="XCJ36" s="10"/>
      <c r="XCK36" s="10"/>
      <c r="XCL36" s="10"/>
    </row>
    <row r="37" spans="2:16 16302:16314" s="13" customFormat="1" ht="24.9" customHeight="1" x14ac:dyDescent="0.3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21"/>
      <c r="XBZ37"/>
      <c r="XCA37"/>
      <c r="XCB37"/>
      <c r="XCC37"/>
      <c r="XCD37"/>
      <c r="XCE37"/>
      <c r="XCF37"/>
      <c r="XCG37"/>
      <c r="XCH37"/>
      <c r="XCI37"/>
      <c r="XCJ37"/>
      <c r="XCK37"/>
      <c r="XCL37"/>
    </row>
    <row r="38" spans="2:16 16302:16314" s="10" customFormat="1" ht="24.9" customHeight="1" x14ac:dyDescent="0.3">
      <c r="B38" s="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5"/>
      <c r="P38" s="5"/>
      <c r="XBZ38"/>
      <c r="XCA38"/>
      <c r="XCB38"/>
      <c r="XCC38"/>
      <c r="XCD38"/>
      <c r="XCE38"/>
      <c r="XCF38"/>
      <c r="XCG38"/>
      <c r="XCH38"/>
      <c r="XCI38"/>
      <c r="XCJ38"/>
      <c r="XCK38"/>
      <c r="XCL38"/>
    </row>
    <row r="39" spans="2:16 16302:16314" ht="24.9" customHeight="1" x14ac:dyDescent="0.3"/>
    <row r="40" spans="2:16 16302:16314" ht="24.9" customHeight="1" x14ac:dyDescent="0.3"/>
    <row r="41" spans="2:16 16302:16314" ht="24.9" customHeight="1" x14ac:dyDescent="0.3"/>
    <row r="42" spans="2:16 16302:16314" ht="24.9" customHeight="1" x14ac:dyDescent="0.3"/>
    <row r="43" spans="2:16 16302:16314" ht="24.9" customHeight="1" x14ac:dyDescent="0.3">
      <c r="D43" s="81"/>
    </row>
    <row r="44" spans="2:16 16302:16314" ht="24.9" customHeight="1" x14ac:dyDescent="0.3"/>
    <row r="45" spans="2:16 16302:16314" ht="24.9" customHeight="1" x14ac:dyDescent="0.3"/>
    <row r="46" spans="2:16 16302:16314" ht="24.9" customHeight="1" x14ac:dyDescent="0.3"/>
  </sheetData>
  <sheetProtection algorithmName="SHA-512" hashValue="qAE7cO3Rn0Mie4ynwkLNq4/GTeo5mBuSi3EK9W4ebpWahOkYDfG7cdE91dWjAhYV5E/HSx2Xy+MayELV8436XQ==" saltValue="C889lrZwvI5wQP47F6jUFg==" spinCount="100000" sheet="1" objects="1" scenarios="1"/>
  <mergeCells count="19">
    <mergeCell ref="K30:N30"/>
    <mergeCell ref="K28:N28"/>
    <mergeCell ref="K29:N29"/>
    <mergeCell ref="C30:F30"/>
    <mergeCell ref="C29:F29"/>
    <mergeCell ref="C28:F28"/>
    <mergeCell ref="G30:J30"/>
    <mergeCell ref="G29:J29"/>
    <mergeCell ref="B24:N24"/>
    <mergeCell ref="B25:N25"/>
    <mergeCell ref="G26:J26"/>
    <mergeCell ref="B1:L2"/>
    <mergeCell ref="G28:J28"/>
    <mergeCell ref="G27:J27"/>
    <mergeCell ref="C26:F26"/>
    <mergeCell ref="C3:N3"/>
    <mergeCell ref="K27:N27"/>
    <mergeCell ref="C27:F27"/>
    <mergeCell ref="K26:N26"/>
  </mergeCells>
  <conditionalFormatting sqref="C11:O11 D10:O10">
    <cfRule type="containsErrors" dxfId="10" priority="19">
      <formula>ISERROR(C10)</formula>
    </cfRule>
  </conditionalFormatting>
  <conditionalFormatting sqref="O12">
    <cfRule type="containsErrors" dxfId="9" priority="21">
      <formula>ISERROR(O12)</formula>
    </cfRule>
  </conditionalFormatting>
  <conditionalFormatting sqref="P10:P11">
    <cfRule type="containsErrors" dxfId="8" priority="12">
      <formula>ISERROR(P10)</formula>
    </cfRule>
  </conditionalFormatting>
  <conditionalFormatting sqref="O6:O7">
    <cfRule type="containsErrors" dxfId="7" priority="9">
      <formula>ISERROR(O6)</formula>
    </cfRule>
  </conditionalFormatting>
  <conditionalFormatting sqref="P6:P7">
    <cfRule type="containsErrors" dxfId="6" priority="8">
      <formula>ISERROR(P6)</formula>
    </cfRule>
  </conditionalFormatting>
  <conditionalFormatting sqref="C7:N7">
    <cfRule type="containsErrors" dxfId="5" priority="7">
      <formula>ISERROR(C7)</formula>
    </cfRule>
  </conditionalFormatting>
  <conditionalFormatting sqref="C10">
    <cfRule type="containsErrors" dxfId="4" priority="5">
      <formula>ISERROR(C10)</formula>
    </cfRule>
  </conditionalFormatting>
  <conditionalFormatting sqref="O14">
    <cfRule type="containsErrors" dxfId="3" priority="4">
      <formula>ISERROR(O14)</formula>
    </cfRule>
  </conditionalFormatting>
  <conditionalFormatting sqref="O8">
    <cfRule type="containsErrors" dxfId="2" priority="3">
      <formula>ISERROR(O8)</formula>
    </cfRule>
  </conditionalFormatting>
  <conditionalFormatting sqref="P8">
    <cfRule type="containsErrors" dxfId="1" priority="2">
      <formula>ISERROR(P8)</formula>
    </cfRule>
  </conditionalFormatting>
  <conditionalFormatting sqref="C8:N8">
    <cfRule type="containsErrors" dxfId="0" priority="1">
      <formula>ISERROR(C8)</formula>
    </cfRule>
  </conditionalFormatting>
  <printOptions horizontalCentered="1"/>
  <pageMargins left="0" right="0" top="0.75" bottom="0.75" header="0.3" footer="0.3"/>
  <pageSetup scale="76" orientation="landscape" r:id="rId1"/>
  <headerFooter scaleWithDoc="0">
    <oddHeader>&amp;R&amp;"Arial,Regular"&amp;A</oddHeader>
    <oddFooter>&amp;L&amp;"Arial,Regular"&amp;9Developed by the Kentucky Pollution Prevention Center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9"/>
  <sheetViews>
    <sheetView showGridLines="0" zoomScaleNormal="100" workbookViewId="0">
      <selection sqref="A1:K1"/>
    </sheetView>
  </sheetViews>
  <sheetFormatPr defaultRowHeight="14.4" x14ac:dyDescent="0.3"/>
  <cols>
    <col min="10" max="10" width="12.44140625" customWidth="1"/>
    <col min="13" max="13" width="7.109375" customWidth="1"/>
    <col min="16382" max="16382" width="11.109375" customWidth="1"/>
    <col min="16383" max="16383" width="13.44140625" customWidth="1"/>
    <col min="16384" max="16384" width="4.109375" bestFit="1" customWidth="1"/>
  </cols>
  <sheetData>
    <row r="1" spans="1:14 16380:16384" ht="30.75" customHeight="1" x14ac:dyDescent="0.3">
      <c r="A1" s="155" t="s">
        <v>69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97"/>
      <c r="M1" s="97"/>
      <c r="N1" s="74"/>
      <c r="XEZ1" s="118">
        <f>ROUND('Sustainability Data Output'!O16,0)</f>
        <v>0</v>
      </c>
      <c r="XFB1" t="s">
        <v>76</v>
      </c>
      <c r="XFC1" s="8" t="str">
        <f>XEZ1&amp;$XFD$1</f>
        <v>0 MT</v>
      </c>
      <c r="XFD1" t="s">
        <v>78</v>
      </c>
    </row>
    <row r="2" spans="1:14 16380:16384" x14ac:dyDescent="0.3">
      <c r="XEZ2" s="118">
        <f>ROUND('Sustainability Data Output'!O17,0)</f>
        <v>0</v>
      </c>
      <c r="XFB2" t="s">
        <v>77</v>
      </c>
      <c r="XFC2" s="8" t="str">
        <f>ROUND('Sustainability Data Output'!O17,0)&amp;$XFD$1</f>
        <v>0 MT</v>
      </c>
    </row>
    <row r="4" spans="1:14 16380:16384" x14ac:dyDescent="0.3">
      <c r="XFA4" s="106"/>
      <c r="XFB4" s="116">
        <f>ROUND('Sustainability Data Output'!O16,1)</f>
        <v>0</v>
      </c>
      <c r="XFC4" s="117" t="e">
        <f>ROUND(XFB4/SUM($XFB$4:$XFB$5),2)*100&amp;"%"</f>
        <v>#DIV/0!</v>
      </c>
      <c r="XFD4" s="106"/>
    </row>
    <row r="5" spans="1:14 16380:16384" x14ac:dyDescent="0.3">
      <c r="XFA5" s="106"/>
      <c r="XFB5" s="116">
        <f>ROUND('Sustainability Data Output'!O17,1)</f>
        <v>0</v>
      </c>
      <c r="XFC5" s="117" t="e">
        <f>ROUND(XFB5/SUM($XFB$4:$XFB$5),2)*100&amp;"%"</f>
        <v>#DIV/0!</v>
      </c>
      <c r="XFD5" s="106"/>
    </row>
    <row r="6" spans="1:14 16380:16384" x14ac:dyDescent="0.3">
      <c r="XFA6" s="106"/>
      <c r="XFB6" s="106"/>
      <c r="XFC6" s="106"/>
      <c r="XFD6" s="106"/>
    </row>
    <row r="7" spans="1:14 16380:16384" x14ac:dyDescent="0.3">
      <c r="XFA7" s="106"/>
      <c r="XFB7" s="115" t="str">
        <f>IFERROR(XFC4&amp;" "&amp;XFC1,"")</f>
        <v/>
      </c>
      <c r="XFC7" s="106"/>
      <c r="XFD7" s="106"/>
    </row>
    <row r="8" spans="1:14 16380:16384" x14ac:dyDescent="0.3">
      <c r="XFA8" s="106"/>
      <c r="XFB8" s="115" t="str">
        <f>IFERROR(XFC5&amp;" "&amp;XFC2,"")</f>
        <v/>
      </c>
      <c r="XFC8" s="106"/>
      <c r="XFD8" s="106"/>
    </row>
    <row r="9" spans="1:14 16380:16384" x14ac:dyDescent="0.3">
      <c r="XFA9" s="106"/>
      <c r="XFB9" s="106"/>
      <c r="XFC9" s="106"/>
      <c r="XFD9" s="106"/>
    </row>
    <row r="39" spans="18:18" x14ac:dyDescent="0.3">
      <c r="R39" s="75"/>
    </row>
  </sheetData>
  <mergeCells count="1">
    <mergeCell ref="A1:K1"/>
  </mergeCells>
  <pageMargins left="0.4" right="0.4" top="0.5" bottom="0.4" header="0.1" footer="0.2"/>
  <pageSetup orientation="landscape" r:id="rId1"/>
  <headerFooter scaleWithDoc="0">
    <oddHeader>&amp;R&amp;"Arial,Regular"&amp;A</oddHeader>
    <oddFooter>&amp;L&amp;"Arial,Regular"&amp;9Developed by the Kentucky Pollution Prevention Center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Read Me</vt:lpstr>
      <vt:lpstr>Production, Utility Data Input</vt:lpstr>
      <vt:lpstr>Sustainability Data Output</vt:lpstr>
      <vt:lpstr>Figures</vt:lpstr>
      <vt:lpstr>Figures!Print_Area</vt:lpstr>
      <vt:lpstr>'Sustainability Data Output'!Print_Area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Beebe,Alex Delgado</dc:creator>
  <cp:keywords/>
  <dc:description/>
  <cp:lastModifiedBy>Samantha Gordon</cp:lastModifiedBy>
  <cp:revision/>
  <cp:lastPrinted>2020-04-09T18:21:36Z</cp:lastPrinted>
  <dcterms:created xsi:type="dcterms:W3CDTF">2018-11-26T14:55:31Z</dcterms:created>
  <dcterms:modified xsi:type="dcterms:W3CDTF">2020-04-21T20:09:35Z</dcterms:modified>
  <cp:category/>
  <cp:contentStatus/>
</cp:coreProperties>
</file>