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Affordability_Calculator" defaultThemeVersion="166925"/>
  <mc:AlternateContent xmlns:mc="http://schemas.openxmlformats.org/markup-compatibility/2006">
    <mc:Choice Requires="x15">
      <x15ac:absPath xmlns:x15ac="http://schemas.microsoft.com/office/spreadsheetml/2010/11/ac" url="C:\Users\aajami\Downloads\"/>
    </mc:Choice>
  </mc:AlternateContent>
  <xr:revisionPtr revIDLastSave="0" documentId="13_ncr:1_{5DB3EADD-9B9D-4393-83E8-D2675D03FAAF}" xr6:coauthVersionLast="47" xr6:coauthVersionMax="47" xr10:uidLastSave="{00000000-0000-0000-0000-000000000000}"/>
  <workbookProtection workbookAlgorithmName="SHA-512" workbookHashValue="ccKsONRD4jzpq7O8o6VnOO7CTVyLNe13udbKu1TNWzOSKhxMp65Z4gbJxl+fNdXjQvJEPYQVHDoiM808cL3xFA==" workbookSaltValue="ehsfeckvPH8z7iD8OTCXjA==" workbookSpinCount="100000" lockStructure="1"/>
  <bookViews>
    <workbookView xWindow="1050" yWindow="-120" windowWidth="27870" windowHeight="16440" xr2:uid="{0EC316FD-6E42-4A83-8486-511AAA8962E2}"/>
  </bookViews>
  <sheets>
    <sheet name="Affordability Calculator" sheetId="3" r:id="rId1"/>
    <sheet name="Units Data Tables" sheetId="1" state="hidden" r:id="rId2"/>
  </sheets>
  <definedNames>
    <definedName name="AC_Chart_X">IF(AI_Project_Type="Water",Data_Points_DW[X: Project Cost Per conn. per Month],IF(AI_Project_Type="Wastewater",Data_Points_CW[X: Project Cost Per conn. per Month],0))</definedName>
    <definedName name="AC_Chart_Y">IF(AI_Project_Type="Water",Data_Points_DW[Y: Effective Combined Bill ($/5,000 gal.)],IF(AI_Project_Type="Wastewater",Data_Points_CW[Y: Effective Combined Bill ($/5,000 gal.)],0))</definedName>
    <definedName name="AC_Connections">'Affordability Calculator'!$C$50</definedName>
    <definedName name="AC_Grant_Eligibility">'Affordability Calculator'!$AE$33</definedName>
    <definedName name="AC_IWSB">'Affordability Calculator'!$I$30</definedName>
    <definedName name="AC_Operating_Ratio_Future">'Affordability Calculator'!$B$39</definedName>
    <definedName name="AC_PCPCPM">'Affordability Calculator'!$C$52</definedName>
    <definedName name="AC_Step1_Completed">'Affordability Calculator'!$AE$3</definedName>
    <definedName name="AC_Step1_Passed">'Affordability Calculator'!$AF$3</definedName>
    <definedName name="AC_Step1_Running_Total_Passed">'Affordability Calculator'!$AG$3</definedName>
    <definedName name="AC_Step2_Completed">'Affordability Calculator'!$AE$4</definedName>
    <definedName name="AC_Step2_Passed">'Affordability Calculator'!$AF$4</definedName>
    <definedName name="AC_Step2_Running_Total_Passed">'Affordability Calculator'!$AG$4</definedName>
    <definedName name="AC_Step3_Completed">'Affordability Calculator'!$AE$5</definedName>
    <definedName name="AC_Step3_Passed">'Affordability Calculator'!$AF$5</definedName>
    <definedName name="AC_Step3_Running_Total_Passed">'Affordability Calculator'!$AG$5</definedName>
    <definedName name="AC_Step4_Completed">'Affordability Calculator'!$AE$6</definedName>
    <definedName name="AC_Step4_Passed">'Affordability Calculator'!$AF$6</definedName>
    <definedName name="AC_Step4_Running_Total_Passed">'Affordability Calculator'!$AG$6</definedName>
    <definedName name="AC_Step5_Completed">'Affordability Calculator'!$AE$7</definedName>
    <definedName name="AC_Step5_Passed">'Affordability Calculator'!$AF$7</definedName>
    <definedName name="AC_Step5_Running_Total_Passed">'Affordability Calculator'!$AG$7</definedName>
    <definedName name="AC_X">'Affordability Calculator'!$AE$10</definedName>
    <definedName name="AC_X_truncated">'Affordability Calculator'!$AD$12</definedName>
    <definedName name="AC_Xmax">'Affordability Calculator'!$AE$12</definedName>
    <definedName name="AC_Xmin">'Affordability Calculator'!$AC$12</definedName>
    <definedName name="AC_Y">'Affordability Calculator'!$AE$9</definedName>
    <definedName name="AC_Y_truncated">'Affordability Calculator'!$AB$10</definedName>
    <definedName name="AC_Ymax">'Affordability Calculator'!$AB$9</definedName>
    <definedName name="AC_Ymin">'Affordability Calculator'!$AB$11</definedName>
    <definedName name="AI_Applicant">'Affordability Calculator'!$B$4</definedName>
    <definedName name="AI_Connections_NonRes.">'Affordability Calculator'!$C$49</definedName>
    <definedName name="AI_Connections_Res.">'Affordability Calculator'!$E$15</definedName>
    <definedName name="AI_Effective_Combined_Bill">'Affordability Calculator'!$C$47</definedName>
    <definedName name="AI_Project_Cost">'Affordability Calculator'!$B$38</definedName>
    <definedName name="AI_Project_Type">'Affordability Calculator'!$C$46</definedName>
    <definedName name="AI_Provider_Type">'Affordability Calculator'!$C$45</definedName>
    <definedName name="AI_Rate_Sewer">'Affordability Calculator'!$F$46</definedName>
    <definedName name="AI_Rate_Water">'Affordability Calculator'!$E$46</definedName>
    <definedName name="Economic_Unit_Names">DataTable_Economic[LGU]</definedName>
    <definedName name="EFC_50P">'Affordability Calculator'!$AE$15</definedName>
    <definedName name="EFC_70P">'Affordability Calculator'!$AE$16</definedName>
    <definedName name="EFC_85P">'Affordability Calculator'!$AE$17</definedName>
    <definedName name="EFC_95P">'Affordability Calculator'!$AE$18</definedName>
    <definedName name="EFC_99P">'Affordability Calculator'!$AE$19</definedName>
    <definedName name="FIF_Dept_Principal">'Affordability Calculator'!$B$36</definedName>
    <definedName name="FIF_Interest">'Affordability Calculator'!$B$37</definedName>
    <definedName name="FIF_Operating_Revenues">'Affordability Calculator'!$B$34</definedName>
    <definedName name="FIF_Total_Expenditures">'Affordability Calculator'!$B$35</definedName>
    <definedName name="_xlnm.Print_Area" localSheetId="0">'Affordability Calculator'!$A$1:$I$80</definedName>
    <definedName name="VU_D1">'Affordability Calculator'!$B$11</definedName>
    <definedName name="VU_Distressed">'Affordability Calculator'!$B$8</definedName>
    <definedName name="VU_Score">'Affordability Calculator'!$B$9</definedName>
    <definedName name="VU_Unit_Names">DataTable_VUR[Unit Name]</definedName>
    <definedName name="VU_Wholesale">'Affordability Calculator'!$B$10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3" i="3" l="1"/>
  <c r="D23" i="3"/>
  <c r="E23" i="3"/>
  <c r="C24" i="3"/>
  <c r="D24" i="3"/>
  <c r="E24" i="3"/>
  <c r="C25" i="3"/>
  <c r="D25" i="3"/>
  <c r="E25" i="3"/>
  <c r="C26" i="3"/>
  <c r="D26" i="3"/>
  <c r="E26" i="3"/>
  <c r="C27" i="3"/>
  <c r="D27" i="3"/>
  <c r="E27" i="3"/>
  <c r="C28" i="3"/>
  <c r="D28" i="3"/>
  <c r="E28" i="3"/>
  <c r="AO3" i="3"/>
  <c r="AO4" i="3"/>
  <c r="AO5" i="3"/>
  <c r="AO6" i="3"/>
  <c r="AO7" i="3"/>
  <c r="AO8" i="3"/>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O39" i="3"/>
  <c r="AO40" i="3"/>
  <c r="AO41" i="3"/>
  <c r="AO42" i="3"/>
  <c r="AO43" i="3"/>
  <c r="AO44" i="3"/>
  <c r="AO45" i="3"/>
  <c r="AO46" i="3"/>
  <c r="AO47" i="3"/>
  <c r="AO48" i="3"/>
  <c r="AO49" i="3"/>
  <c r="AO50" i="3"/>
  <c r="AO51" i="3"/>
  <c r="AO52" i="3"/>
  <c r="AO53" i="3"/>
  <c r="AO54" i="3"/>
  <c r="AO55" i="3"/>
  <c r="AO56" i="3"/>
  <c r="AO57" i="3"/>
  <c r="AO58" i="3"/>
  <c r="AO59" i="3"/>
  <c r="AO60" i="3"/>
  <c r="AO61" i="3"/>
  <c r="AO62" i="3"/>
  <c r="AO63" i="3"/>
  <c r="AO64" i="3"/>
  <c r="AO65" i="3"/>
  <c r="AO66" i="3"/>
  <c r="AO67" i="3"/>
  <c r="AO68" i="3"/>
  <c r="AO69" i="3"/>
  <c r="AO70" i="3"/>
  <c r="AO71" i="3"/>
  <c r="AO72" i="3"/>
  <c r="AO73" i="3"/>
  <c r="AO74" i="3"/>
  <c r="AO75" i="3"/>
  <c r="AO76" i="3"/>
  <c r="AO77" i="3"/>
  <c r="AO78" i="3"/>
  <c r="AO79" i="3"/>
  <c r="AO80" i="3"/>
  <c r="AO81" i="3"/>
  <c r="AO82" i="3"/>
  <c r="AO83" i="3"/>
  <c r="AO84" i="3"/>
  <c r="AO85" i="3"/>
  <c r="AO86" i="3"/>
  <c r="AO87" i="3"/>
  <c r="AO88" i="3"/>
  <c r="AO89" i="3"/>
  <c r="AO90" i="3"/>
  <c r="AO91" i="3"/>
  <c r="AO92" i="3"/>
  <c r="AO93" i="3"/>
  <c r="AO94" i="3"/>
  <c r="AO95" i="3"/>
  <c r="AO96" i="3"/>
  <c r="AO97" i="3"/>
  <c r="AO98" i="3"/>
  <c r="AO99" i="3"/>
  <c r="AO100" i="3"/>
  <c r="AO101" i="3"/>
  <c r="AO102" i="3"/>
  <c r="AO103" i="3"/>
  <c r="AO104" i="3"/>
  <c r="AO105" i="3"/>
  <c r="AO106" i="3"/>
  <c r="AO107" i="3"/>
  <c r="AO108" i="3"/>
  <c r="AO109" i="3"/>
  <c r="AO110" i="3"/>
  <c r="AO111" i="3"/>
  <c r="AO112" i="3"/>
  <c r="AO113" i="3"/>
  <c r="AO114" i="3"/>
  <c r="AO115" i="3"/>
  <c r="AO116" i="3"/>
  <c r="AO117" i="3"/>
  <c r="AO118" i="3"/>
  <c r="AO119" i="3"/>
  <c r="AO120" i="3"/>
  <c r="AO121" i="3"/>
  <c r="AO122" i="3"/>
  <c r="AO123" i="3"/>
  <c r="AO124" i="3"/>
  <c r="AO125" i="3"/>
  <c r="AO126" i="3"/>
  <c r="AO127" i="3"/>
  <c r="AO128" i="3"/>
  <c r="AO129" i="3"/>
  <c r="AO130" i="3"/>
  <c r="AO131" i="3"/>
  <c r="AO132" i="3"/>
  <c r="AO133" i="3"/>
  <c r="AO134" i="3"/>
  <c r="AO135" i="3"/>
  <c r="AO136" i="3"/>
  <c r="AO137" i="3"/>
  <c r="AO138" i="3"/>
  <c r="AO139" i="3"/>
  <c r="AO140" i="3"/>
  <c r="AO141" i="3"/>
  <c r="AO142" i="3"/>
  <c r="AO143" i="3"/>
  <c r="AO144" i="3"/>
  <c r="AO145" i="3"/>
  <c r="AO146" i="3"/>
  <c r="AO147" i="3"/>
  <c r="AO148" i="3"/>
  <c r="AO149" i="3"/>
  <c r="AO150" i="3"/>
  <c r="AO151" i="3"/>
  <c r="AO152" i="3"/>
  <c r="AO153" i="3"/>
  <c r="AO154" i="3"/>
  <c r="AO155" i="3"/>
  <c r="AO156" i="3"/>
  <c r="AO157" i="3"/>
  <c r="AO158" i="3"/>
  <c r="AO159" i="3"/>
  <c r="AO160" i="3"/>
  <c r="AO161" i="3"/>
  <c r="AO162" i="3"/>
  <c r="AO163" i="3"/>
  <c r="AO164" i="3"/>
  <c r="AO165" i="3"/>
  <c r="AO166" i="3"/>
  <c r="AO167" i="3"/>
  <c r="AO168" i="3"/>
  <c r="AO169" i="3"/>
  <c r="AO170" i="3"/>
  <c r="AO171" i="3"/>
  <c r="AO172" i="3"/>
  <c r="AO173" i="3"/>
  <c r="AO174" i="3"/>
  <c r="AO175" i="3"/>
  <c r="AO176" i="3"/>
  <c r="AO177" i="3"/>
  <c r="AO178" i="3"/>
  <c r="AO179" i="3"/>
  <c r="AO180" i="3"/>
  <c r="AO181" i="3"/>
  <c r="AO182" i="3"/>
  <c r="AO183" i="3"/>
  <c r="AO184" i="3"/>
  <c r="AO185" i="3"/>
  <c r="AO186" i="3"/>
  <c r="AO187" i="3"/>
  <c r="AO188" i="3"/>
  <c r="AO189" i="3"/>
  <c r="AO190" i="3"/>
  <c r="AO191" i="3"/>
  <c r="AO192" i="3"/>
  <c r="AO193" i="3"/>
  <c r="AO194" i="3"/>
  <c r="AO195" i="3"/>
  <c r="AO196" i="3"/>
  <c r="AO197" i="3"/>
  <c r="AO198" i="3"/>
  <c r="AO199" i="3"/>
  <c r="AO200" i="3"/>
  <c r="AO201" i="3"/>
  <c r="AO202" i="3"/>
  <c r="AO203" i="3"/>
  <c r="AO204" i="3"/>
  <c r="AO205" i="3"/>
  <c r="AO206" i="3"/>
  <c r="AO207" i="3"/>
  <c r="AO208" i="3"/>
  <c r="AO209" i="3"/>
  <c r="AO210" i="3"/>
  <c r="AO211" i="3"/>
  <c r="AO212" i="3"/>
  <c r="AO213" i="3"/>
  <c r="AO214" i="3"/>
  <c r="AO215" i="3"/>
  <c r="AO216" i="3"/>
  <c r="AO217" i="3"/>
  <c r="AO218" i="3"/>
  <c r="AO219" i="3"/>
  <c r="AO220" i="3"/>
  <c r="AO221" i="3"/>
  <c r="AO222" i="3"/>
  <c r="AO223" i="3"/>
  <c r="AO224" i="3"/>
  <c r="AO225" i="3"/>
  <c r="AO226" i="3"/>
  <c r="AO227" i="3"/>
  <c r="AO228" i="3"/>
  <c r="AO229" i="3"/>
  <c r="AO230" i="3"/>
  <c r="AO231" i="3"/>
  <c r="AO232" i="3"/>
  <c r="AO233" i="3"/>
  <c r="AO234" i="3"/>
  <c r="AO235" i="3"/>
  <c r="AO236" i="3"/>
  <c r="AO237" i="3"/>
  <c r="AO238" i="3"/>
  <c r="AO239" i="3"/>
  <c r="AO240" i="3"/>
  <c r="AO241" i="3"/>
  <c r="AO242" i="3"/>
  <c r="AO243" i="3"/>
  <c r="AO244" i="3"/>
  <c r="AO245" i="3"/>
  <c r="AO246" i="3"/>
  <c r="AO247" i="3"/>
  <c r="AO248" i="3"/>
  <c r="AO249" i="3"/>
  <c r="AO250" i="3"/>
  <c r="AO251" i="3"/>
  <c r="AO252" i="3"/>
  <c r="AO253" i="3"/>
  <c r="AO254" i="3"/>
  <c r="AO255" i="3"/>
  <c r="AO256" i="3"/>
  <c r="AO257" i="3"/>
  <c r="AO258" i="3"/>
  <c r="AO259" i="3"/>
  <c r="AO260" i="3"/>
  <c r="AO261" i="3"/>
  <c r="AO262" i="3"/>
  <c r="AO263" i="3"/>
  <c r="AO264" i="3"/>
  <c r="AO265" i="3"/>
  <c r="AO266" i="3"/>
  <c r="AO267" i="3"/>
  <c r="AO268" i="3"/>
  <c r="AO269" i="3"/>
  <c r="AO270" i="3"/>
  <c r="AO271" i="3"/>
  <c r="AO272" i="3"/>
  <c r="AO273" i="3"/>
  <c r="AO274" i="3"/>
  <c r="AO275" i="3"/>
  <c r="AO276" i="3"/>
  <c r="AO277" i="3"/>
  <c r="AO278" i="3"/>
  <c r="AO279" i="3"/>
  <c r="AO280" i="3"/>
  <c r="AO281" i="3"/>
  <c r="AO282" i="3"/>
  <c r="AO283" i="3"/>
  <c r="AO284" i="3"/>
  <c r="AO285" i="3"/>
  <c r="AO286" i="3"/>
  <c r="AO287" i="3"/>
  <c r="AO288" i="3"/>
  <c r="AO289" i="3"/>
  <c r="AO290" i="3"/>
  <c r="AO291" i="3"/>
  <c r="AO292" i="3"/>
  <c r="AO293" i="3"/>
  <c r="AO294" i="3"/>
  <c r="AO295" i="3"/>
  <c r="AO296" i="3"/>
  <c r="AO297" i="3"/>
  <c r="AO298" i="3"/>
  <c r="AO299" i="3"/>
  <c r="AO300" i="3"/>
  <c r="AO301" i="3"/>
  <c r="AO302" i="3"/>
  <c r="AO303" i="3"/>
  <c r="AJ4" i="3" l="1"/>
  <c r="AJ5" i="3" s="1"/>
  <c r="AJ6" i="3" s="1"/>
  <c r="AJ7" i="3" s="1"/>
  <c r="AJ8" i="3" s="1"/>
  <c r="AJ9" i="3" s="1"/>
  <c r="AL9" i="3" s="1"/>
  <c r="G625" i="1"/>
  <c r="G569" i="1"/>
  <c r="G558" i="1"/>
  <c r="G473" i="1"/>
  <c r="G429" i="1"/>
  <c r="G414" i="1"/>
  <c r="G389" i="1"/>
  <c r="G353" i="1"/>
  <c r="G259" i="1"/>
  <c r="G231" i="1"/>
  <c r="G214" i="1"/>
  <c r="G187" i="1"/>
  <c r="G170" i="1"/>
  <c r="G158" i="1"/>
  <c r="G153" i="1"/>
  <c r="G82" i="1"/>
  <c r="G15" i="1"/>
  <c r="E587" i="1"/>
  <c r="E572" i="1"/>
  <c r="E560" i="1"/>
  <c r="E540" i="1"/>
  <c r="E476" i="1"/>
  <c r="E471" i="1"/>
  <c r="E394" i="1"/>
  <c r="E389" i="1"/>
  <c r="E387" i="1"/>
  <c r="E377" i="1"/>
  <c r="E372" i="1"/>
  <c r="E370" i="1"/>
  <c r="E257" i="1"/>
  <c r="E238" i="1"/>
  <c r="E226" i="1"/>
  <c r="E201" i="1"/>
  <c r="E153" i="1"/>
  <c r="E143" i="1"/>
  <c r="E105" i="1"/>
  <c r="E85" i="1"/>
  <c r="E63" i="1"/>
  <c r="G541" i="1"/>
  <c r="C231" i="1"/>
  <c r="B541" i="1"/>
  <c r="E541" i="1"/>
  <c r="D541" i="1"/>
  <c r="C541" i="1"/>
  <c r="AJ10" i="3" l="1"/>
  <c r="AM9" i="3"/>
  <c r="AK9" i="3"/>
  <c r="AN9" i="3"/>
  <c r="AK4" i="3"/>
  <c r="AM4" i="3"/>
  <c r="AL4" i="3"/>
  <c r="AN4" i="3"/>
  <c r="AN3" i="3"/>
  <c r="AK3" i="3"/>
  <c r="AM3" i="3"/>
  <c r="AL3" i="3"/>
  <c r="A27" i="3"/>
  <c r="A26" i="3"/>
  <c r="A25" i="3"/>
  <c r="AJ11" i="3" l="1"/>
  <c r="AL10" i="3"/>
  <c r="AM10" i="3"/>
  <c r="AN10" i="3"/>
  <c r="AK10" i="3"/>
  <c r="AL5" i="3"/>
  <c r="AN5" i="3"/>
  <c r="AK5" i="3"/>
  <c r="AM5" i="3"/>
  <c r="A28" i="3"/>
  <c r="A24" i="3"/>
  <c r="A23" i="3"/>
  <c r="AJ12" i="3" l="1"/>
  <c r="AK11" i="3"/>
  <c r="AL11" i="3"/>
  <c r="AM11" i="3"/>
  <c r="AN11" i="3"/>
  <c r="AK6" i="3"/>
  <c r="AL6" i="3"/>
  <c r="AN6" i="3"/>
  <c r="AM6" i="3"/>
  <c r="AJ13" i="3" l="1"/>
  <c r="AK12" i="3"/>
  <c r="AL12" i="3"/>
  <c r="AM12" i="3"/>
  <c r="AN12" i="3"/>
  <c r="AK7" i="3"/>
  <c r="AM7" i="3"/>
  <c r="AN7" i="3"/>
  <c r="AL7" i="3"/>
  <c r="B7" i="3"/>
  <c r="B11" i="3" s="1"/>
  <c r="B21" i="3"/>
  <c r="B23" i="3" l="1"/>
  <c r="B24" i="3"/>
  <c r="B25" i="3"/>
  <c r="B26" i="3"/>
  <c r="B27" i="3"/>
  <c r="B28" i="3"/>
  <c r="AJ14" i="3"/>
  <c r="AK13" i="3"/>
  <c r="AL13" i="3"/>
  <c r="AM13" i="3"/>
  <c r="AN13" i="3"/>
  <c r="AK8" i="3"/>
  <c r="AM8" i="3"/>
  <c r="AL8" i="3"/>
  <c r="AN8" i="3"/>
  <c r="F15" i="3"/>
  <c r="AE6" i="3"/>
  <c r="AE4" i="3"/>
  <c r="AJ15" i="3" l="1"/>
  <c r="AK14" i="3"/>
  <c r="AL14" i="3"/>
  <c r="AM14" i="3"/>
  <c r="AN14" i="3"/>
  <c r="B8" i="3"/>
  <c r="B39" i="3"/>
  <c r="AJ16" i="3" l="1"/>
  <c r="AK15" i="3"/>
  <c r="AL15" i="3"/>
  <c r="AM15" i="3"/>
  <c r="AN15" i="3"/>
  <c r="AF6" i="3"/>
  <c r="AF4" i="3"/>
  <c r="B29" i="3"/>
  <c r="B9" i="3"/>
  <c r="C50" i="3"/>
  <c r="AJ17" i="3" l="1"/>
  <c r="AK16" i="3"/>
  <c r="AL16" i="3"/>
  <c r="AN16" i="3"/>
  <c r="AM16" i="3"/>
  <c r="F22" i="3" a="1"/>
  <c r="F22" i="3" s="1"/>
  <c r="F27" i="3" l="1" a="1"/>
  <c r="F27" i="3" s="1"/>
  <c r="I27" i="3" s="1"/>
  <c r="F24" i="3" a="1"/>
  <c r="F24" i="3" s="1"/>
  <c r="I24" i="3" s="1"/>
  <c r="F25" i="3" a="1"/>
  <c r="F25" i="3" s="1"/>
  <c r="I25" i="3" s="1"/>
  <c r="F26" i="3" a="1"/>
  <c r="F26" i="3" s="1"/>
  <c r="I26" i="3" s="1"/>
  <c r="AJ18" i="3"/>
  <c r="AM17" i="3"/>
  <c r="AK17" i="3"/>
  <c r="AN17" i="3"/>
  <c r="AL17" i="3"/>
  <c r="BD4" i="3"/>
  <c r="BD5" i="3"/>
  <c r="BD6" i="3"/>
  <c r="BD7" i="3"/>
  <c r="BD8" i="3"/>
  <c r="BD9" i="3"/>
  <c r="BD10" i="3"/>
  <c r="BD11" i="3"/>
  <c r="BD12" i="3"/>
  <c r="BD13" i="3"/>
  <c r="BD14" i="3"/>
  <c r="BD15" i="3"/>
  <c r="BD16" i="3"/>
  <c r="BD17" i="3"/>
  <c r="BD18" i="3"/>
  <c r="BD19" i="3"/>
  <c r="BD20" i="3"/>
  <c r="BD21" i="3"/>
  <c r="BD22" i="3"/>
  <c r="BD23" i="3"/>
  <c r="BD24" i="3"/>
  <c r="BD25" i="3"/>
  <c r="BD26" i="3"/>
  <c r="BD27" i="3"/>
  <c r="BD28" i="3"/>
  <c r="BD29" i="3"/>
  <c r="BD30" i="3"/>
  <c r="BD31" i="3"/>
  <c r="BD32" i="3"/>
  <c r="BD33" i="3"/>
  <c r="BD34" i="3"/>
  <c r="BD35" i="3"/>
  <c r="BD36" i="3"/>
  <c r="BD37" i="3"/>
  <c r="BD38" i="3"/>
  <c r="BD39" i="3"/>
  <c r="BD40" i="3"/>
  <c r="BD41" i="3"/>
  <c r="BD42" i="3"/>
  <c r="BD43" i="3"/>
  <c r="BD44" i="3"/>
  <c r="BD45" i="3"/>
  <c r="BD46" i="3"/>
  <c r="BD47" i="3"/>
  <c r="BD48" i="3"/>
  <c r="BD49" i="3"/>
  <c r="BD50" i="3"/>
  <c r="BD51" i="3"/>
  <c r="BD52" i="3"/>
  <c r="BD53" i="3"/>
  <c r="BD54" i="3"/>
  <c r="BD55" i="3"/>
  <c r="BD56" i="3"/>
  <c r="BD57" i="3"/>
  <c r="BD58" i="3"/>
  <c r="BD59" i="3"/>
  <c r="BD60" i="3"/>
  <c r="BD61" i="3"/>
  <c r="BD62" i="3"/>
  <c r="BD63" i="3"/>
  <c r="BD64" i="3"/>
  <c r="BD65" i="3"/>
  <c r="BD66" i="3"/>
  <c r="BD67" i="3"/>
  <c r="BD68" i="3"/>
  <c r="BD69" i="3"/>
  <c r="BD70" i="3"/>
  <c r="BD71" i="3"/>
  <c r="BD72" i="3"/>
  <c r="BD73" i="3"/>
  <c r="BD3" i="3"/>
  <c r="AZ4" i="3"/>
  <c r="AZ5" i="3"/>
  <c r="AZ6" i="3"/>
  <c r="AZ7" i="3"/>
  <c r="AZ8" i="3"/>
  <c r="AZ9" i="3"/>
  <c r="AZ10" i="3"/>
  <c r="AZ11" i="3"/>
  <c r="AZ12" i="3"/>
  <c r="AZ13" i="3"/>
  <c r="AZ14" i="3"/>
  <c r="AZ15" i="3"/>
  <c r="AZ16" i="3"/>
  <c r="AZ17" i="3"/>
  <c r="AZ18" i="3"/>
  <c r="AZ19" i="3"/>
  <c r="AZ20" i="3"/>
  <c r="AZ21" i="3"/>
  <c r="AZ22" i="3"/>
  <c r="AZ23" i="3"/>
  <c r="AZ24" i="3"/>
  <c r="AZ25" i="3"/>
  <c r="AZ26" i="3"/>
  <c r="AZ27" i="3"/>
  <c r="AZ28" i="3"/>
  <c r="AZ29" i="3"/>
  <c r="AZ30" i="3"/>
  <c r="AZ31" i="3"/>
  <c r="AZ32" i="3"/>
  <c r="AZ33" i="3"/>
  <c r="AZ34" i="3"/>
  <c r="AZ35" i="3"/>
  <c r="AZ36" i="3"/>
  <c r="AZ37" i="3"/>
  <c r="AZ38" i="3"/>
  <c r="AZ39" i="3"/>
  <c r="AZ40" i="3"/>
  <c r="AZ41" i="3"/>
  <c r="AZ42" i="3"/>
  <c r="AZ43" i="3"/>
  <c r="AZ44" i="3"/>
  <c r="AZ45" i="3"/>
  <c r="AZ46" i="3"/>
  <c r="AZ47" i="3"/>
  <c r="AZ48" i="3"/>
  <c r="AZ49" i="3"/>
  <c r="AZ50" i="3"/>
  <c r="AZ51" i="3"/>
  <c r="AZ52" i="3"/>
  <c r="AZ53" i="3"/>
  <c r="AZ54" i="3"/>
  <c r="AZ55" i="3"/>
  <c r="AZ56" i="3"/>
  <c r="AZ57" i="3"/>
  <c r="AZ58" i="3"/>
  <c r="AZ59" i="3"/>
  <c r="AZ60" i="3"/>
  <c r="AZ61" i="3"/>
  <c r="AZ62" i="3"/>
  <c r="AZ63" i="3"/>
  <c r="AZ64" i="3"/>
  <c r="AZ65" i="3"/>
  <c r="AZ66" i="3"/>
  <c r="AZ67" i="3"/>
  <c r="AZ68" i="3"/>
  <c r="AZ69" i="3"/>
  <c r="AZ70" i="3"/>
  <c r="AZ71" i="3"/>
  <c r="AZ72" i="3"/>
  <c r="AZ73" i="3"/>
  <c r="AZ74" i="3"/>
  <c r="AZ75" i="3"/>
  <c r="AZ76" i="3"/>
  <c r="AZ77" i="3"/>
  <c r="AZ78" i="3"/>
  <c r="AZ79" i="3"/>
  <c r="AZ80" i="3"/>
  <c r="AZ81" i="3"/>
  <c r="AZ82" i="3"/>
  <c r="AZ83" i="3"/>
  <c r="AZ84" i="3"/>
  <c r="AZ85" i="3"/>
  <c r="AZ86" i="3"/>
  <c r="AZ87" i="3"/>
  <c r="AZ88" i="3"/>
  <c r="AZ89" i="3"/>
  <c r="AZ3" i="3"/>
  <c r="AJ19" i="3" l="1"/>
  <c r="AL18" i="3"/>
  <c r="AM18" i="3"/>
  <c r="AN18" i="3"/>
  <c r="AK18" i="3"/>
  <c r="AE26" i="3"/>
  <c r="AG26" i="3"/>
  <c r="AE27" i="3"/>
  <c r="AG27" i="3"/>
  <c r="AE28" i="3"/>
  <c r="AG28" i="3"/>
  <c r="AE29" i="3"/>
  <c r="AG29" i="3"/>
  <c r="AE30" i="3"/>
  <c r="AG30" i="3"/>
  <c r="AE31" i="3"/>
  <c r="AG31" i="3"/>
  <c r="AJ20" i="3" l="1"/>
  <c r="AK19" i="3"/>
  <c r="AL19" i="3"/>
  <c r="AM19" i="3"/>
  <c r="AN19" i="3"/>
  <c r="A50" i="3"/>
  <c r="A49" i="3"/>
  <c r="D15" i="3"/>
  <c r="AJ21" i="3" l="1"/>
  <c r="AK20" i="3"/>
  <c r="AL20" i="3"/>
  <c r="AM20" i="3"/>
  <c r="AN20" i="3"/>
  <c r="C29" i="3"/>
  <c r="D29" i="3"/>
  <c r="E29" i="3"/>
  <c r="AJ22" i="3" l="1"/>
  <c r="AK21" i="3"/>
  <c r="AL21" i="3"/>
  <c r="AM21" i="3"/>
  <c r="AN21" i="3"/>
  <c r="F29" i="3" a="1"/>
  <c r="F29" i="3" s="1"/>
  <c r="I29" i="3" s="1"/>
  <c r="AJ23" i="3" l="1"/>
  <c r="AK22" i="3"/>
  <c r="AL22" i="3"/>
  <c r="AM22" i="3"/>
  <c r="AN22" i="3"/>
  <c r="I30" i="3" a="1"/>
  <c r="I30" i="3" s="1"/>
  <c r="AE3" i="3"/>
  <c r="B10" i="3"/>
  <c r="AJ24" i="3" l="1"/>
  <c r="AK23" i="3"/>
  <c r="AL23" i="3"/>
  <c r="AM23" i="3"/>
  <c r="AN23" i="3"/>
  <c r="AF3" i="3"/>
  <c r="A12" i="3" s="1"/>
  <c r="AJ25" i="3" l="1"/>
  <c r="AK24" i="3"/>
  <c r="AL24" i="3"/>
  <c r="AN24" i="3"/>
  <c r="AM24" i="3"/>
  <c r="AG3" i="3"/>
  <c r="A16" i="3" s="1"/>
  <c r="AG4" i="3"/>
  <c r="AJ26" i="3" l="1"/>
  <c r="AM25" i="3"/>
  <c r="AK25" i="3"/>
  <c r="AN25" i="3"/>
  <c r="AL25" i="3"/>
  <c r="AE5" i="3"/>
  <c r="AF5" i="3" s="1"/>
  <c r="AJ27" i="3" l="1"/>
  <c r="AL26" i="3"/>
  <c r="AM26" i="3"/>
  <c r="AK26" i="3"/>
  <c r="AN26" i="3"/>
  <c r="A30" i="3"/>
  <c r="AG5" i="3"/>
  <c r="A40" i="3" s="1"/>
  <c r="AG6" i="3"/>
  <c r="C47" i="3" s="1"/>
  <c r="AE7" i="3" s="1"/>
  <c r="AF7" i="3" s="1"/>
  <c r="AG7" i="3" s="1"/>
  <c r="AB10" i="3" s="1"/>
  <c r="AJ28" i="3" l="1"/>
  <c r="AK27" i="3"/>
  <c r="AL27" i="3"/>
  <c r="AM27" i="3"/>
  <c r="AN27" i="3"/>
  <c r="AE9" i="3"/>
  <c r="AE32" i="3"/>
  <c r="C52" i="3"/>
  <c r="AE10" i="3" s="1"/>
  <c r="AJ29" i="3" l="1"/>
  <c r="AK28" i="3"/>
  <c r="AL28" i="3"/>
  <c r="AM28" i="3"/>
  <c r="AN28" i="3"/>
  <c r="AD12" i="3"/>
  <c r="AG32" i="3"/>
  <c r="AE33" i="3" s="1"/>
  <c r="A61" i="3" s="1" a="1"/>
  <c r="A61" i="3" s="1"/>
  <c r="AJ30" i="3" l="1"/>
  <c r="AK29" i="3"/>
  <c r="AL29" i="3"/>
  <c r="AM29" i="3"/>
  <c r="AN29" i="3"/>
  <c r="AJ31" i="3" l="1"/>
  <c r="AK30" i="3"/>
  <c r="AL30" i="3"/>
  <c r="AM30" i="3"/>
  <c r="AN30" i="3"/>
  <c r="AJ32" i="3" l="1"/>
  <c r="AK31" i="3"/>
  <c r="AL31" i="3"/>
  <c r="AM31" i="3"/>
  <c r="AN31" i="3"/>
  <c r="AJ33" i="3" l="1"/>
  <c r="AK32" i="3"/>
  <c r="AL32" i="3"/>
  <c r="AN32" i="3"/>
  <c r="AM32" i="3"/>
  <c r="AJ34" i="3" l="1"/>
  <c r="AM33" i="3"/>
  <c r="AK33" i="3"/>
  <c r="AL33" i="3"/>
  <c r="AN33" i="3"/>
  <c r="AJ35" i="3" l="1"/>
  <c r="AL34" i="3"/>
  <c r="AM34" i="3"/>
  <c r="AK34" i="3"/>
  <c r="AN34" i="3"/>
  <c r="AJ36" i="3" l="1"/>
  <c r="AK35" i="3"/>
  <c r="AL35" i="3"/>
  <c r="AM35" i="3"/>
  <c r="AN35" i="3"/>
  <c r="AJ37" i="3" l="1"/>
  <c r="AK36" i="3"/>
  <c r="AL36" i="3"/>
  <c r="AM36" i="3"/>
  <c r="AN36" i="3"/>
  <c r="AJ38" i="3" l="1"/>
  <c r="AK37" i="3"/>
  <c r="AL37" i="3"/>
  <c r="AM37" i="3"/>
  <c r="AN37" i="3"/>
  <c r="AJ39" i="3" l="1"/>
  <c r="AK38" i="3"/>
  <c r="AL38" i="3"/>
  <c r="AM38" i="3"/>
  <c r="AN38" i="3"/>
  <c r="AJ40" i="3" l="1"/>
  <c r="AK39" i="3"/>
  <c r="AL39" i="3"/>
  <c r="AM39" i="3"/>
  <c r="AN39" i="3"/>
  <c r="AJ41" i="3" l="1"/>
  <c r="AK40" i="3"/>
  <c r="AL40" i="3"/>
  <c r="AM40" i="3"/>
  <c r="AN40" i="3"/>
  <c r="AJ42" i="3" l="1"/>
  <c r="AM41" i="3"/>
  <c r="AK41" i="3"/>
  <c r="AL41" i="3"/>
  <c r="AN41" i="3"/>
  <c r="AJ43" i="3" l="1"/>
  <c r="AL42" i="3"/>
  <c r="AM42" i="3"/>
  <c r="AK42" i="3"/>
  <c r="AN42" i="3"/>
  <c r="AJ44" i="3" l="1"/>
  <c r="AK43" i="3"/>
  <c r="AL43" i="3"/>
  <c r="AM43" i="3"/>
  <c r="AN43" i="3"/>
  <c r="AJ45" i="3" l="1"/>
  <c r="AK44" i="3"/>
  <c r="AL44" i="3"/>
  <c r="AM44" i="3"/>
  <c r="AN44" i="3"/>
  <c r="AJ46" i="3" l="1"/>
  <c r="AK45" i="3"/>
  <c r="AL45" i="3"/>
  <c r="AM45" i="3"/>
  <c r="AN45" i="3"/>
  <c r="AJ47" i="3" l="1"/>
  <c r="AK46" i="3"/>
  <c r="AL46" i="3"/>
  <c r="AM46" i="3"/>
  <c r="AN46" i="3"/>
  <c r="AJ48" i="3" l="1"/>
  <c r="AK47" i="3"/>
  <c r="AL47" i="3"/>
  <c r="AM47" i="3"/>
  <c r="AN47" i="3"/>
  <c r="AJ49" i="3" l="1"/>
  <c r="AK48" i="3"/>
  <c r="AL48" i="3"/>
  <c r="AN48" i="3"/>
  <c r="AM48" i="3"/>
  <c r="AJ50" i="3" l="1"/>
  <c r="AM49" i="3"/>
  <c r="AK49" i="3"/>
  <c r="AN49" i="3"/>
  <c r="AL49" i="3"/>
  <c r="AJ51" i="3" l="1"/>
  <c r="AL50" i="3"/>
  <c r="AM50" i="3"/>
  <c r="AN50" i="3"/>
  <c r="AK50" i="3"/>
  <c r="AJ52" i="3" l="1"/>
  <c r="AK51" i="3"/>
  <c r="AL51" i="3"/>
  <c r="AM51" i="3"/>
  <c r="AN51" i="3"/>
  <c r="AJ53" i="3" l="1"/>
  <c r="AK52" i="3"/>
  <c r="AL52" i="3"/>
  <c r="AM52" i="3"/>
  <c r="AN52" i="3"/>
  <c r="AJ54" i="3" l="1"/>
  <c r="AK53" i="3"/>
  <c r="AL53" i="3"/>
  <c r="AM53" i="3"/>
  <c r="AN53" i="3"/>
  <c r="AJ55" i="3" l="1"/>
  <c r="AK54" i="3"/>
  <c r="AL54" i="3"/>
  <c r="AM54" i="3"/>
  <c r="AN54" i="3"/>
  <c r="AJ56" i="3" l="1"/>
  <c r="AK55" i="3"/>
  <c r="AL55" i="3"/>
  <c r="AM55" i="3"/>
  <c r="AN55" i="3"/>
  <c r="AJ57" i="3" l="1"/>
  <c r="AK56" i="3"/>
  <c r="AL56" i="3"/>
  <c r="AN56" i="3"/>
  <c r="AM56" i="3"/>
  <c r="AJ58" i="3" l="1"/>
  <c r="AM57" i="3"/>
  <c r="AK57" i="3"/>
  <c r="AN57" i="3"/>
  <c r="AL57" i="3"/>
  <c r="AJ59" i="3" l="1"/>
  <c r="AL58" i="3"/>
  <c r="AM58" i="3"/>
  <c r="AN58" i="3"/>
  <c r="AK58" i="3"/>
  <c r="AJ60" i="3" l="1"/>
  <c r="AK59" i="3"/>
  <c r="AL59" i="3"/>
  <c r="AM59" i="3"/>
  <c r="AN59" i="3"/>
  <c r="AJ61" i="3" l="1"/>
  <c r="AK60" i="3"/>
  <c r="AL60" i="3"/>
  <c r="AM60" i="3"/>
  <c r="AN60" i="3"/>
  <c r="AJ62" i="3" l="1"/>
  <c r="AK61" i="3"/>
  <c r="AL61" i="3"/>
  <c r="AM61" i="3"/>
  <c r="AN61" i="3"/>
  <c r="AJ63" i="3" l="1"/>
  <c r="AK62" i="3"/>
  <c r="AL62" i="3"/>
  <c r="AM62" i="3"/>
  <c r="AN62" i="3"/>
  <c r="AJ64" i="3" l="1"/>
  <c r="AK63" i="3"/>
  <c r="AL63" i="3"/>
  <c r="AM63" i="3"/>
  <c r="AN63" i="3"/>
  <c r="AJ65" i="3" l="1"/>
  <c r="AK64" i="3"/>
  <c r="AL64" i="3"/>
  <c r="AN64" i="3"/>
  <c r="AM64" i="3"/>
  <c r="AJ66" i="3" l="1"/>
  <c r="AM65" i="3"/>
  <c r="AK65" i="3"/>
  <c r="AN65" i="3"/>
  <c r="AL65" i="3"/>
  <c r="AJ67" i="3" l="1"/>
  <c r="AL66" i="3"/>
  <c r="AM66" i="3"/>
  <c r="AN66" i="3"/>
  <c r="AK66" i="3"/>
  <c r="AJ68" i="3" l="1"/>
  <c r="AK67" i="3"/>
  <c r="AL67" i="3"/>
  <c r="AM67" i="3"/>
  <c r="AN67" i="3"/>
  <c r="AJ69" i="3" l="1"/>
  <c r="AK68" i="3"/>
  <c r="AL68" i="3"/>
  <c r="AM68" i="3"/>
  <c r="AN68" i="3"/>
  <c r="AJ70" i="3" l="1"/>
  <c r="AK69" i="3"/>
  <c r="AL69" i="3"/>
  <c r="AM69" i="3"/>
  <c r="AN69" i="3"/>
  <c r="AJ71" i="3" l="1"/>
  <c r="AK70" i="3"/>
  <c r="AL70" i="3"/>
  <c r="AM70" i="3"/>
  <c r="AN70" i="3"/>
  <c r="AJ72" i="3" l="1"/>
  <c r="AK71" i="3"/>
  <c r="AL71" i="3"/>
  <c r="AM71" i="3"/>
  <c r="AN71" i="3"/>
  <c r="AJ73" i="3" l="1"/>
  <c r="AK72" i="3"/>
  <c r="AL72" i="3"/>
  <c r="AN72" i="3"/>
  <c r="AM72" i="3"/>
  <c r="AJ74" i="3" l="1"/>
  <c r="AM73" i="3"/>
  <c r="AK73" i="3"/>
  <c r="AN73" i="3"/>
  <c r="AL73" i="3"/>
  <c r="AJ75" i="3" l="1"/>
  <c r="AL74" i="3"/>
  <c r="AM74" i="3"/>
  <c r="AN74" i="3"/>
  <c r="AK74" i="3"/>
  <c r="AJ76" i="3" l="1"/>
  <c r="AK75" i="3"/>
  <c r="AL75" i="3"/>
  <c r="AM75" i="3"/>
  <c r="AN75" i="3"/>
  <c r="AJ77" i="3" l="1"/>
  <c r="AK76" i="3"/>
  <c r="AL76" i="3"/>
  <c r="AM76" i="3"/>
  <c r="AN76" i="3"/>
  <c r="AJ78" i="3" l="1"/>
  <c r="AK77" i="3"/>
  <c r="AL77" i="3"/>
  <c r="AM77" i="3"/>
  <c r="AN77" i="3"/>
  <c r="AJ79" i="3" l="1"/>
  <c r="AK78" i="3"/>
  <c r="AL78" i="3"/>
  <c r="AM78" i="3"/>
  <c r="AN78" i="3"/>
  <c r="AJ80" i="3" l="1"/>
  <c r="AK79" i="3"/>
  <c r="AL79" i="3"/>
  <c r="AM79" i="3"/>
  <c r="AN79" i="3"/>
  <c r="AJ81" i="3" l="1"/>
  <c r="AK80" i="3"/>
  <c r="AL80" i="3"/>
  <c r="AN80" i="3"/>
  <c r="AM80" i="3"/>
  <c r="AJ82" i="3" l="1"/>
  <c r="AM81" i="3"/>
  <c r="AK81" i="3"/>
  <c r="AN81" i="3"/>
  <c r="AL81" i="3"/>
  <c r="AJ83" i="3" l="1"/>
  <c r="AL82" i="3"/>
  <c r="AM82" i="3"/>
  <c r="AN82" i="3"/>
  <c r="AK82" i="3"/>
  <c r="AJ84" i="3" l="1"/>
  <c r="AK83" i="3"/>
  <c r="AL83" i="3"/>
  <c r="AM83" i="3"/>
  <c r="AN83" i="3"/>
  <c r="AJ85" i="3" l="1"/>
  <c r="AK84" i="3"/>
  <c r="AL84" i="3"/>
  <c r="AM84" i="3"/>
  <c r="AN84" i="3"/>
  <c r="AJ86" i="3" l="1"/>
  <c r="AK85" i="3"/>
  <c r="AL85" i="3"/>
  <c r="AM85" i="3"/>
  <c r="AN85" i="3"/>
  <c r="AJ87" i="3" l="1"/>
  <c r="AK86" i="3"/>
  <c r="AL86" i="3"/>
  <c r="AM86" i="3"/>
  <c r="AN86" i="3"/>
  <c r="AJ88" i="3" l="1"/>
  <c r="AK87" i="3"/>
  <c r="AL87" i="3"/>
  <c r="AM87" i="3"/>
  <c r="AN87" i="3"/>
  <c r="AJ89" i="3" l="1"/>
  <c r="AK88" i="3"/>
  <c r="AL88" i="3"/>
  <c r="AN88" i="3"/>
  <c r="AM88" i="3"/>
  <c r="AJ90" i="3" l="1"/>
  <c r="AM89" i="3"/>
  <c r="AK89" i="3"/>
  <c r="AN89" i="3"/>
  <c r="AL89" i="3"/>
  <c r="AJ91" i="3" l="1"/>
  <c r="AL90" i="3"/>
  <c r="AM90" i="3"/>
  <c r="AK90" i="3"/>
  <c r="AN90" i="3"/>
  <c r="AJ92" i="3" l="1"/>
  <c r="AK91" i="3"/>
  <c r="AL91" i="3"/>
  <c r="AM91" i="3"/>
  <c r="AN91" i="3"/>
  <c r="AJ93" i="3" l="1"/>
  <c r="AK92" i="3"/>
  <c r="AL92" i="3"/>
  <c r="AM92" i="3"/>
  <c r="AN92" i="3"/>
  <c r="AJ94" i="3" l="1"/>
  <c r="AK93" i="3"/>
  <c r="AL93" i="3"/>
  <c r="AM93" i="3"/>
  <c r="AN93" i="3"/>
  <c r="AJ95" i="3" l="1"/>
  <c r="AK94" i="3"/>
  <c r="AL94" i="3"/>
  <c r="AM94" i="3"/>
  <c r="AN94" i="3"/>
  <c r="AJ96" i="3" l="1"/>
  <c r="AK95" i="3"/>
  <c r="AL95" i="3"/>
  <c r="AM95" i="3"/>
  <c r="AN95" i="3"/>
  <c r="AJ97" i="3" l="1"/>
  <c r="AK96" i="3"/>
  <c r="AL96" i="3"/>
  <c r="AN96" i="3"/>
  <c r="AM96" i="3"/>
  <c r="AJ98" i="3" l="1"/>
  <c r="AM97" i="3"/>
  <c r="AK97" i="3"/>
  <c r="AL97" i="3"/>
  <c r="AN97" i="3"/>
  <c r="AJ99" i="3" l="1"/>
  <c r="AL98" i="3"/>
  <c r="AM98" i="3"/>
  <c r="AK98" i="3"/>
  <c r="AN98" i="3"/>
  <c r="AJ100" i="3" l="1"/>
  <c r="AK99" i="3"/>
  <c r="AL99" i="3"/>
  <c r="AM99" i="3"/>
  <c r="AN99" i="3"/>
  <c r="AJ101" i="3" l="1"/>
  <c r="AK100" i="3"/>
  <c r="AL100" i="3"/>
  <c r="AM100" i="3"/>
  <c r="AN100" i="3"/>
  <c r="AJ102" i="3" l="1"/>
  <c r="AK101" i="3"/>
  <c r="AL101" i="3"/>
  <c r="AM101" i="3"/>
  <c r="AN101" i="3"/>
  <c r="AJ103" i="3" l="1"/>
  <c r="AK102" i="3"/>
  <c r="AL102" i="3"/>
  <c r="AM102" i="3"/>
  <c r="AN102" i="3"/>
  <c r="AJ104" i="3" l="1"/>
  <c r="AK103" i="3"/>
  <c r="AL103" i="3"/>
  <c r="AM103" i="3"/>
  <c r="AN103" i="3"/>
  <c r="AJ105" i="3" l="1"/>
  <c r="AK104" i="3"/>
  <c r="AL104" i="3"/>
  <c r="AM104" i="3"/>
  <c r="AN104" i="3"/>
  <c r="AJ106" i="3" l="1"/>
  <c r="AM105" i="3"/>
  <c r="AK105" i="3"/>
  <c r="AL105" i="3"/>
  <c r="AN105" i="3"/>
  <c r="AJ107" i="3" l="1"/>
  <c r="AL106" i="3"/>
  <c r="AM106" i="3"/>
  <c r="AK106" i="3"/>
  <c r="AN106" i="3"/>
  <c r="AJ108" i="3" l="1"/>
  <c r="AK107" i="3"/>
  <c r="AL107" i="3"/>
  <c r="AM107" i="3"/>
  <c r="AN107" i="3"/>
  <c r="AJ109" i="3" l="1"/>
  <c r="AK108" i="3"/>
  <c r="AL108" i="3"/>
  <c r="AM108" i="3"/>
  <c r="AN108" i="3"/>
  <c r="AJ110" i="3" l="1"/>
  <c r="AK109" i="3"/>
  <c r="AL109" i="3"/>
  <c r="AM109" i="3"/>
  <c r="AN109" i="3"/>
  <c r="AJ111" i="3" l="1"/>
  <c r="AK110" i="3"/>
  <c r="AL110" i="3"/>
  <c r="AM110" i="3"/>
  <c r="AN110" i="3"/>
  <c r="AJ112" i="3" l="1"/>
  <c r="AK111" i="3"/>
  <c r="AL111" i="3"/>
  <c r="AM111" i="3"/>
  <c r="AN111" i="3"/>
  <c r="AJ113" i="3" l="1"/>
  <c r="AK112" i="3"/>
  <c r="AL112" i="3"/>
  <c r="AN112" i="3"/>
  <c r="AM112" i="3"/>
  <c r="AJ114" i="3" l="1"/>
  <c r="AK113" i="3"/>
  <c r="AN113" i="3"/>
  <c r="AL113" i="3"/>
  <c r="AM113" i="3"/>
  <c r="AJ115" i="3" l="1"/>
  <c r="AL114" i="3"/>
  <c r="AM114" i="3"/>
  <c r="AN114" i="3"/>
  <c r="AK114" i="3"/>
  <c r="AJ116" i="3" l="1"/>
  <c r="AK115" i="3"/>
  <c r="AL115" i="3"/>
  <c r="AM115" i="3"/>
  <c r="AN115" i="3"/>
  <c r="AJ117" i="3" l="1"/>
  <c r="AK116" i="3"/>
  <c r="AL116" i="3"/>
  <c r="AM116" i="3"/>
  <c r="AN116" i="3"/>
  <c r="AJ118" i="3" l="1"/>
  <c r="AK117" i="3"/>
  <c r="AL117" i="3"/>
  <c r="AM117" i="3"/>
  <c r="AN117" i="3"/>
  <c r="AJ119" i="3" l="1"/>
  <c r="AK118" i="3"/>
  <c r="AL118" i="3"/>
  <c r="AM118" i="3"/>
  <c r="AN118" i="3"/>
  <c r="AJ120" i="3" l="1"/>
  <c r="AK119" i="3"/>
  <c r="AL119" i="3"/>
  <c r="AM119" i="3"/>
  <c r="AN119" i="3"/>
  <c r="AJ121" i="3" l="1"/>
  <c r="AK120" i="3"/>
  <c r="AL120" i="3"/>
  <c r="AN120" i="3"/>
  <c r="AM120" i="3"/>
  <c r="AJ122" i="3" l="1"/>
  <c r="AK121" i="3"/>
  <c r="AN121" i="3"/>
  <c r="AL121" i="3"/>
  <c r="AM121" i="3"/>
  <c r="AJ123" i="3" l="1"/>
  <c r="AL122" i="3"/>
  <c r="AM122" i="3"/>
  <c r="AN122" i="3"/>
  <c r="AK122" i="3"/>
  <c r="AJ124" i="3" l="1"/>
  <c r="AK123" i="3"/>
  <c r="AL123" i="3"/>
  <c r="AM123" i="3"/>
  <c r="AN123" i="3"/>
  <c r="AJ125" i="3" l="1"/>
  <c r="AK124" i="3"/>
  <c r="AL124" i="3"/>
  <c r="AM124" i="3"/>
  <c r="AN124" i="3"/>
  <c r="AJ126" i="3" l="1"/>
  <c r="AK125" i="3"/>
  <c r="AL125" i="3"/>
  <c r="AM125" i="3"/>
  <c r="AN125" i="3"/>
  <c r="AJ127" i="3" l="1"/>
  <c r="AK126" i="3"/>
  <c r="AL126" i="3"/>
  <c r="AM126" i="3"/>
  <c r="AN126" i="3"/>
  <c r="AJ128" i="3" l="1"/>
  <c r="AK127" i="3"/>
  <c r="AL127" i="3"/>
  <c r="AM127" i="3"/>
  <c r="AN127" i="3"/>
  <c r="AJ129" i="3" l="1"/>
  <c r="AK128" i="3"/>
  <c r="AL128" i="3"/>
  <c r="AN128" i="3"/>
  <c r="AM128" i="3"/>
  <c r="AJ130" i="3" l="1"/>
  <c r="AK129" i="3"/>
  <c r="AN129" i="3"/>
  <c r="AL129" i="3"/>
  <c r="AM129" i="3"/>
  <c r="AJ131" i="3" l="1"/>
  <c r="AL130" i="3"/>
  <c r="AM130" i="3"/>
  <c r="AN130" i="3"/>
  <c r="AK130" i="3"/>
  <c r="AJ132" i="3" l="1"/>
  <c r="AK131" i="3"/>
  <c r="AL131" i="3"/>
  <c r="AM131" i="3"/>
  <c r="AN131" i="3"/>
  <c r="AJ133" i="3" l="1"/>
  <c r="AK132" i="3"/>
  <c r="AL132" i="3"/>
  <c r="AM132" i="3"/>
  <c r="AN132" i="3"/>
  <c r="AJ134" i="3" l="1"/>
  <c r="AK133" i="3"/>
  <c r="AL133" i="3"/>
  <c r="AM133" i="3"/>
  <c r="AN133" i="3"/>
  <c r="AJ135" i="3" l="1"/>
  <c r="AK134" i="3"/>
  <c r="AL134" i="3"/>
  <c r="AM134" i="3"/>
  <c r="AN134" i="3"/>
  <c r="AJ136" i="3" l="1"/>
  <c r="AK135" i="3"/>
  <c r="AL135" i="3"/>
  <c r="AM135" i="3"/>
  <c r="AN135" i="3"/>
  <c r="AJ137" i="3" l="1"/>
  <c r="AK136" i="3"/>
  <c r="AL136" i="3"/>
  <c r="AN136" i="3"/>
  <c r="AM136" i="3"/>
  <c r="AJ138" i="3" l="1"/>
  <c r="AK137" i="3"/>
  <c r="AM137" i="3"/>
  <c r="AN137" i="3"/>
  <c r="AL137" i="3"/>
  <c r="AJ139" i="3" l="1"/>
  <c r="AL138" i="3"/>
  <c r="AM138" i="3"/>
  <c r="AN138" i="3"/>
  <c r="AK138" i="3"/>
  <c r="AJ140" i="3" l="1"/>
  <c r="AK139" i="3"/>
  <c r="AL139" i="3"/>
  <c r="AM139" i="3"/>
  <c r="AN139" i="3"/>
  <c r="AJ141" i="3" l="1"/>
  <c r="AK140" i="3"/>
  <c r="AL140" i="3"/>
  <c r="AM140" i="3"/>
  <c r="AN140" i="3"/>
  <c r="AJ142" i="3" l="1"/>
  <c r="AK141" i="3"/>
  <c r="AL141" i="3"/>
  <c r="AM141" i="3"/>
  <c r="AN141" i="3"/>
  <c r="AJ143" i="3" l="1"/>
  <c r="AK142" i="3"/>
  <c r="AL142" i="3"/>
  <c r="AM142" i="3"/>
  <c r="AN142" i="3"/>
  <c r="AJ144" i="3" l="1"/>
  <c r="AK143" i="3"/>
  <c r="AL143" i="3"/>
  <c r="AM143" i="3"/>
  <c r="AN143" i="3"/>
  <c r="AJ145" i="3" l="1"/>
  <c r="AK144" i="3"/>
  <c r="AL144" i="3"/>
  <c r="AN144" i="3"/>
  <c r="AM144" i="3"/>
  <c r="AJ146" i="3" l="1"/>
  <c r="AK145" i="3"/>
  <c r="AN145" i="3"/>
  <c r="AM145" i="3"/>
  <c r="AL145" i="3"/>
  <c r="AJ147" i="3" l="1"/>
  <c r="AL146" i="3"/>
  <c r="AM146" i="3"/>
  <c r="AN146" i="3"/>
  <c r="AK146" i="3"/>
  <c r="AJ148" i="3" l="1"/>
  <c r="AK147" i="3"/>
  <c r="AL147" i="3"/>
  <c r="AM147" i="3"/>
  <c r="AN147" i="3"/>
  <c r="AJ149" i="3" l="1"/>
  <c r="AK148" i="3"/>
  <c r="AL148" i="3"/>
  <c r="AM148" i="3"/>
  <c r="AN148" i="3"/>
  <c r="AJ150" i="3" l="1"/>
  <c r="AK149" i="3"/>
  <c r="AL149" i="3"/>
  <c r="AM149" i="3"/>
  <c r="AN149" i="3"/>
  <c r="AJ151" i="3" l="1"/>
  <c r="AK150" i="3"/>
  <c r="AL150" i="3"/>
  <c r="AM150" i="3"/>
  <c r="AN150" i="3"/>
  <c r="AJ152" i="3" l="1"/>
  <c r="AK151" i="3"/>
  <c r="AL151" i="3"/>
  <c r="AM151" i="3"/>
  <c r="AN151" i="3"/>
  <c r="AJ153" i="3" l="1"/>
  <c r="AK152" i="3"/>
  <c r="AL152" i="3"/>
  <c r="AN152" i="3"/>
  <c r="AM152" i="3"/>
  <c r="AJ154" i="3" l="1"/>
  <c r="AK153" i="3"/>
  <c r="AN153" i="3"/>
  <c r="AM153" i="3"/>
  <c r="AL153" i="3"/>
  <c r="AJ155" i="3" l="1"/>
  <c r="AL154" i="3"/>
  <c r="AM154" i="3"/>
  <c r="AK154" i="3"/>
  <c r="AN154" i="3"/>
  <c r="AJ156" i="3" l="1"/>
  <c r="AK155" i="3"/>
  <c r="AL155" i="3"/>
  <c r="AN155" i="3"/>
  <c r="AM155" i="3"/>
  <c r="AJ157" i="3" l="1"/>
  <c r="AK156" i="3"/>
  <c r="AL156" i="3"/>
  <c r="AM156" i="3"/>
  <c r="AN156" i="3"/>
  <c r="AJ158" i="3" l="1"/>
  <c r="AK157" i="3"/>
  <c r="AL157" i="3"/>
  <c r="AM157" i="3"/>
  <c r="AN157" i="3"/>
  <c r="AJ159" i="3" l="1"/>
  <c r="AK158" i="3"/>
  <c r="AL158" i="3"/>
  <c r="AM158" i="3"/>
  <c r="AN158" i="3"/>
  <c r="AJ160" i="3" l="1"/>
  <c r="AK159" i="3"/>
  <c r="AL159" i="3"/>
  <c r="AN159" i="3"/>
  <c r="AM159" i="3"/>
  <c r="AJ161" i="3" l="1"/>
  <c r="AK160" i="3"/>
  <c r="AL160" i="3"/>
  <c r="AN160" i="3"/>
  <c r="AM160" i="3"/>
  <c r="AJ162" i="3" l="1"/>
  <c r="AK161" i="3"/>
  <c r="AL161" i="3"/>
  <c r="AM161" i="3"/>
  <c r="AN161" i="3"/>
  <c r="AJ163" i="3" l="1"/>
  <c r="AL162" i="3"/>
  <c r="AM162" i="3"/>
  <c r="AK162" i="3"/>
  <c r="AN162" i="3"/>
  <c r="AJ164" i="3" l="1"/>
  <c r="AK163" i="3"/>
  <c r="AL163" i="3"/>
  <c r="AM163" i="3"/>
  <c r="AN163" i="3"/>
  <c r="AJ165" i="3" l="1"/>
  <c r="AK164" i="3"/>
  <c r="AL164" i="3"/>
  <c r="AM164" i="3"/>
  <c r="AN164" i="3"/>
  <c r="AJ166" i="3" l="1"/>
  <c r="AK165" i="3"/>
  <c r="AL165" i="3"/>
  <c r="AM165" i="3"/>
  <c r="AN165" i="3"/>
  <c r="AJ167" i="3" l="1"/>
  <c r="AK166" i="3"/>
  <c r="AL166" i="3"/>
  <c r="AM166" i="3"/>
  <c r="AN166" i="3"/>
  <c r="AJ168" i="3" l="1"/>
  <c r="AK167" i="3"/>
  <c r="AL167" i="3"/>
  <c r="AN167" i="3"/>
  <c r="AM167" i="3"/>
  <c r="AJ169" i="3" l="1"/>
  <c r="AK168" i="3"/>
  <c r="AL168" i="3"/>
  <c r="AN168" i="3"/>
  <c r="AM168" i="3"/>
  <c r="AJ170" i="3" l="1"/>
  <c r="AK169" i="3"/>
  <c r="AL169" i="3"/>
  <c r="AN169" i="3"/>
  <c r="AM169" i="3"/>
  <c r="AJ171" i="3" l="1"/>
  <c r="AL170" i="3"/>
  <c r="AM170" i="3"/>
  <c r="AK170" i="3"/>
  <c r="AN170" i="3"/>
  <c r="AJ172" i="3" l="1"/>
  <c r="AK171" i="3"/>
  <c r="AL171" i="3"/>
  <c r="AM171" i="3"/>
  <c r="AN171" i="3"/>
  <c r="AJ173" i="3" l="1"/>
  <c r="AK172" i="3"/>
  <c r="AL172" i="3"/>
  <c r="AM172" i="3"/>
  <c r="AN172" i="3"/>
  <c r="AJ174" i="3" l="1"/>
  <c r="AK173" i="3"/>
  <c r="AL173" i="3"/>
  <c r="AM173" i="3"/>
  <c r="AN173" i="3"/>
  <c r="AJ175" i="3" l="1"/>
  <c r="AK174" i="3"/>
  <c r="AL174" i="3"/>
  <c r="AM174" i="3"/>
  <c r="AN174" i="3"/>
  <c r="AJ176" i="3" l="1"/>
  <c r="AK175" i="3"/>
  <c r="AL175" i="3"/>
  <c r="AM175" i="3"/>
  <c r="AN175" i="3"/>
  <c r="AJ177" i="3" l="1"/>
  <c r="AK176" i="3"/>
  <c r="AL176" i="3"/>
  <c r="AN176" i="3"/>
  <c r="AM176" i="3"/>
  <c r="AJ178" i="3" l="1"/>
  <c r="AK177" i="3"/>
  <c r="AN177" i="3"/>
  <c r="AL177" i="3"/>
  <c r="AM177" i="3"/>
  <c r="AJ179" i="3" l="1"/>
  <c r="AL178" i="3"/>
  <c r="AM178" i="3"/>
  <c r="AN178" i="3"/>
  <c r="AK178" i="3"/>
  <c r="AJ180" i="3" l="1"/>
  <c r="AK179" i="3"/>
  <c r="AL179" i="3"/>
  <c r="AN179" i="3"/>
  <c r="AM179" i="3"/>
  <c r="AJ181" i="3" l="1"/>
  <c r="AK180" i="3"/>
  <c r="AL180" i="3"/>
  <c r="AM180" i="3"/>
  <c r="AN180" i="3"/>
  <c r="AJ182" i="3" l="1"/>
  <c r="AK181" i="3"/>
  <c r="AL181" i="3"/>
  <c r="AN181" i="3"/>
  <c r="AM181" i="3"/>
  <c r="AJ183" i="3" l="1"/>
  <c r="AK182" i="3"/>
  <c r="AL182" i="3"/>
  <c r="AN182" i="3"/>
  <c r="AM182" i="3"/>
  <c r="AJ184" i="3" l="1"/>
  <c r="AK183" i="3"/>
  <c r="AL183" i="3"/>
  <c r="AM183" i="3"/>
  <c r="AN183" i="3"/>
  <c r="AJ185" i="3" l="1"/>
  <c r="AK184" i="3"/>
  <c r="AL184" i="3"/>
  <c r="AN184" i="3"/>
  <c r="AM184" i="3"/>
  <c r="AJ186" i="3" l="1"/>
  <c r="AK185" i="3"/>
  <c r="AN185" i="3"/>
  <c r="AM185" i="3"/>
  <c r="AL185" i="3"/>
  <c r="AJ187" i="3" l="1"/>
  <c r="AL186" i="3"/>
  <c r="AN186" i="3"/>
  <c r="AM186" i="3"/>
  <c r="AK186" i="3"/>
  <c r="AJ188" i="3" l="1"/>
  <c r="AK187" i="3"/>
  <c r="AL187" i="3"/>
  <c r="AN187" i="3"/>
  <c r="AM187" i="3"/>
  <c r="AJ189" i="3" l="1"/>
  <c r="AK188" i="3"/>
  <c r="AL188" i="3"/>
  <c r="AM188" i="3"/>
  <c r="AN188" i="3"/>
  <c r="AJ190" i="3" l="1"/>
  <c r="AK189" i="3"/>
  <c r="AL189" i="3"/>
  <c r="AN189" i="3"/>
  <c r="AM189" i="3"/>
  <c r="AJ191" i="3" l="1"/>
  <c r="AK190" i="3"/>
  <c r="AL190" i="3"/>
  <c r="AM190" i="3"/>
  <c r="AN190" i="3"/>
  <c r="AJ192" i="3" l="1"/>
  <c r="AK191" i="3"/>
  <c r="AL191" i="3"/>
  <c r="AN191" i="3"/>
  <c r="AM191" i="3"/>
  <c r="AJ193" i="3" l="1"/>
  <c r="AK192" i="3"/>
  <c r="AL192" i="3"/>
  <c r="AM192" i="3"/>
  <c r="AN192" i="3"/>
  <c r="AJ194" i="3" l="1"/>
  <c r="AK193" i="3"/>
  <c r="AM193" i="3"/>
  <c r="AN193" i="3"/>
  <c r="AL193" i="3"/>
  <c r="AJ195" i="3" l="1"/>
  <c r="AK194" i="3"/>
  <c r="AN194" i="3"/>
  <c r="AM194" i="3"/>
  <c r="AL194" i="3"/>
  <c r="AJ196" i="3" l="1"/>
  <c r="AN195" i="3"/>
  <c r="AL195" i="3"/>
  <c r="AM195" i="3"/>
  <c r="AK195" i="3"/>
  <c r="AJ197" i="3" l="1"/>
  <c r="AK196" i="3"/>
  <c r="AN196" i="3"/>
  <c r="AM196" i="3"/>
  <c r="AL196" i="3"/>
  <c r="AJ198" i="3" l="1"/>
  <c r="AK197" i="3"/>
  <c r="AM197" i="3"/>
  <c r="AL197" i="3"/>
  <c r="AN197" i="3"/>
  <c r="AJ199" i="3" l="1"/>
  <c r="AL198" i="3"/>
  <c r="AK198" i="3"/>
  <c r="AN198" i="3"/>
  <c r="AM198" i="3"/>
  <c r="AJ200" i="3" l="1"/>
  <c r="AL199" i="3"/>
  <c r="AM199" i="3"/>
  <c r="AN199" i="3"/>
  <c r="AK199" i="3"/>
  <c r="AJ201" i="3" l="1"/>
  <c r="AM200" i="3"/>
  <c r="AL200" i="3"/>
  <c r="AK200" i="3"/>
  <c r="AN200" i="3"/>
  <c r="AJ202" i="3" l="1"/>
  <c r="AM201" i="3"/>
  <c r="AK201" i="3"/>
  <c r="AL201" i="3"/>
  <c r="AN201" i="3"/>
  <c r="AJ203" i="3" l="1"/>
  <c r="AN202" i="3"/>
  <c r="AM202" i="3"/>
  <c r="AL202" i="3"/>
  <c r="AK202" i="3"/>
  <c r="AJ204" i="3" l="1"/>
  <c r="AN203" i="3"/>
  <c r="AL203" i="3"/>
  <c r="AK203" i="3"/>
  <c r="AM203" i="3"/>
  <c r="AJ205" i="3" l="1"/>
  <c r="AK204" i="3"/>
  <c r="AN204" i="3"/>
  <c r="AM204" i="3"/>
  <c r="AL204" i="3"/>
  <c r="AJ206" i="3" l="1"/>
  <c r="AK205" i="3"/>
  <c r="AM205" i="3"/>
  <c r="AL205" i="3"/>
  <c r="AN205" i="3"/>
  <c r="AJ207" i="3" l="1"/>
  <c r="AL206" i="3"/>
  <c r="AK206" i="3"/>
  <c r="AN206" i="3"/>
  <c r="AM206" i="3"/>
  <c r="AJ208" i="3" l="1"/>
  <c r="AL207" i="3"/>
  <c r="AM207" i="3"/>
  <c r="AK207" i="3"/>
  <c r="AN207" i="3"/>
  <c r="AJ209" i="3" l="1"/>
  <c r="AM208" i="3"/>
  <c r="AL208" i="3"/>
  <c r="AK208" i="3"/>
  <c r="AN208" i="3"/>
  <c r="AJ210" i="3" l="1"/>
  <c r="AM209" i="3"/>
  <c r="AK209" i="3"/>
  <c r="AL209" i="3"/>
  <c r="AN209" i="3"/>
  <c r="AJ211" i="3" l="1"/>
  <c r="AN210" i="3"/>
  <c r="AM210" i="3"/>
  <c r="AL210" i="3"/>
  <c r="AK210" i="3"/>
  <c r="AJ212" i="3" l="1"/>
  <c r="AN211" i="3"/>
  <c r="AL211" i="3"/>
  <c r="AM211" i="3"/>
  <c r="AK211" i="3"/>
  <c r="AJ213" i="3" l="1"/>
  <c r="AK212" i="3"/>
  <c r="AN212" i="3"/>
  <c r="AM212" i="3"/>
  <c r="AL212" i="3"/>
  <c r="AJ214" i="3" l="1"/>
  <c r="AK213" i="3"/>
  <c r="AM213" i="3"/>
  <c r="AL213" i="3"/>
  <c r="AN213" i="3"/>
  <c r="AJ215" i="3" l="1"/>
  <c r="AL214" i="3"/>
  <c r="AK214" i="3"/>
  <c r="AN214" i="3"/>
  <c r="AM214" i="3"/>
  <c r="AJ216" i="3" l="1"/>
  <c r="AL215" i="3"/>
  <c r="AM215" i="3"/>
  <c r="AK215" i="3"/>
  <c r="AN215" i="3"/>
  <c r="AJ217" i="3" l="1"/>
  <c r="AM216" i="3"/>
  <c r="AL216" i="3"/>
  <c r="AK216" i="3"/>
  <c r="AN216" i="3"/>
  <c r="AJ218" i="3" l="1"/>
  <c r="AM217" i="3"/>
  <c r="AK217" i="3"/>
  <c r="AN217" i="3"/>
  <c r="AL217" i="3"/>
  <c r="AJ219" i="3" l="1"/>
  <c r="AN218" i="3"/>
  <c r="AM218" i="3"/>
  <c r="AL218" i="3"/>
  <c r="AK218" i="3"/>
  <c r="AJ220" i="3" l="1"/>
  <c r="AN219" i="3"/>
  <c r="AL219" i="3"/>
  <c r="AK219" i="3"/>
  <c r="AM219" i="3"/>
  <c r="AJ221" i="3" l="1"/>
  <c r="AK220" i="3"/>
  <c r="AN220" i="3"/>
  <c r="AM220" i="3"/>
  <c r="AL220" i="3"/>
  <c r="AJ222" i="3" l="1"/>
  <c r="AK221" i="3"/>
  <c r="AL221" i="3"/>
  <c r="AN221" i="3"/>
  <c r="AM221" i="3"/>
  <c r="AJ223" i="3" l="1"/>
  <c r="AL222" i="3"/>
  <c r="AK222" i="3"/>
  <c r="AN222" i="3"/>
  <c r="AM222" i="3"/>
  <c r="AJ224" i="3" l="1"/>
  <c r="AL223" i="3"/>
  <c r="AK223" i="3"/>
  <c r="AN223" i="3"/>
  <c r="AM223" i="3"/>
  <c r="AJ225" i="3" l="1"/>
  <c r="AM224" i="3"/>
  <c r="AL224" i="3"/>
  <c r="AK224" i="3"/>
  <c r="AN224" i="3"/>
  <c r="AJ226" i="3" l="1"/>
  <c r="AM225" i="3"/>
  <c r="AK225" i="3"/>
  <c r="AL225" i="3"/>
  <c r="AN225" i="3"/>
  <c r="AJ227" i="3" l="1"/>
  <c r="AN226" i="3"/>
  <c r="AM226" i="3"/>
  <c r="AL226" i="3"/>
  <c r="AK226" i="3"/>
  <c r="AJ228" i="3" l="1"/>
  <c r="AN227" i="3"/>
  <c r="AL227" i="3"/>
  <c r="AK227" i="3"/>
  <c r="AM227" i="3"/>
  <c r="AJ229" i="3" l="1"/>
  <c r="AK228" i="3"/>
  <c r="AN228" i="3"/>
  <c r="AM228" i="3"/>
  <c r="AL228" i="3"/>
  <c r="AJ230" i="3" l="1"/>
  <c r="AK229" i="3"/>
  <c r="AN229" i="3"/>
  <c r="AL229" i="3"/>
  <c r="AM229" i="3"/>
  <c r="AJ231" i="3" l="1"/>
  <c r="AL230" i="3"/>
  <c r="AK230" i="3"/>
  <c r="AN230" i="3"/>
  <c r="AM230" i="3"/>
  <c r="AJ232" i="3" l="1"/>
  <c r="AL231" i="3"/>
  <c r="AM231" i="3"/>
  <c r="AN231" i="3"/>
  <c r="AK231" i="3"/>
  <c r="AJ233" i="3" l="1"/>
  <c r="AM232" i="3"/>
  <c r="AL232" i="3"/>
  <c r="AK232" i="3"/>
  <c r="AN232" i="3"/>
  <c r="AJ234" i="3" l="1"/>
  <c r="AM233" i="3"/>
  <c r="AK233" i="3"/>
  <c r="AN233" i="3"/>
  <c r="AL233" i="3"/>
  <c r="AJ235" i="3" l="1"/>
  <c r="AN234" i="3"/>
  <c r="AM234" i="3"/>
  <c r="AL234" i="3"/>
  <c r="AK234" i="3"/>
  <c r="AJ236" i="3" l="1"/>
  <c r="AN235" i="3"/>
  <c r="AL235" i="3"/>
  <c r="AM235" i="3"/>
  <c r="AK235" i="3"/>
  <c r="AJ237" i="3" l="1"/>
  <c r="AK236" i="3"/>
  <c r="AN236" i="3"/>
  <c r="AM236" i="3"/>
  <c r="AL236" i="3"/>
  <c r="AJ238" i="3" l="1"/>
  <c r="AK237" i="3"/>
  <c r="AM237" i="3"/>
  <c r="AN237" i="3"/>
  <c r="AL237" i="3"/>
  <c r="AJ239" i="3" l="1"/>
  <c r="AL238" i="3"/>
  <c r="AK238" i="3"/>
  <c r="AN238" i="3"/>
  <c r="AM238" i="3"/>
  <c r="AJ240" i="3" l="1"/>
  <c r="AL239" i="3"/>
  <c r="AN239" i="3"/>
  <c r="AK239" i="3"/>
  <c r="AM239" i="3"/>
  <c r="AJ241" i="3" l="1"/>
  <c r="AM240" i="3"/>
  <c r="AL240" i="3"/>
  <c r="AK240" i="3"/>
  <c r="AN240" i="3"/>
  <c r="AJ242" i="3" l="1"/>
  <c r="AM241" i="3"/>
  <c r="AK241" i="3"/>
  <c r="AL241" i="3"/>
  <c r="AN241" i="3"/>
  <c r="AJ243" i="3" l="1"/>
  <c r="AN242" i="3"/>
  <c r="AM242" i="3"/>
  <c r="AL242" i="3"/>
  <c r="AK242" i="3"/>
  <c r="AJ244" i="3" l="1"/>
  <c r="AN243" i="3"/>
  <c r="AL243" i="3"/>
  <c r="AK243" i="3"/>
  <c r="AM243" i="3"/>
  <c r="AJ245" i="3" l="1"/>
  <c r="AK244" i="3"/>
  <c r="AN244" i="3"/>
  <c r="AM244" i="3"/>
  <c r="AL244" i="3"/>
  <c r="AJ246" i="3" l="1"/>
  <c r="AK245" i="3"/>
  <c r="AM245" i="3"/>
  <c r="AL245" i="3"/>
  <c r="AN245" i="3"/>
  <c r="AJ247" i="3" l="1"/>
  <c r="AL246" i="3"/>
  <c r="AK246" i="3"/>
  <c r="AN246" i="3"/>
  <c r="AM246" i="3"/>
  <c r="AJ248" i="3" l="1"/>
  <c r="AL247" i="3"/>
  <c r="AK247" i="3"/>
  <c r="AM247" i="3"/>
  <c r="AN247" i="3"/>
  <c r="AJ249" i="3" l="1"/>
  <c r="AM248" i="3"/>
  <c r="AL248" i="3"/>
  <c r="AK248" i="3"/>
  <c r="AN248" i="3"/>
  <c r="AJ250" i="3" l="1"/>
  <c r="AM249" i="3"/>
  <c r="AK249" i="3"/>
  <c r="AN249" i="3"/>
  <c r="AL249" i="3"/>
  <c r="AJ251" i="3" l="1"/>
  <c r="AN250" i="3"/>
  <c r="AM250" i="3"/>
  <c r="AL250" i="3"/>
  <c r="AK250" i="3"/>
  <c r="AJ252" i="3" l="1"/>
  <c r="AN251" i="3"/>
  <c r="AL251" i="3"/>
  <c r="AM251" i="3"/>
  <c r="AK251" i="3"/>
  <c r="AJ253" i="3" l="1"/>
  <c r="AK252" i="3"/>
  <c r="AN252" i="3"/>
  <c r="AM252" i="3"/>
  <c r="AL252" i="3"/>
  <c r="AJ254" i="3" l="1"/>
  <c r="AK253" i="3"/>
  <c r="AN253" i="3"/>
  <c r="AM253" i="3"/>
  <c r="AL253" i="3"/>
  <c r="AJ255" i="3" l="1"/>
  <c r="AL254" i="3"/>
  <c r="AK254" i="3"/>
  <c r="AN254" i="3"/>
  <c r="AM254" i="3"/>
  <c r="AJ256" i="3" l="1"/>
  <c r="AL255" i="3"/>
  <c r="AN255" i="3"/>
  <c r="AK255" i="3"/>
  <c r="AM255" i="3"/>
  <c r="AJ257" i="3" l="1"/>
  <c r="AM256" i="3"/>
  <c r="AL256" i="3"/>
  <c r="AK256" i="3"/>
  <c r="AN256" i="3"/>
  <c r="AJ258" i="3" l="1"/>
  <c r="AM257" i="3"/>
  <c r="AK257" i="3"/>
  <c r="AL257" i="3"/>
  <c r="AN257" i="3"/>
  <c r="AJ259" i="3" l="1"/>
  <c r="AN258" i="3"/>
  <c r="AM258" i="3"/>
  <c r="AL258" i="3"/>
  <c r="AK258" i="3"/>
  <c r="AJ260" i="3" l="1"/>
  <c r="AN259" i="3"/>
  <c r="AL259" i="3"/>
  <c r="AK259" i="3"/>
  <c r="AM259" i="3"/>
  <c r="AJ261" i="3" l="1"/>
  <c r="AK260" i="3"/>
  <c r="AN260" i="3"/>
  <c r="AM260" i="3"/>
  <c r="AL260" i="3"/>
  <c r="AJ262" i="3" l="1"/>
  <c r="AK261" i="3"/>
  <c r="AL261" i="3"/>
  <c r="AN261" i="3"/>
  <c r="AM261" i="3"/>
  <c r="AJ263" i="3" l="1"/>
  <c r="AL262" i="3"/>
  <c r="AK262" i="3"/>
  <c r="AN262" i="3"/>
  <c r="AM262" i="3"/>
  <c r="AJ264" i="3" l="1"/>
  <c r="AL263" i="3"/>
  <c r="AM263" i="3"/>
  <c r="AK263" i="3"/>
  <c r="AN263" i="3"/>
  <c r="AJ265" i="3" l="1"/>
  <c r="AM264" i="3"/>
  <c r="AL264" i="3"/>
  <c r="AK264" i="3"/>
  <c r="AN264" i="3"/>
  <c r="AJ266" i="3" l="1"/>
  <c r="AM265" i="3"/>
  <c r="AK265" i="3"/>
  <c r="AL265" i="3"/>
  <c r="AN265" i="3"/>
  <c r="AJ267" i="3" l="1"/>
  <c r="AN266" i="3"/>
  <c r="AM266" i="3"/>
  <c r="AL266" i="3"/>
  <c r="AK266" i="3"/>
  <c r="AJ268" i="3" l="1"/>
  <c r="AN267" i="3"/>
  <c r="AL267" i="3"/>
  <c r="AK267" i="3"/>
  <c r="AM267" i="3"/>
  <c r="AJ269" i="3" l="1"/>
  <c r="AK268" i="3"/>
  <c r="AN268" i="3"/>
  <c r="AM268" i="3"/>
  <c r="AL268" i="3"/>
  <c r="AJ270" i="3" l="1"/>
  <c r="AK269" i="3"/>
  <c r="AM269" i="3"/>
  <c r="AN269" i="3"/>
  <c r="AL269" i="3"/>
  <c r="AJ271" i="3" l="1"/>
  <c r="AL270" i="3"/>
  <c r="AK270" i="3"/>
  <c r="AN270" i="3"/>
  <c r="AM270" i="3"/>
  <c r="AJ272" i="3" l="1"/>
  <c r="AL271" i="3"/>
  <c r="AK271" i="3"/>
  <c r="AN271" i="3"/>
  <c r="AM271" i="3"/>
  <c r="AJ273" i="3" l="1"/>
  <c r="AM272" i="3"/>
  <c r="AL272" i="3"/>
  <c r="AK272" i="3"/>
  <c r="AN272" i="3"/>
  <c r="AJ274" i="3" l="1"/>
  <c r="AM273" i="3"/>
  <c r="AK273" i="3"/>
  <c r="AN273" i="3"/>
  <c r="AL273" i="3"/>
  <c r="AJ275" i="3" l="1"/>
  <c r="AN274" i="3"/>
  <c r="AM274" i="3"/>
  <c r="AL274" i="3"/>
  <c r="AK274" i="3"/>
  <c r="AJ276" i="3" l="1"/>
  <c r="AN275" i="3"/>
  <c r="AL275" i="3"/>
  <c r="AK275" i="3"/>
  <c r="AM275" i="3"/>
  <c r="AJ277" i="3" l="1"/>
  <c r="AK276" i="3"/>
  <c r="AN276" i="3"/>
  <c r="AM276" i="3"/>
  <c r="AL276" i="3"/>
  <c r="AJ278" i="3" l="1"/>
  <c r="AK277" i="3"/>
  <c r="AN277" i="3"/>
  <c r="AL277" i="3"/>
  <c r="AM277" i="3"/>
  <c r="AJ279" i="3" l="1"/>
  <c r="AL278" i="3"/>
  <c r="AK278" i="3"/>
  <c r="AN278" i="3"/>
  <c r="AM278" i="3"/>
  <c r="AJ280" i="3" l="1"/>
  <c r="AL279" i="3"/>
  <c r="AM279" i="3"/>
  <c r="AN279" i="3"/>
  <c r="AK279" i="3"/>
  <c r="AJ281" i="3" l="1"/>
  <c r="AM280" i="3"/>
  <c r="AL280" i="3"/>
  <c r="AK280" i="3"/>
  <c r="AN280" i="3"/>
  <c r="AJ282" i="3" l="1"/>
  <c r="AM281" i="3"/>
  <c r="AK281" i="3"/>
  <c r="AN281" i="3"/>
  <c r="AL281" i="3"/>
  <c r="AJ283" i="3" l="1"/>
  <c r="AN282" i="3"/>
  <c r="AM282" i="3"/>
  <c r="AL282" i="3"/>
  <c r="AK282" i="3"/>
  <c r="AJ284" i="3" l="1"/>
  <c r="AN283" i="3"/>
  <c r="AL283" i="3"/>
  <c r="AK283" i="3"/>
  <c r="AM283" i="3"/>
  <c r="AJ285" i="3" l="1"/>
  <c r="AK284" i="3"/>
  <c r="AN284" i="3"/>
  <c r="AM284" i="3"/>
  <c r="AL284" i="3"/>
  <c r="AJ286" i="3" l="1"/>
  <c r="AK285" i="3"/>
  <c r="AL285" i="3"/>
  <c r="AN285" i="3"/>
  <c r="AM285" i="3"/>
  <c r="AJ287" i="3" l="1"/>
  <c r="AL286" i="3"/>
  <c r="AK286" i="3"/>
  <c r="AN286" i="3"/>
  <c r="AM286" i="3"/>
  <c r="AJ288" i="3" l="1"/>
  <c r="AL287" i="3"/>
  <c r="AK287" i="3"/>
  <c r="AN287" i="3"/>
  <c r="AM287" i="3"/>
  <c r="AJ289" i="3" l="1"/>
  <c r="AM288" i="3"/>
  <c r="AL288" i="3"/>
  <c r="AK288" i="3"/>
  <c r="AN288" i="3"/>
  <c r="AJ290" i="3" l="1"/>
  <c r="AM289" i="3"/>
  <c r="AK289" i="3"/>
  <c r="AL289" i="3"/>
  <c r="AN289" i="3"/>
  <c r="AJ291" i="3" l="1"/>
  <c r="AN290" i="3"/>
  <c r="AM290" i="3"/>
  <c r="AL290" i="3"/>
  <c r="AK290" i="3"/>
  <c r="AJ292" i="3" l="1"/>
  <c r="AN291" i="3"/>
  <c r="AL291" i="3"/>
  <c r="AK291" i="3"/>
  <c r="AM291" i="3"/>
  <c r="AJ293" i="3" l="1"/>
  <c r="AK292" i="3"/>
  <c r="AN292" i="3"/>
  <c r="AM292" i="3"/>
  <c r="AL292" i="3"/>
  <c r="AJ294" i="3" l="1"/>
  <c r="AK293" i="3"/>
  <c r="AM293" i="3"/>
  <c r="AN293" i="3"/>
  <c r="AL293" i="3"/>
  <c r="AJ295" i="3" l="1"/>
  <c r="AL294" i="3"/>
  <c r="AK294" i="3"/>
  <c r="AN294" i="3"/>
  <c r="AM294" i="3"/>
  <c r="AJ296" i="3" l="1"/>
  <c r="AL295" i="3"/>
  <c r="AM295" i="3"/>
  <c r="AK295" i="3"/>
  <c r="AN295" i="3"/>
  <c r="AJ297" i="3" l="1"/>
  <c r="AM296" i="3"/>
  <c r="AK296" i="3"/>
  <c r="AN296" i="3"/>
  <c r="AL296" i="3"/>
  <c r="AJ298" i="3" l="1"/>
  <c r="AM297" i="3"/>
  <c r="AK297" i="3"/>
  <c r="AN297" i="3"/>
  <c r="AL297" i="3"/>
  <c r="AJ299" i="3" l="1"/>
  <c r="AN298" i="3"/>
  <c r="AM298" i="3"/>
  <c r="AL298" i="3"/>
  <c r="AK298" i="3"/>
  <c r="AJ300" i="3" l="1"/>
  <c r="AN299" i="3"/>
  <c r="AL299" i="3"/>
  <c r="AM299" i="3"/>
  <c r="AK299" i="3"/>
  <c r="AJ301" i="3" l="1"/>
  <c r="AK300" i="3"/>
  <c r="AN300" i="3"/>
  <c r="AM300" i="3"/>
  <c r="AL300" i="3"/>
  <c r="AJ302" i="3" l="1"/>
  <c r="AK301" i="3"/>
  <c r="AL301" i="3"/>
  <c r="AM301" i="3"/>
  <c r="AN301" i="3"/>
  <c r="AJ303" i="3" l="1"/>
  <c r="AL302" i="3"/>
  <c r="AK302" i="3"/>
  <c r="AN302" i="3"/>
  <c r="AM302" i="3"/>
  <c r="AQ3" i="3" l="1" a="1"/>
  <c r="AQ3" i="3" s="1"/>
  <c r="AT3" i="3" a="1"/>
  <c r="AT3" i="3" s="1"/>
  <c r="AU3" i="3" a="1"/>
  <c r="AU3" i="3" s="1"/>
  <c r="AV3" i="3" a="1"/>
  <c r="AV3" i="3" s="1"/>
  <c r="AS3" i="3" a="1"/>
  <c r="AS3" i="3" s="1"/>
  <c r="AR3" i="3" a="1"/>
  <c r="AR3" i="3" s="1"/>
  <c r="AL303" i="3"/>
  <c r="AK303" i="3"/>
  <c r="AN303" i="3"/>
  <c r="AM303"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<sst xmlns="http://schemas.openxmlformats.org/spreadsheetml/2006/main" count="2786" uniqueCount="853">
  <si>
    <t>Aberdeen, Town of</t>
  </si>
  <si>
    <t>Ahoskie, Town of</t>
  </si>
  <si>
    <t>Alamance County</t>
  </si>
  <si>
    <t>Alamance, Town of</t>
  </si>
  <si>
    <t>Albemarle, City of</t>
  </si>
  <si>
    <t>Alexander County</t>
  </si>
  <si>
    <t>Alleghany County</t>
  </si>
  <si>
    <t>Alliance, Town of</t>
  </si>
  <si>
    <t>Andrews, Town of</t>
  </si>
  <si>
    <t>Angier, Town of</t>
  </si>
  <si>
    <t>Anson County</t>
  </si>
  <si>
    <t>Ansonville, Town of</t>
  </si>
  <si>
    <t>Apex, Town of</t>
  </si>
  <si>
    <t>Arapahoe, Town of</t>
  </si>
  <si>
    <t>Archdale, City of</t>
  </si>
  <si>
    <t>Archer Lodge, Town of</t>
  </si>
  <si>
    <t>Ashe County</t>
  </si>
  <si>
    <t>Asheboro, City of</t>
  </si>
  <si>
    <t>Asheville, City of</t>
  </si>
  <si>
    <t>Askewville, Town of</t>
  </si>
  <si>
    <t>Atkinson, Town of</t>
  </si>
  <si>
    <t>Atlantic Beach, Town of</t>
  </si>
  <si>
    <t>Aulander, Town of</t>
  </si>
  <si>
    <t>Aurora, Town of</t>
  </si>
  <si>
    <t>Autryville, Town of</t>
  </si>
  <si>
    <t>Avery County</t>
  </si>
  <si>
    <t>Ayden, Town of</t>
  </si>
  <si>
    <t>Badin, Town of</t>
  </si>
  <si>
    <t>Bailey, Town of</t>
  </si>
  <si>
    <t>Bakersville, Town of</t>
  </si>
  <si>
    <t>Bald Head Island, Town of</t>
  </si>
  <si>
    <t>Banner Elk, Town of</t>
  </si>
  <si>
    <t>Bath, Town of</t>
  </si>
  <si>
    <t>Bay River Metropolitan Sewage District</t>
  </si>
  <si>
    <t>Bayboro, Town of</t>
  </si>
  <si>
    <t>Bear Grass, Town of</t>
  </si>
  <si>
    <t>Beaufort County</t>
  </si>
  <si>
    <t>Beaufort, Town of</t>
  </si>
  <si>
    <t>Beech Mountain, Town of</t>
  </si>
  <si>
    <t>Belfast-Patetown Sanitary District</t>
  </si>
  <si>
    <t>Belhaven, Town of</t>
  </si>
  <si>
    <t>Belmont, City of</t>
  </si>
  <si>
    <t>Belville, Town of</t>
  </si>
  <si>
    <t>Belwood, Town of</t>
  </si>
  <si>
    <t>Benson, Town of</t>
  </si>
  <si>
    <t>Bermuda Run, Town of</t>
  </si>
  <si>
    <t>Bertie County</t>
  </si>
  <si>
    <t>Bessemer City, City of</t>
  </si>
  <si>
    <t>Bethania, Town of</t>
  </si>
  <si>
    <t>Bethel, Town of</t>
  </si>
  <si>
    <t>Beulaville, Town of</t>
  </si>
  <si>
    <t>Biltmore Forest, Town of</t>
  </si>
  <si>
    <t>Biscoe, Town of</t>
  </si>
  <si>
    <t>Black Creek, Town of</t>
  </si>
  <si>
    <t>Black Mountain, Town of</t>
  </si>
  <si>
    <t>Bladen County</t>
  </si>
  <si>
    <t>Bladenboro, Town of</t>
  </si>
  <si>
    <t>Blowing Rock, Town of</t>
  </si>
  <si>
    <t>Boardman, Town of</t>
  </si>
  <si>
    <t>Bogue, Town of</t>
  </si>
  <si>
    <t>Boiling Spring Lakes, City of</t>
  </si>
  <si>
    <t>Boiling Springs, Town of</t>
  </si>
  <si>
    <t>Bolivia, Town of</t>
  </si>
  <si>
    <t>Bolton, Town of</t>
  </si>
  <si>
    <t>Boone, Town of</t>
  </si>
  <si>
    <t>Boonville, Town of</t>
  </si>
  <si>
    <t>Bostic, Town of</t>
  </si>
  <si>
    <t>Brevard, City of</t>
  </si>
  <si>
    <t>Bridgeton, Town of</t>
  </si>
  <si>
    <t>Broad River Water Authority</t>
  </si>
  <si>
    <t>Broadway, Town of</t>
  </si>
  <si>
    <t>Brookford, Town of</t>
  </si>
  <si>
    <t>Brunswick County</t>
  </si>
  <si>
    <t>Brunswick Regional Water and Sewer H2GO</t>
  </si>
  <si>
    <t>Brunswick, Town of</t>
  </si>
  <si>
    <t>Bryson City, Town of</t>
  </si>
  <si>
    <t>Buncombe County</t>
  </si>
  <si>
    <t>Buncombe County Metropolitan Sewerage District</t>
  </si>
  <si>
    <t>Bunn, Town of</t>
  </si>
  <si>
    <t>Burgaw, Town of</t>
  </si>
  <si>
    <t>Burke County</t>
  </si>
  <si>
    <t>Burlington, City of</t>
  </si>
  <si>
    <t>Burnsville, Town of</t>
  </si>
  <si>
    <t>Butner, Town of</t>
  </si>
  <si>
    <t>Cabarrus County</t>
  </si>
  <si>
    <t>Cabarrus County Water and Sewer Authority</t>
  </si>
  <si>
    <t>Cajah's Mountain, Town of</t>
  </si>
  <si>
    <t>Calabash, Town of</t>
  </si>
  <si>
    <t>Caldwell County</t>
  </si>
  <si>
    <t>Calypso, Town of</t>
  </si>
  <si>
    <t>Camden County</t>
  </si>
  <si>
    <t>Cameron, Town of</t>
  </si>
  <si>
    <t>Candor, Town of</t>
  </si>
  <si>
    <t>Canton, Town of</t>
  </si>
  <si>
    <t>Cape Carteret, Town of</t>
  </si>
  <si>
    <t>Cape Fear Public Utility Authority</t>
  </si>
  <si>
    <t>Carolina Beach, Town of</t>
  </si>
  <si>
    <t>Carolina Shores, Town of</t>
  </si>
  <si>
    <t>Carrboro, Town of</t>
  </si>
  <si>
    <t>Carteret County</t>
  </si>
  <si>
    <t>Carthage, Town of</t>
  </si>
  <si>
    <t>Cary, Town of</t>
  </si>
  <si>
    <t>Casar, Town of</t>
  </si>
  <si>
    <t>Castalia, Town of</t>
  </si>
  <si>
    <t>Caswell Beach, Town of</t>
  </si>
  <si>
    <t>Caswell County</t>
  </si>
  <si>
    <t>Catawba County</t>
  </si>
  <si>
    <t>Catawba, Town of</t>
  </si>
  <si>
    <t>Cedar Point, Town of</t>
  </si>
  <si>
    <t>Cedar Rock, Town of</t>
  </si>
  <si>
    <t>Cerro Gordo, Town of</t>
  </si>
  <si>
    <t>Chadbourn, Town of</t>
  </si>
  <si>
    <t>Chapel Hill, Town of</t>
  </si>
  <si>
    <t>Charlotte, City of</t>
  </si>
  <si>
    <t>Chatham County</t>
  </si>
  <si>
    <t>Cherokee County</t>
  </si>
  <si>
    <t>Cherryville, City of</t>
  </si>
  <si>
    <t>Chimney Rock, Town of</t>
  </si>
  <si>
    <t>China Grove, Town of</t>
  </si>
  <si>
    <t>Chocowinity, Town of</t>
  </si>
  <si>
    <t>Chowan County</t>
  </si>
  <si>
    <t>Claremont, City of</t>
  </si>
  <si>
    <t>Clarkton, Town of</t>
  </si>
  <si>
    <t>Clay County</t>
  </si>
  <si>
    <t>Clayton, Town of</t>
  </si>
  <si>
    <t>Clemmons, Town of</t>
  </si>
  <si>
    <t>Cleveland County</t>
  </si>
  <si>
    <t>Cleveland County Water</t>
  </si>
  <si>
    <t>Cleveland, Town of</t>
  </si>
  <si>
    <t>Cliffside Sanitary District</t>
  </si>
  <si>
    <t>Clinton, City of</t>
  </si>
  <si>
    <t>Clyde, Town of</t>
  </si>
  <si>
    <t>Coats, Town of</t>
  </si>
  <si>
    <t>Cofield, Town of</t>
  </si>
  <si>
    <t>Colerain, Town of</t>
  </si>
  <si>
    <t>Columbia, Town of</t>
  </si>
  <si>
    <t>Columbus County</t>
  </si>
  <si>
    <t>Columbus, Town of</t>
  </si>
  <si>
    <t>Como, Town of</t>
  </si>
  <si>
    <t>Concord, City of</t>
  </si>
  <si>
    <t>Conetoe, Town of</t>
  </si>
  <si>
    <t>Connelly Springs, Town of</t>
  </si>
  <si>
    <t>Conover, City of</t>
  </si>
  <si>
    <t>Contentnea Metropolitan Sewage District</t>
  </si>
  <si>
    <t>Conway, Town of</t>
  </si>
  <si>
    <t>Cooleemee, Town of</t>
  </si>
  <si>
    <t>Cornelius, Town of</t>
  </si>
  <si>
    <t>Cove City, Town of</t>
  </si>
  <si>
    <t>Cramerton, Town of</t>
  </si>
  <si>
    <t>Craven County</t>
  </si>
  <si>
    <t>Creedmoor, City of</t>
  </si>
  <si>
    <t>Creswell, Town of</t>
  </si>
  <si>
    <t>Crossnore, Town of</t>
  </si>
  <si>
    <t>Cumberland County</t>
  </si>
  <si>
    <t>Currituck County</t>
  </si>
  <si>
    <t>Dallas, Town of</t>
  </si>
  <si>
    <t>Danbury, Town of</t>
  </si>
  <si>
    <t>Dare County</t>
  </si>
  <si>
    <t>Davidson County</t>
  </si>
  <si>
    <t>Davidson, Town of</t>
  </si>
  <si>
    <t>Davie County</t>
  </si>
  <si>
    <t>Denton, Town of</t>
  </si>
  <si>
    <t>Dillsboro, Town of</t>
  </si>
  <si>
    <t>Dobbins Heights, Town of</t>
  </si>
  <si>
    <t>Dobson, Town of</t>
  </si>
  <si>
    <t>Dortches, Town of</t>
  </si>
  <si>
    <t>Dover, Town of</t>
  </si>
  <si>
    <t>Drexel, Town of</t>
  </si>
  <si>
    <t>Dublin, Town of</t>
  </si>
  <si>
    <t>Duck, Town of</t>
  </si>
  <si>
    <t>Dunn, City of</t>
  </si>
  <si>
    <t>Duplin County</t>
  </si>
  <si>
    <t>Durham County</t>
  </si>
  <si>
    <t>Durham, City of</t>
  </si>
  <si>
    <t>Earl, Town of</t>
  </si>
  <si>
    <t>East Arcadia, Town of</t>
  </si>
  <si>
    <t>East Bend, Town of</t>
  </si>
  <si>
    <t>East Laurinburg, Town of</t>
  </si>
  <si>
    <t>East Spencer, Town of</t>
  </si>
  <si>
    <t>Eden, City of</t>
  </si>
  <si>
    <t>Edenton, Town of</t>
  </si>
  <si>
    <t>Edgecombe County</t>
  </si>
  <si>
    <t>Elizabeth City, City of</t>
  </si>
  <si>
    <t>Elizabethtown, Town of</t>
  </si>
  <si>
    <t>Elk Park, Town of</t>
  </si>
  <si>
    <t>Elkin, Town of</t>
  </si>
  <si>
    <t>Ellenboro, Town of</t>
  </si>
  <si>
    <t>Ellerbe, Town of</t>
  </si>
  <si>
    <t>Elm City, Town of</t>
  </si>
  <si>
    <t>Elon, Town of</t>
  </si>
  <si>
    <t>Emerald Isle, Town of</t>
  </si>
  <si>
    <t>Enfield, Town of</t>
  </si>
  <si>
    <t>Engelhard Sanitary District</t>
  </si>
  <si>
    <t>Erwin, Town of</t>
  </si>
  <si>
    <t>Eureka, Town of</t>
  </si>
  <si>
    <t>Everetts, Town of</t>
  </si>
  <si>
    <t>Fair Bluff, Town of</t>
  </si>
  <si>
    <t>Fairmont, Town of</t>
  </si>
  <si>
    <t>Fairview, Town of</t>
  </si>
  <si>
    <t>Faison, Town of</t>
  </si>
  <si>
    <t>Faith, Town of</t>
  </si>
  <si>
    <t>Falcon, Town of</t>
  </si>
  <si>
    <t>Falkland, Town of</t>
  </si>
  <si>
    <t>Fallston, Town of</t>
  </si>
  <si>
    <t>Farmville, Town of</t>
  </si>
  <si>
    <t>Fayetteville, City of</t>
  </si>
  <si>
    <t>First Craven Sanitary District</t>
  </si>
  <si>
    <t>Flat Rock, Town of</t>
  </si>
  <si>
    <t>Fletcher, Town of</t>
  </si>
  <si>
    <t>Fontana Dam, Town of</t>
  </si>
  <si>
    <t>Forest City, Town of</t>
  </si>
  <si>
    <t>Forest Hills, Town of</t>
  </si>
  <si>
    <t>Fork Township Sanitary District</t>
  </si>
  <si>
    <t>Forsyth County</t>
  </si>
  <si>
    <t>Fountain, Town of</t>
  </si>
  <si>
    <t>Four Oaks, Town of</t>
  </si>
  <si>
    <t>Foxfire, Town of</t>
  </si>
  <si>
    <t>Franklin County</t>
  </si>
  <si>
    <t>Franklin, Town of</t>
  </si>
  <si>
    <t>Franklinton, Town of</t>
  </si>
  <si>
    <t>Franklinville, Town of</t>
  </si>
  <si>
    <t>Fremont, Town of</t>
  </si>
  <si>
    <t>Fuquay-Varina, Town of</t>
  </si>
  <si>
    <t>Gamewell, Town of</t>
  </si>
  <si>
    <t>Garland, Town of</t>
  </si>
  <si>
    <t>Garner, Town of</t>
  </si>
  <si>
    <t>Garysburg, Town of</t>
  </si>
  <si>
    <t>Gaston County</t>
  </si>
  <si>
    <t>Gaston, Town of</t>
  </si>
  <si>
    <t>Gastonia, City of</t>
  </si>
  <si>
    <t>Gates County</t>
  </si>
  <si>
    <t>Gatesville, Town of</t>
  </si>
  <si>
    <t>Gibson, Town of</t>
  </si>
  <si>
    <t>Gibsonville, Town of</t>
  </si>
  <si>
    <t>Glen Alpine, Town of</t>
  </si>
  <si>
    <t>Godwin, Town of</t>
  </si>
  <si>
    <t>Goldsboro, City of</t>
  </si>
  <si>
    <t>Goldston, Town of</t>
  </si>
  <si>
    <t>Goldston/Gulf Sanitary District</t>
  </si>
  <si>
    <t>Graham County</t>
  </si>
  <si>
    <t>Graham, City of</t>
  </si>
  <si>
    <t>Grandfather, Town of</t>
  </si>
  <si>
    <t>Granite Falls, Town of</t>
  </si>
  <si>
    <t>Granite Quarry, Town of</t>
  </si>
  <si>
    <t>Grantsboro, Town of</t>
  </si>
  <si>
    <t>Granville County</t>
  </si>
  <si>
    <t>Green Level, Town of</t>
  </si>
  <si>
    <t>Greene County</t>
  </si>
  <si>
    <t>Greenevers, Town of</t>
  </si>
  <si>
    <t>Greensboro, City of</t>
  </si>
  <si>
    <t>Greenville Utilities Commission</t>
  </si>
  <si>
    <t>Greenville, City of</t>
  </si>
  <si>
    <t>Grifton, Town of</t>
  </si>
  <si>
    <t>Grimesland, Town of</t>
  </si>
  <si>
    <t>Grover, Town of</t>
  </si>
  <si>
    <t>Guilford County</t>
  </si>
  <si>
    <t>Halifax County</t>
  </si>
  <si>
    <t>Halifax, Town of</t>
  </si>
  <si>
    <t>Hamilton, Town of</t>
  </si>
  <si>
    <t>Hamlet, City of</t>
  </si>
  <si>
    <t>Handy Sanitary District</t>
  </si>
  <si>
    <t>Harkers Island Sanitary District</t>
  </si>
  <si>
    <t>Harmony, Town of</t>
  </si>
  <si>
    <t>Harnett County</t>
  </si>
  <si>
    <t>Harrells, Town of</t>
  </si>
  <si>
    <t>Harrellsville, Town of</t>
  </si>
  <si>
    <t>Harrisburg, Town of</t>
  </si>
  <si>
    <t>Hassell, Town of</t>
  </si>
  <si>
    <t>Havelock, City of</t>
  </si>
  <si>
    <t>Haw River, Town of</t>
  </si>
  <si>
    <t>Hayesville, Town of</t>
  </si>
  <si>
    <t>Haywood County</t>
  </si>
  <si>
    <t>Hemby Bridge, Town of</t>
  </si>
  <si>
    <t>Henderson County</t>
  </si>
  <si>
    <t>Henderson, City of</t>
  </si>
  <si>
    <t>Hendersonville, City of</t>
  </si>
  <si>
    <t>Hertford County</t>
  </si>
  <si>
    <t>Hertford, Town of</t>
  </si>
  <si>
    <t>Hickory, City of</t>
  </si>
  <si>
    <t>High Point, City of</t>
  </si>
  <si>
    <t>High Shoals, City of</t>
  </si>
  <si>
    <t>Highlands, Town of</t>
  </si>
  <si>
    <t>Hildebran, Town of</t>
  </si>
  <si>
    <t>Hillsborough, Town of</t>
  </si>
  <si>
    <t>Hobgood, Town of</t>
  </si>
  <si>
    <t>Hoffman, Town of</t>
  </si>
  <si>
    <t>Hoke County</t>
  </si>
  <si>
    <t>Holden Beach, Town of</t>
  </si>
  <si>
    <t>Holly Ridge, Town of</t>
  </si>
  <si>
    <t>Holly Springs, Town of</t>
  </si>
  <si>
    <t>Hookerton, Town of</t>
  </si>
  <si>
    <t>Hope Mills, Town of</t>
  </si>
  <si>
    <t>Hot Springs, Town of</t>
  </si>
  <si>
    <t>Hudson, Town of</t>
  </si>
  <si>
    <t>Huntersville, Town of</t>
  </si>
  <si>
    <t>Hyde County</t>
  </si>
  <si>
    <t>Indian Beach, Town of</t>
  </si>
  <si>
    <t>Indian Trail, Town of</t>
  </si>
  <si>
    <t>Iredell County</t>
  </si>
  <si>
    <t>Jackson County</t>
  </si>
  <si>
    <t>Jackson, Town of</t>
  </si>
  <si>
    <t>Jacksonville, City of</t>
  </si>
  <si>
    <t>Jamestown, Town of</t>
  </si>
  <si>
    <t>Jamesville, Town of</t>
  </si>
  <si>
    <t>Jefferson, Town of</t>
  </si>
  <si>
    <t>Johnston County</t>
  </si>
  <si>
    <t>Jones County</t>
  </si>
  <si>
    <t>Jonesville, Town of</t>
  </si>
  <si>
    <t>Junaluska Sanitary District</t>
  </si>
  <si>
    <t>Kannapolis, City of</t>
  </si>
  <si>
    <t>Kelford, Town of</t>
  </si>
  <si>
    <t>Kenansville, Town of</t>
  </si>
  <si>
    <t>Kenly, Town of</t>
  </si>
  <si>
    <t>Kernersville, Town of</t>
  </si>
  <si>
    <t>Kill Devil Hills, Town of</t>
  </si>
  <si>
    <t>King, City of</t>
  </si>
  <si>
    <t>Kings Mountain, City of</t>
  </si>
  <si>
    <t>Kingstown, Town of</t>
  </si>
  <si>
    <t>Kinston, City of</t>
  </si>
  <si>
    <t>Kittrell, Town of</t>
  </si>
  <si>
    <t>Kitty Hawk, Town of</t>
  </si>
  <si>
    <t>Knightdale, Town of</t>
  </si>
  <si>
    <t>Kure Beach, Town of</t>
  </si>
  <si>
    <t>La Grange, Town of</t>
  </si>
  <si>
    <t>Lake Lure, Town of</t>
  </si>
  <si>
    <t>Lake Park, Town of</t>
  </si>
  <si>
    <t>Lake Santeetlah, Town of</t>
  </si>
  <si>
    <t>Lake Waccamaw, Town of</t>
  </si>
  <si>
    <t>Landis, Town of</t>
  </si>
  <si>
    <t>Lansing, Town of</t>
  </si>
  <si>
    <t>Lasker, Town of</t>
  </si>
  <si>
    <t>Lattimore, Town of</t>
  </si>
  <si>
    <t>Laurel Park, Town of</t>
  </si>
  <si>
    <t>Laurinburg, City of</t>
  </si>
  <si>
    <t>Lawndale, Town of</t>
  </si>
  <si>
    <t>Lee County</t>
  </si>
  <si>
    <t>Leggett, Town of</t>
  </si>
  <si>
    <t>Leland, Town of</t>
  </si>
  <si>
    <t>Lenoir County</t>
  </si>
  <si>
    <t>Lenoir, City of</t>
  </si>
  <si>
    <t>Lewiston Woodville, Town of</t>
  </si>
  <si>
    <t>Lewisville, Town of</t>
  </si>
  <si>
    <t>Lexington, City of</t>
  </si>
  <si>
    <t>Liberty, Town of</t>
  </si>
  <si>
    <t>Lilesville, Town of</t>
  </si>
  <si>
    <t>Lillington, Town of</t>
  </si>
  <si>
    <t>Lincoln County</t>
  </si>
  <si>
    <t>Lincolnton, City of</t>
  </si>
  <si>
    <t>Linden, Town of</t>
  </si>
  <si>
    <t>Littleton, Town of</t>
  </si>
  <si>
    <t>Locust, City of</t>
  </si>
  <si>
    <t>Long View, Town of</t>
  </si>
  <si>
    <t>Louisburg, Town of</t>
  </si>
  <si>
    <t>Love Valley, Town of</t>
  </si>
  <si>
    <t>Lowell, City of</t>
  </si>
  <si>
    <t>Lucama, Town of</t>
  </si>
  <si>
    <t>Lumber Bridge, Town of</t>
  </si>
  <si>
    <t>Lumberton, City of</t>
  </si>
  <si>
    <t>Macclesfield, Town of</t>
  </si>
  <si>
    <t>Macon County</t>
  </si>
  <si>
    <t>Macon, Town of</t>
  </si>
  <si>
    <t>Madison County</t>
  </si>
  <si>
    <t>Madison, Town of</t>
  </si>
  <si>
    <t>Maggie Valley Sanitary District</t>
  </si>
  <si>
    <t>Maggie Valley, Town of</t>
  </si>
  <si>
    <t>Magnolia, Town of</t>
  </si>
  <si>
    <t>Maiden, Town of</t>
  </si>
  <si>
    <t>Manteo, Town of</t>
  </si>
  <si>
    <t>Marietta, Town of</t>
  </si>
  <si>
    <t>Marion, City of</t>
  </si>
  <si>
    <t>Mars Hill, Town of</t>
  </si>
  <si>
    <t>Marshall, Town of</t>
  </si>
  <si>
    <t>Marshville, Town of</t>
  </si>
  <si>
    <t>Martin County</t>
  </si>
  <si>
    <t>Martin County Regional Water and Sewer Authority</t>
  </si>
  <si>
    <t>Marvin, Town of</t>
  </si>
  <si>
    <t>Matthews, Town of</t>
  </si>
  <si>
    <t>Maury Sanitary Land District</t>
  </si>
  <si>
    <t>Maxton, Town of</t>
  </si>
  <si>
    <t>Mayodan, Town of</t>
  </si>
  <si>
    <t>Maysville, Town of</t>
  </si>
  <si>
    <t>McAdenville, Town of</t>
  </si>
  <si>
    <t>McDonald, Town of</t>
  </si>
  <si>
    <t>McDowell County</t>
  </si>
  <si>
    <t>McFarlan, Town of</t>
  </si>
  <si>
    <t>Mebane, City of</t>
  </si>
  <si>
    <t>Mecklenburg County</t>
  </si>
  <si>
    <t>Mesic, Town of</t>
  </si>
  <si>
    <t>Micro, Town of</t>
  </si>
  <si>
    <t>Middleburg, Town of</t>
  </si>
  <si>
    <t>Middlesex, Town of</t>
  </si>
  <si>
    <t>Midland, Town of</t>
  </si>
  <si>
    <t>Midway, Town of</t>
  </si>
  <si>
    <t>Mills River, Town of</t>
  </si>
  <si>
    <t>Milton, Town of</t>
  </si>
  <si>
    <t>Mineral Springs, Town of</t>
  </si>
  <si>
    <t>Minnesott Beach, Town of</t>
  </si>
  <si>
    <t>Mint Hill, Town of</t>
  </si>
  <si>
    <t>Misenheimer, Town of</t>
  </si>
  <si>
    <t>Mitchell County</t>
  </si>
  <si>
    <t>Mocksville, Town of</t>
  </si>
  <si>
    <t>Momeyer, Town of</t>
  </si>
  <si>
    <t>Monroe, City of</t>
  </si>
  <si>
    <t>Montgomery County</t>
  </si>
  <si>
    <t>Montreat, Town of</t>
  </si>
  <si>
    <t>Moore County</t>
  </si>
  <si>
    <t>Mooresboro, Town of</t>
  </si>
  <si>
    <t>Mooresville, Town of</t>
  </si>
  <si>
    <t>Morehead City, Town of</t>
  </si>
  <si>
    <t>Morganton, City of</t>
  </si>
  <si>
    <t>Morrisville, Town of</t>
  </si>
  <si>
    <t>Morven, Town of</t>
  </si>
  <si>
    <t>Mount Airy, City of</t>
  </si>
  <si>
    <t>Mount Gilead, Town of</t>
  </si>
  <si>
    <t>Mount Holly, City of</t>
  </si>
  <si>
    <t>Mount Olive, Town of</t>
  </si>
  <si>
    <t>Mount Pleasant, Town of</t>
  </si>
  <si>
    <t>Murfreesboro, Town of</t>
  </si>
  <si>
    <t>Murphy, Town of</t>
  </si>
  <si>
    <t>Nags Head, Town of</t>
  </si>
  <si>
    <t>Nash County</t>
  </si>
  <si>
    <t>Nashville, Town of</t>
  </si>
  <si>
    <t>Navassa, Town of</t>
  </si>
  <si>
    <t>Neuse Regional Water and Sewer Authority</t>
  </si>
  <si>
    <t>New Bern, City of</t>
  </si>
  <si>
    <t>New Hanover County</t>
  </si>
  <si>
    <t>New London, Town of</t>
  </si>
  <si>
    <t>Newland, Town of</t>
  </si>
  <si>
    <t>Newport, Town of</t>
  </si>
  <si>
    <t>Newton Grove, Town of</t>
  </si>
  <si>
    <t>Newton, City of</t>
  </si>
  <si>
    <t>Norlina, Town of</t>
  </si>
  <si>
    <t>Norman, Town of</t>
  </si>
  <si>
    <t>North Wilkesboro, Town of</t>
  </si>
  <si>
    <t>Northampton County</t>
  </si>
  <si>
    <t>Norwood, Town of</t>
  </si>
  <si>
    <t>Oak City, Town of</t>
  </si>
  <si>
    <t>Oak Island, Town of</t>
  </si>
  <si>
    <t>Oak Ridge, Town of</t>
  </si>
  <si>
    <t>Oakboro, Town of</t>
  </si>
  <si>
    <t>Ocean Isle Beach, Town of</t>
  </si>
  <si>
    <t>Ocracoke Sanitary District</t>
  </si>
  <si>
    <t>Old Fort, Town of</t>
  </si>
  <si>
    <t>Onslow County</t>
  </si>
  <si>
    <t>Onslow Water and Sewer Authority</t>
  </si>
  <si>
    <t>Orange County</t>
  </si>
  <si>
    <t>Orange Water and Sewer Authority</t>
  </si>
  <si>
    <t>Oriental, Town of</t>
  </si>
  <si>
    <t>Orrum, Town of</t>
  </si>
  <si>
    <t>Ossipee, Town of</t>
  </si>
  <si>
    <t>Oxford, City of</t>
  </si>
  <si>
    <t>Pamlico County</t>
  </si>
  <si>
    <t>Pantego, Town of</t>
  </si>
  <si>
    <t>Parkton, Town of</t>
  </si>
  <si>
    <t>Parmele, Town of</t>
  </si>
  <si>
    <t>Pasquotank County</t>
  </si>
  <si>
    <t>Patterson Springs, Town of</t>
  </si>
  <si>
    <t>Peachland, Town of</t>
  </si>
  <si>
    <t>Peletier, Town of</t>
  </si>
  <si>
    <t>Pembroke, Town of</t>
  </si>
  <si>
    <t>Pender County</t>
  </si>
  <si>
    <t>Perquimans County</t>
  </si>
  <si>
    <t>Person County</t>
  </si>
  <si>
    <t>Piedmont Triad Regional Water Authority</t>
  </si>
  <si>
    <t>Pikeville, Town of</t>
  </si>
  <si>
    <t>Pilot Mountain, Town of</t>
  </si>
  <si>
    <t>Pine Knoll Shores, Town of</t>
  </si>
  <si>
    <t>Pine Level, Town of</t>
  </si>
  <si>
    <t>Pinebluff, Town of</t>
  </si>
  <si>
    <t>Pinehurst, Town of</t>
  </si>
  <si>
    <t>Pinetops, Town of</t>
  </si>
  <si>
    <t>Pineville, Town of</t>
  </si>
  <si>
    <t>Pink Hill, Town of</t>
  </si>
  <si>
    <t>Pitt County</t>
  </si>
  <si>
    <t>Pittsboro, Town of</t>
  </si>
  <si>
    <t>Pleasant Garden, Town of</t>
  </si>
  <si>
    <t>Plymouth, Town of</t>
  </si>
  <si>
    <t>Polk County</t>
  </si>
  <si>
    <t>Polkton, Town of</t>
  </si>
  <si>
    <t>Polkville, City of</t>
  </si>
  <si>
    <t>Pollocksville, Town of</t>
  </si>
  <si>
    <t>Powellsville, Town of</t>
  </si>
  <si>
    <t>Princeton, Town of</t>
  </si>
  <si>
    <t>Princeville, Town of</t>
  </si>
  <si>
    <t>Proctorville, Town of</t>
  </si>
  <si>
    <t>Raeford, City of</t>
  </si>
  <si>
    <t>Raleigh, City of</t>
  </si>
  <si>
    <t>Ramseur, Town of</t>
  </si>
  <si>
    <t>Randleman, City of</t>
  </si>
  <si>
    <t>Randolph County</t>
  </si>
  <si>
    <t>Ranlo, Town of</t>
  </si>
  <si>
    <t>Raynham, Town of</t>
  </si>
  <si>
    <t>Red Cross, Town of</t>
  </si>
  <si>
    <t>Red Oak, Town of</t>
  </si>
  <si>
    <t>Red Springs, Town of</t>
  </si>
  <si>
    <t>Reidsville, City of</t>
  </si>
  <si>
    <t>Rennert, Town of</t>
  </si>
  <si>
    <t>Rhodhiss, Town of</t>
  </si>
  <si>
    <t>Rich Square, Town of</t>
  </si>
  <si>
    <t>Richfield, Town of</t>
  </si>
  <si>
    <t>Richlands, Town of</t>
  </si>
  <si>
    <t>Richmond County</t>
  </si>
  <si>
    <t>River Bend, Town of</t>
  </si>
  <si>
    <t>Roanoke Rapids Sanitary District</t>
  </si>
  <si>
    <t>Roanoke Rapids, City of</t>
  </si>
  <si>
    <t>Robbins, Town of</t>
  </si>
  <si>
    <t>Robbinsville, Town of</t>
  </si>
  <si>
    <t>Robersonville, Town of</t>
  </si>
  <si>
    <t>Robeson County</t>
  </si>
  <si>
    <t>Rockingham County</t>
  </si>
  <si>
    <t>Rockingham, City of</t>
  </si>
  <si>
    <t>Rockwell, Town of</t>
  </si>
  <si>
    <t>Rocky Mount, City of</t>
  </si>
  <si>
    <t>Rolesville, Town of</t>
  </si>
  <si>
    <t>Ronda, Town of</t>
  </si>
  <si>
    <t>Roper, Town of</t>
  </si>
  <si>
    <t>Rose Hill, Town of</t>
  </si>
  <si>
    <t>Roseboro, Town of</t>
  </si>
  <si>
    <t>Rosman, Town of</t>
  </si>
  <si>
    <t>Rowan County</t>
  </si>
  <si>
    <t>Rowland, Town of</t>
  </si>
  <si>
    <t>Roxboro, City of</t>
  </si>
  <si>
    <t>Roxobel, Town of</t>
  </si>
  <si>
    <t>Rural Hall, Town of</t>
  </si>
  <si>
    <t>Ruth, Town of</t>
  </si>
  <si>
    <t>Rutherford College, Town of</t>
  </si>
  <si>
    <t>Rutherford County</t>
  </si>
  <si>
    <t>Rutherfordton, Town of</t>
  </si>
  <si>
    <t>Saint Helena, Town of</t>
  </si>
  <si>
    <t>Saint James, Town of</t>
  </si>
  <si>
    <t>Saint Pauls, Town of</t>
  </si>
  <si>
    <t>Salemburg, Town of</t>
  </si>
  <si>
    <t>Salisbury, City of</t>
  </si>
  <si>
    <t>Saluda, City of</t>
  </si>
  <si>
    <t>Sampson County</t>
  </si>
  <si>
    <t>Sandy Creek, Town of</t>
  </si>
  <si>
    <t>Sandyfield, Town of</t>
  </si>
  <si>
    <t>Sanford, City of</t>
  </si>
  <si>
    <t>Saratoga, Town of</t>
  </si>
  <si>
    <t>Sawmills, Town of</t>
  </si>
  <si>
    <t>Scotland County</t>
  </si>
  <si>
    <t>Scotland Neck, Town of</t>
  </si>
  <si>
    <t>Seaboard, Town of</t>
  </si>
  <si>
    <t>Seagrove, Town of</t>
  </si>
  <si>
    <t>Seagrove-Ulah Metropolitan Water District</t>
  </si>
  <si>
    <t>Sedalia, Town of</t>
  </si>
  <si>
    <t>Sedgefield Sanitary District</t>
  </si>
  <si>
    <t>Selma, Town of</t>
  </si>
  <si>
    <t>Seven Devils, Town of</t>
  </si>
  <si>
    <t>Seven Springs, Town of</t>
  </si>
  <si>
    <t>Severn, Town of</t>
  </si>
  <si>
    <t>Shallotte, Town of</t>
  </si>
  <si>
    <t>Sharpsburg, Town of</t>
  </si>
  <si>
    <t>Shelby, City of</t>
  </si>
  <si>
    <t>Siler City, Town of</t>
  </si>
  <si>
    <t>Simpson, Town of</t>
  </si>
  <si>
    <t>Sims, Town of</t>
  </si>
  <si>
    <t>Smithfield, Town of</t>
  </si>
  <si>
    <t>Snow Hill, Town of</t>
  </si>
  <si>
    <t>South Granville Water and Sewer Authority</t>
  </si>
  <si>
    <t>Southeast Brunswick Sanitary District</t>
  </si>
  <si>
    <t>Southeastern Wayne Sanitary District</t>
  </si>
  <si>
    <t>Southern Pines, Town of</t>
  </si>
  <si>
    <t>Southern Shores, Town of</t>
  </si>
  <si>
    <t>Southern Wayne Sanitary District</t>
  </si>
  <si>
    <t>Southport, City of</t>
  </si>
  <si>
    <t>Southwestern Wayne Sanitary District</t>
  </si>
  <si>
    <t>Sparta, Town of</t>
  </si>
  <si>
    <t>Speed, Town of</t>
  </si>
  <si>
    <t>Spencer Mountain, Town of</t>
  </si>
  <si>
    <t>Spencer, Town of</t>
  </si>
  <si>
    <t>Spindale, Town of</t>
  </si>
  <si>
    <t>Spring Hope, Town of</t>
  </si>
  <si>
    <t>Spring Lake, Town of</t>
  </si>
  <si>
    <t>Spruce Pine, Town of</t>
  </si>
  <si>
    <t>Staley, Town of</t>
  </si>
  <si>
    <t>Stallings, Town of</t>
  </si>
  <si>
    <t>Stanfield, Town of</t>
  </si>
  <si>
    <t>Stanley, Town of</t>
  </si>
  <si>
    <t>Stanly County</t>
  </si>
  <si>
    <t>Stanly Water and Sewer Authority</t>
  </si>
  <si>
    <t>Stantonsburg, Town of</t>
  </si>
  <si>
    <t>Star, Town of</t>
  </si>
  <si>
    <t>Statesville, City of</t>
  </si>
  <si>
    <t>Stedman, Town of</t>
  </si>
  <si>
    <t>Stem, Town of</t>
  </si>
  <si>
    <t>Stokes County</t>
  </si>
  <si>
    <t>Stokes County Water and Sewer Authority</t>
  </si>
  <si>
    <t>Stokesdale, Town of</t>
  </si>
  <si>
    <t>Stoneville, Town of</t>
  </si>
  <si>
    <t>Stonewall, Town of</t>
  </si>
  <si>
    <t>Stovall, Town of</t>
  </si>
  <si>
    <t>Sugar Mountain, Town of</t>
  </si>
  <si>
    <t>Summerfield, Town of</t>
  </si>
  <si>
    <t>Sunset Beach, Town of</t>
  </si>
  <si>
    <t>Surf City, Town of</t>
  </si>
  <si>
    <t>Surry County</t>
  </si>
  <si>
    <t>Swain County</t>
  </si>
  <si>
    <t>Swan Quarter Sanitary District</t>
  </si>
  <si>
    <t>Swansboro, Town of</t>
  </si>
  <si>
    <t>Swepsonville, Town of</t>
  </si>
  <si>
    <t>Sylva, Town of</t>
  </si>
  <si>
    <t>Tabor City, Town of</t>
  </si>
  <si>
    <t>Tar Heel, Town of</t>
  </si>
  <si>
    <t>Tarboro, Town of</t>
  </si>
  <si>
    <t>Taylorsville, Town of</t>
  </si>
  <si>
    <t>Taylortown, Town of</t>
  </si>
  <si>
    <t>Teachey, Town of</t>
  </si>
  <si>
    <t>Thomasville, City of</t>
  </si>
  <si>
    <t>Tobaccoville, Town of</t>
  </si>
  <si>
    <t>Topsail Beach, Town of</t>
  </si>
  <si>
    <t>Transylvania County</t>
  </si>
  <si>
    <t>Trent Woods, Town of</t>
  </si>
  <si>
    <t>Trenton, Town of</t>
  </si>
  <si>
    <t>Trinity, City of</t>
  </si>
  <si>
    <t>Troutman, Town of</t>
  </si>
  <si>
    <t>Troy, Town of</t>
  </si>
  <si>
    <t>Tryon, Town of</t>
  </si>
  <si>
    <t>Tuckaseigee Water and Sewer Authority</t>
  </si>
  <si>
    <t>Turkey, Town of</t>
  </si>
  <si>
    <t>Tyrrell County</t>
  </si>
  <si>
    <t>Union County</t>
  </si>
  <si>
    <t>Unionville, Town of</t>
  </si>
  <si>
    <t>Valdese, Town of</t>
  </si>
  <si>
    <t>Vance County</t>
  </si>
  <si>
    <t>Vanceboro, Town of</t>
  </si>
  <si>
    <t>Vandemere, Town of</t>
  </si>
  <si>
    <t>Varnamtown, Town of</t>
  </si>
  <si>
    <t>Vass, Town of</t>
  </si>
  <si>
    <t>Waco, Town of</t>
  </si>
  <si>
    <t>Wade, Town of</t>
  </si>
  <si>
    <t>Wadesboro, Town of</t>
  </si>
  <si>
    <t>Wagram, Town of</t>
  </si>
  <si>
    <t>Wake County</t>
  </si>
  <si>
    <t>Wake Forest, Town of</t>
  </si>
  <si>
    <t>Walkertown, Town of</t>
  </si>
  <si>
    <t>Wallace, Town of</t>
  </si>
  <si>
    <t>Wallburg, Town of</t>
  </si>
  <si>
    <t>Walnut Cove, Town of</t>
  </si>
  <si>
    <t>Walnut Creek, Town of</t>
  </si>
  <si>
    <t>Walstonburg, Town of</t>
  </si>
  <si>
    <t>Warren County</t>
  </si>
  <si>
    <t>Warrenton, Town of</t>
  </si>
  <si>
    <t>Warsaw, Town of</t>
  </si>
  <si>
    <t>Washington County</t>
  </si>
  <si>
    <t>Washington Park, Town of</t>
  </si>
  <si>
    <t>Washington, City of</t>
  </si>
  <si>
    <t>Watauga County</t>
  </si>
  <si>
    <t>Watha, Town of</t>
  </si>
  <si>
    <t>Waxhaw, Town of</t>
  </si>
  <si>
    <t>Wayne County</t>
  </si>
  <si>
    <t>Waynesville, Town of</t>
  </si>
  <si>
    <t>Weaverville, Town of</t>
  </si>
  <si>
    <t>Webster, Town of</t>
  </si>
  <si>
    <t>Weddington, Town of</t>
  </si>
  <si>
    <t>Weldon, Town of</t>
  </si>
  <si>
    <t>Wendell, Town of</t>
  </si>
  <si>
    <t>Wentworth, Town of</t>
  </si>
  <si>
    <t>Wesley Chapel, Town of</t>
  </si>
  <si>
    <t>West Jefferson, Town of</t>
  </si>
  <si>
    <t>Western Bay River Metropolitan Sewer District</t>
  </si>
  <si>
    <t>Whispering Pines, Town of</t>
  </si>
  <si>
    <t>Whitakers, Town of</t>
  </si>
  <si>
    <t>White Lake, Town of</t>
  </si>
  <si>
    <t>Whiteville, City of</t>
  </si>
  <si>
    <t>Whitsett, Town of</t>
  </si>
  <si>
    <t>Whittier Sanitary District</t>
  </si>
  <si>
    <t>Wilkes County</t>
  </si>
  <si>
    <t>Wilkesboro, Town of</t>
  </si>
  <si>
    <t>Williamston, Town of</t>
  </si>
  <si>
    <t>Wilmington, City of</t>
  </si>
  <si>
    <t>Wilson County</t>
  </si>
  <si>
    <t>Wilson, City of</t>
  </si>
  <si>
    <t>Wilson's Mills, Town of</t>
  </si>
  <si>
    <t>Windsor, Town of</t>
  </si>
  <si>
    <t>Winfall, Town of</t>
  </si>
  <si>
    <t>Wingate, Town of</t>
  </si>
  <si>
    <t>Winston-Salem, City of</t>
  </si>
  <si>
    <t>Winterville, Town of</t>
  </si>
  <si>
    <t>Winton, Town of</t>
  </si>
  <si>
    <t>Woodfin Sanitary District</t>
  </si>
  <si>
    <t>Woodfin, Town of</t>
  </si>
  <si>
    <t>Woodland, Town of</t>
  </si>
  <si>
    <t>Wrightsville Beach, Town of</t>
  </si>
  <si>
    <t>Yadkin County</t>
  </si>
  <si>
    <t>Yadkin Valley Sewer Authority</t>
  </si>
  <si>
    <t>Yadkinville, Town of</t>
  </si>
  <si>
    <t>Yancey County</t>
  </si>
  <si>
    <t>Yanceyville, Town of</t>
  </si>
  <si>
    <t>Youngsville, Town of</t>
  </si>
  <si>
    <t>Zebulon, Town of</t>
  </si>
  <si>
    <t>Unit Name</t>
  </si>
  <si>
    <t>Bulk provider?</t>
  </si>
  <si>
    <t>No</t>
  </si>
  <si>
    <t>Yes</t>
  </si>
  <si>
    <t>Distressed?</t>
  </si>
  <si>
    <t xml:space="preserve">  Facility LGU X,Y Data Point</t>
  </si>
  <si>
    <t>50 Percentile</t>
  </si>
  <si>
    <t>70 Percentile</t>
  </si>
  <si>
    <t>85 Percentile</t>
  </si>
  <si>
    <t>95 Percentile</t>
  </si>
  <si>
    <t>Water</t>
  </si>
  <si>
    <t>99 Percentile</t>
  </si>
  <si>
    <t>Wastewater</t>
  </si>
  <si>
    <t>Percentile Ranges for grant eligibility categories</t>
  </si>
  <si>
    <t>% Grant or PF</t>
  </si>
  <si>
    <t>Combined water and sewer provider</t>
  </si>
  <si>
    <t>&gt; 99 Percentile</t>
  </si>
  <si>
    <t>Single water or sewer provider</t>
  </si>
  <si>
    <t>95 - 99 Percentile</t>
  </si>
  <si>
    <t>85 - 95 Percentile</t>
  </si>
  <si>
    <t>70 - 85 Percentile</t>
  </si>
  <si>
    <t>50 - 70 Percentile</t>
  </si>
  <si>
    <t>0 - 50 Percentile</t>
  </si>
  <si>
    <t>LGU</t>
  </si>
  <si>
    <t>Water Connections</t>
  </si>
  <si>
    <t>Sewer Connections</t>
  </si>
  <si>
    <r>
      <rPr>
        <b/>
        <sz val="11"/>
        <color theme="1"/>
        <rFont val="Calibri"/>
        <family val="2"/>
      </rPr>
      <t>←  Complete d</t>
    </r>
    <r>
      <rPr>
        <b/>
        <sz val="11"/>
        <color theme="1"/>
        <rFont val="Calibri"/>
        <family val="2"/>
        <scheme val="minor"/>
      </rPr>
      <t>ata entry cells in yellow</t>
    </r>
  </si>
  <si>
    <t>Enter Name of Applicant:</t>
  </si>
  <si>
    <t xml:space="preserve"> </t>
  </si>
  <si>
    <t>STEP 1:  Applicant's Designation and Assessment Criteria Score</t>
  </si>
  <si>
    <t>Select Applicant from menu:</t>
  </si>
  <si>
    <t>If applying for a project with more than one local government unit, select the local government that is either designated as distressed or has the greatest VUR Assessment Criteria score.</t>
  </si>
  <si>
    <t>Designated as "Distressed" in accordance with NCGS 159G-45?</t>
  </si>
  <si>
    <t>Wholesale-only service provider?</t>
  </si>
  <si>
    <t>STEP 2:  Residential Connections</t>
  </si>
  <si>
    <t>STEP 3:  Local Government Unit (LGU) Economic Indicators</t>
  </si>
  <si>
    <t>Enter your local government unit parameters and service area coverage as shown below. Select local government(s) in your service area.</t>
  </si>
  <si>
    <t>Total:</t>
  </si>
  <si>
    <t>State Benchmarks are:</t>
  </si>
  <si>
    <t xml:space="preserve"> Worse than State Benchmark?</t>
  </si>
  <si>
    <t>LGU Coverage (% of service area)</t>
  </si>
  <si>
    <t>Calculated Prop. Val. per Capita</t>
  </si>
  <si>
    <r>
      <t xml:space="preserve"> # of Indicators worse  </t>
    </r>
    <r>
      <rPr>
        <sz val="11"/>
        <color theme="1"/>
        <rFont val="Calibri"/>
        <family val="2"/>
      </rPr>
      <t>→
than State Benchmark</t>
    </r>
  </si>
  <si>
    <r>
      <t>Operating Revenues</t>
    </r>
    <r>
      <rPr>
        <vertAlign val="subscript"/>
        <sz val="11"/>
        <color theme="1"/>
        <rFont val="Calibri"/>
        <family val="2"/>
        <scheme val="minor"/>
      </rPr>
      <t>Water &amp; Sewer</t>
    </r>
    <r>
      <rPr>
        <sz val="11"/>
        <color theme="1"/>
        <rFont val="Calibri"/>
        <family val="2"/>
        <scheme val="minor"/>
      </rPr>
      <t>:</t>
    </r>
  </si>
  <si>
    <r>
      <t>Total Expenditures</t>
    </r>
    <r>
      <rPr>
        <vertAlign val="subscript"/>
        <sz val="11"/>
        <color theme="1"/>
        <rFont val="Calibri"/>
        <family val="2"/>
        <scheme val="minor"/>
      </rPr>
      <t>Water&amp;Sewer</t>
    </r>
    <r>
      <rPr>
        <sz val="11"/>
        <color theme="1"/>
        <rFont val="Calibri"/>
        <family val="2"/>
        <scheme val="minor"/>
      </rPr>
      <t>:</t>
    </r>
  </si>
  <si>
    <r>
      <t>Calculated Operating Ratio</t>
    </r>
    <r>
      <rPr>
        <b/>
        <vertAlign val="subscript"/>
        <sz val="11"/>
        <color theme="1"/>
        <rFont val="Calibri"/>
        <family val="2"/>
        <scheme val="minor"/>
      </rPr>
      <t>Future</t>
    </r>
    <r>
      <rPr>
        <b/>
        <sz val="11"/>
        <color theme="1"/>
        <rFont val="Calibri"/>
        <family val="2"/>
        <scheme val="minor"/>
      </rPr>
      <t>:</t>
    </r>
  </si>
  <si>
    <t>Step 5:  Water/Sewer Utility Information</t>
  </si>
  <si>
    <t>Current monthly bill for 5,000 gallons:</t>
  </si>
  <si>
    <t>Water Rate</t>
  </si>
  <si>
    <t>Sewer Rate</t>
  </si>
  <si>
    <t>"Effective" combined water &amp; sewer bill for 5,000 gallons:</t>
  </si>
  <si>
    <t>Project cost per connection per month:</t>
  </si>
  <si>
    <t>Eligibility is limited by the percentage below, funding request amount, caps on SRF principal forgiveness or SRP grants based on project type, and PF or grant availability.</t>
  </si>
  <si>
    <t>Running Total</t>
  </si>
  <si>
    <t>Step 1 drop down</t>
  </si>
  <si>
    <r>
      <t xml:space="preserve">Select LGU from menu </t>
    </r>
    <r>
      <rPr>
        <sz val="12"/>
        <color theme="1"/>
        <rFont val="Calibri"/>
        <family val="2"/>
      </rPr>
      <t>→</t>
    </r>
  </si>
  <si>
    <t>Step 1</t>
  </si>
  <si>
    <t>Step 2</t>
  </si>
  <si>
    <t>Step 3</t>
  </si>
  <si>
    <t>Step 4</t>
  </si>
  <si>
    <t>Step 5</t>
  </si>
  <si>
    <t>VUR data</t>
  </si>
  <si>
    <t>Number of res. connections</t>
  </si>
  <si>
    <t>LGU indicators</t>
  </si>
  <si>
    <t>Operation Revenue, Total Expenditure and Project Cost</t>
  </si>
  <si>
    <t>Effective combined bill and project cost per connection</t>
  </si>
  <si>
    <t>Completed?</t>
  </si>
  <si>
    <t>Pass?</t>
  </si>
  <si>
    <t>X = Project cost per customer per month =</t>
  </si>
  <si>
    <t>EFC 2020 rates analysis results</t>
  </si>
  <si>
    <t>Combined Monthly Bills ($/5000 gallons)</t>
  </si>
  <si>
    <t>Combined Monthly Bills + Project cost per customer per month ($/5000 gallons)</t>
  </si>
  <si>
    <t>Y = Combined Monthly Bills =</t>
  </si>
  <si>
    <r>
      <t xml:space="preserve">Corresponding Grant % for this application  </t>
    </r>
    <r>
      <rPr>
        <b/>
        <sz val="11"/>
        <rFont val="Calibri"/>
        <family val="2"/>
      </rPr>
      <t>→</t>
    </r>
  </si>
  <si>
    <r>
      <t xml:space="preserve">Final Grant % for this application  </t>
    </r>
    <r>
      <rPr>
        <b/>
        <sz val="11"/>
        <rFont val="Calibri"/>
        <family val="2"/>
      </rPr>
      <t>→</t>
    </r>
  </si>
  <si>
    <r>
      <t>Truncated Y</t>
    </r>
    <r>
      <rPr>
        <b/>
        <sz val="12"/>
        <rFont val="Calibri"/>
        <family val="2"/>
      </rPr>
      <t>↑</t>
    </r>
    <r>
      <rPr>
        <b/>
        <sz val="12"/>
        <rFont val="Calibri"/>
        <family val="2"/>
        <scheme val="minor"/>
      </rPr>
      <t xml:space="preserve"> &amp; X</t>
    </r>
    <r>
      <rPr>
        <b/>
        <sz val="12"/>
        <rFont val="Calibri"/>
        <family val="2"/>
      </rPr>
      <t>→</t>
    </r>
  </si>
  <si>
    <t>Step 5 Drop-Down Selection:</t>
  </si>
  <si>
    <t>Current VUR Assessment Score:</t>
  </si>
  <si>
    <t xml:space="preserve">Is your project a water or wastewater project? </t>
  </si>
  <si>
    <t xml:space="preserve">Combined water and sewer provider, or single service? </t>
  </si>
  <si>
    <t>Please print or scan this affordability calculator in pdf prior to submitting with applications</t>
  </si>
  <si>
    <t>Y: Effective Combined Bill ($/5,000 gal.)</t>
  </si>
  <si>
    <t>X: Project Cost Per conn. per Month</t>
  </si>
  <si>
    <t>Wastewater Projects Data Points</t>
  </si>
  <si>
    <t>Water Projects Data Points</t>
  </si>
  <si>
    <r>
      <rPr>
        <b/>
        <vertAlign val="superscript"/>
        <sz val="9.5"/>
        <rFont val="Calibri"/>
        <family val="2"/>
        <scheme val="minor"/>
      </rPr>
      <t>+</t>
    </r>
    <r>
      <rPr>
        <b/>
        <sz val="9.5"/>
        <rFont val="Calibri"/>
        <family val="2"/>
        <scheme val="minor"/>
      </rPr>
      <t>Representative LGU data plotted using Project Cost in Step 4, and project type selection (Water or Wastewater) in Step 5.</t>
    </r>
  </si>
  <si>
    <t>LGU #1</t>
  </si>
  <si>
    <t>LGU #2</t>
  </si>
  <si>
    <t>LGU #3</t>
  </si>
  <si>
    <t>LGU #4</t>
  </si>
  <si>
    <t>Named Range Terminology:</t>
  </si>
  <si>
    <t>AI</t>
  </si>
  <si>
    <t>Applicant Informaion</t>
  </si>
  <si>
    <t>AC</t>
  </si>
  <si>
    <t>Affordability Calculator</t>
  </si>
  <si>
    <t>IWSB</t>
  </si>
  <si>
    <t># of Indicator Worse than State Benchmark</t>
  </si>
  <si>
    <t>MHI</t>
  </si>
  <si>
    <t>Meadian Hosehold Income</t>
  </si>
  <si>
    <t>PCPCPM</t>
  </si>
  <si>
    <t>Project Cost Per Capita Per Month</t>
  </si>
  <si>
    <t>P</t>
  </si>
  <si>
    <t>Preparer</t>
  </si>
  <si>
    <t>E</t>
  </si>
  <si>
    <t>Engineer</t>
  </si>
  <si>
    <t>AR</t>
  </si>
  <si>
    <t>Authorized Representative</t>
  </si>
  <si>
    <t>Chk</t>
  </si>
  <si>
    <t>Check</t>
  </si>
  <si>
    <t>FIF</t>
  </si>
  <si>
    <t>Financial Information Form</t>
  </si>
  <si>
    <t>FTC</t>
  </si>
  <si>
    <t>Fund Transfer Certification</t>
  </si>
  <si>
    <t>PRS</t>
  </si>
  <si>
    <t>Priority Rating System</t>
  </si>
  <si>
    <t>SC</t>
  </si>
  <si>
    <t>ScoreCard</t>
  </si>
  <si>
    <t>AP</t>
  </si>
  <si>
    <t>Auto Populate</t>
  </si>
  <si>
    <t>Dellview, Town of</t>
  </si>
  <si>
    <t>Eastover, Town of</t>
  </si>
  <si>
    <t>North Topsail Beach, Town of</t>
  </si>
  <si>
    <t>Northwest, City of</t>
  </si>
  <si>
    <t>Eastern Wayne Sanitary District</t>
  </si>
  <si>
    <t>Fayetteville Public Works Commission</t>
  </si>
  <si>
    <t>Northwestern Wayne Sanitary District</t>
  </si>
  <si>
    <t>Whitley Heights Sanitary District</t>
  </si>
  <si>
    <t>Note: grant/principal forgiveness may be further limited according to funding program caps and by availability.</t>
  </si>
  <si>
    <t>SRF Principal Forgiveness / SRP eligibility, Excludes EC.</t>
  </si>
  <si>
    <r>
      <t>Annual Debt Principal</t>
    </r>
    <r>
      <rPr>
        <vertAlign val="subscript"/>
        <sz val="11"/>
        <color theme="1"/>
        <rFont val="Calibri"/>
        <family val="2"/>
        <scheme val="minor"/>
      </rPr>
      <t>Water&amp;Sewer</t>
    </r>
    <r>
      <rPr>
        <sz val="11"/>
        <color theme="1"/>
        <rFont val="Calibri"/>
        <family val="2"/>
        <scheme val="minor"/>
      </rPr>
      <t>:</t>
    </r>
  </si>
  <si>
    <r>
      <t>Annual Debt Interest</t>
    </r>
    <r>
      <rPr>
        <vertAlign val="subscript"/>
        <sz val="11"/>
        <color theme="1"/>
        <rFont val="Calibri"/>
        <family val="2"/>
        <scheme val="minor"/>
      </rPr>
      <t>Water&amp;Sewer</t>
    </r>
    <r>
      <rPr>
        <sz val="11"/>
        <color theme="1"/>
        <rFont val="Calibri"/>
        <family val="2"/>
        <scheme val="minor"/>
      </rPr>
      <t>:</t>
    </r>
  </si>
  <si>
    <t>STEP 4:  Existing Annual Revenues</t>
  </si>
  <si>
    <t>Enter the information below.</t>
  </si>
  <si>
    <t>Project Cost (from Application):</t>
  </si>
  <si>
    <r>
      <t xml:space="preserve">Eligibility for State Revolving Fund (SRF) Principal Forgiveness and State Reserve Program Grants </t>
    </r>
    <r>
      <rPr>
        <sz val="14"/>
        <color theme="1"/>
        <rFont val="Calibri"/>
        <family val="2"/>
        <scheme val="minor"/>
      </rPr>
      <t>(not Viable Utility Reserve or BIL Emerging Contaminants)</t>
    </r>
  </si>
  <si>
    <r>
      <rPr>
        <b/>
        <u/>
        <sz val="11"/>
        <color theme="1"/>
        <rFont val="Calibri"/>
        <family val="2"/>
        <scheme val="minor"/>
      </rPr>
      <t>Exceptions</t>
    </r>
    <r>
      <rPr>
        <b/>
        <sz val="11"/>
        <color theme="1"/>
        <rFont val="Calibri"/>
        <family val="2"/>
        <scheme val="minor"/>
      </rPr>
      <t>: If you receive 4.C.4 points, your application would be eligible for up to 50%</t>
    </r>
    <r>
      <rPr>
        <b/>
        <vertAlign val="superscript"/>
        <sz val="11"/>
        <color theme="8"/>
        <rFont val="Calibri"/>
        <family val="2"/>
      </rPr>
      <t>1</t>
    </r>
    <r>
      <rPr>
        <b/>
        <sz val="11"/>
        <color theme="1"/>
        <rFont val="Calibri"/>
        <family val="2"/>
        <scheme val="minor"/>
      </rPr>
      <t xml:space="preserve"> SRF principal forgiveness/SRP grant.    VUR and BIL EC funding is 100% grant/principal forgiveness.</t>
    </r>
  </si>
  <si>
    <r>
      <t>Percentage of funding request amount eligible for SRF Principal Forgiveness or SRP grant</t>
    </r>
    <r>
      <rPr>
        <vertAlign val="superscript"/>
        <sz val="11"/>
        <color theme="8"/>
        <rFont val="Calibri"/>
        <family val="2"/>
      </rPr>
      <t>1</t>
    </r>
    <r>
      <rPr>
        <sz val="11"/>
        <color theme="1"/>
        <rFont val="Calibri"/>
        <family val="2"/>
        <scheme val="minor"/>
      </rPr>
      <t>:</t>
    </r>
  </si>
  <si>
    <r>
      <rPr>
        <vertAlign val="superscript"/>
        <sz val="11"/>
        <color theme="8"/>
        <rFont val="Calibri"/>
        <family val="2"/>
      </rPr>
      <t>1</t>
    </r>
    <r>
      <rPr>
        <i/>
        <sz val="11"/>
        <color theme="1"/>
        <rFont val="Calibri"/>
        <family val="2"/>
        <scheme val="minor"/>
      </rPr>
      <t>Grants and principal forgiveness apply only to projects receiving project purpose points.</t>
    </r>
  </si>
  <si>
    <r>
      <rPr>
        <vertAlign val="superscript"/>
        <sz val="11"/>
        <color theme="8"/>
        <rFont val="Calibri"/>
        <family val="2"/>
      </rPr>
      <t>1</t>
    </r>
    <r>
      <rPr>
        <i/>
        <sz val="11"/>
        <rFont val="Calibri"/>
        <family val="2"/>
        <scheme val="minor"/>
      </rPr>
      <t>Limit may be different for projects receiving 1.A points.</t>
    </r>
  </si>
  <si>
    <r>
      <rPr>
        <i/>
        <vertAlign val="superscript"/>
        <sz val="11"/>
        <color theme="8"/>
        <rFont val="Calibri"/>
        <family val="2"/>
        <scheme val="minor"/>
      </rPr>
      <t>1</t>
    </r>
    <r>
      <rPr>
        <i/>
        <sz val="11"/>
        <color theme="1"/>
        <rFont val="Calibri"/>
        <family val="2"/>
        <scheme val="minor"/>
      </rPr>
      <t xml:space="preserve">Grants and principal forgiveness will be </t>
    </r>
    <r>
      <rPr>
        <i/>
        <u/>
        <sz val="11"/>
        <color theme="1"/>
        <rFont val="Calibri"/>
        <family val="2"/>
        <scheme val="minor"/>
      </rPr>
      <t>limited to up to $500,000 per applicant per round or the percentage above, whichever is less</t>
    </r>
    <r>
      <rPr>
        <i/>
        <sz val="11"/>
        <color theme="1"/>
        <rFont val="Calibri"/>
        <family val="2"/>
        <scheme val="minor"/>
      </rPr>
      <t>, unless additional grants/principal forgiveness funds are available.</t>
    </r>
  </si>
  <si>
    <t>Population (2022)</t>
  </si>
  <si>
    <t>Median Household Income (2022)</t>
  </si>
  <si>
    <t>Total Appraised Value (2022-2023)</t>
  </si>
  <si>
    <t>VUR Assessment Score (2023)</t>
  </si>
  <si>
    <t>&lt;</t>
  </si>
  <si>
    <t>&gt;</t>
  </si>
  <si>
    <t>D1 Units?</t>
  </si>
  <si>
    <t>D1 Unit ?</t>
  </si>
  <si>
    <r>
      <rPr>
        <b/>
        <sz val="16"/>
        <color theme="1"/>
        <rFont val="Calibri"/>
        <family val="2"/>
        <scheme val="minor"/>
      </rPr>
      <t>NC Division of Water Infrastructure</t>
    </r>
    <r>
      <rPr>
        <sz val="16"/>
        <color theme="1"/>
        <rFont val="Calibri"/>
        <family val="2"/>
        <scheme val="minor"/>
      </rPr>
      <t xml:space="preserve"> </t>
    </r>
    <r>
      <rPr>
        <b/>
        <u/>
        <sz val="16"/>
        <color theme="1"/>
        <rFont val="Calibri"/>
        <family val="2"/>
        <scheme val="minor"/>
      </rPr>
      <t>Fall 2024 Affordability Calculator</t>
    </r>
  </si>
  <si>
    <t>Poverty Rate (%, 2022)</t>
  </si>
  <si>
    <t>Unemployment Rate (%, 2022)</t>
  </si>
  <si>
    <t>Population Change (%, 2018-2022)</t>
  </si>
  <si>
    <t>Chart Background Graph Data</t>
  </si>
  <si>
    <t>Truncated Chart Background Graph Data</t>
  </si>
  <si>
    <t>X</t>
  </si>
  <si>
    <t>0%</t>
  </si>
  <si>
    <t>25%</t>
  </si>
  <si>
    <t>50%</t>
  </si>
  <si>
    <t>75%</t>
  </si>
  <si>
    <t>100%</t>
  </si>
  <si>
    <r>
      <rPr>
        <b/>
        <vertAlign val="superscript"/>
        <sz val="9.5"/>
        <rFont val="Calibri"/>
        <family val="2"/>
        <scheme val="minor"/>
      </rPr>
      <t>+</t>
    </r>
    <r>
      <rPr>
        <b/>
        <sz val="9.5"/>
        <rFont val="Calibri"/>
        <family val="2"/>
        <scheme val="minor"/>
      </rPr>
      <t>Graph is truncated: $0-$80 (X-axis), $20-$170 (Y-axis)</t>
    </r>
  </si>
  <si>
    <t>Updated 8/14/2024. This tool can be used by Applicants to determine eligibility for grant/principal forgiveness funding and to complete the affordability calculations in the application for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</si>
</sst>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4" formatCode="_(&quot;$&quot;* #,##0.00_);_(&quot;$&quot;* \(#,##0.00\);_(&quot;$&quot;* &quot;-&quot;??_);_(@_)"/>
    <numFmt numFmtId="43" formatCode="_(* #,##0.00_);_(* \(#,##0.00\);_(* &quot;-&quot;??_);_(@_)"/>
    <numFmt numFmtId="164" formatCode="&quot;$&quot;#,##0"/>
    <numFmt numFmtId="165" formatCode="&quot;$&quot;#,##0.00"/>
    <numFmt numFmtId="166" formatCode="0.0%"/>
    <numFmt numFmtId="167" formatCode="_(* #,##0_);_(* \(#,##0\);_(* &quot;-&quot;??_);_(@_)"/>
    <numFmt numFmtId="168" formatCode="#,##0.0"/>
  </numFmts>
  <fonts count="4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b/>
      <sz val="12"/>
      <name val="Calibri"/>
      <family val="2"/>
      <scheme val="minor"/>
    </font>
    <font>
      <b/>
      <sz val="11"/>
      <name val="Calibri"/>
      <family val="2"/>
    </font>
    <font>
      <b/>
      <u/>
      <sz val="16"/>
      <color theme="1"/>
      <name val="Calibri"/>
      <family val="2"/>
      <scheme val="minor"/>
    </font>
    <font>
      <b/>
      <sz val="16"/>
      <color theme="1"/>
      <name val="Calibri"/>
      <family val="2"/>
      <scheme val="minor"/>
    </font>
    <font>
      <sz val="16"/>
      <color theme="1"/>
      <name val="Calibri"/>
      <family val="2"/>
      <scheme val="minor"/>
    </font>
    <font>
      <b/>
      <sz val="11"/>
      <color theme="1"/>
      <name val="Calibri"/>
      <family val="2"/>
    </font>
    <font>
      <sz val="10"/>
      <color theme="1"/>
      <name val="Calibri"/>
      <family val="2"/>
      <scheme val="minor"/>
    </font>
    <font>
      <b/>
      <sz val="14"/>
      <color theme="1"/>
      <name val="Calibri"/>
      <family val="2"/>
      <scheme val="minor"/>
    </font>
    <font>
      <b/>
      <sz val="14"/>
      <name val="Calibri"/>
      <family val="2"/>
    </font>
    <font>
      <b/>
      <sz val="14"/>
      <color rgb="FFFF0000"/>
      <name val="Calibri"/>
      <family val="2"/>
      <scheme val="minor"/>
    </font>
    <font>
      <sz val="11"/>
      <color theme="1"/>
      <name val="Arial"/>
      <family val="2"/>
    </font>
    <font>
      <sz val="10"/>
      <color theme="1"/>
      <name val="Arial"/>
      <family val="2"/>
    </font>
    <font>
      <sz val="12"/>
      <name val="Calibri"/>
      <family val="2"/>
      <scheme val="minor"/>
    </font>
    <font>
      <sz val="12"/>
      <color theme="1"/>
      <name val="Calibri"/>
      <family val="2"/>
      <scheme val="minor"/>
    </font>
    <font>
      <b/>
      <sz val="10"/>
      <color theme="1"/>
      <name val="Calibri"/>
      <family val="2"/>
      <scheme val="minor"/>
    </font>
    <font>
      <sz val="14"/>
      <color theme="1"/>
      <name val="Arial"/>
      <family val="2"/>
    </font>
    <font>
      <sz val="14"/>
      <color theme="1"/>
      <name val="Calibri"/>
      <family val="2"/>
      <scheme val="minor"/>
    </font>
    <font>
      <sz val="11"/>
      <color theme="1"/>
      <name val="Calibri"/>
      <family val="2"/>
    </font>
    <font>
      <vertAlign val="subscript"/>
      <sz val="11"/>
      <color theme="1"/>
      <name val="Calibri"/>
      <family val="2"/>
      <scheme val="minor"/>
    </font>
    <font>
      <b/>
      <vertAlign val="subscript"/>
      <sz val="11"/>
      <color theme="1"/>
      <name val="Calibri"/>
      <family val="2"/>
      <scheme val="minor"/>
    </font>
    <font>
      <b/>
      <sz val="11"/>
      <color rgb="FFFF0000"/>
      <name val="Calibri"/>
      <family val="2"/>
      <scheme val="minor"/>
    </font>
    <font>
      <i/>
      <sz val="11"/>
      <color theme="1"/>
      <name val="Calibri"/>
      <family val="2"/>
      <scheme val="minor"/>
    </font>
    <font>
      <b/>
      <sz val="11"/>
      <color theme="0" tint="-4.9989318521683403E-2"/>
      <name val="Calibri"/>
      <family val="2"/>
      <scheme val="minor"/>
    </font>
    <font>
      <sz val="12"/>
      <color theme="1"/>
      <name val="Calibri"/>
      <family val="2"/>
    </font>
    <font>
      <b/>
      <sz val="11"/>
      <color theme="1"/>
      <name val="Arial"/>
      <family val="2"/>
    </font>
    <font>
      <b/>
      <sz val="12"/>
      <name val="Calibri"/>
      <family val="2"/>
    </font>
    <font>
      <b/>
      <sz val="12"/>
      <color theme="1"/>
      <name val="Calibri"/>
      <family val="2"/>
      <scheme val="minor"/>
    </font>
    <font>
      <i/>
      <sz val="11"/>
      <name val="Calibri"/>
      <family val="2"/>
      <scheme val="minor"/>
    </font>
    <font>
      <b/>
      <sz val="9.5"/>
      <name val="Calibri"/>
      <family val="2"/>
      <scheme val="minor"/>
    </font>
    <font>
      <b/>
      <vertAlign val="superscript"/>
      <sz val="9.5"/>
      <name val="Calibri"/>
      <family val="2"/>
      <scheme val="minor"/>
    </font>
    <font>
      <sz val="8"/>
      <name val="Calibri"/>
      <family val="2"/>
      <scheme val="minor"/>
    </font>
    <font>
      <b/>
      <u/>
      <sz val="11"/>
      <color theme="1"/>
      <name val="Calibri"/>
      <family val="2"/>
      <scheme val="minor"/>
    </font>
    <font>
      <i/>
      <u/>
      <sz val="11"/>
      <color theme="1"/>
      <name val="Calibri"/>
      <family val="2"/>
      <scheme val="minor"/>
    </font>
    <font>
      <b/>
      <vertAlign val="superscript"/>
      <sz val="11"/>
      <color theme="8"/>
      <name val="Calibri"/>
      <family val="2"/>
    </font>
    <font>
      <vertAlign val="superscript"/>
      <sz val="11"/>
      <color theme="8"/>
      <name val="Calibri"/>
      <family val="2"/>
    </font>
    <font>
      <i/>
      <vertAlign val="superscript"/>
      <sz val="11"/>
      <color theme="8"/>
      <name val="Calibri"/>
      <family val="2"/>
      <scheme val="minor"/>
    </font>
    <font>
      <b/>
      <sz val="10.5"/>
      <color rgb="FFFF0000"/>
      <name val="Calibri"/>
      <family val="2"/>
      <scheme val="minor"/>
    </font>
  </fonts>
  <fills count="8">
    <fill>
      <patternFill patternType="none"/>
    </fill>
    <fill>
      <patternFill patternType="gray125"/>
    </fill>
    <fill>
      <patternFill patternType="solid">
        <fgColor theme="4"/>
        <bgColor theme="4"/>
      </patternFill>
    </fill>
    <fill>
      <patternFill patternType="solid">
        <fgColor rgb="FFFFFFCC"/>
        <bgColor indexed="64"/>
      </patternFill>
    </fill>
    <fill>
      <patternFill patternType="solid">
        <fgColor theme="9" tint="0.79998168889431442"/>
        <bgColor indexed="64"/>
      </patternFill>
    </fill>
    <fill>
      <patternFill patternType="mediumGray">
        <bgColor theme="1" tint="0.499984740745262"/>
      </patternFill>
    </fill>
    <fill>
      <patternFill patternType="solid">
        <fgColor indexed="65"/>
        <bgColor indexed="64"/>
      </patternFill>
    </fill>
    <fill>
      <patternFill patternType="solid">
        <fgColor rgb="FFCCECFF"/>
        <bgColor indexed="64"/>
      </patternFill>
    </fill>
  </fills>
  <borders count="90">
    <border>
      <left/>
      <right/>
      <top/>
      <bottom/>
      <diagonal/>
    </border>
    <border>
      <left/>
      <right/>
      <top style="thin">
        <color theme="4" tint="0.39997558519241921"/>
      </top>
      <bottom/>
      <diagonal/>
    </border>
    <border>
      <left/>
      <right/>
      <top style="thin">
        <color indexed="64"/>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theme="0" tint="-0.24994659260841701"/>
      </bottom>
      <diagonal/>
    </border>
    <border>
      <left/>
      <right style="medium">
        <color auto="1"/>
      </right>
      <top style="medium">
        <color auto="1"/>
      </top>
      <bottom style="thin">
        <color theme="0" tint="-0.24994659260841701"/>
      </bottom>
      <diagonal/>
    </border>
    <border>
      <left style="medium">
        <color auto="1"/>
      </left>
      <right/>
      <top style="thin">
        <color theme="0" tint="-0.24994659260841701"/>
      </top>
      <bottom style="thin">
        <color theme="0" tint="-0.24994659260841701"/>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theme="0" tint="-0.24994659260841701"/>
      </top>
      <bottom style="thin">
        <color theme="0" tint="-0.24994659260841701"/>
      </bottom>
      <diagonal/>
    </border>
    <border>
      <left style="medium">
        <color auto="1"/>
      </left>
      <right/>
      <top style="thin">
        <color theme="0" tint="-0.24994659260841701"/>
      </top>
      <bottom style="medium">
        <color auto="1"/>
      </bottom>
      <diagonal/>
    </border>
    <border>
      <left/>
      <right style="medium">
        <color auto="1"/>
      </right>
      <top style="thin">
        <color theme="0" tint="-0.24994659260841701"/>
      </top>
      <bottom style="medium">
        <color auto="1"/>
      </bottom>
      <diagonal/>
    </border>
    <border>
      <left style="medium">
        <color auto="1"/>
      </left>
      <right style="thin">
        <color theme="0" tint="-0.34998626667073579"/>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style="thin">
        <color theme="0" tint="-0.14996795556505021"/>
      </bottom>
      <diagonal/>
    </border>
    <border>
      <left style="medium">
        <color auto="1"/>
      </left>
      <right style="thin">
        <color theme="0" tint="-0.14996795556505021"/>
      </right>
      <top style="thin">
        <color theme="0" tint="-0.14996795556505021"/>
      </top>
      <bottom style="medium">
        <color auto="1"/>
      </bottom>
      <diagonal/>
    </border>
    <border>
      <left style="thin">
        <color theme="0" tint="-0.14996795556505021"/>
      </left>
      <right style="thin">
        <color theme="0" tint="-0.14996795556505021"/>
      </right>
      <top style="thin">
        <color theme="0" tint="-0.14996795556505021"/>
      </top>
      <bottom style="medium">
        <color auto="1"/>
      </bottom>
      <diagonal/>
    </border>
    <border>
      <left style="thin">
        <color theme="0" tint="-0.14996795556505021"/>
      </left>
      <right style="medium">
        <color auto="1"/>
      </right>
      <top style="thin">
        <color theme="0" tint="-0.1499679555650502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medium">
        <color auto="1"/>
      </right>
      <top/>
      <bottom/>
      <diagonal/>
    </border>
    <border>
      <left style="thin">
        <color auto="1"/>
      </left>
      <right style="thin">
        <color auto="1"/>
      </right>
      <top style="thin">
        <color auto="1"/>
      </top>
      <bottom style="thin">
        <color theme="0" tint="-0.34998626667073579"/>
      </bottom>
      <diagonal/>
    </border>
    <border>
      <left style="thin">
        <color auto="1"/>
      </left>
      <right/>
      <top style="thin">
        <color theme="0" tint="-0.34998626667073579"/>
      </top>
      <bottom style="thin">
        <color theme="0" tint="-0.34998626667073579"/>
      </bottom>
      <diagonal/>
    </border>
    <border>
      <left/>
      <right style="medium">
        <color auto="1"/>
      </right>
      <top style="thin">
        <color theme="0" tint="-0.34998626667073579"/>
      </top>
      <bottom style="thin">
        <color theme="0" tint="-0.34998626667073579"/>
      </bottom>
      <diagonal/>
    </border>
    <border>
      <left style="medium">
        <color indexed="64"/>
      </left>
      <right style="thin">
        <color auto="1"/>
      </right>
      <top style="medium">
        <color indexed="64"/>
      </top>
      <bottom style="thin">
        <color theme="0" tint="-0.34998626667073579"/>
      </bottom>
      <diagonal/>
    </border>
    <border>
      <left style="thin">
        <color auto="1"/>
      </left>
      <right style="thin">
        <color auto="1"/>
      </right>
      <top style="medium">
        <color auto="1"/>
      </top>
      <bottom style="thin">
        <color theme="0" tint="-0.34998626667073579"/>
      </bottom>
      <diagonal/>
    </border>
    <border>
      <left style="thin">
        <color auto="1"/>
      </left>
      <right style="medium">
        <color auto="1"/>
      </right>
      <top style="medium">
        <color auto="1"/>
      </top>
      <bottom style="thin">
        <color theme="0" tint="-0.34998626667073579"/>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bottom/>
      <diagonal/>
    </border>
    <border>
      <left style="thin">
        <color auto="1"/>
      </left>
      <right style="medium">
        <color auto="1"/>
      </right>
      <top/>
      <bottom/>
      <diagonal/>
    </border>
    <border>
      <left style="medium">
        <color auto="1"/>
      </left>
      <right/>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style="thin">
        <color indexed="64"/>
      </left>
      <right style="medium">
        <color indexed="64"/>
      </right>
      <top/>
      <bottom style="medium">
        <color indexed="64"/>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style="thin">
        <color theme="0" tint="-0.24994659260841701"/>
      </left>
      <right style="medium">
        <color auto="1"/>
      </right>
      <top style="thin">
        <color theme="0" tint="-0.24994659260841701"/>
      </top>
      <bottom style="thin">
        <color theme="0" tint="-0.24994659260841701"/>
      </bottom>
      <diagonal/>
    </border>
    <border>
      <left style="medium">
        <color auto="1"/>
      </left>
      <right style="thin">
        <color auto="1"/>
      </right>
      <top style="medium">
        <color auto="1"/>
      </top>
      <bottom/>
      <diagonal/>
    </border>
    <border>
      <left style="thin">
        <color indexed="64"/>
      </left>
      <right/>
      <top style="thin">
        <color indexed="64"/>
      </top>
      <bottom/>
      <diagonal/>
    </border>
    <border>
      <left/>
      <right style="medium">
        <color auto="1"/>
      </right>
      <top style="thin">
        <color indexed="64"/>
      </top>
      <bottom/>
      <diagonal/>
    </border>
    <border>
      <left/>
      <right style="thin">
        <color auto="1"/>
      </right>
      <top/>
      <bottom style="medium">
        <color indexed="64"/>
      </bottom>
      <diagonal/>
    </border>
    <border>
      <left style="medium">
        <color auto="1"/>
      </left>
      <right style="thin">
        <color theme="0" tint="-0.24994659260841701"/>
      </right>
      <top style="thin">
        <color theme="0" tint="-0.24994659260841701"/>
      </top>
      <bottom style="medium">
        <color auto="1"/>
      </bottom>
      <diagonal/>
    </border>
    <border>
      <left style="thin">
        <color theme="0" tint="-0.24994659260841701"/>
      </left>
      <right style="medium">
        <color auto="1"/>
      </right>
      <top style="thin">
        <color theme="0" tint="-0.24994659260841701"/>
      </top>
      <bottom style="medium">
        <color auto="1"/>
      </bottom>
      <diagonal/>
    </border>
    <border>
      <left style="thin">
        <color theme="0" tint="-0.24994659260841701"/>
      </left>
      <right style="medium">
        <color auto="1"/>
      </right>
      <top style="medium">
        <color auto="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auto="1"/>
      </bottom>
      <diagonal/>
    </border>
    <border>
      <left/>
      <right/>
      <top style="medium">
        <color auto="1"/>
      </top>
      <bottom style="medium">
        <color auto="1"/>
      </bottom>
      <diagonal/>
    </border>
    <border>
      <left style="thin">
        <color auto="1"/>
      </left>
      <right/>
      <top style="thin">
        <color theme="0" tint="-0.24994659260841701"/>
      </top>
      <bottom style="medium">
        <color auto="1"/>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medium">
        <color auto="1"/>
      </left>
      <right style="thin">
        <color theme="0" tint="-0.24994659260841701"/>
      </right>
      <top style="medium">
        <color auto="1"/>
      </top>
      <bottom/>
      <diagonal/>
    </border>
    <border>
      <left style="thin">
        <color theme="0" tint="-0.24994659260841701"/>
      </left>
      <right style="thin">
        <color theme="0" tint="-0.24994659260841701"/>
      </right>
      <top style="medium">
        <color auto="1"/>
      </top>
      <bottom/>
      <diagonal/>
    </border>
    <border>
      <left style="thin">
        <color theme="0" tint="-0.24994659260841701"/>
      </left>
      <right style="medium">
        <color auto="1"/>
      </right>
      <top style="medium">
        <color auto="1"/>
      </top>
      <bottom/>
      <diagonal/>
    </border>
    <border>
      <left style="medium">
        <color auto="1"/>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medium">
        <color auto="1"/>
      </right>
      <top/>
      <bottom/>
      <diagonal/>
    </border>
    <border>
      <left style="medium">
        <color auto="1"/>
      </left>
      <right style="thin">
        <color theme="0" tint="-0.24994659260841701"/>
      </right>
      <top/>
      <bottom style="medium">
        <color auto="1"/>
      </bottom>
      <diagonal/>
    </border>
    <border>
      <left style="thin">
        <color theme="0" tint="-0.24994659260841701"/>
      </left>
      <right style="thin">
        <color theme="0" tint="-0.24994659260841701"/>
      </right>
      <top/>
      <bottom style="medium">
        <color auto="1"/>
      </bottom>
      <diagonal/>
    </border>
    <border>
      <left style="thin">
        <color theme="0" tint="-0.24994659260841701"/>
      </left>
      <right style="medium">
        <color auto="1"/>
      </right>
      <top/>
      <bottom style="medium">
        <color auto="1"/>
      </bottom>
      <diagonal/>
    </border>
    <border>
      <left style="thin">
        <color theme="4" tint="0.39997558519241921"/>
      </left>
      <right/>
      <top style="thin">
        <color theme="4" tint="0.39997558519241921"/>
      </top>
      <bottom style="thin">
        <color theme="4" tint="0.39997558519241921"/>
      </bottom>
      <diagonal/>
    </border>
    <border>
      <left style="thin">
        <color auto="1"/>
      </left>
      <right/>
      <top style="medium">
        <color auto="1"/>
      </top>
      <bottom style="medium">
        <color auto="1"/>
      </bottom>
      <diagonal/>
    </border>
    <border>
      <left style="thin">
        <color indexed="64"/>
      </left>
      <right style="thin">
        <color indexed="64"/>
      </right>
      <top/>
      <bottom style="thin">
        <color auto="1"/>
      </bottom>
      <diagonal/>
    </border>
    <border>
      <left style="thin">
        <color auto="1"/>
      </left>
      <right style="thin">
        <color auto="1"/>
      </right>
      <top style="medium">
        <color auto="1"/>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0" fontId="17" fillId="0" borderId="0"/>
    <xf numFmtId="43" fontId="1" fillId="0" borderId="0" applyFont="0" applyFill="0" applyBorder="0" applyAlignment="0" applyProtection="0"/>
  </cellStyleXfs>
  <cellXfs count="247">
    <xf numFmtId="0" fontId="0" fillId="0" borderId="0" xfId="0"/>
    <xf numFmtId="0" fontId="5" fillId="0" borderId="1" xfId="3" applyNumberFormat="1" applyFont="1" applyFill="1" applyBorder="1" applyAlignment="1" applyProtection="1">
      <alignment horizontal="right"/>
    </xf>
    <xf numFmtId="0" fontId="5" fillId="0" borderId="0" xfId="3" applyNumberFormat="1" applyFont="1" applyFill="1" applyBorder="1" applyAlignment="1" applyProtection="1">
      <alignment horizontal="right"/>
    </xf>
    <xf numFmtId="3" fontId="0" fillId="3" borderId="39" xfId="0" applyNumberFormat="1" applyFill="1" applyBorder="1" applyAlignment="1" applyProtection="1">
      <alignment vertical="center"/>
      <protection locked="0" hidden="1"/>
    </xf>
    <xf numFmtId="3" fontId="0" fillId="3" borderId="40" xfId="0" applyNumberFormat="1" applyFill="1" applyBorder="1" applyAlignment="1" applyProtection="1">
      <alignment vertical="center"/>
      <protection locked="0" hidden="1"/>
    </xf>
    <xf numFmtId="3" fontId="0" fillId="3" borderId="41" xfId="0" applyNumberFormat="1" applyFill="1" applyBorder="1" applyAlignment="1" applyProtection="1">
      <alignment vertical="center"/>
      <protection locked="0" hidden="1"/>
    </xf>
    <xf numFmtId="3" fontId="0" fillId="3" borderId="49" xfId="0" applyNumberFormat="1" applyFill="1" applyBorder="1" applyAlignment="1" applyProtection="1">
      <alignment vertical="center"/>
      <protection locked="0" hidden="1"/>
    </xf>
    <xf numFmtId="164" fontId="0" fillId="3" borderId="49" xfId="0" applyNumberFormat="1" applyFill="1" applyBorder="1" applyAlignment="1" applyProtection="1">
      <alignment vertical="center"/>
      <protection locked="0" hidden="1"/>
    </xf>
    <xf numFmtId="0" fontId="9" fillId="0" borderId="0" xfId="0" applyFont="1" applyProtection="1">
      <protection hidden="1"/>
    </xf>
    <xf numFmtId="0" fontId="0" fillId="0" borderId="0" xfId="0" applyProtection="1">
      <protection hidden="1"/>
    </xf>
    <xf numFmtId="0" fontId="3" fillId="0" borderId="0" xfId="0" applyFont="1" applyAlignment="1" applyProtection="1">
      <alignment horizontal="left"/>
      <protection hidden="1"/>
    </xf>
    <xf numFmtId="0" fontId="5" fillId="0" borderId="0" xfId="0" applyFont="1" applyProtection="1">
      <protection hidden="1"/>
    </xf>
    <xf numFmtId="0" fontId="13" fillId="0" borderId="0" xfId="0" applyFont="1" applyProtection="1">
      <protection hidden="1"/>
    </xf>
    <xf numFmtId="0" fontId="14" fillId="0" borderId="0" xfId="0" applyFont="1" applyProtection="1">
      <protection hidden="1"/>
    </xf>
    <xf numFmtId="0" fontId="3" fillId="0" borderId="0" xfId="0" applyFont="1" applyProtection="1">
      <protection hidden="1"/>
    </xf>
    <xf numFmtId="9" fontId="16" fillId="0" borderId="0" xfId="0" applyNumberFormat="1" applyFont="1" applyAlignment="1" applyProtection="1">
      <alignment vertical="center" wrapText="1"/>
      <protection hidden="1"/>
    </xf>
    <xf numFmtId="0" fontId="0" fillId="0" borderId="27" xfId="0" applyBorder="1" applyAlignment="1" applyProtection="1">
      <alignment horizontal="right" vertical="center"/>
      <protection hidden="1"/>
    </xf>
    <xf numFmtId="0" fontId="5" fillId="0" borderId="0" xfId="0" applyFont="1" applyAlignment="1" applyProtection="1">
      <alignment horizontal="center"/>
      <protection hidden="1"/>
    </xf>
    <xf numFmtId="0" fontId="0" fillId="0" borderId="27" xfId="0" applyBorder="1" applyAlignment="1" applyProtection="1">
      <alignment horizontal="right" vertical="center" wrapText="1"/>
      <protection hidden="1"/>
    </xf>
    <xf numFmtId="0" fontId="14" fillId="0" borderId="24" xfId="0" applyFont="1" applyBorder="1" applyProtection="1">
      <protection hidden="1"/>
    </xf>
    <xf numFmtId="0" fontId="0" fillId="0" borderId="25" xfId="0" applyBorder="1" applyProtection="1">
      <protection hidden="1"/>
    </xf>
    <xf numFmtId="0" fontId="0" fillId="0" borderId="27" xfId="0" applyBorder="1" applyProtection="1">
      <protection hidden="1"/>
    </xf>
    <xf numFmtId="0" fontId="0" fillId="0" borderId="27" xfId="0" applyBorder="1" applyAlignment="1" applyProtection="1">
      <alignment horizontal="right"/>
      <protection hidden="1"/>
    </xf>
    <xf numFmtId="0" fontId="5" fillId="0" borderId="0" xfId="0" applyFont="1" applyAlignment="1" applyProtection="1">
      <alignment horizontal="right"/>
      <protection hidden="1"/>
    </xf>
    <xf numFmtId="10" fontId="0" fillId="0" borderId="25" xfId="0" applyNumberFormat="1" applyBorder="1" applyProtection="1">
      <protection hidden="1"/>
    </xf>
    <xf numFmtId="0" fontId="0" fillId="0" borderId="26" xfId="0" applyBorder="1" applyAlignment="1" applyProtection="1">
      <alignment wrapText="1"/>
      <protection hidden="1"/>
    </xf>
    <xf numFmtId="0" fontId="0" fillId="0" borderId="35" xfId="0" applyBorder="1" applyAlignment="1" applyProtection="1">
      <alignment wrapText="1"/>
      <protection hidden="1"/>
    </xf>
    <xf numFmtId="0" fontId="18" fillId="0" borderId="0" xfId="4" applyFont="1" applyAlignment="1" applyProtection="1">
      <alignment horizontal="center"/>
      <protection hidden="1"/>
    </xf>
    <xf numFmtId="0" fontId="18" fillId="0" borderId="0" xfId="4" applyFont="1" applyProtection="1">
      <protection hidden="1"/>
    </xf>
    <xf numFmtId="0" fontId="20" fillId="0" borderId="27" xfId="0" applyFont="1" applyBorder="1" applyAlignment="1" applyProtection="1">
      <alignment horizontal="right" vertical="center"/>
      <protection hidden="1"/>
    </xf>
    <xf numFmtId="166" fontId="19" fillId="0" borderId="26" xfId="4" applyNumberFormat="1" applyFont="1" applyBorder="1" applyAlignment="1" applyProtection="1">
      <alignment horizontal="center"/>
      <protection hidden="1"/>
    </xf>
    <xf numFmtId="0" fontId="0" fillId="5" borderId="60" xfId="0" applyFill="1" applyBorder="1" applyProtection="1">
      <protection hidden="1"/>
    </xf>
    <xf numFmtId="0" fontId="0" fillId="0" borderId="43" xfId="0" applyBorder="1" applyAlignment="1" applyProtection="1">
      <alignment vertical="center"/>
      <protection hidden="1"/>
    </xf>
    <xf numFmtId="9" fontId="21" fillId="0" borderId="7" xfId="2" applyFont="1" applyFill="1" applyBorder="1" applyAlignment="1" applyProtection="1">
      <alignment horizontal="center" vertical="center" wrapText="1"/>
      <protection hidden="1"/>
    </xf>
    <xf numFmtId="0" fontId="0" fillId="5" borderId="54" xfId="0" applyFill="1" applyBorder="1" applyProtection="1">
      <protection hidden="1"/>
    </xf>
    <xf numFmtId="0" fontId="0" fillId="0" borderId="48" xfId="0" applyBorder="1" applyProtection="1">
      <protection hidden="1"/>
    </xf>
    <xf numFmtId="0" fontId="0" fillId="5" borderId="63" xfId="0" applyFill="1" applyBorder="1" applyProtection="1">
      <protection hidden="1"/>
    </xf>
    <xf numFmtId="0" fontId="22" fillId="0" borderId="0" xfId="0" applyFont="1" applyAlignment="1" applyProtection="1">
      <alignment horizontal="center"/>
      <protection hidden="1"/>
    </xf>
    <xf numFmtId="0" fontId="22" fillId="0" borderId="0" xfId="0" quotePrefix="1" applyFont="1" applyAlignment="1" applyProtection="1">
      <alignment horizontal="center"/>
      <protection hidden="1"/>
    </xf>
    <xf numFmtId="164" fontId="0" fillId="0" borderId="46" xfId="0" applyNumberFormat="1" applyBorder="1" applyProtection="1">
      <protection hidden="1"/>
    </xf>
    <xf numFmtId="0" fontId="1" fillId="5" borderId="2" xfId="0" applyFont="1" applyFill="1" applyBorder="1" applyProtection="1">
      <protection hidden="1"/>
    </xf>
    <xf numFmtId="0" fontId="23" fillId="5" borderId="52" xfId="0" applyFont="1" applyFill="1" applyBorder="1" applyAlignment="1" applyProtection="1">
      <alignment horizontal="center"/>
      <protection hidden="1"/>
    </xf>
    <xf numFmtId="0" fontId="0" fillId="5" borderId="53" xfId="0" applyFill="1" applyBorder="1" applyAlignment="1" applyProtection="1">
      <alignment horizontal="center"/>
      <protection hidden="1"/>
    </xf>
    <xf numFmtId="0" fontId="0" fillId="0" borderId="54" xfId="0" applyBorder="1" applyProtection="1">
      <protection hidden="1"/>
    </xf>
    <xf numFmtId="164" fontId="0" fillId="0" borderId="55" xfId="0" applyNumberFormat="1" applyBorder="1" applyProtection="1">
      <protection hidden="1"/>
    </xf>
    <xf numFmtId="164" fontId="1" fillId="0" borderId="56" xfId="4" applyNumberFormat="1" applyFont="1" applyBorder="1" applyProtection="1">
      <protection hidden="1"/>
    </xf>
    <xf numFmtId="0" fontId="22" fillId="0" borderId="56" xfId="0" applyFont="1" applyBorder="1" applyAlignment="1" applyProtection="1">
      <alignment horizontal="center"/>
      <protection hidden="1"/>
    </xf>
    <xf numFmtId="164" fontId="0" fillId="0" borderId="56" xfId="0" applyNumberFormat="1" applyBorder="1" applyProtection="1">
      <protection hidden="1"/>
    </xf>
    <xf numFmtId="0" fontId="0" fillId="0" borderId="26" xfId="0" applyBorder="1" applyProtection="1">
      <protection hidden="1"/>
    </xf>
    <xf numFmtId="7" fontId="0" fillId="0" borderId="35" xfId="0" applyNumberFormat="1" applyBorder="1" applyProtection="1">
      <protection hidden="1"/>
    </xf>
    <xf numFmtId="0" fontId="0" fillId="0" borderId="33" xfId="0" applyBorder="1" applyAlignment="1" applyProtection="1">
      <alignment horizontal="right"/>
      <protection hidden="1"/>
    </xf>
    <xf numFmtId="10" fontId="0" fillId="0" borderId="0" xfId="2" applyNumberFormat="1" applyFont="1" applyProtection="1">
      <protection hidden="1"/>
    </xf>
    <xf numFmtId="0" fontId="3" fillId="0" borderId="27" xfId="0" applyFont="1" applyBorder="1" applyAlignment="1" applyProtection="1">
      <alignment horizontal="right"/>
      <protection hidden="1"/>
    </xf>
    <xf numFmtId="4" fontId="3" fillId="0" borderId="35" xfId="0" applyNumberFormat="1" applyFont="1" applyBorder="1" applyProtection="1">
      <protection hidden="1"/>
    </xf>
    <xf numFmtId="0" fontId="0" fillId="0" borderId="60" xfId="0" applyBorder="1" applyProtection="1">
      <protection hidden="1"/>
    </xf>
    <xf numFmtId="0" fontId="0" fillId="0" borderId="42" xfId="0" applyBorder="1" applyProtection="1">
      <protection hidden="1"/>
    </xf>
    <xf numFmtId="7" fontId="0" fillId="6" borderId="33" xfId="0" applyNumberFormat="1" applyFill="1" applyBorder="1" applyAlignment="1" applyProtection="1">
      <alignment horizontal="center"/>
      <protection hidden="1"/>
    </xf>
    <xf numFmtId="7" fontId="0" fillId="6" borderId="59" xfId="0" applyNumberFormat="1" applyFill="1" applyBorder="1" applyAlignment="1" applyProtection="1">
      <alignment horizontal="center"/>
      <protection hidden="1"/>
    </xf>
    <xf numFmtId="0" fontId="0" fillId="0" borderId="0" xfId="0" applyAlignment="1" applyProtection="1">
      <alignment horizontal="center"/>
      <protection hidden="1"/>
    </xf>
    <xf numFmtId="0" fontId="0" fillId="0" borderId="64" xfId="0" applyBorder="1" applyProtection="1">
      <protection hidden="1"/>
    </xf>
    <xf numFmtId="0" fontId="0" fillId="0" borderId="68" xfId="0" applyBorder="1" applyAlignment="1" applyProtection="1">
      <alignment horizontal="right"/>
      <protection hidden="1"/>
    </xf>
    <xf numFmtId="165" fontId="0" fillId="0" borderId="0" xfId="0" applyNumberFormat="1" applyProtection="1">
      <protection hidden="1"/>
    </xf>
    <xf numFmtId="0" fontId="0" fillId="0" borderId="0" xfId="0" applyAlignment="1" applyProtection="1">
      <alignment horizontal="right"/>
      <protection hidden="1"/>
    </xf>
    <xf numFmtId="0" fontId="5" fillId="3" borderId="8" xfId="0" applyFont="1" applyFill="1" applyBorder="1" applyProtection="1">
      <protection hidden="1"/>
    </xf>
    <xf numFmtId="44" fontId="5" fillId="3" borderId="9" xfId="1" applyFont="1" applyFill="1" applyBorder="1" applyProtection="1">
      <protection hidden="1"/>
    </xf>
    <xf numFmtId="165" fontId="7" fillId="0" borderId="0" xfId="0" applyNumberFormat="1" applyFont="1" applyAlignment="1" applyProtection="1">
      <alignment horizontal="right"/>
      <protection hidden="1"/>
    </xf>
    <xf numFmtId="0" fontId="5" fillId="3" borderId="10" xfId="0" applyFont="1" applyFill="1" applyBorder="1" applyProtection="1">
      <protection hidden="1"/>
    </xf>
    <xf numFmtId="44" fontId="5" fillId="3" borderId="13" xfId="1" applyFont="1" applyFill="1" applyBorder="1" applyProtection="1">
      <protection hidden="1"/>
    </xf>
    <xf numFmtId="165" fontId="6" fillId="0" borderId="0" xfId="0" applyNumberFormat="1" applyFont="1" applyAlignment="1" applyProtection="1">
      <alignment horizontal="right"/>
      <protection hidden="1"/>
    </xf>
    <xf numFmtId="0" fontId="5" fillId="3" borderId="14" xfId="0" applyFont="1" applyFill="1" applyBorder="1" applyProtection="1">
      <protection hidden="1"/>
    </xf>
    <xf numFmtId="44" fontId="5" fillId="3" borderId="15" xfId="1" applyFont="1" applyFill="1" applyBorder="1" applyProtection="1">
      <protection hidden="1"/>
    </xf>
    <xf numFmtId="0" fontId="28" fillId="0" borderId="0" xfId="0" applyFont="1" applyProtection="1">
      <protection hidden="1"/>
    </xf>
    <xf numFmtId="0" fontId="6" fillId="0" borderId="0" xfId="0" applyFont="1" applyAlignment="1" applyProtection="1">
      <alignment vertical="top"/>
      <protection hidden="1"/>
    </xf>
    <xf numFmtId="0" fontId="5" fillId="0" borderId="19" xfId="0" applyFont="1" applyBorder="1" applyProtection="1">
      <protection hidden="1"/>
    </xf>
    <xf numFmtId="9" fontId="5" fillId="0" borderId="19" xfId="0" applyNumberFormat="1" applyFont="1" applyBorder="1" applyProtection="1">
      <protection hidden="1"/>
    </xf>
    <xf numFmtId="9" fontId="5" fillId="0" borderId="20" xfId="0" applyNumberFormat="1" applyFont="1" applyBorder="1" applyProtection="1">
      <protection hidden="1"/>
    </xf>
    <xf numFmtId="0" fontId="5" fillId="0" borderId="22" xfId="0" applyFont="1" applyBorder="1" applyProtection="1">
      <protection hidden="1"/>
    </xf>
    <xf numFmtId="9" fontId="5" fillId="0" borderId="22" xfId="0" applyNumberFormat="1" applyFont="1" applyBorder="1" applyProtection="1">
      <protection hidden="1"/>
    </xf>
    <xf numFmtId="9" fontId="5" fillId="0" borderId="23" xfId="0" applyNumberFormat="1" applyFont="1" applyBorder="1" applyProtection="1">
      <protection hidden="1"/>
    </xf>
    <xf numFmtId="166" fontId="0" fillId="3" borderId="36" xfId="0" applyNumberFormat="1" applyFill="1" applyBorder="1" applyAlignment="1" applyProtection="1">
      <alignment horizontal="center"/>
      <protection locked="0" hidden="1"/>
    </xf>
    <xf numFmtId="0" fontId="5" fillId="0" borderId="0" xfId="0" applyFont="1" applyAlignment="1" applyProtection="1">
      <alignment horizontal="center" vertical="center"/>
      <protection hidden="1"/>
    </xf>
    <xf numFmtId="0" fontId="20" fillId="0" borderId="56" xfId="0" applyFont="1" applyBorder="1" applyAlignment="1" applyProtection="1">
      <alignment horizontal="center" vertical="center"/>
      <protection hidden="1"/>
    </xf>
    <xf numFmtId="0" fontId="5" fillId="0" borderId="0" xfId="0" applyFont="1" applyAlignment="1" applyProtection="1">
      <alignment horizontal="left" vertical="top" wrapText="1"/>
      <protection hidden="1"/>
    </xf>
    <xf numFmtId="0" fontId="5" fillId="0" borderId="56"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20" fillId="0" borderId="56" xfId="0" applyFont="1" applyBorder="1" applyAlignment="1" applyProtection="1">
      <alignment horizontal="left" vertical="center"/>
      <protection hidden="1"/>
    </xf>
    <xf numFmtId="0" fontId="5" fillId="0" borderId="72" xfId="0" applyFont="1" applyBorder="1" applyProtection="1">
      <protection hidden="1"/>
    </xf>
    <xf numFmtId="9" fontId="5" fillId="0" borderId="72" xfId="0" applyNumberFormat="1" applyFont="1" applyBorder="1" applyProtection="1">
      <protection hidden="1"/>
    </xf>
    <xf numFmtId="9" fontId="5" fillId="0" borderId="73" xfId="0" applyNumberFormat="1" applyFont="1" applyBorder="1" applyProtection="1">
      <protection hidden="1"/>
    </xf>
    <xf numFmtId="0" fontId="5" fillId="0" borderId="56" xfId="0" applyFont="1" applyBorder="1" applyAlignment="1" applyProtection="1">
      <alignment vertical="center" wrapText="1"/>
      <protection hidden="1"/>
    </xf>
    <xf numFmtId="165" fontId="5" fillId="0" borderId="56" xfId="0" applyNumberFormat="1" applyFont="1" applyBorder="1" applyAlignment="1" applyProtection="1">
      <alignment horizontal="center"/>
      <protection hidden="1"/>
    </xf>
    <xf numFmtId="0" fontId="7" fillId="0" borderId="0" xfId="0" applyFont="1" applyAlignment="1" applyProtection="1">
      <alignment horizontal="center" vertical="center"/>
      <protection hidden="1"/>
    </xf>
    <xf numFmtId="165" fontId="6" fillId="0" borderId="0" xfId="0" applyNumberFormat="1" applyFont="1" applyAlignment="1" applyProtection="1">
      <alignment horizontal="center" vertical="center"/>
      <protection hidden="1"/>
    </xf>
    <xf numFmtId="0" fontId="5" fillId="0" borderId="71" xfId="0" applyFont="1" applyBorder="1" applyAlignment="1" applyProtection="1">
      <alignment horizontal="center"/>
      <protection hidden="1"/>
    </xf>
    <xf numFmtId="0" fontId="5" fillId="0" borderId="18" xfId="0" applyFont="1" applyBorder="1" applyAlignment="1" applyProtection="1">
      <alignment horizontal="center"/>
      <protection hidden="1"/>
    </xf>
    <xf numFmtId="0" fontId="5" fillId="0" borderId="21" xfId="0" applyFont="1" applyBorder="1" applyAlignment="1" applyProtection="1">
      <alignment horizontal="center"/>
      <protection hidden="1"/>
    </xf>
    <xf numFmtId="164" fontId="6" fillId="3" borderId="16" xfId="0" applyNumberFormat="1" applyFont="1" applyFill="1" applyBorder="1" applyAlignment="1" applyProtection="1">
      <alignment horizontal="center" vertical="center"/>
      <protection hidden="1"/>
    </xf>
    <xf numFmtId="165" fontId="6" fillId="0" borderId="11" xfId="0" applyNumberFormat="1" applyFont="1" applyBorder="1" applyAlignment="1" applyProtection="1">
      <alignment horizontal="center" vertical="center"/>
      <protection hidden="1"/>
    </xf>
    <xf numFmtId="164" fontId="6" fillId="3" borderId="17" xfId="0" applyNumberFormat="1" applyFont="1" applyFill="1" applyBorder="1" applyAlignment="1" applyProtection="1">
      <alignment horizontal="center" vertical="center"/>
      <protection hidden="1"/>
    </xf>
    <xf numFmtId="165" fontId="6" fillId="0" borderId="12" xfId="0" applyNumberFormat="1" applyFont="1" applyBorder="1" applyAlignment="1" applyProtection="1">
      <alignment horizontal="center" vertical="center"/>
      <protection hidden="1"/>
    </xf>
    <xf numFmtId="0" fontId="0" fillId="0" borderId="27" xfId="0" applyBorder="1" applyAlignment="1">
      <alignment horizontal="right" vertical="center" wrapText="1"/>
    </xf>
    <xf numFmtId="0" fontId="14" fillId="0" borderId="0" xfId="0" applyFont="1"/>
    <xf numFmtId="9" fontId="0" fillId="0" borderId="0" xfId="0" applyNumberFormat="1"/>
    <xf numFmtId="0" fontId="27" fillId="0" borderId="0" xfId="0" applyFont="1" applyAlignment="1" applyProtection="1">
      <alignment horizontal="left" wrapText="1"/>
      <protection hidden="1"/>
    </xf>
    <xf numFmtId="0" fontId="27" fillId="0" borderId="0" xfId="0" applyFont="1" applyAlignment="1" applyProtection="1">
      <alignment vertical="top" wrapText="1"/>
      <protection hidden="1"/>
    </xf>
    <xf numFmtId="0" fontId="27" fillId="0" borderId="0" xfId="0" applyFont="1" applyAlignment="1" applyProtection="1">
      <alignment wrapText="1"/>
      <protection hidden="1"/>
    </xf>
    <xf numFmtId="0" fontId="6" fillId="0" borderId="0" xfId="0" applyFont="1" applyAlignment="1" applyProtection="1">
      <alignment wrapText="1"/>
      <protection hidden="1"/>
    </xf>
    <xf numFmtId="165" fontId="5" fillId="0" borderId="0" xfId="2" applyNumberFormat="1" applyFont="1" applyFill="1" applyBorder="1" applyAlignment="1" applyProtection="1">
      <alignment wrapText="1"/>
      <protection hidden="1"/>
    </xf>
    <xf numFmtId="3" fontId="5" fillId="0" borderId="0" xfId="2" applyNumberFormat="1" applyFont="1" applyFill="1" applyBorder="1" applyAlignment="1" applyProtection="1">
      <alignment wrapText="1"/>
      <protection hidden="1"/>
    </xf>
    <xf numFmtId="165" fontId="5" fillId="0" borderId="0" xfId="0" applyNumberFormat="1" applyFont="1" applyProtection="1">
      <protection hidden="1"/>
    </xf>
    <xf numFmtId="7" fontId="5" fillId="0" borderId="0" xfId="1" applyNumberFormat="1" applyFont="1" applyBorder="1" applyProtection="1">
      <protection hidden="1"/>
    </xf>
    <xf numFmtId="3" fontId="0" fillId="3" borderId="17" xfId="0" applyNumberFormat="1" applyFill="1" applyBorder="1" applyAlignment="1" applyProtection="1">
      <alignment horizontal="center"/>
      <protection locked="0"/>
    </xf>
    <xf numFmtId="9" fontId="20" fillId="3" borderId="44" xfId="4" applyNumberFormat="1" applyFont="1" applyFill="1" applyBorder="1" applyAlignment="1" applyProtection="1">
      <alignment horizontal="center" vertical="center"/>
      <protection locked="0"/>
    </xf>
    <xf numFmtId="9" fontId="20" fillId="3" borderId="45" xfId="4" applyNumberFormat="1" applyFont="1" applyFill="1" applyBorder="1" applyAlignment="1" applyProtection="1">
      <alignment horizontal="center" vertical="center"/>
      <protection locked="0"/>
    </xf>
    <xf numFmtId="164" fontId="0" fillId="3" borderId="59" xfId="0" applyNumberFormat="1" applyFill="1" applyBorder="1" applyProtection="1">
      <protection locked="0"/>
    </xf>
    <xf numFmtId="7" fontId="0" fillId="3" borderId="64" xfId="1" applyNumberFormat="1" applyFont="1" applyFill="1" applyBorder="1" applyAlignment="1" applyProtection="1">
      <alignment horizontal="center" vertical="center"/>
      <protection locked="0"/>
    </xf>
    <xf numFmtId="7" fontId="0" fillId="3" borderId="65" xfId="1" applyNumberFormat="1" applyFont="1" applyFill="1" applyBorder="1" applyAlignment="1" applyProtection="1">
      <alignment horizontal="center" vertical="center"/>
      <protection locked="0"/>
    </xf>
    <xf numFmtId="49" fontId="35" fillId="0" borderId="0" xfId="0" applyNumberFormat="1" applyFont="1" applyAlignment="1" applyProtection="1">
      <alignment vertical="top"/>
      <protection hidden="1"/>
    </xf>
    <xf numFmtId="0" fontId="16" fillId="0" borderId="0" xfId="0" applyFont="1" applyAlignment="1" applyProtection="1">
      <alignment vertical="center" wrapText="1"/>
      <protection hidden="1"/>
    </xf>
    <xf numFmtId="0" fontId="17" fillId="0" borderId="0" xfId="4" applyAlignment="1" applyProtection="1">
      <alignment horizontal="center"/>
      <protection hidden="1"/>
    </xf>
    <xf numFmtId="0" fontId="17" fillId="0" borderId="0" xfId="4" applyProtection="1">
      <protection hidden="1"/>
    </xf>
    <xf numFmtId="0" fontId="5" fillId="0" borderId="0" xfId="3" applyNumberFormat="1" applyFont="1" applyFill="1" applyAlignment="1" applyProtection="1">
      <alignment horizontal="right"/>
    </xf>
    <xf numFmtId="167" fontId="0" fillId="0" borderId="1" xfId="5" applyNumberFormat="1" applyFont="1" applyFill="1" applyBorder="1" applyProtection="1"/>
    <xf numFmtId="167" fontId="0" fillId="0" borderId="0" xfId="5" applyNumberFormat="1" applyFont="1" applyFill="1" applyBorder="1" applyProtection="1"/>
    <xf numFmtId="167" fontId="0" fillId="0" borderId="0" xfId="5" applyNumberFormat="1" applyFont="1" applyFill="1" applyProtection="1"/>
    <xf numFmtId="0" fontId="0" fillId="0" borderId="0" xfId="0" applyAlignment="1" applyProtection="1">
      <alignment vertical="center" wrapText="1"/>
      <protection hidden="1"/>
    </xf>
    <xf numFmtId="0" fontId="10" fillId="0" borderId="30" xfId="0" applyFont="1" applyBorder="1" applyAlignment="1" applyProtection="1">
      <alignment horizontal="center" vertical="center"/>
      <protection hidden="1"/>
    </xf>
    <xf numFmtId="9" fontId="20" fillId="3" borderId="84" xfId="4" applyNumberFormat="1" applyFont="1" applyFill="1" applyBorder="1" applyAlignment="1" applyProtection="1">
      <alignment horizontal="center" vertical="center"/>
      <protection locked="0"/>
    </xf>
    <xf numFmtId="0" fontId="0" fillId="5" borderId="69" xfId="0" applyFill="1" applyBorder="1" applyProtection="1">
      <protection hidden="1"/>
    </xf>
    <xf numFmtId="0" fontId="0" fillId="5" borderId="12" xfId="0" applyFill="1" applyBorder="1" applyAlignment="1" applyProtection="1">
      <alignment horizontal="center"/>
      <protection hidden="1"/>
    </xf>
    <xf numFmtId="0" fontId="2" fillId="2" borderId="0" xfId="0" applyFont="1" applyFill="1" applyAlignment="1">
      <alignment horizontal="center" wrapText="1"/>
    </xf>
    <xf numFmtId="10" fontId="2" fillId="2" borderId="0" xfId="0" applyNumberFormat="1" applyFont="1" applyFill="1" applyAlignment="1">
      <alignment horizontal="center" wrapText="1"/>
    </xf>
    <xf numFmtId="0" fontId="29" fillId="0" borderId="0" xfId="0" applyFont="1" applyAlignment="1">
      <alignment horizontal="left"/>
    </xf>
    <xf numFmtId="0" fontId="29" fillId="0" borderId="0" xfId="0" applyFont="1" applyAlignment="1">
      <alignment wrapText="1"/>
    </xf>
    <xf numFmtId="164" fontId="0" fillId="0" borderId="0" xfId="0" applyNumberFormat="1" applyAlignment="1">
      <alignment horizontal="right"/>
    </xf>
    <xf numFmtId="164" fontId="0" fillId="0" borderId="0" xfId="0" applyNumberFormat="1"/>
    <xf numFmtId="0" fontId="0" fillId="0" borderId="1" xfId="0" applyBorder="1"/>
    <xf numFmtId="0" fontId="0" fillId="0" borderId="1" xfId="0" applyBorder="1" applyAlignment="1">
      <alignment horizontal="center"/>
    </xf>
    <xf numFmtId="0" fontId="0" fillId="0" borderId="0" xfId="0" applyAlignment="1">
      <alignment horizontal="center"/>
    </xf>
    <xf numFmtId="0" fontId="0" fillId="0" borderId="83" xfId="0" applyBorder="1" applyAlignment="1">
      <alignment horizontal="left"/>
    </xf>
    <xf numFmtId="0" fontId="0" fillId="0" borderId="0" xfId="0" applyAlignment="1">
      <alignment horizontal="left"/>
    </xf>
    <xf numFmtId="167" fontId="0" fillId="0" borderId="0" xfId="5" applyNumberFormat="1" applyFont="1" applyAlignment="1" applyProtection="1">
      <alignment horizontal="right"/>
    </xf>
    <xf numFmtId="0" fontId="0" fillId="0" borderId="0" xfId="0" applyAlignment="1">
      <alignment wrapText="1"/>
    </xf>
    <xf numFmtId="0" fontId="5" fillId="0" borderId="0" xfId="0" applyFont="1" applyAlignment="1">
      <alignment horizontal="center"/>
    </xf>
    <xf numFmtId="0" fontId="5" fillId="0" borderId="1" xfId="0" applyFont="1" applyBorder="1" applyAlignment="1">
      <alignment horizontal="center"/>
    </xf>
    <xf numFmtId="165" fontId="0" fillId="0" borderId="66" xfId="0" applyNumberFormat="1" applyBorder="1" applyAlignment="1" applyProtection="1">
      <alignment horizontal="center" vertical="center"/>
      <protection hidden="1"/>
    </xf>
    <xf numFmtId="0" fontId="0" fillId="0" borderId="59" xfId="0" applyBorder="1" applyAlignment="1" applyProtection="1">
      <alignment horizontal="center"/>
      <protection hidden="1"/>
    </xf>
    <xf numFmtId="3" fontId="0" fillId="3" borderId="59" xfId="0" applyNumberFormat="1" applyFill="1" applyBorder="1" applyAlignment="1" applyProtection="1">
      <alignment horizontal="center"/>
      <protection locked="0"/>
    </xf>
    <xf numFmtId="3" fontId="0" fillId="0" borderId="59" xfId="0" applyNumberFormat="1" applyBorder="1" applyAlignment="1" applyProtection="1">
      <alignment horizontal="center"/>
      <protection hidden="1"/>
    </xf>
    <xf numFmtId="165" fontId="0" fillId="0" borderId="65" xfId="0" applyNumberFormat="1" applyBorder="1" applyAlignment="1" applyProtection="1">
      <alignment horizontal="center"/>
      <protection hidden="1"/>
    </xf>
    <xf numFmtId="0" fontId="0" fillId="0" borderId="46" xfId="0" applyBorder="1" applyProtection="1">
      <protection hidden="1"/>
    </xf>
    <xf numFmtId="168" fontId="0" fillId="3" borderId="49" xfId="0" applyNumberFormat="1" applyFill="1" applyBorder="1" applyAlignment="1" applyProtection="1">
      <alignment vertical="center"/>
      <protection locked="0" hidden="1"/>
    </xf>
    <xf numFmtId="0" fontId="0" fillId="0" borderId="1" xfId="2" applyNumberFormat="1" applyFont="1" applyFill="1" applyBorder="1" applyProtection="1"/>
    <xf numFmtId="0" fontId="0" fillId="0" borderId="0" xfId="2" applyNumberFormat="1" applyFont="1" applyFill="1" applyBorder="1" applyProtection="1"/>
    <xf numFmtId="0" fontId="0" fillId="0" borderId="0" xfId="0" applyAlignment="1">
      <alignment horizontal="right"/>
    </xf>
    <xf numFmtId="0" fontId="0" fillId="0" borderId="0" xfId="2" applyNumberFormat="1" applyFont="1" applyFill="1" applyProtection="1"/>
    <xf numFmtId="168" fontId="0" fillId="0" borderId="86" xfId="0" applyNumberFormat="1" applyBorder="1" applyAlignment="1" applyProtection="1">
      <alignment vertical="center"/>
      <protection locked="0" hidden="1"/>
    </xf>
    <xf numFmtId="168" fontId="0" fillId="0" borderId="46" xfId="0" applyNumberFormat="1" applyBorder="1" applyAlignment="1" applyProtection="1">
      <alignment vertical="center"/>
      <protection locked="0" hidden="1"/>
    </xf>
    <xf numFmtId="168" fontId="0" fillId="0" borderId="85" xfId="0" applyNumberFormat="1" applyBorder="1" applyAlignment="1" applyProtection="1">
      <alignment vertical="center"/>
      <protection locked="0" hidden="1"/>
    </xf>
    <xf numFmtId="164" fontId="0" fillId="0" borderId="46" xfId="0" applyNumberFormat="1" applyBorder="1" applyAlignment="1" applyProtection="1">
      <alignment vertical="center"/>
      <protection locked="0" hidden="1"/>
    </xf>
    <xf numFmtId="164" fontId="0" fillId="0" borderId="56" xfId="0" applyNumberFormat="1"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0" fillId="0" borderId="0" xfId="2" applyNumberFormat="1" applyFont="1" applyFill="1" applyBorder="1" applyAlignment="1" applyProtection="1">
      <alignment horizontal="right"/>
    </xf>
    <xf numFmtId="0" fontId="5" fillId="0" borderId="0" xfId="0" applyFont="1" applyAlignment="1" applyProtection="1">
      <alignment horizontal="center" vertical="center" wrapText="1"/>
      <protection hidden="1"/>
    </xf>
    <xf numFmtId="9" fontId="5" fillId="0" borderId="0" xfId="0" applyNumberFormat="1" applyFont="1" applyProtection="1">
      <protection hidden="1"/>
    </xf>
    <xf numFmtId="9" fontId="6" fillId="0" borderId="0" xfId="2" applyFont="1" applyFill="1" applyBorder="1" applyAlignment="1" applyProtection="1">
      <alignment horizontal="center" vertical="center"/>
      <protection hidden="1"/>
    </xf>
    <xf numFmtId="9" fontId="6" fillId="4" borderId="0" xfId="0" applyNumberFormat="1" applyFont="1" applyFill="1" applyAlignment="1" applyProtection="1">
      <alignment horizontal="center" vertical="center"/>
      <protection hidden="1"/>
    </xf>
    <xf numFmtId="164" fontId="0" fillId="0" borderId="0" xfId="0" applyNumberFormat="1" applyAlignment="1" applyProtection="1">
      <alignment horizontal="center" vertical="center"/>
      <protection hidden="1"/>
    </xf>
    <xf numFmtId="164" fontId="5" fillId="0" borderId="0" xfId="0" applyNumberFormat="1" applyFont="1" applyAlignment="1" applyProtection="1">
      <alignment horizontal="center" vertical="center" wrapText="1"/>
      <protection hidden="1"/>
    </xf>
    <xf numFmtId="0" fontId="3" fillId="0" borderId="56" xfId="0" applyFont="1" applyBorder="1" applyAlignment="1" applyProtection="1">
      <alignment horizontal="center" vertical="center"/>
      <protection hidden="1"/>
    </xf>
    <xf numFmtId="164" fontId="5" fillId="0" borderId="56" xfId="0" applyNumberFormat="1" applyFont="1" applyBorder="1" applyAlignment="1" applyProtection="1">
      <alignment horizontal="center" vertical="center" wrapText="1"/>
      <protection hidden="1"/>
    </xf>
    <xf numFmtId="164" fontId="5" fillId="0" borderId="56" xfId="0" applyNumberFormat="1" applyFont="1" applyBorder="1" applyAlignment="1" applyProtection="1">
      <alignment horizontal="center" vertical="center"/>
      <protection hidden="1"/>
    </xf>
    <xf numFmtId="9" fontId="6" fillId="0" borderId="0" xfId="0" applyNumberFormat="1" applyFont="1" applyAlignment="1" applyProtection="1">
      <alignment horizontal="center" vertical="center"/>
      <protection hidden="1"/>
    </xf>
    <xf numFmtId="164" fontId="5" fillId="0" borderId="56" xfId="2" applyNumberFormat="1" applyFont="1" applyFill="1" applyBorder="1" applyAlignment="1" applyProtection="1">
      <alignment horizontal="center" vertical="center"/>
      <protection hidden="1"/>
    </xf>
    <xf numFmtId="0" fontId="2" fillId="2" borderId="87" xfId="0" applyFont="1" applyFill="1" applyBorder="1" applyAlignment="1" applyProtection="1">
      <alignment horizontal="center" vertical="center"/>
      <protection hidden="1"/>
    </xf>
    <xf numFmtId="9" fontId="2" fillId="2" borderId="88" xfId="0" applyNumberFormat="1" applyFont="1" applyFill="1" applyBorder="1" applyAlignment="1" applyProtection="1">
      <alignment horizontal="center"/>
      <protection hidden="1"/>
    </xf>
    <xf numFmtId="9" fontId="2" fillId="2" borderId="89" xfId="0" applyNumberFormat="1" applyFont="1" applyFill="1" applyBorder="1" applyAlignment="1" applyProtection="1">
      <alignment horizontal="center"/>
      <protection hidden="1"/>
    </xf>
    <xf numFmtId="0" fontId="0" fillId="3" borderId="37" xfId="0" applyFill="1" applyBorder="1" applyAlignment="1" applyProtection="1">
      <alignment horizontal="center" vertical="center"/>
      <protection locked="0" hidden="1"/>
    </xf>
    <xf numFmtId="0" fontId="0" fillId="3" borderId="38" xfId="0" applyFill="1" applyBorder="1" applyAlignment="1" applyProtection="1">
      <alignment horizontal="center" vertical="center"/>
      <protection locked="0" hidden="1"/>
    </xf>
    <xf numFmtId="0" fontId="20" fillId="0" borderId="27" xfId="0" applyFont="1" applyBorder="1" applyAlignment="1" applyProtection="1">
      <alignment horizontal="right"/>
      <protection hidden="1"/>
    </xf>
    <xf numFmtId="0" fontId="20" fillId="0" borderId="51" xfId="0" applyFont="1" applyBorder="1" applyAlignment="1" applyProtection="1">
      <alignment horizontal="right"/>
      <protection hidden="1"/>
    </xf>
    <xf numFmtId="0" fontId="0" fillId="3" borderId="61" xfId="0" applyFill="1" applyBorder="1" applyAlignment="1" applyProtection="1">
      <alignment horizontal="center" vertical="center"/>
      <protection locked="0"/>
    </xf>
    <xf numFmtId="0" fontId="0" fillId="3" borderId="62" xfId="0" applyFill="1" applyBorder="1" applyAlignment="1" applyProtection="1">
      <alignment horizontal="center" vertical="center"/>
      <protection locked="0"/>
    </xf>
    <xf numFmtId="0" fontId="0" fillId="0" borderId="25" xfId="0" applyBorder="1" applyAlignment="1" applyProtection="1">
      <alignment horizontal="center" wrapText="1"/>
      <protection hidden="1"/>
    </xf>
    <xf numFmtId="0" fontId="0" fillId="0" borderId="0" xfId="0" applyAlignment="1" applyProtection="1">
      <alignment horizontal="center" wrapText="1"/>
      <protection hidden="1"/>
    </xf>
    <xf numFmtId="0" fontId="0" fillId="0" borderId="29" xfId="0" applyBorder="1" applyAlignment="1" applyProtection="1">
      <alignment horizontal="center" wrapText="1"/>
      <protection hidden="1"/>
    </xf>
    <xf numFmtId="0" fontId="13" fillId="0" borderId="0" xfId="0" applyFont="1" applyAlignment="1" applyProtection="1">
      <alignment horizontal="left" vertical="top" wrapText="1"/>
      <protection hidden="1"/>
    </xf>
    <xf numFmtId="0" fontId="43" fillId="0" borderId="28" xfId="0" applyFont="1" applyBorder="1" applyAlignment="1" applyProtection="1">
      <alignment horizontal="left" wrapText="1"/>
      <protection hidden="1"/>
    </xf>
    <xf numFmtId="0" fontId="43" fillId="0" borderId="29" xfId="0" applyFont="1" applyBorder="1" applyAlignment="1" applyProtection="1">
      <alignment horizontal="left" wrapText="1"/>
      <protection hidden="1"/>
    </xf>
    <xf numFmtId="0" fontId="43" fillId="0" borderId="30" xfId="0" applyFont="1" applyBorder="1" applyAlignment="1" applyProtection="1">
      <alignment horizontal="left" wrapText="1"/>
      <protection hidden="1"/>
    </xf>
    <xf numFmtId="0" fontId="20" fillId="0" borderId="28" xfId="0" applyFont="1" applyBorder="1" applyAlignment="1" applyProtection="1">
      <alignment horizontal="right"/>
      <protection hidden="1"/>
    </xf>
    <xf numFmtId="0" fontId="20" fillId="0" borderId="63" xfId="0" applyFont="1" applyBorder="1" applyAlignment="1" applyProtection="1">
      <alignment horizontal="right"/>
      <protection hidden="1"/>
    </xf>
    <xf numFmtId="0" fontId="0" fillId="3" borderId="70"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27" fillId="0" borderId="28" xfId="0" applyFont="1" applyBorder="1" applyAlignment="1" applyProtection="1">
      <alignment horizontal="left" wrapText="1"/>
      <protection hidden="1"/>
    </xf>
    <xf numFmtId="0" fontId="27" fillId="0" borderId="29" xfId="0" applyFont="1" applyBorder="1" applyAlignment="1" applyProtection="1">
      <alignment horizontal="left" wrapText="1"/>
      <protection hidden="1"/>
    </xf>
    <xf numFmtId="0" fontId="27" fillId="0" borderId="30" xfId="0" applyFont="1" applyBorder="1" applyAlignment="1" applyProtection="1">
      <alignment horizontal="left" wrapText="1"/>
      <protection hidden="1"/>
    </xf>
    <xf numFmtId="0" fontId="5" fillId="0" borderId="75" xfId="0" applyFont="1" applyBorder="1" applyAlignment="1" applyProtection="1">
      <alignment horizontal="center" vertical="center" wrapText="1"/>
      <protection hidden="1"/>
    </xf>
    <xf numFmtId="0" fontId="5" fillId="0" borderId="78" xfId="0" applyFont="1" applyBorder="1" applyAlignment="1" applyProtection="1">
      <alignment horizontal="center" vertical="center" wrapText="1"/>
      <protection hidden="1"/>
    </xf>
    <xf numFmtId="0" fontId="5" fillId="0" borderId="81" xfId="0" applyFont="1" applyBorder="1" applyAlignment="1" applyProtection="1">
      <alignment horizontal="center" vertical="center" wrapText="1"/>
      <protection hidden="1"/>
    </xf>
    <xf numFmtId="0" fontId="17" fillId="0" borderId="0" xfId="4" applyAlignment="1" applyProtection="1">
      <alignment horizontal="center"/>
      <protection hidden="1"/>
    </xf>
    <xf numFmtId="9" fontId="6" fillId="4" borderId="4" xfId="0" applyNumberFormat="1" applyFont="1" applyFill="1" applyBorder="1" applyAlignment="1" applyProtection="1">
      <alignment horizontal="center" vertical="center"/>
      <protection hidden="1"/>
    </xf>
    <xf numFmtId="9" fontId="6" fillId="4" borderId="69" xfId="0" applyNumberFormat="1" applyFont="1" applyFill="1" applyBorder="1" applyAlignment="1" applyProtection="1">
      <alignment horizontal="center" vertical="center"/>
      <protection hidden="1"/>
    </xf>
    <xf numFmtId="9" fontId="6" fillId="4" borderId="5" xfId="0" applyNumberFormat="1" applyFont="1" applyFill="1" applyBorder="1" applyAlignment="1" applyProtection="1">
      <alignment horizontal="center" vertical="center"/>
      <protection hidden="1"/>
    </xf>
    <xf numFmtId="9" fontId="6" fillId="0" borderId="4" xfId="2" applyFont="1" applyFill="1" applyBorder="1" applyAlignment="1" applyProtection="1">
      <alignment horizontal="center" vertical="center"/>
      <protection hidden="1"/>
    </xf>
    <xf numFmtId="9" fontId="6" fillId="0" borderId="5" xfId="2" applyFont="1" applyFill="1" applyBorder="1" applyAlignment="1" applyProtection="1">
      <alignment horizontal="center" vertical="center"/>
      <protection hidden="1"/>
    </xf>
    <xf numFmtId="0" fontId="27" fillId="0" borderId="27" xfId="0" applyFont="1" applyBorder="1" applyAlignment="1" applyProtection="1">
      <alignment horizontal="left" vertical="top" wrapText="1"/>
      <protection hidden="1"/>
    </xf>
    <xf numFmtId="0" fontId="27" fillId="0" borderId="35" xfId="0" applyFont="1" applyBorder="1" applyAlignment="1" applyProtection="1">
      <alignment horizontal="left" vertical="top" wrapText="1"/>
      <protection hidden="1"/>
    </xf>
    <xf numFmtId="0" fontId="27" fillId="0" borderId="28" xfId="0" applyFont="1" applyBorder="1" applyAlignment="1" applyProtection="1">
      <alignment horizontal="left" vertical="top" wrapText="1"/>
      <protection hidden="1"/>
    </xf>
    <xf numFmtId="0" fontId="27" fillId="0" borderId="30" xfId="0" applyFont="1" applyBorder="1" applyAlignment="1" applyProtection="1">
      <alignment horizontal="left" vertical="top" wrapText="1"/>
      <protection hidden="1"/>
    </xf>
    <xf numFmtId="0" fontId="6" fillId="0" borderId="0" xfId="0" applyFont="1" applyAlignment="1" applyProtection="1">
      <alignment horizontal="center"/>
      <protection hidden="1"/>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15" fillId="0" borderId="24" xfId="0" applyFont="1" applyBorder="1" applyAlignment="1" applyProtection="1">
      <alignment horizontal="left" vertical="top" wrapText="1"/>
      <protection hidden="1"/>
    </xf>
    <xf numFmtId="0" fontId="15" fillId="0" borderId="25" xfId="0" applyFont="1" applyBorder="1" applyAlignment="1" applyProtection="1">
      <alignment horizontal="left" vertical="top" wrapText="1"/>
      <protection hidden="1"/>
    </xf>
    <xf numFmtId="0" fontId="15" fillId="0" borderId="26" xfId="0" applyFont="1" applyBorder="1" applyAlignment="1" applyProtection="1">
      <alignment horizontal="left" vertical="top" wrapText="1"/>
      <protection hidden="1"/>
    </xf>
    <xf numFmtId="0" fontId="27" fillId="0" borderId="57" xfId="0" applyFont="1" applyBorder="1" applyAlignment="1" applyProtection="1">
      <alignment horizontal="left" wrapText="1"/>
      <protection hidden="1"/>
    </xf>
    <xf numFmtId="0" fontId="27" fillId="0" borderId="58" xfId="0" applyFont="1" applyBorder="1" applyAlignment="1" applyProtection="1">
      <alignment horizontal="left" wrapText="1"/>
      <protection hidden="1"/>
    </xf>
    <xf numFmtId="0" fontId="5" fillId="0" borderId="74"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5" fillId="0" borderId="80" xfId="0" applyFont="1" applyBorder="1" applyAlignment="1" applyProtection="1">
      <alignment horizontal="center" vertical="center" wrapText="1"/>
      <protection hidden="1"/>
    </xf>
    <xf numFmtId="0" fontId="31" fillId="0" borderId="0" xfId="4" applyFont="1" applyAlignment="1" applyProtection="1">
      <alignment horizontal="center" vertical="center"/>
      <protection hidden="1"/>
    </xf>
    <xf numFmtId="0" fontId="5" fillId="0" borderId="76" xfId="0" applyFont="1" applyBorder="1" applyAlignment="1" applyProtection="1">
      <alignment horizontal="center" vertical="center" wrapText="1"/>
      <protection hidden="1"/>
    </xf>
    <xf numFmtId="0" fontId="5" fillId="0" borderId="79" xfId="0" applyFont="1" applyBorder="1" applyAlignment="1" applyProtection="1">
      <alignment horizontal="center" vertical="center" wrapText="1"/>
      <protection hidden="1"/>
    </xf>
    <xf numFmtId="0" fontId="5" fillId="0" borderId="82" xfId="0" applyFont="1" applyBorder="1" applyAlignment="1" applyProtection="1">
      <alignment horizontal="center" vertical="center" wrapText="1"/>
      <protection hidden="1"/>
    </xf>
    <xf numFmtId="0" fontId="0" fillId="0" borderId="0" xfId="0" applyAlignment="1" applyProtection="1">
      <alignment horizontal="center"/>
      <protection hidden="1"/>
    </xf>
    <xf numFmtId="0" fontId="0" fillId="0" borderId="42" xfId="0" applyBorder="1" applyAlignment="1" applyProtection="1">
      <alignment horizontal="center" wrapText="1"/>
      <protection hidden="1"/>
    </xf>
    <xf numFmtId="0" fontId="0" fillId="0" borderId="47" xfId="0" applyBorder="1" applyAlignment="1" applyProtection="1">
      <alignment horizontal="center" wrapText="1"/>
      <protection hidden="1"/>
    </xf>
    <xf numFmtId="0" fontId="0" fillId="0" borderId="50" xfId="0" applyBorder="1" applyAlignment="1" applyProtection="1">
      <alignment horizontal="center" wrapText="1"/>
      <protection hidden="1"/>
    </xf>
    <xf numFmtId="0" fontId="0" fillId="0" borderId="58" xfId="0" applyBorder="1" applyAlignment="1" applyProtection="1">
      <alignment horizontal="center" vertical="center" wrapText="1"/>
      <protection hidden="1"/>
    </xf>
    <xf numFmtId="0" fontId="13" fillId="0" borderId="0" xfId="0" applyFont="1" applyAlignment="1" applyProtection="1">
      <alignment vertical="top" wrapText="1"/>
      <protection hidden="1"/>
    </xf>
    <xf numFmtId="0" fontId="0" fillId="0" borderId="31" xfId="0" applyBorder="1" applyAlignment="1" applyProtection="1">
      <alignment horizontal="right"/>
      <protection hidden="1"/>
    </xf>
    <xf numFmtId="0" fontId="0" fillId="0" borderId="32" xfId="0" applyBorder="1" applyAlignment="1" applyProtection="1">
      <alignment horizontal="right"/>
      <protection hidden="1"/>
    </xf>
    <xf numFmtId="0" fontId="34" fillId="0" borderId="0" xfId="0" applyFont="1" applyAlignment="1">
      <alignment horizontal="left" vertical="top" wrapText="1"/>
    </xf>
    <xf numFmtId="0" fontId="28" fillId="0" borderId="0" xfId="0" applyFont="1" applyAlignment="1">
      <alignment horizontal="left" vertical="top" wrapText="1"/>
    </xf>
    <xf numFmtId="0" fontId="33" fillId="0" borderId="4" xfId="0" applyFont="1" applyBorder="1" applyAlignment="1">
      <alignment horizontal="center"/>
    </xf>
    <xf numFmtId="0" fontId="33" fillId="0" borderId="69" xfId="0" applyFont="1" applyBorder="1" applyAlignment="1">
      <alignment horizontal="center"/>
    </xf>
    <xf numFmtId="0" fontId="33" fillId="0" borderId="5" xfId="0" applyFont="1" applyBorder="1" applyAlignment="1">
      <alignment horizontal="center"/>
    </xf>
    <xf numFmtId="0" fontId="0" fillId="0" borderId="0" xfId="0" applyAlignment="1" applyProtection="1">
      <alignment horizontal="left" wrapText="1"/>
      <protection hidden="1"/>
    </xf>
    <xf numFmtId="0" fontId="28" fillId="0" borderId="0" xfId="0" applyFont="1" applyAlignment="1" applyProtection="1">
      <alignment horizontal="left" wrapText="1"/>
      <protection hidden="1"/>
    </xf>
    <xf numFmtId="9" fontId="16" fillId="7" borderId="3" xfId="0" applyNumberFormat="1" applyFont="1" applyFill="1" applyBorder="1" applyAlignment="1" applyProtection="1">
      <alignment horizontal="center" vertical="center" wrapText="1"/>
      <protection hidden="1"/>
    </xf>
    <xf numFmtId="9" fontId="16" fillId="7" borderId="6" xfId="0" applyNumberFormat="1" applyFont="1" applyFill="1" applyBorder="1" applyAlignment="1" applyProtection="1">
      <alignment horizontal="center" vertical="center" wrapText="1"/>
      <protection hidden="1"/>
    </xf>
    <xf numFmtId="9" fontId="16" fillId="7" borderId="7" xfId="0" applyNumberFormat="1" applyFont="1" applyFill="1" applyBorder="1" applyAlignment="1" applyProtection="1">
      <alignment horizontal="center" vertical="center" wrapText="1"/>
      <protection hidden="1"/>
    </xf>
    <xf numFmtId="0" fontId="0" fillId="0" borderId="33" xfId="0" applyBorder="1" applyAlignment="1" applyProtection="1">
      <alignment horizontal="right"/>
      <protection hidden="1"/>
    </xf>
    <xf numFmtId="0" fontId="0" fillId="0" borderId="34" xfId="0" applyBorder="1" applyAlignment="1" applyProtection="1">
      <alignment horizontal="right"/>
      <protection hidden="1"/>
    </xf>
    <xf numFmtId="0" fontId="0" fillId="0" borderId="10" xfId="0" applyBorder="1" applyAlignment="1" applyProtection="1">
      <alignment horizontal="center"/>
      <protection hidden="1"/>
    </xf>
    <xf numFmtId="0" fontId="0" fillId="0" borderId="67" xfId="0" applyBorder="1" applyAlignment="1" applyProtection="1">
      <alignment horizontal="center"/>
      <protection hidden="1"/>
    </xf>
  </cellXfs>
  <cellStyles count="6">
    <cellStyle name="Comma" xfId="5" builtinId="3"/>
    <cellStyle name="Comma 3" xfId="3" xr:uid="{8D28D001-04F2-48BD-B8DD-58A2D55EC56F}"/>
    <cellStyle name="Currency" xfId="1" builtinId="4"/>
    <cellStyle name="Normal" xfId="0" builtinId="0"/>
    <cellStyle name="Normal 3" xfId="4" xr:uid="{349AE79A-70A3-45F9-9B73-F67F57547D7D}"/>
    <cellStyle name="Percent" xfId="2" builtinId="5"/>
  </cellStyles>
  <dxfs count="57">
    <dxf>
      <fill>
        <patternFill>
          <bgColor theme="9" tint="0.79998168889431442"/>
        </patternFill>
      </fill>
    </dxf>
    <dxf>
      <font>
        <strike val="0"/>
        <color theme="1" tint="0.499984740745262"/>
      </font>
      <fill>
        <patternFill patternType="solid">
          <fgColor theme="1" tint="0.499984740745262"/>
          <bgColor theme="1" tint="0.499984740745262"/>
        </patternFill>
      </fill>
    </dxf>
    <dxf>
      <font>
        <color rgb="FFFF0000"/>
      </font>
    </dxf>
    <dxf>
      <font>
        <strike val="0"/>
        <color theme="1" tint="0.499984740745262"/>
      </font>
      <fill>
        <patternFill patternType="solid">
          <fgColor theme="1" tint="0.499984740745262"/>
          <bgColor theme="1" tint="0.499984740745262"/>
        </patternFill>
      </fill>
    </dxf>
    <dxf>
      <font>
        <b/>
        <i val="0"/>
        <color rgb="FFFF0000"/>
      </font>
    </dxf>
    <dxf>
      <font>
        <b/>
        <i val="0"/>
        <color rgb="FFFF0000"/>
      </font>
    </dxf>
    <dxf>
      <font>
        <b/>
        <i val="0"/>
        <color rgb="FFFF0000"/>
      </font>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border>
      <protection locked="1" hidden="0"/>
    </dxf>
    <dxf>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protection locked="1" hidden="0"/>
    </dxf>
    <dxf>
      <font>
        <b/>
        <i val="0"/>
        <strike val="0"/>
        <condense val="0"/>
        <extend val="0"/>
        <outline val="0"/>
        <shadow val="0"/>
        <u val="none"/>
        <vertAlign val="baseline"/>
        <sz val="11"/>
        <color theme="0" tint="-4.9989318521683403E-2"/>
        <name val="Calibri"/>
        <family val="2"/>
        <scheme val="minor"/>
      </font>
      <fill>
        <patternFill patternType="none">
          <fgColor indexed="64"/>
          <bgColor auto="1"/>
        </patternFill>
      </fill>
      <alignment horizontal="general" vertical="bottom" textRotation="90" wrapText="0" indent="0" justifyLastLine="0" shrinkToFit="0" readingOrder="0"/>
      <protection locked="1" hidden="0"/>
    </dxf>
    <dxf>
      <fill>
        <patternFill patternType="none">
          <fgColor indexed="64"/>
          <bgColor indexed="65"/>
        </patternFill>
      </fill>
      <protection locked="1" hidden="0"/>
    </dxf>
    <dxf>
      <numFmt numFmtId="164" formatCode="&quot;$&quot;#,##0"/>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right/>
        <top/>
        <bottom/>
      </border>
      <protection locked="1" hidden="0"/>
    </dxf>
    <dxf>
      <font>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numFmt numFmtId="164" formatCode="&quot;$&quot;#,##0"/>
      <fill>
        <patternFill patternType="none">
          <fgColor indexed="64"/>
          <bgColor auto="1"/>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protection locked="1" hidden="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1" indent="0" justifyLastLine="0" shrinkToFit="0" readingOrder="0"/>
      <protection locked="1" hidden="0"/>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border outline="0">
        <top style="thin">
          <color indexed="64"/>
        </top>
      </border>
    </dxf>
    <dxf>
      <numFmt numFmtId="164" formatCode="&quot;$&quot;#,##0"/>
      <alignment horizontal="center" vertical="center" textRotation="0" indent="0" justifyLastLine="0" shrinkToFit="0" readingOrder="0"/>
      <protection locked="1" hidden="1"/>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numFmt numFmtId="13" formatCode="0%"/>
      <fill>
        <patternFill patternType="solid">
          <fgColor theme="4"/>
          <bgColor theme="4"/>
        </patternFill>
      </fill>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1" formatCode="&quot;$&quot;#,##0.00_);\(&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s>
  <tableStyles count="0" defaultTableStyle="TableStyleMedium2" defaultPivotStyle="PivotStyleLight16"/>
  <colors>
    <mruColors>
      <color rgb="FF7CB9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areaChart>
        <c:grouping val="standard"/>
        <c:varyColors val="0"/>
        <c:ser>
          <c:idx val="5"/>
          <c:order val="0"/>
          <c:tx>
            <c:strRef>
              <c:f>'Affordability Calculator'!$AV$2</c:f>
              <c:strCache>
                <c:ptCount val="1"/>
                <c:pt idx="0">
                  <c:v>100%</c:v>
                </c:pt>
              </c:strCache>
            </c:strRef>
          </c:tx>
          <c:spPr>
            <a:solidFill>
              <a:srgbClr val="00B050"/>
            </a:solidFill>
            <a:ln w="12700">
              <a:solidFill>
                <a:sysClr val="windowText" lastClr="000000"/>
              </a:solidFill>
            </a:ln>
            <a:effectLst/>
          </c:spPr>
          <c:val>
            <c:numRef>
              <c:f>'Affordability Calculator'!$AV$3:$AV$83</c:f>
              <c:numCache>
                <c:formatCode>"$"#,##0</c:formatCode>
                <c:ptCount val="81"/>
                <c:pt idx="0">
                  <c:v>170</c:v>
                </c:pt>
                <c:pt idx="1">
                  <c:v>170</c:v>
                </c:pt>
                <c:pt idx="2">
                  <c:v>170</c:v>
                </c:pt>
                <c:pt idx="3">
                  <c:v>170</c:v>
                </c:pt>
                <c:pt idx="4">
                  <c:v>170</c:v>
                </c:pt>
                <c:pt idx="5">
                  <c:v>170</c:v>
                </c:pt>
                <c:pt idx="6">
                  <c:v>170</c:v>
                </c:pt>
                <c:pt idx="7">
                  <c:v>170</c:v>
                </c:pt>
                <c:pt idx="8">
                  <c:v>170</c:v>
                </c:pt>
                <c:pt idx="9">
                  <c:v>170</c:v>
                </c:pt>
                <c:pt idx="10">
                  <c:v>170</c:v>
                </c:pt>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25">
                  <c:v>170</c:v>
                </c:pt>
                <c:pt idx="26">
                  <c:v>170</c:v>
                </c:pt>
                <c:pt idx="27">
                  <c:v>170</c:v>
                </c:pt>
                <c:pt idx="28">
                  <c:v>170</c:v>
                </c:pt>
                <c:pt idx="29">
                  <c:v>170</c:v>
                </c:pt>
                <c:pt idx="30">
                  <c:v>170</c:v>
                </c:pt>
                <c:pt idx="31">
                  <c:v>170</c:v>
                </c:pt>
                <c:pt idx="32">
                  <c:v>170</c:v>
                </c:pt>
                <c:pt idx="33">
                  <c:v>170</c:v>
                </c:pt>
                <c:pt idx="34">
                  <c:v>170</c:v>
                </c:pt>
                <c:pt idx="35">
                  <c:v>170</c:v>
                </c:pt>
                <c:pt idx="36">
                  <c:v>170</c:v>
                </c:pt>
                <c:pt idx="37">
                  <c:v>170</c:v>
                </c:pt>
                <c:pt idx="38">
                  <c:v>170</c:v>
                </c:pt>
                <c:pt idx="39">
                  <c:v>170</c:v>
                </c:pt>
                <c:pt idx="40">
                  <c:v>170</c:v>
                </c:pt>
                <c:pt idx="41">
                  <c:v>170</c:v>
                </c:pt>
                <c:pt idx="42">
                  <c:v>170</c:v>
                </c:pt>
                <c:pt idx="43">
                  <c:v>170</c:v>
                </c:pt>
                <c:pt idx="44">
                  <c:v>170</c:v>
                </c:pt>
                <c:pt idx="45">
                  <c:v>170</c:v>
                </c:pt>
                <c:pt idx="46">
                  <c:v>170</c:v>
                </c:pt>
                <c:pt idx="47">
                  <c:v>170</c:v>
                </c:pt>
                <c:pt idx="48">
                  <c:v>170</c:v>
                </c:pt>
                <c:pt idx="49">
                  <c:v>170</c:v>
                </c:pt>
                <c:pt idx="50">
                  <c:v>170</c:v>
                </c:pt>
                <c:pt idx="51">
                  <c:v>170</c:v>
                </c:pt>
                <c:pt idx="52">
                  <c:v>170</c:v>
                </c:pt>
                <c:pt idx="53">
                  <c:v>170</c:v>
                </c:pt>
                <c:pt idx="54">
                  <c:v>170</c:v>
                </c:pt>
                <c:pt idx="55">
                  <c:v>170</c:v>
                </c:pt>
                <c:pt idx="56">
                  <c:v>170</c:v>
                </c:pt>
                <c:pt idx="57">
                  <c:v>170</c:v>
                </c:pt>
                <c:pt idx="58">
                  <c:v>170</c:v>
                </c:pt>
                <c:pt idx="59">
                  <c:v>170</c:v>
                </c:pt>
                <c:pt idx="60">
                  <c:v>170</c:v>
                </c:pt>
                <c:pt idx="61">
                  <c:v>170</c:v>
                </c:pt>
                <c:pt idx="62">
                  <c:v>170</c:v>
                </c:pt>
                <c:pt idx="63">
                  <c:v>170</c:v>
                </c:pt>
                <c:pt idx="64">
                  <c:v>170</c:v>
                </c:pt>
                <c:pt idx="65">
                  <c:v>170</c:v>
                </c:pt>
                <c:pt idx="66">
                  <c:v>170</c:v>
                </c:pt>
                <c:pt idx="67">
                  <c:v>170</c:v>
                </c:pt>
                <c:pt idx="68">
                  <c:v>170</c:v>
                </c:pt>
                <c:pt idx="69">
                  <c:v>170</c:v>
                </c:pt>
                <c:pt idx="70">
                  <c:v>170</c:v>
                </c:pt>
                <c:pt idx="71">
                  <c:v>170</c:v>
                </c:pt>
                <c:pt idx="72">
                  <c:v>170</c:v>
                </c:pt>
                <c:pt idx="73">
                  <c:v>170</c:v>
                </c:pt>
                <c:pt idx="74">
                  <c:v>170</c:v>
                </c:pt>
                <c:pt idx="75">
                  <c:v>170</c:v>
                </c:pt>
                <c:pt idx="76">
                  <c:v>170</c:v>
                </c:pt>
                <c:pt idx="77">
                  <c:v>170</c:v>
                </c:pt>
                <c:pt idx="78">
                  <c:v>170</c:v>
                </c:pt>
                <c:pt idx="79">
                  <c:v>170</c:v>
                </c:pt>
                <c:pt idx="80">
                  <c:v>170</c:v>
                </c:pt>
              </c:numCache>
            </c:numRef>
          </c:val>
          <c:extLst>
            <c:ext xmlns:c16="http://schemas.microsoft.com/office/drawing/2014/chart" uri="{C3380CC4-5D6E-409C-BE32-E72D297353CC}">
              <c16:uniqueId val="{00000005-1068-4D8D-9264-A78536646FE9}"/>
            </c:ext>
          </c:extLst>
        </c:ser>
        <c:ser>
          <c:idx val="4"/>
          <c:order val="1"/>
          <c:tx>
            <c:strRef>
              <c:f>'Affordability Calculator'!$AU$2</c:f>
              <c:strCache>
                <c:ptCount val="1"/>
                <c:pt idx="0">
                  <c:v>75%</c:v>
                </c:pt>
              </c:strCache>
            </c:strRef>
          </c:tx>
          <c:spPr>
            <a:solidFill>
              <a:srgbClr val="70AD47"/>
            </a:solidFill>
            <a:ln w="12700">
              <a:solidFill>
                <a:sysClr val="windowText" lastClr="000000"/>
              </a:solidFill>
            </a:ln>
            <a:effectLst/>
          </c:spPr>
          <c:val>
            <c:numRef>
              <c:f>'Affordability Calculator'!$AU$3:$AU$83</c:f>
              <c:numCache>
                <c:formatCode>"$"#,##0</c:formatCode>
                <c:ptCount val="81"/>
                <c:pt idx="0">
                  <c:v>145</c:v>
                </c:pt>
                <c:pt idx="1">
                  <c:v>145</c:v>
                </c:pt>
                <c:pt idx="2">
                  <c:v>145</c:v>
                </c:pt>
                <c:pt idx="3">
                  <c:v>145</c:v>
                </c:pt>
                <c:pt idx="4">
                  <c:v>145</c:v>
                </c:pt>
                <c:pt idx="5">
                  <c:v>145</c:v>
                </c:pt>
                <c:pt idx="6">
                  <c:v>145</c:v>
                </c:pt>
                <c:pt idx="7">
                  <c:v>145</c:v>
                </c:pt>
                <c:pt idx="8">
                  <c:v>145</c:v>
                </c:pt>
                <c:pt idx="9">
                  <c:v>145</c:v>
                </c:pt>
                <c:pt idx="10">
                  <c:v>145</c:v>
                </c:pt>
                <c:pt idx="11">
                  <c:v>145</c:v>
                </c:pt>
                <c:pt idx="12">
                  <c:v>145</c:v>
                </c:pt>
                <c:pt idx="13">
                  <c:v>145</c:v>
                </c:pt>
                <c:pt idx="14">
                  <c:v>145</c:v>
                </c:pt>
                <c:pt idx="15">
                  <c:v>145</c:v>
                </c:pt>
                <c:pt idx="16">
                  <c:v>145</c:v>
                </c:pt>
                <c:pt idx="17">
                  <c:v>145</c:v>
                </c:pt>
                <c:pt idx="18">
                  <c:v>145</c:v>
                </c:pt>
                <c:pt idx="19">
                  <c:v>145</c:v>
                </c:pt>
                <c:pt idx="20">
                  <c:v>145</c:v>
                </c:pt>
                <c:pt idx="21">
                  <c:v>145</c:v>
                </c:pt>
                <c:pt idx="22">
                  <c:v>144</c:v>
                </c:pt>
                <c:pt idx="23">
                  <c:v>143</c:v>
                </c:pt>
                <c:pt idx="24">
                  <c:v>142</c:v>
                </c:pt>
                <c:pt idx="25">
                  <c:v>141</c:v>
                </c:pt>
                <c:pt idx="26">
                  <c:v>140</c:v>
                </c:pt>
                <c:pt idx="27">
                  <c:v>139</c:v>
                </c:pt>
                <c:pt idx="28">
                  <c:v>138</c:v>
                </c:pt>
                <c:pt idx="29">
                  <c:v>137</c:v>
                </c:pt>
                <c:pt idx="30">
                  <c:v>136</c:v>
                </c:pt>
                <c:pt idx="31">
                  <c:v>135</c:v>
                </c:pt>
                <c:pt idx="32">
                  <c:v>134</c:v>
                </c:pt>
                <c:pt idx="33">
                  <c:v>133</c:v>
                </c:pt>
                <c:pt idx="34">
                  <c:v>132</c:v>
                </c:pt>
                <c:pt idx="35">
                  <c:v>131</c:v>
                </c:pt>
                <c:pt idx="36">
                  <c:v>130</c:v>
                </c:pt>
                <c:pt idx="37">
                  <c:v>129</c:v>
                </c:pt>
                <c:pt idx="38">
                  <c:v>128</c:v>
                </c:pt>
                <c:pt idx="39">
                  <c:v>127</c:v>
                </c:pt>
                <c:pt idx="40">
                  <c:v>126</c:v>
                </c:pt>
                <c:pt idx="41">
                  <c:v>125</c:v>
                </c:pt>
                <c:pt idx="42">
                  <c:v>124</c:v>
                </c:pt>
                <c:pt idx="43">
                  <c:v>123</c:v>
                </c:pt>
                <c:pt idx="44">
                  <c:v>122</c:v>
                </c:pt>
                <c:pt idx="45">
                  <c:v>121</c:v>
                </c:pt>
                <c:pt idx="46">
                  <c:v>120</c:v>
                </c:pt>
                <c:pt idx="47">
                  <c:v>119</c:v>
                </c:pt>
                <c:pt idx="48">
                  <c:v>118</c:v>
                </c:pt>
                <c:pt idx="49">
                  <c:v>117</c:v>
                </c:pt>
                <c:pt idx="50">
                  <c:v>116</c:v>
                </c:pt>
                <c:pt idx="51">
                  <c:v>115</c:v>
                </c:pt>
                <c:pt idx="52">
                  <c:v>114</c:v>
                </c:pt>
                <c:pt idx="53">
                  <c:v>113</c:v>
                </c:pt>
                <c:pt idx="54">
                  <c:v>112</c:v>
                </c:pt>
                <c:pt idx="55">
                  <c:v>111</c:v>
                </c:pt>
                <c:pt idx="56">
                  <c:v>110</c:v>
                </c:pt>
                <c:pt idx="57">
                  <c:v>109</c:v>
                </c:pt>
                <c:pt idx="58">
                  <c:v>108</c:v>
                </c:pt>
                <c:pt idx="59">
                  <c:v>107</c:v>
                </c:pt>
                <c:pt idx="60">
                  <c:v>106</c:v>
                </c:pt>
                <c:pt idx="61">
                  <c:v>105</c:v>
                </c:pt>
                <c:pt idx="62">
                  <c:v>104</c:v>
                </c:pt>
                <c:pt idx="63">
                  <c:v>103</c:v>
                </c:pt>
                <c:pt idx="64">
                  <c:v>102</c:v>
                </c:pt>
                <c:pt idx="65">
                  <c:v>101</c:v>
                </c:pt>
                <c:pt idx="66">
                  <c:v>100</c:v>
                </c:pt>
                <c:pt idx="67">
                  <c:v>99</c:v>
                </c:pt>
                <c:pt idx="68">
                  <c:v>98</c:v>
                </c:pt>
                <c:pt idx="69">
                  <c:v>97</c:v>
                </c:pt>
                <c:pt idx="70">
                  <c:v>96</c:v>
                </c:pt>
                <c:pt idx="71">
                  <c:v>95</c:v>
                </c:pt>
                <c:pt idx="72">
                  <c:v>94</c:v>
                </c:pt>
                <c:pt idx="73">
                  <c:v>93</c:v>
                </c:pt>
                <c:pt idx="74">
                  <c:v>92</c:v>
                </c:pt>
                <c:pt idx="75">
                  <c:v>91</c:v>
                </c:pt>
                <c:pt idx="76">
                  <c:v>90</c:v>
                </c:pt>
                <c:pt idx="77">
                  <c:v>89</c:v>
                </c:pt>
                <c:pt idx="78">
                  <c:v>88</c:v>
                </c:pt>
                <c:pt idx="79">
                  <c:v>87</c:v>
                </c:pt>
                <c:pt idx="80">
                  <c:v>86</c:v>
                </c:pt>
              </c:numCache>
            </c:numRef>
          </c:val>
          <c:extLst>
            <c:ext xmlns:c16="http://schemas.microsoft.com/office/drawing/2014/chart" uri="{C3380CC4-5D6E-409C-BE32-E72D297353CC}">
              <c16:uniqueId val="{00000004-1068-4D8D-9264-A78536646FE9}"/>
            </c:ext>
          </c:extLst>
        </c:ser>
        <c:ser>
          <c:idx val="3"/>
          <c:order val="2"/>
          <c:tx>
            <c:strRef>
              <c:f>'Affordability Calculator'!$AT$2</c:f>
              <c:strCache>
                <c:ptCount val="1"/>
                <c:pt idx="0">
                  <c:v>50%</c:v>
                </c:pt>
              </c:strCache>
            </c:strRef>
          </c:tx>
          <c:spPr>
            <a:solidFill>
              <a:srgbClr val="FFC000"/>
            </a:solidFill>
            <a:ln w="12700">
              <a:solidFill>
                <a:sysClr val="windowText" lastClr="000000"/>
              </a:solidFill>
            </a:ln>
            <a:effectLst/>
          </c:spPr>
          <c:val>
            <c:numRef>
              <c:f>'Affordability Calculator'!$AT$3:$AT$83</c:f>
              <c:numCache>
                <c:formatCode>"$"#,##0</c:formatCode>
                <c:ptCount val="81"/>
                <c:pt idx="0">
                  <c:v>126</c:v>
                </c:pt>
                <c:pt idx="1">
                  <c:v>126</c:v>
                </c:pt>
                <c:pt idx="2">
                  <c:v>126</c:v>
                </c:pt>
                <c:pt idx="3">
                  <c:v>126</c:v>
                </c:pt>
                <c:pt idx="4">
                  <c:v>126</c:v>
                </c:pt>
                <c:pt idx="5">
                  <c:v>126</c:v>
                </c:pt>
                <c:pt idx="6">
                  <c:v>126</c:v>
                </c:pt>
                <c:pt idx="7">
                  <c:v>126</c:v>
                </c:pt>
                <c:pt idx="8">
                  <c:v>126</c:v>
                </c:pt>
                <c:pt idx="9">
                  <c:v>126</c:v>
                </c:pt>
                <c:pt idx="10">
                  <c:v>126</c:v>
                </c:pt>
                <c:pt idx="11">
                  <c:v>126</c:v>
                </c:pt>
                <c:pt idx="12">
                  <c:v>126</c:v>
                </c:pt>
                <c:pt idx="13">
                  <c:v>126</c:v>
                </c:pt>
                <c:pt idx="14">
                  <c:v>126</c:v>
                </c:pt>
                <c:pt idx="15">
                  <c:v>126</c:v>
                </c:pt>
                <c:pt idx="16">
                  <c:v>126</c:v>
                </c:pt>
                <c:pt idx="17">
                  <c:v>126</c:v>
                </c:pt>
                <c:pt idx="18">
                  <c:v>126</c:v>
                </c:pt>
                <c:pt idx="19">
                  <c:v>126</c:v>
                </c:pt>
                <c:pt idx="20">
                  <c:v>125</c:v>
                </c:pt>
                <c:pt idx="21">
                  <c:v>124</c:v>
                </c:pt>
                <c:pt idx="22">
                  <c:v>123</c:v>
                </c:pt>
                <c:pt idx="23">
                  <c:v>122</c:v>
                </c:pt>
                <c:pt idx="24">
                  <c:v>121</c:v>
                </c:pt>
                <c:pt idx="25">
                  <c:v>120</c:v>
                </c:pt>
                <c:pt idx="26">
                  <c:v>119</c:v>
                </c:pt>
                <c:pt idx="27">
                  <c:v>118</c:v>
                </c:pt>
                <c:pt idx="28">
                  <c:v>117</c:v>
                </c:pt>
                <c:pt idx="29">
                  <c:v>116</c:v>
                </c:pt>
                <c:pt idx="30">
                  <c:v>115</c:v>
                </c:pt>
                <c:pt idx="31">
                  <c:v>114</c:v>
                </c:pt>
                <c:pt idx="32">
                  <c:v>113</c:v>
                </c:pt>
                <c:pt idx="33">
                  <c:v>112</c:v>
                </c:pt>
                <c:pt idx="34">
                  <c:v>111</c:v>
                </c:pt>
                <c:pt idx="35">
                  <c:v>110</c:v>
                </c:pt>
                <c:pt idx="36">
                  <c:v>109</c:v>
                </c:pt>
                <c:pt idx="37">
                  <c:v>108</c:v>
                </c:pt>
                <c:pt idx="38">
                  <c:v>107</c:v>
                </c:pt>
                <c:pt idx="39">
                  <c:v>106</c:v>
                </c:pt>
                <c:pt idx="40">
                  <c:v>105</c:v>
                </c:pt>
                <c:pt idx="41">
                  <c:v>104</c:v>
                </c:pt>
                <c:pt idx="42">
                  <c:v>103</c:v>
                </c:pt>
                <c:pt idx="43">
                  <c:v>102</c:v>
                </c:pt>
                <c:pt idx="44">
                  <c:v>101</c:v>
                </c:pt>
                <c:pt idx="45">
                  <c:v>100</c:v>
                </c:pt>
                <c:pt idx="46">
                  <c:v>99</c:v>
                </c:pt>
                <c:pt idx="47">
                  <c:v>98</c:v>
                </c:pt>
                <c:pt idx="48">
                  <c:v>97</c:v>
                </c:pt>
                <c:pt idx="49">
                  <c:v>96</c:v>
                </c:pt>
                <c:pt idx="50">
                  <c:v>95</c:v>
                </c:pt>
                <c:pt idx="51">
                  <c:v>94</c:v>
                </c:pt>
                <c:pt idx="52">
                  <c:v>93</c:v>
                </c:pt>
                <c:pt idx="53">
                  <c:v>92</c:v>
                </c:pt>
                <c:pt idx="54">
                  <c:v>91</c:v>
                </c:pt>
                <c:pt idx="55">
                  <c:v>90</c:v>
                </c:pt>
                <c:pt idx="56">
                  <c:v>89</c:v>
                </c:pt>
                <c:pt idx="57">
                  <c:v>88</c:v>
                </c:pt>
                <c:pt idx="58">
                  <c:v>87</c:v>
                </c:pt>
                <c:pt idx="59">
                  <c:v>86</c:v>
                </c:pt>
                <c:pt idx="60">
                  <c:v>85</c:v>
                </c:pt>
                <c:pt idx="61">
                  <c:v>84</c:v>
                </c:pt>
                <c:pt idx="62">
                  <c:v>83</c:v>
                </c:pt>
                <c:pt idx="63">
                  <c:v>82</c:v>
                </c:pt>
                <c:pt idx="64">
                  <c:v>81</c:v>
                </c:pt>
                <c:pt idx="65">
                  <c:v>80</c:v>
                </c:pt>
                <c:pt idx="66">
                  <c:v>79</c:v>
                </c:pt>
                <c:pt idx="67">
                  <c:v>78</c:v>
                </c:pt>
                <c:pt idx="68">
                  <c:v>77</c:v>
                </c:pt>
                <c:pt idx="69">
                  <c:v>76</c:v>
                </c:pt>
                <c:pt idx="70">
                  <c:v>75</c:v>
                </c:pt>
                <c:pt idx="71">
                  <c:v>74</c:v>
                </c:pt>
                <c:pt idx="72">
                  <c:v>73</c:v>
                </c:pt>
                <c:pt idx="73">
                  <c:v>72</c:v>
                </c:pt>
                <c:pt idx="74">
                  <c:v>71</c:v>
                </c:pt>
                <c:pt idx="75">
                  <c:v>70</c:v>
                </c:pt>
                <c:pt idx="76">
                  <c:v>69</c:v>
                </c:pt>
                <c:pt idx="77">
                  <c:v>68</c:v>
                </c:pt>
                <c:pt idx="78">
                  <c:v>67</c:v>
                </c:pt>
                <c:pt idx="79">
                  <c:v>66</c:v>
                </c:pt>
                <c:pt idx="80">
                  <c:v>65</c:v>
                </c:pt>
              </c:numCache>
            </c:numRef>
          </c:val>
          <c:extLst>
            <c:ext xmlns:c16="http://schemas.microsoft.com/office/drawing/2014/chart" uri="{C3380CC4-5D6E-409C-BE32-E72D297353CC}">
              <c16:uniqueId val="{00000003-1068-4D8D-9264-A78536646FE9}"/>
            </c:ext>
          </c:extLst>
        </c:ser>
        <c:ser>
          <c:idx val="2"/>
          <c:order val="3"/>
          <c:tx>
            <c:strRef>
              <c:f>'Affordability Calculator'!$AS$2</c:f>
              <c:strCache>
                <c:ptCount val="1"/>
                <c:pt idx="0">
                  <c:v>25%</c:v>
                </c:pt>
              </c:strCache>
            </c:strRef>
          </c:tx>
          <c:spPr>
            <a:solidFill>
              <a:srgbClr val="FFC000">
                <a:lumMod val="60000"/>
                <a:lumOff val="40000"/>
              </a:srgbClr>
            </a:solidFill>
            <a:ln w="12700">
              <a:solidFill>
                <a:sysClr val="windowText" lastClr="000000"/>
              </a:solidFill>
            </a:ln>
            <a:effectLst/>
          </c:spPr>
          <c:val>
            <c:numRef>
              <c:f>'Affordability Calculator'!$AS$3:$AS$83</c:f>
              <c:numCache>
                <c:formatCode>"$"#,##0</c:formatCode>
                <c:ptCount val="81"/>
                <c:pt idx="0">
                  <c:v>107</c:v>
                </c:pt>
                <c:pt idx="1">
                  <c:v>107</c:v>
                </c:pt>
                <c:pt idx="2">
                  <c:v>107</c:v>
                </c:pt>
                <c:pt idx="3">
                  <c:v>107</c:v>
                </c:pt>
                <c:pt idx="4">
                  <c:v>107</c:v>
                </c:pt>
                <c:pt idx="5">
                  <c:v>107</c:v>
                </c:pt>
                <c:pt idx="6">
                  <c:v>107</c:v>
                </c:pt>
                <c:pt idx="7">
                  <c:v>107</c:v>
                </c:pt>
                <c:pt idx="8">
                  <c:v>107</c:v>
                </c:pt>
                <c:pt idx="9">
                  <c:v>107</c:v>
                </c:pt>
                <c:pt idx="10">
                  <c:v>107</c:v>
                </c:pt>
                <c:pt idx="11">
                  <c:v>107</c:v>
                </c:pt>
                <c:pt idx="12">
                  <c:v>107</c:v>
                </c:pt>
                <c:pt idx="13">
                  <c:v>107</c:v>
                </c:pt>
                <c:pt idx="14">
                  <c:v>107</c:v>
                </c:pt>
                <c:pt idx="15">
                  <c:v>107</c:v>
                </c:pt>
                <c:pt idx="16">
                  <c:v>107</c:v>
                </c:pt>
                <c:pt idx="17">
                  <c:v>107</c:v>
                </c:pt>
                <c:pt idx="18">
                  <c:v>107</c:v>
                </c:pt>
                <c:pt idx="19">
                  <c:v>107</c:v>
                </c:pt>
                <c:pt idx="20">
                  <c:v>106</c:v>
                </c:pt>
                <c:pt idx="21">
                  <c:v>105</c:v>
                </c:pt>
                <c:pt idx="22">
                  <c:v>104</c:v>
                </c:pt>
                <c:pt idx="23">
                  <c:v>103</c:v>
                </c:pt>
                <c:pt idx="24">
                  <c:v>102</c:v>
                </c:pt>
                <c:pt idx="25">
                  <c:v>101</c:v>
                </c:pt>
                <c:pt idx="26">
                  <c:v>100</c:v>
                </c:pt>
                <c:pt idx="27">
                  <c:v>99</c:v>
                </c:pt>
                <c:pt idx="28">
                  <c:v>98</c:v>
                </c:pt>
                <c:pt idx="29">
                  <c:v>97</c:v>
                </c:pt>
                <c:pt idx="30">
                  <c:v>96</c:v>
                </c:pt>
                <c:pt idx="31">
                  <c:v>95</c:v>
                </c:pt>
                <c:pt idx="32">
                  <c:v>94</c:v>
                </c:pt>
                <c:pt idx="33">
                  <c:v>93</c:v>
                </c:pt>
                <c:pt idx="34">
                  <c:v>92</c:v>
                </c:pt>
                <c:pt idx="35">
                  <c:v>91</c:v>
                </c:pt>
                <c:pt idx="36">
                  <c:v>90</c:v>
                </c:pt>
                <c:pt idx="37">
                  <c:v>89</c:v>
                </c:pt>
                <c:pt idx="38">
                  <c:v>88</c:v>
                </c:pt>
                <c:pt idx="39">
                  <c:v>87</c:v>
                </c:pt>
                <c:pt idx="40">
                  <c:v>86</c:v>
                </c:pt>
                <c:pt idx="41">
                  <c:v>85</c:v>
                </c:pt>
                <c:pt idx="42">
                  <c:v>84</c:v>
                </c:pt>
                <c:pt idx="43">
                  <c:v>83</c:v>
                </c:pt>
                <c:pt idx="44">
                  <c:v>82</c:v>
                </c:pt>
                <c:pt idx="45">
                  <c:v>81</c:v>
                </c:pt>
                <c:pt idx="46">
                  <c:v>80</c:v>
                </c:pt>
                <c:pt idx="47">
                  <c:v>79</c:v>
                </c:pt>
                <c:pt idx="48">
                  <c:v>78</c:v>
                </c:pt>
                <c:pt idx="49">
                  <c:v>77</c:v>
                </c:pt>
                <c:pt idx="50">
                  <c:v>76</c:v>
                </c:pt>
                <c:pt idx="51">
                  <c:v>75</c:v>
                </c:pt>
                <c:pt idx="52">
                  <c:v>74</c:v>
                </c:pt>
                <c:pt idx="53">
                  <c:v>73</c:v>
                </c:pt>
                <c:pt idx="54">
                  <c:v>72</c:v>
                </c:pt>
                <c:pt idx="55">
                  <c:v>71</c:v>
                </c:pt>
                <c:pt idx="56">
                  <c:v>70</c:v>
                </c:pt>
                <c:pt idx="57">
                  <c:v>69</c:v>
                </c:pt>
                <c:pt idx="58">
                  <c:v>68</c:v>
                </c:pt>
                <c:pt idx="59">
                  <c:v>67</c:v>
                </c:pt>
                <c:pt idx="60">
                  <c:v>66</c:v>
                </c:pt>
                <c:pt idx="61">
                  <c:v>65</c:v>
                </c:pt>
                <c:pt idx="62">
                  <c:v>64</c:v>
                </c:pt>
                <c:pt idx="63">
                  <c:v>63</c:v>
                </c:pt>
                <c:pt idx="64">
                  <c:v>62</c:v>
                </c:pt>
                <c:pt idx="65">
                  <c:v>61</c:v>
                </c:pt>
                <c:pt idx="66">
                  <c:v>60</c:v>
                </c:pt>
                <c:pt idx="67">
                  <c:v>59</c:v>
                </c:pt>
                <c:pt idx="68">
                  <c:v>58</c:v>
                </c:pt>
                <c:pt idx="69">
                  <c:v>57</c:v>
                </c:pt>
                <c:pt idx="70">
                  <c:v>56</c:v>
                </c:pt>
                <c:pt idx="71">
                  <c:v>55</c:v>
                </c:pt>
                <c:pt idx="72">
                  <c:v>54</c:v>
                </c:pt>
                <c:pt idx="73">
                  <c:v>53</c:v>
                </c:pt>
                <c:pt idx="74">
                  <c:v>52</c:v>
                </c:pt>
                <c:pt idx="75">
                  <c:v>51</c:v>
                </c:pt>
                <c:pt idx="76">
                  <c:v>50</c:v>
                </c:pt>
                <c:pt idx="77">
                  <c:v>49</c:v>
                </c:pt>
                <c:pt idx="78">
                  <c:v>48</c:v>
                </c:pt>
                <c:pt idx="79">
                  <c:v>47</c:v>
                </c:pt>
                <c:pt idx="80">
                  <c:v>46</c:v>
                </c:pt>
              </c:numCache>
            </c:numRef>
          </c:val>
          <c:extLst>
            <c:ext xmlns:c16="http://schemas.microsoft.com/office/drawing/2014/chart" uri="{C3380CC4-5D6E-409C-BE32-E72D297353CC}">
              <c16:uniqueId val="{00000002-1068-4D8D-9264-A78536646FE9}"/>
            </c:ext>
          </c:extLst>
        </c:ser>
        <c:ser>
          <c:idx val="1"/>
          <c:order val="4"/>
          <c:tx>
            <c:strRef>
              <c:f>'Affordability Calculator'!$AR$2</c:f>
              <c:strCache>
                <c:ptCount val="1"/>
                <c:pt idx="0">
                  <c:v>0%</c:v>
                </c:pt>
              </c:strCache>
            </c:strRef>
          </c:tx>
          <c:spPr>
            <a:solidFill>
              <a:schemeClr val="bg1"/>
            </a:solidFill>
            <a:ln w="12700">
              <a:solidFill>
                <a:sysClr val="windowText" lastClr="000000"/>
              </a:solidFill>
            </a:ln>
            <a:effectLst/>
          </c:spPr>
          <c:val>
            <c:numRef>
              <c:f>'Affordability Calculator'!$AR$3:$AR$83</c:f>
              <c:numCache>
                <c:formatCode>"$"#,##0</c:formatCode>
                <c:ptCount val="81"/>
                <c:pt idx="0">
                  <c:v>89</c:v>
                </c:pt>
                <c:pt idx="1">
                  <c:v>89</c:v>
                </c:pt>
                <c:pt idx="2">
                  <c:v>89</c:v>
                </c:pt>
                <c:pt idx="3">
                  <c:v>89</c:v>
                </c:pt>
                <c:pt idx="4">
                  <c:v>89</c:v>
                </c:pt>
                <c:pt idx="5">
                  <c:v>89</c:v>
                </c:pt>
                <c:pt idx="6">
                  <c:v>89</c:v>
                </c:pt>
                <c:pt idx="7">
                  <c:v>89</c:v>
                </c:pt>
                <c:pt idx="8">
                  <c:v>89</c:v>
                </c:pt>
                <c:pt idx="9">
                  <c:v>89</c:v>
                </c:pt>
                <c:pt idx="10">
                  <c:v>89</c:v>
                </c:pt>
                <c:pt idx="11">
                  <c:v>89</c:v>
                </c:pt>
                <c:pt idx="12">
                  <c:v>89</c:v>
                </c:pt>
                <c:pt idx="13">
                  <c:v>89</c:v>
                </c:pt>
                <c:pt idx="14">
                  <c:v>89</c:v>
                </c:pt>
                <c:pt idx="15">
                  <c:v>89</c:v>
                </c:pt>
                <c:pt idx="16">
                  <c:v>89</c:v>
                </c:pt>
                <c:pt idx="17">
                  <c:v>89</c:v>
                </c:pt>
                <c:pt idx="18">
                  <c:v>89</c:v>
                </c:pt>
                <c:pt idx="19">
                  <c:v>88</c:v>
                </c:pt>
                <c:pt idx="20">
                  <c:v>87</c:v>
                </c:pt>
                <c:pt idx="21">
                  <c:v>86</c:v>
                </c:pt>
                <c:pt idx="22">
                  <c:v>85</c:v>
                </c:pt>
                <c:pt idx="23">
                  <c:v>84</c:v>
                </c:pt>
                <c:pt idx="24">
                  <c:v>83</c:v>
                </c:pt>
                <c:pt idx="25">
                  <c:v>82</c:v>
                </c:pt>
                <c:pt idx="26">
                  <c:v>81</c:v>
                </c:pt>
                <c:pt idx="27">
                  <c:v>80</c:v>
                </c:pt>
                <c:pt idx="28">
                  <c:v>79</c:v>
                </c:pt>
                <c:pt idx="29">
                  <c:v>78</c:v>
                </c:pt>
                <c:pt idx="30">
                  <c:v>77</c:v>
                </c:pt>
                <c:pt idx="31">
                  <c:v>76</c:v>
                </c:pt>
                <c:pt idx="32">
                  <c:v>75</c:v>
                </c:pt>
                <c:pt idx="33">
                  <c:v>74</c:v>
                </c:pt>
                <c:pt idx="34">
                  <c:v>73</c:v>
                </c:pt>
                <c:pt idx="35">
                  <c:v>72</c:v>
                </c:pt>
                <c:pt idx="36">
                  <c:v>71</c:v>
                </c:pt>
                <c:pt idx="37">
                  <c:v>70</c:v>
                </c:pt>
                <c:pt idx="38">
                  <c:v>69</c:v>
                </c:pt>
                <c:pt idx="39">
                  <c:v>68</c:v>
                </c:pt>
                <c:pt idx="40">
                  <c:v>67</c:v>
                </c:pt>
                <c:pt idx="41">
                  <c:v>66</c:v>
                </c:pt>
                <c:pt idx="42">
                  <c:v>65</c:v>
                </c:pt>
                <c:pt idx="43">
                  <c:v>64</c:v>
                </c:pt>
                <c:pt idx="44">
                  <c:v>63</c:v>
                </c:pt>
                <c:pt idx="45">
                  <c:v>62</c:v>
                </c:pt>
                <c:pt idx="46">
                  <c:v>61</c:v>
                </c:pt>
                <c:pt idx="47">
                  <c:v>60</c:v>
                </c:pt>
                <c:pt idx="48">
                  <c:v>59</c:v>
                </c:pt>
                <c:pt idx="49">
                  <c:v>58</c:v>
                </c:pt>
                <c:pt idx="50">
                  <c:v>57</c:v>
                </c:pt>
                <c:pt idx="51">
                  <c:v>56</c:v>
                </c:pt>
                <c:pt idx="52">
                  <c:v>55</c:v>
                </c:pt>
                <c:pt idx="53">
                  <c:v>54</c:v>
                </c:pt>
                <c:pt idx="54">
                  <c:v>53</c:v>
                </c:pt>
                <c:pt idx="55">
                  <c:v>52</c:v>
                </c:pt>
                <c:pt idx="56">
                  <c:v>51</c:v>
                </c:pt>
                <c:pt idx="57">
                  <c:v>50</c:v>
                </c:pt>
                <c:pt idx="58">
                  <c:v>49</c:v>
                </c:pt>
                <c:pt idx="59">
                  <c:v>48</c:v>
                </c:pt>
                <c:pt idx="60">
                  <c:v>47</c:v>
                </c:pt>
                <c:pt idx="61">
                  <c:v>46</c:v>
                </c:pt>
                <c:pt idx="62">
                  <c:v>45</c:v>
                </c:pt>
                <c:pt idx="63">
                  <c:v>44</c:v>
                </c:pt>
                <c:pt idx="64">
                  <c:v>43</c:v>
                </c:pt>
                <c:pt idx="65">
                  <c:v>42</c:v>
                </c:pt>
                <c:pt idx="66">
                  <c:v>41</c:v>
                </c:pt>
                <c:pt idx="67">
                  <c:v>40</c:v>
                </c:pt>
                <c:pt idx="68">
                  <c:v>39</c:v>
                </c:pt>
                <c:pt idx="69">
                  <c:v>38</c:v>
                </c:pt>
                <c:pt idx="70">
                  <c:v>37</c:v>
                </c:pt>
                <c:pt idx="71">
                  <c:v>36</c:v>
                </c:pt>
                <c:pt idx="72">
                  <c:v>35</c:v>
                </c:pt>
                <c:pt idx="73">
                  <c:v>34</c:v>
                </c:pt>
                <c:pt idx="74">
                  <c:v>33</c:v>
                </c:pt>
                <c:pt idx="75">
                  <c:v>32</c:v>
                </c:pt>
                <c:pt idx="76">
                  <c:v>31</c:v>
                </c:pt>
                <c:pt idx="77">
                  <c:v>30</c:v>
                </c:pt>
                <c:pt idx="78">
                  <c:v>29</c:v>
                </c:pt>
                <c:pt idx="79">
                  <c:v>28</c:v>
                </c:pt>
                <c:pt idx="80">
                  <c:v>27</c:v>
                </c:pt>
              </c:numCache>
            </c:numRef>
          </c:val>
          <c:extLst>
            <c:ext xmlns:c16="http://schemas.microsoft.com/office/drawing/2014/chart" uri="{C3380CC4-5D6E-409C-BE32-E72D297353CC}">
              <c16:uniqueId val="{00000001-1068-4D8D-9264-A78536646FE9}"/>
            </c:ext>
          </c:extLst>
        </c:ser>
        <c:dLbls>
          <c:showLegendKey val="0"/>
          <c:showVal val="0"/>
          <c:showCatName val="0"/>
          <c:showSerName val="0"/>
          <c:showPercent val="0"/>
          <c:showBubbleSize val="0"/>
        </c:dLbls>
        <c:axId val="1094025423"/>
        <c:axId val="1094024463"/>
      </c:areaChart>
      <c:catAx>
        <c:axId val="1094025423"/>
        <c:scaling>
          <c:orientation val="minMax"/>
        </c:scaling>
        <c:delete val="1"/>
        <c:axPos val="b"/>
        <c:majorTickMark val="out"/>
        <c:minorTickMark val="none"/>
        <c:tickLblPos val="nextTo"/>
        <c:crossAx val="1094024463"/>
        <c:crosses val="autoZero"/>
        <c:auto val="1"/>
        <c:lblAlgn val="ctr"/>
        <c:lblOffset val="100"/>
        <c:noMultiLvlLbl val="0"/>
      </c:catAx>
      <c:valAx>
        <c:axId val="1094024463"/>
        <c:scaling>
          <c:orientation val="minMax"/>
          <c:max val="170"/>
          <c:min val="20"/>
        </c:scaling>
        <c:delete val="1"/>
        <c:axPos val="l"/>
        <c:numFmt formatCode="&quot;$&quot;#,##0" sourceLinked="1"/>
        <c:majorTickMark val="out"/>
        <c:minorTickMark val="none"/>
        <c:tickLblPos val="nextTo"/>
        <c:crossAx val="1094025423"/>
        <c:crosses val="autoZero"/>
        <c:crossBetween val="midCat"/>
        <c:majorUnit val="20"/>
      </c:valAx>
      <c:spPr>
        <a:noFill/>
        <a:ln>
          <a:noFill/>
        </a:ln>
        <a:effectLst/>
      </c:spPr>
    </c:plotArea>
    <c:plotVisOnly val="0"/>
    <c:dispBlanksAs val="gap"/>
    <c:showDLblsOverMax val="0"/>
    <c:extLst/>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200" b="1">
                <a:solidFill>
                  <a:sysClr val="windowText" lastClr="000000"/>
                </a:solidFill>
              </a:rPr>
              <a:t>Chart</a:t>
            </a:r>
            <a:r>
              <a:rPr lang="en-US" sz="1200" b="1" baseline="0">
                <a:solidFill>
                  <a:sysClr val="windowText" lastClr="000000"/>
                </a:solidFill>
              </a:rPr>
              <a:t> </a:t>
            </a:r>
            <a:r>
              <a:rPr lang="en-US" sz="1200" b="1">
                <a:solidFill>
                  <a:sysClr val="windowText" lastClr="000000"/>
                </a:solidFill>
              </a:rPr>
              <a:t>for SRF Principal Forgiveness/SRP Grant Eligibility Determination</a:t>
            </a:r>
            <a:r>
              <a:rPr lang="en-US" sz="1200" b="1" baseline="30000">
                <a:solidFill>
                  <a:sysClr val="windowText" lastClr="000000"/>
                </a:solidFill>
              </a:rPr>
              <a:t>+</a:t>
            </a:r>
            <a:r>
              <a:rPr lang="en-US" sz="1200" b="1">
                <a:solidFill>
                  <a:sysClr val="windowText" lastClr="000000"/>
                </a:solidFill>
              </a:rPr>
              <a:t>   </a:t>
            </a:r>
          </a:p>
        </c:rich>
      </c:tx>
      <c:layout>
        <c:manualLayout>
          <c:xMode val="edge"/>
          <c:yMode val="edge"/>
          <c:x val="0.12807306638378035"/>
          <c:y val="2.1242462514925481E-2"/>
        </c:manualLayout>
      </c:layout>
      <c:overlay val="0"/>
      <c:spPr>
        <a:noFill/>
        <a:ln>
          <a:noFill/>
        </a:ln>
        <a:effectLst/>
      </c:spPr>
    </c:title>
    <c:autoTitleDeleted val="0"/>
    <c:plotArea>
      <c:layout>
        <c:manualLayout>
          <c:layoutTarget val="inner"/>
          <c:xMode val="edge"/>
          <c:yMode val="edge"/>
          <c:x val="0.106425973818119"/>
          <c:y val="0.10522656152916322"/>
          <c:w val="0.85485597552022075"/>
          <c:h val="0.72875098668848193"/>
        </c:manualLayout>
      </c:layout>
      <c:scatterChart>
        <c:scatterStyle val="lineMarker"/>
        <c:varyColors val="0"/>
        <c:ser>
          <c:idx val="11"/>
          <c:order val="0"/>
          <c:tx>
            <c:v>Applicant</c:v>
          </c:tx>
          <c:spPr>
            <a:ln w="19050">
              <a:noFill/>
            </a:ln>
          </c:spPr>
          <c:marker>
            <c:symbol val="diamond"/>
            <c:size val="10"/>
            <c:spPr>
              <a:solidFill>
                <a:srgbClr val="FF0000"/>
              </a:solidFill>
              <a:ln>
                <a:solidFill>
                  <a:srgbClr val="FF0000"/>
                </a:solidFill>
              </a:ln>
            </c:spPr>
          </c:marker>
          <c:xVal>
            <c:numRef>
              <c:f>'Affordability Calculator'!$AD$12</c:f>
              <c:numCache>
                <c:formatCode>"$"#,##0.00</c:formatCode>
                <c:ptCount val="1"/>
                <c:pt idx="0">
                  <c:v>#N/A</c:v>
                </c:pt>
              </c:numCache>
            </c:numRef>
          </c:xVal>
          <c:yVal>
            <c:numRef>
              <c:f>'Affordability Calculator'!$AB$10</c:f>
              <c:numCache>
                <c:formatCode>"$"#,##0.00</c:formatCode>
                <c:ptCount val="1"/>
                <c:pt idx="0">
                  <c:v>#N/A</c:v>
                </c:pt>
              </c:numCache>
            </c:numRef>
          </c:yVal>
          <c:smooth val="0"/>
          <c:extLst>
            <c:ext xmlns:c16="http://schemas.microsoft.com/office/drawing/2014/chart" uri="{C3380CC4-5D6E-409C-BE32-E72D297353CC}">
              <c16:uniqueId val="{00000000-CE45-4A4C-BD12-E1CBE7DCE4CD}"/>
            </c:ext>
          </c:extLst>
        </c:ser>
        <c:ser>
          <c:idx val="0"/>
          <c:order val="1"/>
          <c:tx>
            <c:v>Representative LGU Data</c:v>
          </c:tx>
          <c:spPr>
            <a:ln w="19050">
              <a:noFill/>
            </a:ln>
          </c:spPr>
          <c:marker>
            <c:symbol val="diamond"/>
            <c:size val="3"/>
            <c:spPr>
              <a:ln>
                <a:solidFill>
                  <a:schemeClr val="tx1">
                    <a:lumMod val="50000"/>
                    <a:lumOff val="50000"/>
                  </a:schemeClr>
                </a:solidFill>
              </a:ln>
            </c:spPr>
          </c:marker>
          <c:xVal>
            <c:numRef>
              <c:f>[0]!AC_Chart_X</c:f>
              <c:numCache>
                <c:formatCode>General</c:formatCode>
                <c:ptCount val="1"/>
                <c:pt idx="0">
                  <c:v>0</c:v>
                </c:pt>
              </c:numCache>
            </c:numRef>
          </c:xVal>
          <c:yVal>
            <c:numRef>
              <c:f>[0]!AC_Chart_Y</c:f>
              <c:numCache>
                <c:formatCode>General</c:formatCode>
                <c:ptCount val="1"/>
                <c:pt idx="0">
                  <c:v>0</c:v>
                </c:pt>
              </c:numCache>
            </c:numRef>
          </c:yVal>
          <c:smooth val="0"/>
          <c:extLst>
            <c:ext xmlns:c16="http://schemas.microsoft.com/office/drawing/2014/chart" uri="{C3380CC4-5D6E-409C-BE32-E72D297353CC}">
              <c16:uniqueId val="{00000001-CE45-4A4C-BD12-E1CBE7DCE4CD}"/>
            </c:ext>
          </c:extLst>
        </c:ser>
        <c:dLbls>
          <c:showLegendKey val="0"/>
          <c:showVal val="0"/>
          <c:showCatName val="0"/>
          <c:showSerName val="0"/>
          <c:showPercent val="0"/>
          <c:showBubbleSize val="0"/>
        </c:dLbls>
        <c:axId val="158793728"/>
        <c:axId val="158795264"/>
      </c:scatterChart>
      <c:valAx>
        <c:axId val="158793728"/>
        <c:scaling>
          <c:orientation val="minMax"/>
          <c:max val="80"/>
          <c:min val="0"/>
        </c:scaling>
        <c:delete val="0"/>
        <c:axPos val="b"/>
        <c:title>
          <c:tx>
            <c:rich>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Project Cost per Connection per Month</a:t>
                </a:r>
              </a:p>
            </c:rich>
          </c:tx>
          <c:layout>
            <c:manualLayout>
              <c:xMode val="edge"/>
              <c:yMode val="edge"/>
              <c:x val="0.31118819904604905"/>
              <c:y val="0.9230983940524381"/>
            </c:manualLayout>
          </c:layout>
          <c:overlay val="0"/>
          <c:spPr>
            <a:noFill/>
            <a:ln>
              <a:noFill/>
            </a:ln>
            <a:effectLst/>
          </c:spPr>
        </c:title>
        <c:numFmt formatCode="&quot;$&quot;#,##0" sourceLinked="0"/>
        <c:majorTickMark val="out"/>
        <c:minorTickMark val="none"/>
        <c:tickLblPos val="nextTo"/>
        <c:spPr>
          <a:noFill/>
          <a:ln w="9525" cap="flat" cmpd="sng" algn="ctr">
            <a:solidFill>
              <a:schemeClr val="tx1"/>
            </a:solidFill>
            <a:round/>
          </a:ln>
          <a:effectLst/>
        </c:spPr>
        <c:txPr>
          <a:bodyPr rot="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5264"/>
        <c:crosses val="autoZero"/>
        <c:crossBetween val="midCat"/>
        <c:majorUnit val="10"/>
      </c:valAx>
      <c:valAx>
        <c:axId val="158795264"/>
        <c:scaling>
          <c:orientation val="minMax"/>
          <c:max val="170"/>
          <c:min val="20"/>
        </c:scaling>
        <c:delete val="0"/>
        <c:axPos val="l"/>
        <c:minorGridlines>
          <c:spPr>
            <a:ln w="9525" cap="flat" cmpd="sng" algn="ctr">
              <a:noFill/>
              <a:round/>
            </a:ln>
            <a:effectLst/>
          </c:spPr>
        </c:minorGridlines>
        <c:title>
          <c:tx>
            <c:rich>
              <a:bodyPr rot="-54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"Effective" Combined Utility Bill per 5,000 gallons</a:t>
                </a:r>
              </a:p>
            </c:rich>
          </c:tx>
          <c:layout>
            <c:manualLayout>
              <c:xMode val="edge"/>
              <c:yMode val="edge"/>
              <c:x val="7.6992849777386407E-3"/>
              <c:y val="8.7249252586184073E-2"/>
            </c:manualLayout>
          </c:layout>
          <c:overlay val="0"/>
          <c:spPr>
            <a:noFill/>
            <a:ln>
              <a:noFill/>
            </a:ln>
            <a:effectLst/>
          </c:spPr>
        </c:title>
        <c:numFmt formatCode="&quot;$&quot;#,##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3728"/>
        <c:crosses val="autoZero"/>
        <c:crossBetween val="midCat"/>
        <c:majorUnit val="20"/>
        <c:minorUnit val="5"/>
      </c:valAx>
      <c:spPr>
        <a:noFill/>
        <a:ln w="12700">
          <a:solidFill>
            <a:schemeClr val="tx1">
              <a:lumMod val="65000"/>
              <a:lumOff val="35000"/>
            </a:schemeClr>
          </a:solidFill>
        </a:ln>
        <a:effectLst>
          <a:outerShdw blurRad="50800" dist="50800" dir="5400000" algn="ctr" rotWithShape="0">
            <a:srgbClr val="000000">
              <a:alpha val="0"/>
            </a:srgbClr>
          </a:outerShdw>
        </a:effectLst>
      </c:spPr>
    </c:plotArea>
    <c:legend>
      <c:legendPos val="t"/>
      <c:layout>
        <c:manualLayout>
          <c:xMode val="edge"/>
          <c:yMode val="edge"/>
          <c:x val="0.69758588613338235"/>
          <c:y val="0.11555183131224897"/>
          <c:w val="0.25490309257296978"/>
          <c:h val="9.9231462794481445E-2"/>
        </c:manualLayout>
      </c:layout>
      <c:overlay val="0"/>
      <c:spPr>
        <a:solidFill>
          <a:schemeClr val="bg1"/>
        </a:solidFill>
        <a:ln>
          <a:solidFill>
            <a:schemeClr val="tx1"/>
          </a:solidFill>
        </a:ln>
      </c:spPr>
    </c:legend>
    <c:plotVisOnly val="0"/>
    <c:dispBlanksAs val="gap"/>
    <c:showDLblsOverMax val="0"/>
  </c:chart>
  <c:spPr>
    <a:noFill/>
    <a:ln w="12700" cap="flat" cmpd="sng" algn="ctr">
      <a:solidFill>
        <a:schemeClr val="tx1"/>
      </a:solidFill>
      <a:round/>
    </a:ln>
    <a:effectLst>
      <a:outerShdw blurRad="50800" dist="50800" dir="5400000" algn="ctr" rotWithShape="0">
        <a:srgbClr val="000000">
          <a:alpha val="0"/>
        </a:srgbClr>
      </a:outerShdw>
    </a:effectLst>
  </c:spPr>
  <c:txPr>
    <a:bodyPr/>
    <a:lstStyle/>
    <a:p>
      <a:pPr>
        <a:defRPr/>
      </a:pPr>
      <a:endParaRPr lang="en-US"/>
    </a:p>
  </c:txPr>
  <c:printSettings>
    <c:headerFooter/>
    <c:pageMargins b="0.75000000000000111" l="0.70000000000000062" r="0.70000000000000062" t="0.75000000000000111"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526516</xdr:colOff>
      <xdr:row>58</xdr:row>
      <xdr:rowOff>15756</xdr:rowOff>
    </xdr:from>
    <xdr:to>
      <xdr:col>7</xdr:col>
      <xdr:colOff>337131</xdr:colOff>
      <xdr:row>73</xdr:row>
      <xdr:rowOff>99188</xdr:rowOff>
    </xdr:to>
    <xdr:graphicFrame macro="">
      <xdr:nvGraphicFramePr>
        <xdr:cNvPr id="2" name="Background">
          <a:extLst>
            <a:ext uri="{FF2B5EF4-FFF2-40B4-BE49-F238E27FC236}">
              <a16:creationId xmlns:a16="http://schemas.microsoft.com/office/drawing/2014/main" id="{2EC97053-4347-48E3-88AB-641BBC2549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16571</xdr:colOff>
      <xdr:row>56</xdr:row>
      <xdr:rowOff>132522</xdr:rowOff>
    </xdr:from>
    <xdr:to>
      <xdr:col>7</xdr:col>
      <xdr:colOff>442297</xdr:colOff>
      <xdr:row>76</xdr:row>
      <xdr:rowOff>6214</xdr:rowOff>
    </xdr:to>
    <xdr:graphicFrame macro="">
      <xdr:nvGraphicFramePr>
        <xdr:cNvPr id="5" name="Main Chart">
          <a:extLst>
            <a:ext uri="{FF2B5EF4-FFF2-40B4-BE49-F238E27FC236}">
              <a16:creationId xmlns:a16="http://schemas.microsoft.com/office/drawing/2014/main" id="{1C2B6929-4A3C-1DA6-91CF-1B6960573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150284</xdr:colOff>
      <xdr:row>70</xdr:row>
      <xdr:rowOff>174000</xdr:rowOff>
    </xdr:from>
    <xdr:to>
      <xdr:col>7</xdr:col>
      <xdr:colOff>21922</xdr:colOff>
      <xdr:row>72</xdr:row>
      <xdr:rowOff>10695</xdr:rowOff>
    </xdr:to>
    <xdr:sp macro="" textlink="">
      <xdr:nvSpPr>
        <xdr:cNvPr id="6" name="0% Text">
          <a:extLst>
            <a:ext uri="{FF2B5EF4-FFF2-40B4-BE49-F238E27FC236}">
              <a16:creationId xmlns:a16="http://schemas.microsoft.com/office/drawing/2014/main" id="{A27F438C-8F3D-4A11-ABB4-DA868758B5DE}"/>
            </a:ext>
          </a:extLst>
        </xdr:cNvPr>
        <xdr:cNvSpPr txBox="1"/>
      </xdr:nvSpPr>
      <xdr:spPr>
        <a:xfrm rot="931554">
          <a:off x="7713134" y="15642600"/>
          <a:ext cx="1462313" cy="217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0%</a:t>
          </a:r>
          <a:r>
            <a:rPr lang="en-US" sz="1400" baseline="0"/>
            <a:t> Grant Eligible</a:t>
          </a:r>
          <a:endParaRPr lang="en-US" sz="1400"/>
        </a:p>
      </xdr:txBody>
    </xdr:sp>
    <xdr:clientData/>
  </xdr:twoCellAnchor>
  <xdr:twoCellAnchor>
    <xdr:from>
      <xdr:col>5</xdr:col>
      <xdr:colOff>300073</xdr:colOff>
      <xdr:row>69</xdr:row>
      <xdr:rowOff>147678</xdr:rowOff>
    </xdr:from>
    <xdr:to>
      <xdr:col>7</xdr:col>
      <xdr:colOff>304126</xdr:colOff>
      <xdr:row>71</xdr:row>
      <xdr:rowOff>43233</xdr:rowOff>
    </xdr:to>
    <xdr:sp macro="" textlink="">
      <xdr:nvSpPr>
        <xdr:cNvPr id="7" name="25% Text">
          <a:extLst>
            <a:ext uri="{FF2B5EF4-FFF2-40B4-BE49-F238E27FC236}">
              <a16:creationId xmlns:a16="http://schemas.microsoft.com/office/drawing/2014/main" id="{8021D699-AE6E-470D-892C-E1590A6675CD}"/>
            </a:ext>
          </a:extLst>
        </xdr:cNvPr>
        <xdr:cNvSpPr txBox="1"/>
      </xdr:nvSpPr>
      <xdr:spPr>
        <a:xfrm rot="957625">
          <a:off x="7862923" y="15425778"/>
          <a:ext cx="1594728" cy="276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25%</a:t>
          </a:r>
          <a:r>
            <a:rPr lang="en-US" sz="1400" baseline="0"/>
            <a:t> Grant Eligible</a:t>
          </a:r>
          <a:endParaRPr lang="en-US" sz="1400"/>
        </a:p>
      </xdr:txBody>
    </xdr:sp>
    <xdr:clientData/>
  </xdr:twoCellAnchor>
  <xdr:twoCellAnchor>
    <xdr:from>
      <xdr:col>5</xdr:col>
      <xdr:colOff>306800</xdr:colOff>
      <xdr:row>66</xdr:row>
      <xdr:rowOff>36723</xdr:rowOff>
    </xdr:from>
    <xdr:to>
      <xdr:col>7</xdr:col>
      <xdr:colOff>235282</xdr:colOff>
      <xdr:row>67</xdr:row>
      <xdr:rowOff>130589</xdr:rowOff>
    </xdr:to>
    <xdr:sp macro="" textlink="">
      <xdr:nvSpPr>
        <xdr:cNvPr id="8" name="75% Text">
          <a:extLst>
            <a:ext uri="{FF2B5EF4-FFF2-40B4-BE49-F238E27FC236}">
              <a16:creationId xmlns:a16="http://schemas.microsoft.com/office/drawing/2014/main" id="{3B82EF0D-A573-4C07-BFDB-41AB2D706C49}"/>
            </a:ext>
          </a:extLst>
        </xdr:cNvPr>
        <xdr:cNvSpPr txBox="1"/>
      </xdr:nvSpPr>
      <xdr:spPr>
        <a:xfrm rot="922004">
          <a:off x="7869650" y="14724273"/>
          <a:ext cx="1519157" cy="293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75%</a:t>
          </a:r>
          <a:r>
            <a:rPr lang="en-US" sz="1400" baseline="0"/>
            <a:t> Grant Eligible</a:t>
          </a:r>
          <a:endParaRPr lang="en-US" sz="1400"/>
        </a:p>
      </xdr:txBody>
    </xdr:sp>
    <xdr:clientData/>
  </xdr:twoCellAnchor>
  <xdr:twoCellAnchor>
    <xdr:from>
      <xdr:col>5</xdr:col>
      <xdr:colOff>224785</xdr:colOff>
      <xdr:row>64</xdr:row>
      <xdr:rowOff>81104</xdr:rowOff>
    </xdr:from>
    <xdr:to>
      <xdr:col>7</xdr:col>
      <xdr:colOff>350285</xdr:colOff>
      <xdr:row>65</xdr:row>
      <xdr:rowOff>133208</xdr:rowOff>
    </xdr:to>
    <xdr:sp macro="" textlink="">
      <xdr:nvSpPr>
        <xdr:cNvPr id="9" name="100% Text">
          <a:extLst>
            <a:ext uri="{FF2B5EF4-FFF2-40B4-BE49-F238E27FC236}">
              <a16:creationId xmlns:a16="http://schemas.microsoft.com/office/drawing/2014/main" id="{B4C9C4DB-3078-4F90-937E-D2A983E8F32A}"/>
            </a:ext>
          </a:extLst>
        </xdr:cNvPr>
        <xdr:cNvSpPr txBox="1"/>
      </xdr:nvSpPr>
      <xdr:spPr>
        <a:xfrm rot="976013">
          <a:off x="7787635" y="14359079"/>
          <a:ext cx="1716175" cy="242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100%</a:t>
          </a:r>
          <a:r>
            <a:rPr lang="en-US" sz="1400" baseline="0"/>
            <a:t> Grant Eligible</a:t>
          </a:r>
          <a:endParaRPr lang="en-US" sz="1400"/>
        </a:p>
      </xdr:txBody>
    </xdr:sp>
    <xdr:clientData/>
  </xdr:twoCellAnchor>
  <xdr:twoCellAnchor>
    <xdr:from>
      <xdr:col>5</xdr:col>
      <xdr:colOff>237912</xdr:colOff>
      <xdr:row>68</xdr:row>
      <xdr:rowOff>24253</xdr:rowOff>
    </xdr:from>
    <xdr:to>
      <xdr:col>7</xdr:col>
      <xdr:colOff>364724</xdr:colOff>
      <xdr:row>69</xdr:row>
      <xdr:rowOff>71145</xdr:rowOff>
    </xdr:to>
    <xdr:sp macro="" textlink="">
      <xdr:nvSpPr>
        <xdr:cNvPr id="10" name="50% Text">
          <a:extLst>
            <a:ext uri="{FF2B5EF4-FFF2-40B4-BE49-F238E27FC236}">
              <a16:creationId xmlns:a16="http://schemas.microsoft.com/office/drawing/2014/main" id="{2273DE9C-24FF-4A1D-9CD8-93F889FDCB16}"/>
            </a:ext>
          </a:extLst>
        </xdr:cNvPr>
        <xdr:cNvSpPr txBox="1"/>
      </xdr:nvSpPr>
      <xdr:spPr>
        <a:xfrm rot="967789">
          <a:off x="7800762" y="15102328"/>
          <a:ext cx="1717487" cy="246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50%</a:t>
          </a:r>
          <a:r>
            <a:rPr lang="en-US" sz="1400" baseline="0"/>
            <a:t> Grant Eligible</a:t>
          </a:r>
          <a:endParaRPr lang="en-US" sz="14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DE95FC-6206-40F2-8F3E-B87126AD82B0}" name="Data_Points_DW" displayName="Data_Points_DW" ref="AX2:AZ89" totalsRowShown="0" headerRowDxfId="56">
  <autoFilter ref="AX2:AZ89" xr:uid="{48DE95FC-6206-40F2-8F3E-B87126AD82B0}"/>
  <tableColumns count="3">
    <tableColumn id="2" xr3:uid="{2672F7B6-9A9C-49C8-9F90-6EF92F896B79}" name="Y: Effective Combined Bill ($/5,000 gal.)" dataDxfId="55" dataCellStyle="Percent"/>
    <tableColumn id="3" xr3:uid="{4E756FE3-8F53-4C12-BA7E-2753516D2ABE}" name="Water Connections" dataDxfId="54" dataCellStyle="Percent"/>
    <tableColumn id="4" xr3:uid="{837580B0-9EAB-4FA8-B4B4-8E8BFAE89201}" name="X: Project Cost Per conn. per Month" dataDxfId="53">
      <calculatedColumnFormula xml:space="preserve"> AI_Project_Cost/AY3/20/12</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DF7B43-7FFD-435C-8AF1-046B0F8051EE}" name="Data_Points_CW" displayName="Data_Points_CW" ref="BB2:BD73" totalsRowShown="0" headerRowDxfId="52">
  <autoFilter ref="BB2:BD73" xr:uid="{4BDF7B43-7FFD-435C-8AF1-046B0F8051EE}"/>
  <tableColumns count="3">
    <tableColumn id="2" xr3:uid="{B8731DC4-D009-4806-A862-BE985635132D}" name="Y: Effective Combined Bill ($/5,000 gal.)" dataDxfId="51" dataCellStyle="Percent"/>
    <tableColumn id="3" xr3:uid="{4269DE7C-A936-4019-9A51-A609202FC406}" name="Sewer Connections" dataDxfId="50" dataCellStyle="Percent"/>
    <tableColumn id="4" xr3:uid="{A0DD88E2-2E93-40AF-9BEF-07DC857D3C21}" name="X: Project Cost Per conn. per Month" dataDxfId="49" dataCellStyle="Currency">
      <calculatedColumnFormula xml:space="preserve"> AI_Project_Cost/BC3/20/12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F1F643-8275-4F8F-AE95-55485D068C7B}" name="AC_Chart_Background_Data" displayName="AC_Chart_Background_Data" ref="AJ2:AO303" totalsRowShown="0" headerRowDxfId="48" dataDxfId="46" headerRowBorderDxfId="47" tableBorderDxfId="45">
  <autoFilter ref="AJ2:AO303" xr:uid="{6CF1F643-8275-4F8F-AE95-55485D068C7B}"/>
  <tableColumns count="6">
    <tableColumn id="1" xr3:uid="{B970BCAB-7725-413F-ABE2-34544C6C3789}" name="X" dataDxfId="44"/>
    <tableColumn id="2" xr3:uid="{5CAF3221-371F-415E-B7D4-934151FC6127}" name="0%" dataDxfId="43">
      <calculatedColumnFormula>IF(AC_Chart_Background_Data[[#This Row],[X]] &lt; EFC_70P-EFC_50P, EFC_50P, MAX(EFC_70P-AC_Chart_Background_Data[[#This Row],[X]],0))</calculatedColumnFormula>
    </tableColumn>
    <tableColumn id="3" xr3:uid="{379D3296-B4C9-493D-9A4B-600639A2808A}" name="25%" dataDxfId="42">
      <calculatedColumnFormula>IF(AC_Chart_Background_Data[[#This Row],[X]] &lt; EFC_85P-EFC_70P, EFC_70P, MAX(EFC_85P-AC_Chart_Background_Data[[#This Row],[X]],0))</calculatedColumnFormula>
    </tableColumn>
    <tableColumn id="4" xr3:uid="{3DCFD344-84E9-437A-A3FF-E147A3DB8F4D}" name="50%" dataDxfId="41">
      <calculatedColumnFormula>IF(AC_Chart_Background_Data[[#This Row],[X]] &lt; EFC_95P-EFC_85P, EFC_85P, MAX(EFC_95P-AC_Chart_Background_Data[[#This Row],[X]],0))</calculatedColumnFormula>
    </tableColumn>
    <tableColumn id="5" xr3:uid="{7455DBAE-7F3F-4C55-A811-0E7EDA77425C}" name="75%" dataDxfId="40">
      <calculatedColumnFormula>IF(AC_Chart_Background_Data[[#This Row],[X]] &lt; EFC_99P-EFC_95P, EFC_95P, MAX(EFC_99P-AC_Chart_Background_Data[[#This Row],[X]],0))</calculatedColumnFormula>
    </tableColumn>
    <tableColumn id="6" xr3:uid="{9771337D-8BCB-4E4E-B517-3D3608696EBD}" name="100%" dataDxfId="39">
      <calculatedColumnFormula>AC_Ymax</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1D429D-B412-4C76-9EE0-5E40E62C723B}" name="DataTable_Economic" displayName="DataTable_Economic" ref="A1:G654" headerRowDxfId="38" dataDxfId="37" totalsRowDxfId="35" tableBorderDxfId="36">
  <autoFilter ref="A1:G654" xr:uid="{381D429D-B412-4C76-9EE0-5E40E62C723B}"/>
  <tableColumns count="7">
    <tableColumn id="1" xr3:uid="{206B1B5F-733A-40D9-9CC4-4C261BE53F8C}" name="LGU" totalsRowLabel="Total" dataDxfId="34" totalsRowDxfId="33"/>
    <tableColumn id="3" xr3:uid="{386E5398-DE29-40B1-B5A2-FCCF091DE24A}" name="Population (2022)" dataDxfId="32" totalsRowDxfId="31" dataCellStyle="Comma"/>
    <tableColumn id="4" xr3:uid="{1E277898-777A-429A-915B-505479A1DFC7}" name="Population Change (%, 2018-2022)" dataDxfId="30" totalsRowDxfId="29" dataCellStyle="Percent"/>
    <tableColumn id="5" xr3:uid="{CED353D8-310B-4251-8F02-4A7AF2BC7183}" name="Poverty Rate (%, 2022)" dataDxfId="28" totalsRowDxfId="27"/>
    <tableColumn id="6" xr3:uid="{16D8AEB3-9BB4-4FAC-94C9-68669740C88F}" name="Median Household Income (2022)" dataDxfId="26" totalsRowDxfId="25"/>
    <tableColumn id="7" xr3:uid="{8239B56D-8946-4A3A-BEEE-53B27B738678}" name="Unemployment Rate (%, 2022)" totalsRowFunction="average" dataDxfId="24" totalsRowDxfId="23" dataCellStyle="Comma 3"/>
    <tableColumn id="8" xr3:uid="{5BC3EFB3-7DDC-4FE4-9D3B-8699C0A97D37}" name="Total Appraised Value (2022-2023)" totalsRowFunction="count" dataDxfId="22" totalsRowDxfId="2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9028E53-DAB8-4CB5-9A56-D2F69869DF7B}" name="DataTable_VUR" displayName="DataTable_VUR" ref="I1:M492" headerRowDxfId="20" dataDxfId="19" totalsRowDxfId="17" tableBorderDxfId="18">
  <autoFilter ref="I1:M492" xr:uid="{89028E53-DAB8-4CB5-9A56-D2F69869DF7B}"/>
  <tableColumns count="5">
    <tableColumn id="1" xr3:uid="{C0D4A221-F9BA-4AF4-B36A-1C9B9CC8F8EB}" name="Unit Name" dataDxfId="16" totalsRowDxfId="15"/>
    <tableColumn id="2" xr3:uid="{58D85C3F-58BB-4A59-8B57-4A5EEF12F462}" name="Distressed?" dataDxfId="14" totalsRowDxfId="13"/>
    <tableColumn id="3" xr3:uid="{CDB1EF64-51FF-4ABA-8869-6C2112C77635}" name="VUR Assessment Score (2023)" dataDxfId="12" totalsRowDxfId="11"/>
    <tableColumn id="4" xr3:uid="{A01EE4CE-8379-426E-8603-939FBB0ECC8F}" name="Bulk provider?" dataDxfId="10" totalsRowDxfId="9"/>
    <tableColumn id="5" xr3:uid="{90A03815-1439-41A7-81FD-B0DDF02690CF}" name="D1 Units?" dataDxfId="8" totalsRowDxfId="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E722-8A97-4D12-BB8F-76C9191AC8A9}">
  <sheetPr codeName="Calculator">
    <pageSetUpPr fitToPage="1"/>
  </sheetPr>
  <dimension ref="A1:BZ390"/>
  <sheetViews>
    <sheetView showGridLines="0" tabSelected="1" workbookViewId="0">
      <selection activeCell="D7" sqref="D7:I8"/>
    </sheetView>
  </sheetViews>
  <sheetFormatPr defaultRowHeight="15" x14ac:dyDescent="0.25"/>
  <cols>
    <col min="1" max="1" width="30.140625" style="9" customWidth="1"/>
    <col min="2" max="2" width="21.28515625" style="9" customWidth="1"/>
    <col min="3" max="3" width="23.28515625" style="9" customWidth="1"/>
    <col min="4" max="4" width="21.42578125" style="9" customWidth="1"/>
    <col min="5" max="6" width="17.28515625" style="9" customWidth="1"/>
    <col min="7" max="7" width="6.5703125" style="9" customWidth="1"/>
    <col min="8" max="8" width="15" style="9" customWidth="1"/>
    <col min="9" max="9" width="11.5703125" style="9" customWidth="1"/>
    <col min="10" max="26" width="9.140625" style="9"/>
    <col min="27" max="27" width="35.28515625" style="84" hidden="1" customWidth="1"/>
    <col min="28" max="28" width="9.28515625" style="9" hidden="1" customWidth="1"/>
    <col min="29" max="29" width="7" style="9" hidden="1" customWidth="1"/>
    <col min="30" max="30" width="55" style="9" hidden="1" customWidth="1"/>
    <col min="31" max="31" width="14" style="9" hidden="1" customWidth="1"/>
    <col min="32" max="32" width="13.140625" style="9" hidden="1" customWidth="1"/>
    <col min="33" max="33" width="14.42578125" style="9" hidden="1" customWidth="1"/>
    <col min="34" max="48" width="12.42578125" style="9" hidden="1" customWidth="1"/>
    <col min="49" max="49" width="9.140625" style="9" hidden="1" customWidth="1"/>
    <col min="50" max="50" width="54.5703125" style="9" hidden="1" customWidth="1"/>
    <col min="51" max="51" width="24.85546875" style="9" hidden="1" customWidth="1"/>
    <col min="52" max="52" width="40.85546875" style="9" hidden="1" customWidth="1"/>
    <col min="53" max="53" width="9.140625" style="9" hidden="1" customWidth="1"/>
    <col min="54" max="54" width="54.5703125" style="9" hidden="1" customWidth="1"/>
    <col min="55" max="55" width="25.28515625" style="9" hidden="1" customWidth="1"/>
    <col min="56" max="56" width="50" style="9" hidden="1" customWidth="1"/>
    <col min="57" max="78" width="9.140625" style="9" hidden="1" customWidth="1"/>
    <col min="79" max="142" width="9.140625" style="9" customWidth="1"/>
    <col min="143" max="16384" width="9.140625" style="9"/>
  </cols>
  <sheetData>
    <row r="1" spans="1:56" ht="21" customHeight="1" x14ac:dyDescent="0.35">
      <c r="A1" s="8" t="s">
        <v>839</v>
      </c>
      <c r="E1" s="79" t="s">
        <v>719</v>
      </c>
      <c r="F1" s="10" t="s">
        <v>717</v>
      </c>
      <c r="AA1" s="83" t="s">
        <v>745</v>
      </c>
      <c r="AC1" s="221" t="s">
        <v>819</v>
      </c>
      <c r="AD1" s="221"/>
      <c r="AE1" s="221"/>
      <c r="AF1" s="221"/>
      <c r="AG1" s="221"/>
      <c r="AJ1" s="225" t="s">
        <v>843</v>
      </c>
      <c r="AK1" s="225"/>
      <c r="AL1" s="225"/>
      <c r="AM1" s="225"/>
      <c r="AN1" s="225"/>
      <c r="AO1" s="225"/>
      <c r="AP1" s="11"/>
      <c r="AQ1" s="225" t="s">
        <v>844</v>
      </c>
      <c r="AR1" s="225"/>
      <c r="AS1" s="225"/>
      <c r="AT1" s="225"/>
      <c r="AU1" s="225"/>
      <c r="AV1" s="225"/>
      <c r="AW1" s="11"/>
      <c r="AX1" s="210" t="s">
        <v>775</v>
      </c>
      <c r="AY1" s="210"/>
      <c r="AZ1" s="210"/>
      <c r="BA1" s="106"/>
      <c r="BB1" s="210" t="s">
        <v>774</v>
      </c>
      <c r="BC1" s="210"/>
      <c r="BD1" s="210"/>
    </row>
    <row r="2" spans="1:56" ht="15" customHeight="1" x14ac:dyDescent="0.25">
      <c r="A2" s="12" t="s">
        <v>852</v>
      </c>
      <c r="AA2" s="83"/>
      <c r="AC2" s="11"/>
      <c r="AD2" s="11"/>
      <c r="AE2" s="81" t="s">
        <v>757</v>
      </c>
      <c r="AF2" s="81" t="s">
        <v>758</v>
      </c>
      <c r="AG2" s="81" t="s">
        <v>744</v>
      </c>
      <c r="AJ2" s="174" t="s">
        <v>845</v>
      </c>
      <c r="AK2" s="175" t="s">
        <v>846</v>
      </c>
      <c r="AL2" s="175" t="s">
        <v>847</v>
      </c>
      <c r="AM2" s="175" t="s">
        <v>848</v>
      </c>
      <c r="AN2" s="175" t="s">
        <v>849</v>
      </c>
      <c r="AO2" s="176" t="s">
        <v>850</v>
      </c>
      <c r="AQ2" s="169" t="s">
        <v>845</v>
      </c>
      <c r="AR2" s="169" t="s">
        <v>846</v>
      </c>
      <c r="AS2" s="169" t="s">
        <v>847</v>
      </c>
      <c r="AT2" s="169" t="s">
        <v>848</v>
      </c>
      <c r="AU2" s="169" t="s">
        <v>849</v>
      </c>
      <c r="AV2" s="169" t="s">
        <v>850</v>
      </c>
      <c r="AW2" s="11"/>
      <c r="AX2" s="17" t="s">
        <v>772</v>
      </c>
      <c r="AY2" s="17" t="s">
        <v>715</v>
      </c>
      <c r="AZ2" s="17" t="s">
        <v>773</v>
      </c>
      <c r="BA2" s="11"/>
      <c r="BB2" s="17" t="s">
        <v>772</v>
      </c>
      <c r="BC2" s="17" t="s">
        <v>716</v>
      </c>
      <c r="BD2" s="17" t="s">
        <v>773</v>
      </c>
    </row>
    <row r="3" spans="1:56" ht="16.5" customHeight="1" thickBot="1" x14ac:dyDescent="0.3">
      <c r="A3" s="12" t="s">
        <v>818</v>
      </c>
      <c r="AA3" s="83" t="s">
        <v>693</v>
      </c>
      <c r="AC3" s="81" t="s">
        <v>747</v>
      </c>
      <c r="AD3" s="85" t="s">
        <v>752</v>
      </c>
      <c r="AE3" s="81" t="b">
        <f>IF(AND(VU_Distressed&lt;&gt;"",VU_Score&lt;&gt;""),TRUE,FALSE)</f>
        <v>0</v>
      </c>
      <c r="AF3" s="81" t="b">
        <f>AC_Step1_Completed</f>
        <v>0</v>
      </c>
      <c r="AG3" s="81" t="b">
        <f>IF(AND(AC_Step1_Passed),TRUE,FALSE)</f>
        <v>0</v>
      </c>
      <c r="AJ3" s="167">
        <v>0</v>
      </c>
      <c r="AK3" s="167">
        <f>IF(AC_Chart_Background_Data[[#This Row],[X]] &lt; EFC_70P-EFC_50P, EFC_50P, MAX(EFC_70P-AC_Chart_Background_Data[[#This Row],[X]],0))</f>
        <v>89</v>
      </c>
      <c r="AL3" s="167">
        <f>IF(AC_Chart_Background_Data[[#This Row],[X]] &lt; EFC_85P-EFC_70P, EFC_70P, MAX(EFC_85P-AC_Chart_Background_Data[[#This Row],[X]],0))</f>
        <v>107</v>
      </c>
      <c r="AM3" s="167">
        <f>IF(AC_Chart_Background_Data[[#This Row],[X]] &lt; EFC_95P-EFC_85P, EFC_85P, MAX(EFC_95P-AC_Chart_Background_Data[[#This Row],[X]],0))</f>
        <v>126</v>
      </c>
      <c r="AN3" s="167">
        <f>IF(AC_Chart_Background_Data[[#This Row],[X]] &lt; EFC_99P-EFC_95P, EFC_95P, MAX(EFC_99P-AC_Chart_Background_Data[[#This Row],[X]],0))</f>
        <v>145</v>
      </c>
      <c r="AO3" s="167">
        <f t="shared" ref="AO3:AO66" si="0">AC_Ymax</f>
        <v>170</v>
      </c>
      <c r="AQ3" s="160" cm="1">
        <f t="array" ref="AQ3:AQ83">_xlfn.LET(_xlpm.X,AC_Chart_Background_Data[X],
           _xlfn._xlws.FILTER(_xlpm.X, (_xlpm.X&lt;=AC_Xmax),"")
            )</f>
        <v>0</v>
      </c>
      <c r="AR3" s="160" cm="1">
        <f t="array" ref="AR3:AR83">_xlfn.LET(_xlpm.Y,AC_Chart_Background_Data[0%],
           _xlpm.X, AC_Chart_Background_Data[X],
            _xlfn._xlws.FILTER(_xlpm.Y, (_xlpm.X&lt;=AC_Xmax),"")
            )</f>
        <v>89</v>
      </c>
      <c r="AS3" s="160" cm="1">
        <f t="array" ref="AS3:AS83">_xlfn.LET(_xlpm.Y,AC_Chart_Background_Data[25%],
           _xlpm.X, AC_Chart_Background_Data[X],
            _xlfn._xlws.FILTER(_xlpm.Y, (_xlpm.X&lt;=AC_Xmax),"")
            )</f>
        <v>107</v>
      </c>
      <c r="AT3" s="160" cm="1">
        <f t="array" ref="AT3:AT83">_xlfn.LET(_xlpm.Y,AC_Chart_Background_Data[50%],
           _xlpm.X, AC_Chart_Background_Data[X],
            _xlfn._xlws.FILTER(_xlpm.Y, (_xlpm.X&lt;=AC_Xmax),"")
            )</f>
        <v>126</v>
      </c>
      <c r="AU3" s="160" cm="1">
        <f t="array" ref="AU3:AU83">_xlfn.LET(_xlpm.Y,AC_Chart_Background_Data[75%],
           _xlpm.X, AC_Chart_Background_Data[X],
            _xlfn._xlws.FILTER(_xlpm.Y, (_xlpm.X&lt;=AC_Xmax),"")
            )</f>
        <v>145</v>
      </c>
      <c r="AV3" s="160" cm="1">
        <f t="array" ref="AV3:AV83">_xlfn.LET(_xlpm.Y,AC_Chart_Background_Data[100%],
           _xlpm.X, AC_Chart_Background_Data[X],
            _xlfn._xlws.FILTER(_xlpm.Y, (_xlpm.X&lt;=AC_Xmax),"")
            )</f>
        <v>170</v>
      </c>
      <c r="AW3" s="11"/>
      <c r="AX3" s="107">
        <v>131.5</v>
      </c>
      <c r="AY3" s="108">
        <v>12626</v>
      </c>
      <c r="AZ3" s="109">
        <f t="shared" ref="AZ3:AZ66" si="1" xml:space="preserve"> AI_Project_Cost/AY3/20/12</f>
        <v>0</v>
      </c>
      <c r="BA3" s="11"/>
      <c r="BB3" s="107">
        <v>102.51</v>
      </c>
      <c r="BC3" s="108">
        <v>2046</v>
      </c>
      <c r="BD3" s="110">
        <f t="shared" ref="BD3:BD63" si="2" xml:space="preserve"> AI_Project_Cost/BC3/20/12</f>
        <v>0</v>
      </c>
    </row>
    <row r="4" spans="1:56" ht="19.5" customHeight="1" thickBot="1" x14ac:dyDescent="0.35">
      <c r="A4" s="13" t="s">
        <v>718</v>
      </c>
      <c r="B4" s="211"/>
      <c r="C4" s="212"/>
      <c r="D4" s="14"/>
      <c r="AA4" s="83" t="s">
        <v>694</v>
      </c>
      <c r="AC4" s="81" t="s">
        <v>748</v>
      </c>
      <c r="AD4" s="85" t="s">
        <v>753</v>
      </c>
      <c r="AE4" s="81" t="b">
        <f>IF(AI_Connections_Res.&lt;&gt;"", TRUE, FALSE)</f>
        <v>0</v>
      </c>
      <c r="AF4" s="81" t="b">
        <f xml:space="preserve"> IF(AC_Step2_Completed,
              IF(OR(VU_Distressed="Yes",VU_D1="Yes",AND(AI_Connections_Res.&lt; 20000,AI_Connections_Res.&gt;0)),TRUE,FALSE),
              FALSE
        )</f>
        <v>0</v>
      </c>
      <c r="AG4" s="81" t="b">
        <f>IF(AND(AC_Step1_Passed,AC_Step2_Passed),TRUE,FALSE)</f>
        <v>0</v>
      </c>
      <c r="AJ4" s="167">
        <f>AJ3+1</f>
        <v>1</v>
      </c>
      <c r="AK4" s="167">
        <f>IF(AC_Chart_Background_Data[[#This Row],[X]] &lt; EFC_70P-EFC_50P, EFC_50P, MAX(EFC_70P-AC_Chart_Background_Data[[#This Row],[X]],0))</f>
        <v>89</v>
      </c>
      <c r="AL4" s="167">
        <f>IF(AC_Chart_Background_Data[[#This Row],[X]] &lt; EFC_85P-EFC_70P, EFC_70P, MAX(EFC_85P-AC_Chart_Background_Data[[#This Row],[X]],0))</f>
        <v>107</v>
      </c>
      <c r="AM4" s="167">
        <f>IF(AC_Chart_Background_Data[[#This Row],[X]] &lt; EFC_95P-EFC_85P, EFC_85P, MAX(EFC_95P-AC_Chart_Background_Data[[#This Row],[X]],0))</f>
        <v>126</v>
      </c>
      <c r="AN4" s="167">
        <f>IF(AC_Chart_Background_Data[[#This Row],[X]] &lt; EFC_99P-EFC_95P, EFC_95P, MAX(EFC_99P-AC_Chart_Background_Data[[#This Row],[X]],0))</f>
        <v>145</v>
      </c>
      <c r="AO4" s="167">
        <f t="shared" si="0"/>
        <v>170</v>
      </c>
      <c r="AQ4" s="160">
        <v>1</v>
      </c>
      <c r="AR4" s="160">
        <v>89</v>
      </c>
      <c r="AS4" s="160">
        <v>107</v>
      </c>
      <c r="AT4" s="160">
        <v>126</v>
      </c>
      <c r="AU4" s="160">
        <v>145</v>
      </c>
      <c r="AV4" s="160">
        <v>170</v>
      </c>
      <c r="AW4" s="11"/>
      <c r="AX4" s="107">
        <v>78.72</v>
      </c>
      <c r="AY4" s="108">
        <v>13880</v>
      </c>
      <c r="AZ4" s="109">
        <f t="shared" si="1"/>
        <v>0</v>
      </c>
      <c r="BA4" s="11"/>
      <c r="BB4" s="107">
        <v>56.44</v>
      </c>
      <c r="BC4" s="108">
        <v>7294</v>
      </c>
      <c r="BD4" s="110">
        <f t="shared" si="2"/>
        <v>0</v>
      </c>
    </row>
    <row r="5" spans="1:56" ht="15.75" customHeight="1" thickBot="1" x14ac:dyDescent="0.3">
      <c r="E5" s="9" t="s">
        <v>719</v>
      </c>
      <c r="AA5" s="80"/>
      <c r="AB5" s="11"/>
      <c r="AC5" s="81" t="s">
        <v>749</v>
      </c>
      <c r="AD5" s="85" t="s">
        <v>754</v>
      </c>
      <c r="AE5" s="81" t="b">
        <f>IFERROR(IF(AC_IWSB &lt;&gt;"",TRUE,FALSE),FALSE)</f>
        <v>0</v>
      </c>
      <c r="AF5" s="81" t="b">
        <f>IF(AC_Step3_Completed,
           IF(OR(VU_Distressed="Yes",VU_D1="Yes",AC_IWSB&gt;=3),TRUE,FALSE),
           FALSE
        )</f>
        <v>0</v>
      </c>
      <c r="AG5" s="81" t="b">
        <f>IF(AND(AC_Step1_Passed,AC_Step2_Passed,AC_Step3_Passed),TRUE,FALSE)</f>
        <v>0</v>
      </c>
      <c r="AJ5" s="167">
        <f>AJ4+1</f>
        <v>2</v>
      </c>
      <c r="AK5" s="167">
        <f>IF(AC_Chart_Background_Data[[#This Row],[X]] &lt; EFC_70P-EFC_50P, EFC_50P, MAX(EFC_70P-AC_Chart_Background_Data[[#This Row],[X]],0))</f>
        <v>89</v>
      </c>
      <c r="AL5" s="167">
        <f>IF(AC_Chart_Background_Data[[#This Row],[X]] &lt; EFC_85P-EFC_70P, EFC_70P, MAX(EFC_85P-AC_Chart_Background_Data[[#This Row],[X]],0))</f>
        <v>107</v>
      </c>
      <c r="AM5" s="167">
        <f>IF(AC_Chart_Background_Data[[#This Row],[X]] &lt; EFC_95P-EFC_85P, EFC_85P, MAX(EFC_95P-AC_Chart_Background_Data[[#This Row],[X]],0))</f>
        <v>126</v>
      </c>
      <c r="AN5" s="167">
        <f>IF(AC_Chart_Background_Data[[#This Row],[X]] &lt; EFC_99P-EFC_95P, EFC_95P, MAX(EFC_99P-AC_Chart_Background_Data[[#This Row],[X]],0))</f>
        <v>145</v>
      </c>
      <c r="AO5" s="167">
        <f t="shared" si="0"/>
        <v>170</v>
      </c>
      <c r="AQ5" s="160">
        <v>2</v>
      </c>
      <c r="AR5" s="160">
        <v>89</v>
      </c>
      <c r="AS5" s="160">
        <v>107</v>
      </c>
      <c r="AT5" s="160">
        <v>126</v>
      </c>
      <c r="AU5" s="160">
        <v>145</v>
      </c>
      <c r="AV5" s="160">
        <v>170</v>
      </c>
      <c r="AW5" s="11"/>
      <c r="AX5" s="107">
        <v>142.82</v>
      </c>
      <c r="AY5" s="108">
        <v>2480</v>
      </c>
      <c r="AZ5" s="109">
        <f t="shared" si="1"/>
        <v>0</v>
      </c>
      <c r="BA5" s="11"/>
      <c r="BB5" s="107">
        <v>82.78</v>
      </c>
      <c r="BC5" s="108">
        <v>235</v>
      </c>
      <c r="BD5" s="110">
        <f t="shared" si="2"/>
        <v>0</v>
      </c>
    </row>
    <row r="6" spans="1:56" ht="18.75" customHeight="1" x14ac:dyDescent="0.25">
      <c r="A6" s="213" t="s">
        <v>720</v>
      </c>
      <c r="B6" s="214"/>
      <c r="C6" s="215"/>
      <c r="G6" s="15"/>
      <c r="H6" s="15"/>
      <c r="AC6" s="81" t="s">
        <v>750</v>
      </c>
      <c r="AD6" s="85" t="s">
        <v>755</v>
      </c>
      <c r="AE6" s="81" t="b">
        <f>IF(AND(SIGN(FIF_Operating_Revenues)=1,SIGN(FIF_Total_Expenditures)=1,SIGN(AI_Project_Cost)=1),TRUE,FALSE)</f>
        <v>0</v>
      </c>
      <c r="AF6" s="81" t="b">
        <f xml:space="preserve"> IF(AC_Step4_Completed,
              IF(OR(VU_Distressed="Yes",VU_D1="Yes",AC_Operating_Ratio_Future &lt; 1.3),TRUE,FALSE),
              FALSE
         )</f>
        <v>0</v>
      </c>
      <c r="AG6" s="81" t="b">
        <f>IF(AND(AC_Step1_Passed,AC_Step2_Passed,AC_Step3_Passed,AC_Step4_Passed), TRUE, FALSE)</f>
        <v>0</v>
      </c>
      <c r="AJ6" s="167">
        <f t="shared" ref="AJ6:AJ69" si="3">AJ5+1</f>
        <v>3</v>
      </c>
      <c r="AK6" s="167">
        <f>IF(AC_Chart_Background_Data[[#This Row],[X]] &lt; EFC_70P-EFC_50P, EFC_50P, MAX(EFC_70P-AC_Chart_Background_Data[[#This Row],[X]],0))</f>
        <v>89</v>
      </c>
      <c r="AL6" s="167">
        <f>IF(AC_Chart_Background_Data[[#This Row],[X]] &lt; EFC_85P-EFC_70P, EFC_70P, MAX(EFC_85P-AC_Chart_Background_Data[[#This Row],[X]],0))</f>
        <v>107</v>
      </c>
      <c r="AM6" s="167">
        <f>IF(AC_Chart_Background_Data[[#This Row],[X]] &lt; EFC_95P-EFC_85P, EFC_85P, MAX(EFC_95P-AC_Chart_Background_Data[[#This Row],[X]],0))</f>
        <v>126</v>
      </c>
      <c r="AN6" s="167">
        <f>IF(AC_Chart_Background_Data[[#This Row],[X]] &lt; EFC_99P-EFC_95P, EFC_95P, MAX(EFC_99P-AC_Chart_Background_Data[[#This Row],[X]],0))</f>
        <v>145</v>
      </c>
      <c r="AO6" s="167">
        <f t="shared" si="0"/>
        <v>170</v>
      </c>
      <c r="AQ6" s="160">
        <v>3</v>
      </c>
      <c r="AR6" s="160">
        <v>89</v>
      </c>
      <c r="AS6" s="160">
        <v>107</v>
      </c>
      <c r="AT6" s="160">
        <v>126</v>
      </c>
      <c r="AU6" s="160">
        <v>145</v>
      </c>
      <c r="AV6" s="160">
        <v>170</v>
      </c>
      <c r="AW6" s="11"/>
      <c r="AX6" s="107">
        <v>137.80000000000001</v>
      </c>
      <c r="AY6" s="108">
        <v>2178</v>
      </c>
      <c r="AZ6" s="109">
        <f t="shared" si="1"/>
        <v>0</v>
      </c>
      <c r="BA6" s="11"/>
      <c r="BB6" s="107">
        <v>142.82</v>
      </c>
      <c r="BC6" s="108">
        <v>2179</v>
      </c>
      <c r="BD6" s="110">
        <f t="shared" si="2"/>
        <v>0</v>
      </c>
    </row>
    <row r="7" spans="1:56" ht="19.5" customHeight="1" x14ac:dyDescent="0.25">
      <c r="A7" s="16" t="s">
        <v>721</v>
      </c>
      <c r="B7" s="177" t="str">
        <f>IFERROR(VLOOKUP(AI_Applicant,VU_Unit_Names,1,FALSE),
                     IF(AI_Applicant&lt;&gt;"","Not listed","")
)</f>
        <v/>
      </c>
      <c r="C7" s="178"/>
      <c r="D7" s="230" t="s">
        <v>722</v>
      </c>
      <c r="E7" s="230"/>
      <c r="F7" s="230"/>
      <c r="G7" s="230"/>
      <c r="H7" s="230"/>
      <c r="I7" s="230"/>
      <c r="AC7" s="81" t="s">
        <v>751</v>
      </c>
      <c r="AD7" s="85" t="s">
        <v>756</v>
      </c>
      <c r="AE7" s="81" t="b">
        <f>IFERROR(IF(AND(SIGN(AI_Effective_Combined_Bill)=1,SIGN(AC_Connections)=1),TRUE,FALSE),FALSE)</f>
        <v>0</v>
      </c>
      <c r="AF7" s="81" t="b">
        <f>AC_Step5_Completed</f>
        <v>0</v>
      </c>
      <c r="AG7" s="81" t="b">
        <f>IF(AND(AC_Step1_Passed,AC_Step2_Passed,AC_Step3_Passed,AC_Step4_Passed,AC_Step5_Passed), TRUE,FALSE)</f>
        <v>0</v>
      </c>
      <c r="AJ7" s="167">
        <f t="shared" si="3"/>
        <v>4</v>
      </c>
      <c r="AK7" s="167">
        <f>IF(AC_Chart_Background_Data[[#This Row],[X]] &lt; EFC_70P-EFC_50P, EFC_50P, MAX(EFC_70P-AC_Chart_Background_Data[[#This Row],[X]],0))</f>
        <v>89</v>
      </c>
      <c r="AL7" s="167">
        <f>IF(AC_Chart_Background_Data[[#This Row],[X]] &lt; EFC_85P-EFC_70P, EFC_70P, MAX(EFC_85P-AC_Chart_Background_Data[[#This Row],[X]],0))</f>
        <v>107</v>
      </c>
      <c r="AM7" s="167">
        <f>IF(AC_Chart_Background_Data[[#This Row],[X]] &lt; EFC_95P-EFC_85P, EFC_85P, MAX(EFC_95P-AC_Chart_Background_Data[[#This Row],[X]],0))</f>
        <v>126</v>
      </c>
      <c r="AN7" s="167">
        <f>IF(AC_Chart_Background_Data[[#This Row],[X]] &lt; EFC_99P-EFC_95P, EFC_95P, MAX(EFC_99P-AC_Chart_Background_Data[[#This Row],[X]],0))</f>
        <v>145</v>
      </c>
      <c r="AO7" s="167">
        <f t="shared" si="0"/>
        <v>170</v>
      </c>
      <c r="AQ7" s="160">
        <v>4</v>
      </c>
      <c r="AR7" s="160">
        <v>89</v>
      </c>
      <c r="AS7" s="160">
        <v>107</v>
      </c>
      <c r="AT7" s="160">
        <v>126</v>
      </c>
      <c r="AU7" s="160">
        <v>145</v>
      </c>
      <c r="AV7" s="160">
        <v>170</v>
      </c>
      <c r="AW7" s="11"/>
      <c r="AX7" s="107">
        <v>50.6</v>
      </c>
      <c r="AY7" s="108">
        <v>25772</v>
      </c>
      <c r="AZ7" s="109">
        <f t="shared" si="1"/>
        <v>0</v>
      </c>
      <c r="BA7" s="11"/>
      <c r="BB7" s="107">
        <v>134.13</v>
      </c>
      <c r="BC7" s="108">
        <v>1248</v>
      </c>
      <c r="BD7" s="110">
        <f t="shared" si="2"/>
        <v>0</v>
      </c>
    </row>
    <row r="8" spans="1:56" ht="30" customHeight="1" thickBot="1" x14ac:dyDescent="0.3">
      <c r="A8" s="18" t="s">
        <v>723</v>
      </c>
      <c r="B8" s="177" t="str">
        <f>IFERROR(VLOOKUP(B7,DataTable_VUR[],2,FALSE),
                      IF(B7&lt;&gt;"", 0,"")
)</f>
        <v/>
      </c>
      <c r="C8" s="178"/>
      <c r="D8" s="230"/>
      <c r="E8" s="230"/>
      <c r="F8" s="230"/>
      <c r="G8" s="230"/>
      <c r="H8" s="230"/>
      <c r="I8" s="230"/>
      <c r="AD8" s="91" t="s">
        <v>696</v>
      </c>
      <c r="AE8" s="91"/>
      <c r="AJ8" s="167">
        <f t="shared" si="3"/>
        <v>5</v>
      </c>
      <c r="AK8" s="167">
        <f>IF(AC_Chart_Background_Data[[#This Row],[X]] &lt; EFC_70P-EFC_50P, EFC_50P, MAX(EFC_70P-AC_Chart_Background_Data[[#This Row],[X]],0))</f>
        <v>89</v>
      </c>
      <c r="AL8" s="167">
        <f>IF(AC_Chart_Background_Data[[#This Row],[X]] &lt; EFC_85P-EFC_70P, EFC_70P, MAX(EFC_85P-AC_Chart_Background_Data[[#This Row],[X]],0))</f>
        <v>107</v>
      </c>
      <c r="AM8" s="167">
        <f>IF(AC_Chart_Background_Data[[#This Row],[X]] &lt; EFC_95P-EFC_85P, EFC_85P, MAX(EFC_95P-AC_Chart_Background_Data[[#This Row],[X]],0))</f>
        <v>126</v>
      </c>
      <c r="AN8" s="167">
        <f>IF(AC_Chart_Background_Data[[#This Row],[X]] &lt; EFC_99P-EFC_95P, EFC_95P, MAX(EFC_99P-AC_Chart_Background_Data[[#This Row],[X]],0))</f>
        <v>145</v>
      </c>
      <c r="AO8" s="167">
        <f t="shared" si="0"/>
        <v>170</v>
      </c>
      <c r="AQ8" s="160">
        <v>5</v>
      </c>
      <c r="AR8" s="160">
        <v>89</v>
      </c>
      <c r="AS8" s="160">
        <v>107</v>
      </c>
      <c r="AT8" s="160">
        <v>126</v>
      </c>
      <c r="AU8" s="160">
        <v>145</v>
      </c>
      <c r="AV8" s="160">
        <v>170</v>
      </c>
      <c r="AW8" s="11"/>
      <c r="AX8" s="107">
        <v>87.5</v>
      </c>
      <c r="AY8" s="108">
        <v>4581</v>
      </c>
      <c r="AZ8" s="109">
        <f t="shared" si="1"/>
        <v>0</v>
      </c>
      <c r="BA8" s="11"/>
      <c r="BB8" s="107">
        <v>96.88</v>
      </c>
      <c r="BC8" s="108">
        <v>3000</v>
      </c>
      <c r="BD8" s="110">
        <f t="shared" si="2"/>
        <v>0</v>
      </c>
    </row>
    <row r="9" spans="1:56" ht="18.75" customHeight="1" thickBot="1" x14ac:dyDescent="0.3">
      <c r="A9" s="100" t="s">
        <v>768</v>
      </c>
      <c r="B9" s="177" t="str">
        <f>IFERROR(VLOOKUP(B7,DataTable_VUR[],3,FALSE),
                      IF(B7&lt;&gt;"", 0,"")
)</f>
        <v/>
      </c>
      <c r="C9" s="178"/>
      <c r="F9" s="15"/>
      <c r="G9" s="15"/>
      <c r="H9" s="15"/>
      <c r="AB9" s="98">
        <v>170</v>
      </c>
      <c r="AD9" s="89" t="s">
        <v>763</v>
      </c>
      <c r="AE9" s="90" t="e">
        <f>IF(AC_Step5_Running_Total_Passed,AI_Effective_Combined_Bill,NA())</f>
        <v>#N/A</v>
      </c>
      <c r="AJ9" s="167">
        <f t="shared" si="3"/>
        <v>6</v>
      </c>
      <c r="AK9" s="167">
        <f>IF(AC_Chart_Background_Data[[#This Row],[X]] &lt; EFC_70P-EFC_50P, EFC_50P, MAX(EFC_70P-AC_Chart_Background_Data[[#This Row],[X]],0))</f>
        <v>89</v>
      </c>
      <c r="AL9" s="167">
        <f>IF(AC_Chart_Background_Data[[#This Row],[X]] &lt; EFC_85P-EFC_70P, EFC_70P, MAX(EFC_85P-AC_Chart_Background_Data[[#This Row],[X]],0))</f>
        <v>107</v>
      </c>
      <c r="AM9" s="167">
        <f>IF(AC_Chart_Background_Data[[#This Row],[X]] &lt; EFC_95P-EFC_85P, EFC_85P, MAX(EFC_95P-AC_Chart_Background_Data[[#This Row],[X]],0))</f>
        <v>126</v>
      </c>
      <c r="AN9" s="167">
        <f>IF(AC_Chart_Background_Data[[#This Row],[X]] &lt; EFC_99P-EFC_95P, EFC_95P, MAX(EFC_99P-AC_Chart_Background_Data[[#This Row],[X]],0))</f>
        <v>145</v>
      </c>
      <c r="AO9" s="167">
        <f t="shared" si="0"/>
        <v>170</v>
      </c>
      <c r="AQ9" s="160">
        <v>6</v>
      </c>
      <c r="AR9" s="160">
        <v>89</v>
      </c>
      <c r="AS9" s="160">
        <v>107</v>
      </c>
      <c r="AT9" s="160">
        <v>126</v>
      </c>
      <c r="AU9" s="160">
        <v>145</v>
      </c>
      <c r="AV9" s="160">
        <v>170</v>
      </c>
      <c r="AW9" s="11"/>
      <c r="AX9" s="107">
        <v>57.73</v>
      </c>
      <c r="AY9" s="108">
        <v>24215</v>
      </c>
      <c r="AZ9" s="109">
        <f t="shared" si="1"/>
        <v>0</v>
      </c>
      <c r="BA9" s="11"/>
      <c r="BB9" s="107">
        <v>99.31</v>
      </c>
      <c r="BC9" s="108">
        <v>524</v>
      </c>
      <c r="BD9" s="110">
        <f t="shared" si="2"/>
        <v>0</v>
      </c>
    </row>
    <row r="10" spans="1:56" ht="18.75" customHeight="1" thickBot="1" x14ac:dyDescent="0.3">
      <c r="A10" s="16" t="s">
        <v>724</v>
      </c>
      <c r="B10" s="177" t="str">
        <f>IFERROR(VLOOKUP(B7,DataTable_VUR[],4,FALSE),"")</f>
        <v/>
      </c>
      <c r="C10" s="178"/>
      <c r="F10" s="15"/>
      <c r="G10" s="15"/>
      <c r="H10" s="15"/>
      <c r="AB10" s="99" t="e">
        <f>IF(AC_Step5_Running_Total_Passed,
            IF(AI_Effective_Combined_Bill&lt;AC_Ymin,
                  AC_Ymin,
                  IF(AI_Effective_Combined_Bill&gt;AC_Ymax,
                           AC_Ymax,
                           AI_Effective_Combined_Bill
                       )
               ),
           NA()
      )</f>
        <v>#N/A</v>
      </c>
      <c r="AD10" s="89" t="s">
        <v>759</v>
      </c>
      <c r="AE10" s="90" t="str">
        <f>AC_PCPCPM</f>
        <v/>
      </c>
      <c r="AJ10" s="167">
        <f t="shared" si="3"/>
        <v>7</v>
      </c>
      <c r="AK10" s="167">
        <f>IF(AC_Chart_Background_Data[[#This Row],[X]] &lt; EFC_70P-EFC_50P, EFC_50P, MAX(EFC_70P-AC_Chart_Background_Data[[#This Row],[X]],0))</f>
        <v>89</v>
      </c>
      <c r="AL10" s="167">
        <f>IF(AC_Chart_Background_Data[[#This Row],[X]] &lt; EFC_85P-EFC_70P, EFC_70P, MAX(EFC_85P-AC_Chart_Background_Data[[#This Row],[X]],0))</f>
        <v>107</v>
      </c>
      <c r="AM10" s="167">
        <f>IF(AC_Chart_Background_Data[[#This Row],[X]] &lt; EFC_95P-EFC_85P, EFC_85P, MAX(EFC_95P-AC_Chart_Background_Data[[#This Row],[X]],0))</f>
        <v>126</v>
      </c>
      <c r="AN10" s="167">
        <f>IF(AC_Chart_Background_Data[[#This Row],[X]] &lt; EFC_99P-EFC_95P, EFC_95P, MAX(EFC_99P-AC_Chart_Background_Data[[#This Row],[X]],0))</f>
        <v>145</v>
      </c>
      <c r="AO10" s="167">
        <f t="shared" si="0"/>
        <v>170</v>
      </c>
      <c r="AQ10" s="160">
        <v>7</v>
      </c>
      <c r="AR10" s="160">
        <v>89</v>
      </c>
      <c r="AS10" s="160">
        <v>107</v>
      </c>
      <c r="AT10" s="160">
        <v>126</v>
      </c>
      <c r="AU10" s="160">
        <v>145</v>
      </c>
      <c r="AV10" s="160">
        <v>170</v>
      </c>
      <c r="AW10" s="11"/>
      <c r="AX10" s="107">
        <v>144</v>
      </c>
      <c r="AY10" s="108">
        <v>5295</v>
      </c>
      <c r="AZ10" s="109">
        <f t="shared" si="1"/>
        <v>0</v>
      </c>
      <c r="BA10" s="11"/>
      <c r="BB10" s="107">
        <v>48.15</v>
      </c>
      <c r="BC10" s="108">
        <v>24322</v>
      </c>
      <c r="BD10" s="110">
        <f t="shared" si="2"/>
        <v>0</v>
      </c>
    </row>
    <row r="11" spans="1:56" ht="19.5" customHeight="1" thickBot="1" x14ac:dyDescent="0.3">
      <c r="A11" s="16" t="s">
        <v>838</v>
      </c>
      <c r="B11" s="177" t="str">
        <f>IFERROR(VLOOKUP(B7,DataTable_VUR[],5,FALSE),"")</f>
        <v/>
      </c>
      <c r="C11" s="178"/>
      <c r="F11" s="15"/>
      <c r="G11" s="118"/>
      <c r="H11" s="15"/>
      <c r="AB11" s="98">
        <v>20</v>
      </c>
      <c r="AJ11" s="167">
        <f t="shared" si="3"/>
        <v>8</v>
      </c>
      <c r="AK11" s="167">
        <f>IF(AC_Chart_Background_Data[[#This Row],[X]] &lt; EFC_70P-EFC_50P, EFC_50P, MAX(EFC_70P-AC_Chart_Background_Data[[#This Row],[X]],0))</f>
        <v>89</v>
      </c>
      <c r="AL11" s="167">
        <f>IF(AC_Chart_Background_Data[[#This Row],[X]] &lt; EFC_85P-EFC_70P, EFC_70P, MAX(EFC_85P-AC_Chart_Background_Data[[#This Row],[X]],0))</f>
        <v>107</v>
      </c>
      <c r="AM11" s="167">
        <f>IF(AC_Chart_Background_Data[[#This Row],[X]] &lt; EFC_95P-EFC_85P, EFC_85P, MAX(EFC_95P-AC_Chart_Background_Data[[#This Row],[X]],0))</f>
        <v>126</v>
      </c>
      <c r="AN11" s="167">
        <f>IF(AC_Chart_Background_Data[[#This Row],[X]] &lt; EFC_99P-EFC_95P, EFC_95P, MAX(EFC_99P-AC_Chart_Background_Data[[#This Row],[X]],0))</f>
        <v>145</v>
      </c>
      <c r="AO11" s="167">
        <f t="shared" si="0"/>
        <v>170</v>
      </c>
      <c r="AQ11" s="160">
        <v>8</v>
      </c>
      <c r="AR11" s="160">
        <v>89</v>
      </c>
      <c r="AS11" s="160">
        <v>107</v>
      </c>
      <c r="AT11" s="160">
        <v>126</v>
      </c>
      <c r="AU11" s="160">
        <v>145</v>
      </c>
      <c r="AV11" s="160">
        <v>170</v>
      </c>
      <c r="AW11" s="11"/>
      <c r="AX11" s="107">
        <v>84.45</v>
      </c>
      <c r="AY11" s="108">
        <v>14709</v>
      </c>
      <c r="AZ11" s="109">
        <f t="shared" si="1"/>
        <v>0</v>
      </c>
      <c r="BA11" s="11"/>
      <c r="BB11" s="107">
        <v>80.97</v>
      </c>
      <c r="BC11" s="108">
        <v>72388</v>
      </c>
      <c r="BD11" s="110">
        <f t="shared" si="2"/>
        <v>0</v>
      </c>
    </row>
    <row r="12" spans="1:56" ht="28.5" customHeight="1" thickBot="1" x14ac:dyDescent="0.3">
      <c r="A12" s="194" t="str">
        <f>IF(AI_Applicant&lt;&gt;"",
          IF(AC_Step1_Completed,
                IF(AC_Step1_Passed,"","You are only eligible for SRF Principal Forgiveness/SRP grant if you receive 4.C.4 points or BIL EC funding. You are eligible for loans."),
                "Complete Step 1. Fill all fields."),
          "Enter the Name of Applicant"
       )</f>
        <v>Enter the Name of Applicant</v>
      </c>
      <c r="B12" s="195"/>
      <c r="C12" s="196"/>
      <c r="F12" s="15"/>
      <c r="G12" s="118"/>
      <c r="H12" s="15"/>
      <c r="AB12" s="65" t="s">
        <v>766</v>
      </c>
      <c r="AC12" s="96">
        <v>0</v>
      </c>
      <c r="AD12" s="97" t="e">
        <f>IF(AC_Step5_Running_Total_Passed,
             IF(AC_PCPCPM&lt;AC_Xmin,
                      AC_Xmin,
                      IF(AC_PCPCPM&gt;AC_Xmax,
                              AC_Xmax,
                             AC_PCPCPM
                           )
                   ),
              NA()
       )</f>
        <v>#N/A</v>
      </c>
      <c r="AE12" s="98">
        <v>80</v>
      </c>
      <c r="AJ12" s="167">
        <f t="shared" si="3"/>
        <v>9</v>
      </c>
      <c r="AK12" s="167">
        <f>IF(AC_Chart_Background_Data[[#This Row],[X]] &lt; EFC_70P-EFC_50P, EFC_50P, MAX(EFC_70P-AC_Chart_Background_Data[[#This Row],[X]],0))</f>
        <v>89</v>
      </c>
      <c r="AL12" s="167">
        <f>IF(AC_Chart_Background_Data[[#This Row],[X]] &lt; EFC_85P-EFC_70P, EFC_70P, MAX(EFC_85P-AC_Chart_Background_Data[[#This Row],[X]],0))</f>
        <v>107</v>
      </c>
      <c r="AM12" s="167">
        <f>IF(AC_Chart_Background_Data[[#This Row],[X]] &lt; EFC_95P-EFC_85P, EFC_85P, MAX(EFC_95P-AC_Chart_Background_Data[[#This Row],[X]],0))</f>
        <v>126</v>
      </c>
      <c r="AN12" s="167">
        <f>IF(AC_Chart_Background_Data[[#This Row],[X]] &lt; EFC_99P-EFC_95P, EFC_95P, MAX(EFC_99P-AC_Chart_Background_Data[[#This Row],[X]],0))</f>
        <v>145</v>
      </c>
      <c r="AO12" s="167">
        <f t="shared" si="0"/>
        <v>170</v>
      </c>
      <c r="AQ12" s="160">
        <v>9</v>
      </c>
      <c r="AR12" s="160">
        <v>89</v>
      </c>
      <c r="AS12" s="160">
        <v>107</v>
      </c>
      <c r="AT12" s="160">
        <v>126</v>
      </c>
      <c r="AU12" s="160">
        <v>145</v>
      </c>
      <c r="AV12" s="160">
        <v>170</v>
      </c>
      <c r="AW12" s="11"/>
      <c r="AX12" s="107">
        <v>132</v>
      </c>
      <c r="AY12" s="108">
        <v>1002</v>
      </c>
      <c r="AZ12" s="109">
        <f t="shared" si="1"/>
        <v>0</v>
      </c>
      <c r="BA12" s="11"/>
      <c r="BB12" s="107">
        <v>130</v>
      </c>
      <c r="BC12" s="108">
        <v>458</v>
      </c>
      <c r="BD12" s="110">
        <f t="shared" si="2"/>
        <v>0</v>
      </c>
    </row>
    <row r="13" spans="1:56" ht="15.75" customHeight="1" thickBot="1" x14ac:dyDescent="0.3">
      <c r="AJ13" s="167">
        <f t="shared" si="3"/>
        <v>10</v>
      </c>
      <c r="AK13" s="167">
        <f>IF(AC_Chart_Background_Data[[#This Row],[X]] &lt; EFC_70P-EFC_50P, EFC_50P, MAX(EFC_70P-AC_Chart_Background_Data[[#This Row],[X]],0))</f>
        <v>89</v>
      </c>
      <c r="AL13" s="167">
        <f>IF(AC_Chart_Background_Data[[#This Row],[X]] &lt; EFC_85P-EFC_70P, EFC_70P, MAX(EFC_85P-AC_Chart_Background_Data[[#This Row],[X]],0))</f>
        <v>107</v>
      </c>
      <c r="AM13" s="167">
        <f>IF(AC_Chart_Background_Data[[#This Row],[X]] &lt; EFC_95P-EFC_85P, EFC_85P, MAX(EFC_95P-AC_Chart_Background_Data[[#This Row],[X]],0))</f>
        <v>126</v>
      </c>
      <c r="AN13" s="167">
        <f>IF(AC_Chart_Background_Data[[#This Row],[X]] &lt; EFC_99P-EFC_95P, EFC_95P, MAX(EFC_99P-AC_Chart_Background_Data[[#This Row],[X]],0))</f>
        <v>145</v>
      </c>
      <c r="AO13" s="167">
        <f t="shared" si="0"/>
        <v>170</v>
      </c>
      <c r="AQ13" s="160">
        <v>10</v>
      </c>
      <c r="AR13" s="160">
        <v>89</v>
      </c>
      <c r="AS13" s="160">
        <v>107</v>
      </c>
      <c r="AT13" s="160">
        <v>126</v>
      </c>
      <c r="AU13" s="160">
        <v>145</v>
      </c>
      <c r="AV13" s="160">
        <v>170</v>
      </c>
      <c r="AW13" s="11"/>
      <c r="AX13" s="107">
        <v>116.18</v>
      </c>
      <c r="AY13" s="108">
        <v>2013</v>
      </c>
      <c r="AZ13" s="109">
        <f t="shared" si="1"/>
        <v>0</v>
      </c>
      <c r="BA13" s="11"/>
      <c r="BB13" s="107">
        <v>136.13999999999999</v>
      </c>
      <c r="BC13" s="108">
        <v>9002</v>
      </c>
      <c r="BD13" s="110">
        <f t="shared" si="2"/>
        <v>0</v>
      </c>
    </row>
    <row r="14" spans="1:56" ht="19.5" customHeight="1" thickBot="1" x14ac:dyDescent="0.35">
      <c r="A14" s="19" t="s">
        <v>725</v>
      </c>
      <c r="B14" s="20"/>
      <c r="C14" s="20"/>
      <c r="D14" s="20"/>
      <c r="E14" s="48"/>
      <c r="AD14" s="92" t="s">
        <v>760</v>
      </c>
      <c r="AE14" s="92"/>
      <c r="AJ14" s="167">
        <f t="shared" si="3"/>
        <v>11</v>
      </c>
      <c r="AK14" s="167">
        <f>IF(AC_Chart_Background_Data[[#This Row],[X]] &lt; EFC_70P-EFC_50P, EFC_50P, MAX(EFC_70P-AC_Chart_Background_Data[[#This Row],[X]],0))</f>
        <v>89</v>
      </c>
      <c r="AL14" s="167">
        <f>IF(AC_Chart_Background_Data[[#This Row],[X]] &lt; EFC_85P-EFC_70P, EFC_70P, MAX(EFC_85P-AC_Chart_Background_Data[[#This Row],[X]],0))</f>
        <v>107</v>
      </c>
      <c r="AM14" s="167">
        <f>IF(AC_Chart_Background_Data[[#This Row],[X]] &lt; EFC_95P-EFC_85P, EFC_85P, MAX(EFC_95P-AC_Chart_Background_Data[[#This Row],[X]],0))</f>
        <v>126</v>
      </c>
      <c r="AN14" s="167">
        <f>IF(AC_Chart_Background_Data[[#This Row],[X]] &lt; EFC_99P-EFC_95P, EFC_95P, MAX(EFC_99P-AC_Chart_Background_Data[[#This Row],[X]],0))</f>
        <v>145</v>
      </c>
      <c r="AO14" s="167">
        <f t="shared" si="0"/>
        <v>170</v>
      </c>
      <c r="AQ14" s="160">
        <v>11</v>
      </c>
      <c r="AR14" s="160">
        <v>89</v>
      </c>
      <c r="AS14" s="160">
        <v>107</v>
      </c>
      <c r="AT14" s="160">
        <v>126</v>
      </c>
      <c r="AU14" s="160">
        <v>145</v>
      </c>
      <c r="AV14" s="160">
        <v>170</v>
      </c>
      <c r="AW14" s="11"/>
      <c r="AX14" s="107">
        <v>108.75</v>
      </c>
      <c r="AY14" s="108">
        <v>506</v>
      </c>
      <c r="AZ14" s="109">
        <f t="shared" si="1"/>
        <v>0</v>
      </c>
      <c r="BA14" s="11"/>
      <c r="BB14" s="107">
        <v>63.4</v>
      </c>
      <c r="BC14" s="108">
        <v>3974</v>
      </c>
      <c r="BD14" s="110">
        <f t="shared" si="2"/>
        <v>0</v>
      </c>
    </row>
    <row r="15" spans="1:56" ht="15.75" customHeight="1" thickBot="1" x14ac:dyDescent="0.3">
      <c r="A15" s="21"/>
      <c r="D15" s="22" t="str">
        <f>"How many "&amp;IF(AI_Project_Type="","",LOWER(AI_Project_Type))&amp;" residential connections does your system contain?"</f>
        <v>How many  residential connections does your system contain?</v>
      </c>
      <c r="E15" s="111"/>
      <c r="F15" s="186" t="str">
        <f>IF(AI_Project_Type="","Enter number for the applicable water / wastewater system, depending on your application's project (DW or WW).","")</f>
        <v>Enter number for the applicable water / wastewater system, depending on your application's project (DW or WW).</v>
      </c>
      <c r="G15" s="186"/>
      <c r="H15" s="186"/>
      <c r="I15" s="186"/>
      <c r="AA15" s="83" t="s">
        <v>767</v>
      </c>
      <c r="AD15" s="63" t="s">
        <v>697</v>
      </c>
      <c r="AE15" s="64">
        <v>89</v>
      </c>
      <c r="AJ15" s="167">
        <f t="shared" si="3"/>
        <v>12</v>
      </c>
      <c r="AK15" s="167">
        <f>IF(AC_Chart_Background_Data[[#This Row],[X]] &lt; EFC_70P-EFC_50P, EFC_50P, MAX(EFC_70P-AC_Chart_Background_Data[[#This Row],[X]],0))</f>
        <v>89</v>
      </c>
      <c r="AL15" s="167">
        <f>IF(AC_Chart_Background_Data[[#This Row],[X]] &lt; EFC_85P-EFC_70P, EFC_70P, MAX(EFC_85P-AC_Chart_Background_Data[[#This Row],[X]],0))</f>
        <v>107</v>
      </c>
      <c r="AM15" s="167">
        <f>IF(AC_Chart_Background_Data[[#This Row],[X]] &lt; EFC_95P-EFC_85P, EFC_85P, MAX(EFC_95P-AC_Chart_Background_Data[[#This Row],[X]],0))</f>
        <v>126</v>
      </c>
      <c r="AN15" s="167">
        <f>IF(AC_Chart_Background_Data[[#This Row],[X]] &lt; EFC_99P-EFC_95P, EFC_95P, MAX(EFC_99P-AC_Chart_Background_Data[[#This Row],[X]],0))</f>
        <v>145</v>
      </c>
      <c r="AO15" s="167">
        <f t="shared" si="0"/>
        <v>170</v>
      </c>
      <c r="AQ15" s="160">
        <v>12</v>
      </c>
      <c r="AR15" s="160">
        <v>89</v>
      </c>
      <c r="AS15" s="160">
        <v>107</v>
      </c>
      <c r="AT15" s="160">
        <v>126</v>
      </c>
      <c r="AU15" s="160">
        <v>145</v>
      </c>
      <c r="AV15" s="160">
        <v>170</v>
      </c>
      <c r="AW15" s="11"/>
      <c r="AX15" s="107">
        <v>142.82</v>
      </c>
      <c r="AY15" s="108">
        <v>41691</v>
      </c>
      <c r="AZ15" s="109">
        <f t="shared" si="1"/>
        <v>0</v>
      </c>
      <c r="BA15" s="11"/>
      <c r="BB15" s="107">
        <v>93.13</v>
      </c>
      <c r="BC15" s="108">
        <v>7242</v>
      </c>
      <c r="BD15" s="110">
        <f t="shared" si="2"/>
        <v>0</v>
      </c>
    </row>
    <row r="16" spans="1:56" ht="15.75" customHeight="1" thickBot="1" x14ac:dyDescent="0.3">
      <c r="A16" s="187" t="str">
        <f>IF(AC_Step1_Running_Total_Passed,
          IF(AC_Step2_Completed,
                IF(AC_Step2_Passed,"","You are only eligible for SRF Principal Forgiveness/SRP grant if you receive 4.C.4 points or BIL EC funding. You are eligible for loans."),
                "Complete Step 2"),
          ""
       )</f>
        <v/>
      </c>
      <c r="B16" s="188"/>
      <c r="C16" s="188"/>
      <c r="D16" s="188"/>
      <c r="E16" s="189"/>
      <c r="F16" s="186"/>
      <c r="G16" s="186"/>
      <c r="H16" s="186"/>
      <c r="I16" s="186"/>
      <c r="AA16" s="83"/>
      <c r="AB16" s="11"/>
      <c r="AC16" s="11"/>
      <c r="AD16" s="66" t="s">
        <v>698</v>
      </c>
      <c r="AE16" s="67">
        <v>107</v>
      </c>
      <c r="AJ16" s="167">
        <f t="shared" si="3"/>
        <v>13</v>
      </c>
      <c r="AK16" s="167">
        <f>IF(AC_Chart_Background_Data[[#This Row],[X]] &lt; EFC_70P-EFC_50P, EFC_50P, MAX(EFC_70P-AC_Chart_Background_Data[[#This Row],[X]],0))</f>
        <v>89</v>
      </c>
      <c r="AL16" s="167">
        <f>IF(AC_Chart_Background_Data[[#This Row],[X]] &lt; EFC_85P-EFC_70P, EFC_70P, MAX(EFC_85P-AC_Chart_Background_Data[[#This Row],[X]],0))</f>
        <v>107</v>
      </c>
      <c r="AM16" s="167">
        <f>IF(AC_Chart_Background_Data[[#This Row],[X]] &lt; EFC_95P-EFC_85P, EFC_85P, MAX(EFC_95P-AC_Chart_Background_Data[[#This Row],[X]],0))</f>
        <v>126</v>
      </c>
      <c r="AN16" s="167">
        <f>IF(AC_Chart_Background_Data[[#This Row],[X]] &lt; EFC_99P-EFC_95P, EFC_95P, MAX(EFC_99P-AC_Chart_Background_Data[[#This Row],[X]],0))</f>
        <v>145</v>
      </c>
      <c r="AO16" s="167">
        <f t="shared" si="0"/>
        <v>170</v>
      </c>
      <c r="AQ16" s="160">
        <v>13</v>
      </c>
      <c r="AR16" s="160">
        <v>89</v>
      </c>
      <c r="AS16" s="160">
        <v>107</v>
      </c>
      <c r="AT16" s="160">
        <v>126</v>
      </c>
      <c r="AU16" s="160">
        <v>145</v>
      </c>
      <c r="AV16" s="160">
        <v>170</v>
      </c>
      <c r="AW16" s="11"/>
      <c r="AX16" s="107">
        <v>163.75</v>
      </c>
      <c r="AY16" s="108">
        <v>6159</v>
      </c>
      <c r="AZ16" s="109">
        <f t="shared" si="1"/>
        <v>0</v>
      </c>
      <c r="BA16" s="11"/>
      <c r="BB16" s="107">
        <v>64.25</v>
      </c>
      <c r="BC16" s="108">
        <v>330</v>
      </c>
      <c r="BD16" s="110">
        <f t="shared" si="2"/>
        <v>0</v>
      </c>
    </row>
    <row r="17" spans="1:56" ht="19.5" customHeight="1" thickBot="1" x14ac:dyDescent="0.35">
      <c r="A17" s="13"/>
      <c r="AA17" s="83" t="s">
        <v>706</v>
      </c>
      <c r="AB17" s="11"/>
      <c r="AC17" s="17"/>
      <c r="AD17" s="66" t="s">
        <v>699</v>
      </c>
      <c r="AE17" s="67">
        <v>126</v>
      </c>
      <c r="AJ17" s="167">
        <f t="shared" si="3"/>
        <v>14</v>
      </c>
      <c r="AK17" s="167">
        <f>IF(AC_Chart_Background_Data[[#This Row],[X]] &lt; EFC_70P-EFC_50P, EFC_50P, MAX(EFC_70P-AC_Chart_Background_Data[[#This Row],[X]],0))</f>
        <v>89</v>
      </c>
      <c r="AL17" s="167">
        <f>IF(AC_Chart_Background_Data[[#This Row],[X]] &lt; EFC_85P-EFC_70P, EFC_70P, MAX(EFC_85P-AC_Chart_Background_Data[[#This Row],[X]],0))</f>
        <v>107</v>
      </c>
      <c r="AM17" s="167">
        <f>IF(AC_Chart_Background_Data[[#This Row],[X]] &lt; EFC_95P-EFC_85P, EFC_85P, MAX(EFC_95P-AC_Chart_Background_Data[[#This Row],[X]],0))</f>
        <v>126</v>
      </c>
      <c r="AN17" s="167">
        <f>IF(AC_Chart_Background_Data[[#This Row],[X]] &lt; EFC_99P-EFC_95P, EFC_95P, MAX(EFC_99P-AC_Chart_Background_Data[[#This Row],[X]],0))</f>
        <v>145</v>
      </c>
      <c r="AO17" s="167">
        <f t="shared" si="0"/>
        <v>170</v>
      </c>
      <c r="AQ17" s="160">
        <v>14</v>
      </c>
      <c r="AR17" s="160">
        <v>89</v>
      </c>
      <c r="AS17" s="160">
        <v>107</v>
      </c>
      <c r="AT17" s="160">
        <v>126</v>
      </c>
      <c r="AU17" s="160">
        <v>145</v>
      </c>
      <c r="AV17" s="160">
        <v>170</v>
      </c>
      <c r="AW17" s="11"/>
      <c r="AX17" s="107">
        <v>113.39</v>
      </c>
      <c r="AY17" s="108">
        <v>21438</v>
      </c>
      <c r="AZ17" s="109">
        <f t="shared" si="1"/>
        <v>0</v>
      </c>
      <c r="BA17" s="11"/>
      <c r="BB17" s="107">
        <v>53.5</v>
      </c>
      <c r="BC17" s="108">
        <v>602</v>
      </c>
      <c r="BD17" s="110">
        <f t="shared" si="2"/>
        <v>0</v>
      </c>
    </row>
    <row r="18" spans="1:56" ht="18.75" customHeight="1" x14ac:dyDescent="0.3">
      <c r="A18" s="19" t="s">
        <v>726</v>
      </c>
      <c r="B18" s="20"/>
      <c r="C18" s="20"/>
      <c r="D18" s="24"/>
      <c r="E18" s="24"/>
      <c r="F18" s="20"/>
      <c r="G18" s="20"/>
      <c r="H18" s="20"/>
      <c r="I18" s="25"/>
      <c r="AA18" s="83" t="s">
        <v>708</v>
      </c>
      <c r="AB18" s="23"/>
      <c r="AC18" s="17"/>
      <c r="AD18" s="66" t="s">
        <v>700</v>
      </c>
      <c r="AE18" s="67">
        <v>145</v>
      </c>
      <c r="AJ18" s="167">
        <f t="shared" si="3"/>
        <v>15</v>
      </c>
      <c r="AK18" s="167">
        <f>IF(AC_Chart_Background_Data[[#This Row],[X]] &lt; EFC_70P-EFC_50P, EFC_50P, MAX(EFC_70P-AC_Chart_Background_Data[[#This Row],[X]],0))</f>
        <v>89</v>
      </c>
      <c r="AL18" s="167">
        <f>IF(AC_Chart_Background_Data[[#This Row],[X]] &lt; EFC_85P-EFC_70P, EFC_70P, MAX(EFC_85P-AC_Chart_Background_Data[[#This Row],[X]],0))</f>
        <v>107</v>
      </c>
      <c r="AM18" s="167">
        <f>IF(AC_Chart_Background_Data[[#This Row],[X]] &lt; EFC_95P-EFC_85P, EFC_85P, MAX(EFC_95P-AC_Chart_Background_Data[[#This Row],[X]],0))</f>
        <v>126</v>
      </c>
      <c r="AN18" s="167">
        <f>IF(AC_Chart_Background_Data[[#This Row],[X]] &lt; EFC_99P-EFC_95P, EFC_95P, MAX(EFC_99P-AC_Chart_Background_Data[[#This Row],[X]],0))</f>
        <v>145</v>
      </c>
      <c r="AO18" s="167">
        <f t="shared" si="0"/>
        <v>170</v>
      </c>
      <c r="AQ18" s="160">
        <v>15</v>
      </c>
      <c r="AR18" s="160">
        <v>89</v>
      </c>
      <c r="AS18" s="160">
        <v>107</v>
      </c>
      <c r="AT18" s="160">
        <v>126</v>
      </c>
      <c r="AU18" s="160">
        <v>145</v>
      </c>
      <c r="AV18" s="160">
        <v>170</v>
      </c>
      <c r="AW18" s="11"/>
      <c r="AX18" s="107">
        <v>103.8</v>
      </c>
      <c r="AY18" s="108">
        <v>146</v>
      </c>
      <c r="AZ18" s="109">
        <f t="shared" si="1"/>
        <v>0</v>
      </c>
      <c r="BA18" s="11"/>
      <c r="BB18" s="107">
        <v>78.400000000000006</v>
      </c>
      <c r="BC18" s="108">
        <v>16439</v>
      </c>
      <c r="BD18" s="110">
        <f t="shared" si="2"/>
        <v>0</v>
      </c>
    </row>
    <row r="19" spans="1:56" ht="15" customHeight="1" thickBot="1" x14ac:dyDescent="0.3">
      <c r="A19" s="21" t="s">
        <v>727</v>
      </c>
      <c r="I19" s="26"/>
      <c r="AD19" s="69" t="s">
        <v>702</v>
      </c>
      <c r="AE19" s="70">
        <v>166</v>
      </c>
      <c r="AJ19" s="167">
        <f t="shared" si="3"/>
        <v>16</v>
      </c>
      <c r="AK19" s="167">
        <f>IF(AC_Chart_Background_Data[[#This Row],[X]] &lt; EFC_70P-EFC_50P, EFC_50P, MAX(EFC_70P-AC_Chart_Background_Data[[#This Row],[X]],0))</f>
        <v>89</v>
      </c>
      <c r="AL19" s="167">
        <f>IF(AC_Chart_Background_Data[[#This Row],[X]] &lt; EFC_85P-EFC_70P, EFC_70P, MAX(EFC_85P-AC_Chart_Background_Data[[#This Row],[X]],0))</f>
        <v>107</v>
      </c>
      <c r="AM19" s="167">
        <f>IF(AC_Chart_Background_Data[[#This Row],[X]] &lt; EFC_95P-EFC_85P, EFC_85P, MAX(EFC_95P-AC_Chart_Background_Data[[#This Row],[X]],0))</f>
        <v>126</v>
      </c>
      <c r="AN19" s="167">
        <f>IF(AC_Chart_Background_Data[[#This Row],[X]] &lt; EFC_99P-EFC_95P, EFC_95P, MAX(EFC_99P-AC_Chart_Background_Data[[#This Row],[X]],0))</f>
        <v>145</v>
      </c>
      <c r="AO19" s="167">
        <f t="shared" si="0"/>
        <v>170</v>
      </c>
      <c r="AQ19" s="160">
        <v>16</v>
      </c>
      <c r="AR19" s="160">
        <v>89</v>
      </c>
      <c r="AS19" s="160">
        <v>107</v>
      </c>
      <c r="AT19" s="160">
        <v>126</v>
      </c>
      <c r="AU19" s="160">
        <v>145</v>
      </c>
      <c r="AV19" s="160">
        <v>170</v>
      </c>
      <c r="AW19" s="11"/>
      <c r="AX19" s="107">
        <v>130</v>
      </c>
      <c r="AY19" s="108">
        <v>12398</v>
      </c>
      <c r="AZ19" s="109">
        <f t="shared" si="1"/>
        <v>0</v>
      </c>
      <c r="BA19" s="11"/>
      <c r="BB19" s="107">
        <v>88.02</v>
      </c>
      <c r="BC19" s="108">
        <v>6761</v>
      </c>
      <c r="BD19" s="110">
        <f t="shared" si="2"/>
        <v>0</v>
      </c>
    </row>
    <row r="20" spans="1:56" ht="15.75" customHeight="1" thickBot="1" x14ac:dyDescent="0.3">
      <c r="A20" s="21"/>
      <c r="B20" s="27" t="s">
        <v>777</v>
      </c>
      <c r="C20" s="27" t="s">
        <v>778</v>
      </c>
      <c r="D20" s="27" t="s">
        <v>779</v>
      </c>
      <c r="E20" s="27" t="s">
        <v>780</v>
      </c>
      <c r="F20" s="28"/>
      <c r="G20" s="28"/>
      <c r="H20" s="28"/>
      <c r="I20" s="26"/>
      <c r="AA20" s="83" t="s">
        <v>767</v>
      </c>
      <c r="AJ20" s="167">
        <f t="shared" si="3"/>
        <v>17</v>
      </c>
      <c r="AK20" s="167">
        <f>IF(AC_Chart_Background_Data[[#This Row],[X]] &lt; EFC_70P-EFC_50P, EFC_50P, MAX(EFC_70P-AC_Chart_Background_Data[[#This Row],[X]],0))</f>
        <v>89</v>
      </c>
      <c r="AL20" s="167">
        <f>IF(AC_Chart_Background_Data[[#This Row],[X]] &lt; EFC_85P-EFC_70P, EFC_70P, MAX(EFC_85P-AC_Chart_Background_Data[[#This Row],[X]],0))</f>
        <v>107</v>
      </c>
      <c r="AM20" s="167">
        <f>IF(AC_Chart_Background_Data[[#This Row],[X]] &lt; EFC_95P-EFC_85P, EFC_85P, MAX(EFC_95P-AC_Chart_Background_Data[[#This Row],[X]],0))</f>
        <v>126</v>
      </c>
      <c r="AN20" s="167">
        <f>IF(AC_Chart_Background_Data[[#This Row],[X]] &lt; EFC_99P-EFC_95P, EFC_95P, MAX(EFC_99P-AC_Chart_Background_Data[[#This Row],[X]],0))</f>
        <v>145</v>
      </c>
      <c r="AO20" s="167">
        <f t="shared" si="0"/>
        <v>170</v>
      </c>
      <c r="AQ20" s="160">
        <v>17</v>
      </c>
      <c r="AR20" s="160">
        <v>89</v>
      </c>
      <c r="AS20" s="160">
        <v>107</v>
      </c>
      <c r="AT20" s="160">
        <v>126</v>
      </c>
      <c r="AU20" s="160">
        <v>145</v>
      </c>
      <c r="AV20" s="160">
        <v>170</v>
      </c>
      <c r="AW20" s="11"/>
      <c r="AX20" s="107">
        <v>133.75</v>
      </c>
      <c r="AY20" s="108">
        <v>5600</v>
      </c>
      <c r="AZ20" s="109">
        <f t="shared" si="1"/>
        <v>0</v>
      </c>
      <c r="BA20" s="11"/>
      <c r="BB20" s="107">
        <v>102.81</v>
      </c>
      <c r="BC20" s="108">
        <v>7978</v>
      </c>
      <c r="BD20" s="110">
        <f t="shared" si="2"/>
        <v>0</v>
      </c>
    </row>
    <row r="21" spans="1:56" ht="20.25" customHeight="1" thickBot="1" x14ac:dyDescent="0.3">
      <c r="A21" s="29" t="s">
        <v>746</v>
      </c>
      <c r="B21" s="3" t="str">
        <f>IFERROR(VLOOKUP(AI_Applicant,Economic_Unit_Names,1,FALSE),"")</f>
        <v/>
      </c>
      <c r="C21" s="4"/>
      <c r="D21" s="4"/>
      <c r="E21" s="5"/>
      <c r="F21" s="30" t="s">
        <v>728</v>
      </c>
      <c r="G21" s="31"/>
      <c r="H21" s="183" t="s">
        <v>729</v>
      </c>
      <c r="I21" s="226" t="s">
        <v>730</v>
      </c>
      <c r="AA21" s="83"/>
      <c r="AD21" s="218" t="s">
        <v>704</v>
      </c>
      <c r="AE21" s="197" t="s">
        <v>761</v>
      </c>
      <c r="AF21" s="197" t="s">
        <v>705</v>
      </c>
      <c r="AG21" s="197" t="s">
        <v>762</v>
      </c>
      <c r="AH21" s="222" t="s">
        <v>705</v>
      </c>
      <c r="AI21" s="163"/>
      <c r="AJ21" s="167">
        <f t="shared" si="3"/>
        <v>18</v>
      </c>
      <c r="AK21" s="168">
        <f>IF(AC_Chart_Background_Data[[#This Row],[X]] &lt; EFC_70P-EFC_50P, EFC_50P, MAX(EFC_70P-AC_Chart_Background_Data[[#This Row],[X]],0))</f>
        <v>89</v>
      </c>
      <c r="AL21" s="168">
        <f>IF(AC_Chart_Background_Data[[#This Row],[X]] &lt; EFC_85P-EFC_70P, EFC_70P, MAX(EFC_85P-AC_Chart_Background_Data[[#This Row],[X]],0))</f>
        <v>107</v>
      </c>
      <c r="AM21" s="168">
        <f>IF(AC_Chart_Background_Data[[#This Row],[X]] &lt; EFC_95P-EFC_85P, EFC_85P, MAX(EFC_95P-AC_Chart_Background_Data[[#This Row],[X]],0))</f>
        <v>126</v>
      </c>
      <c r="AN21" s="168">
        <f>IF(AC_Chart_Background_Data[[#This Row],[X]] &lt; EFC_99P-EFC_95P, EFC_95P, MAX(EFC_99P-AC_Chart_Background_Data[[#This Row],[X]],0))</f>
        <v>145</v>
      </c>
      <c r="AO21" s="168">
        <f t="shared" si="0"/>
        <v>170</v>
      </c>
      <c r="AP21" s="163"/>
      <c r="AQ21" s="170">
        <v>18</v>
      </c>
      <c r="AR21" s="170">
        <v>89</v>
      </c>
      <c r="AS21" s="170">
        <v>107</v>
      </c>
      <c r="AT21" s="170">
        <v>126</v>
      </c>
      <c r="AU21" s="170">
        <v>145</v>
      </c>
      <c r="AV21" s="170">
        <v>170</v>
      </c>
      <c r="AW21" s="11"/>
      <c r="AX21" s="107">
        <v>107.3</v>
      </c>
      <c r="AY21" s="108">
        <v>1497</v>
      </c>
      <c r="AZ21" s="109">
        <f t="shared" si="1"/>
        <v>0</v>
      </c>
      <c r="BA21" s="11"/>
      <c r="BB21" s="107">
        <v>117.1</v>
      </c>
      <c r="BC21" s="108">
        <v>948</v>
      </c>
      <c r="BD21" s="110">
        <f t="shared" si="2"/>
        <v>0</v>
      </c>
    </row>
    <row r="22" spans="1:56" ht="21.75" customHeight="1" thickBot="1" x14ac:dyDescent="0.3">
      <c r="A22" s="32" t="s">
        <v>731</v>
      </c>
      <c r="B22" s="112">
        <v>1</v>
      </c>
      <c r="C22" s="112"/>
      <c r="D22" s="127"/>
      <c r="E22" s="113"/>
      <c r="F22" s="33" cm="1">
        <f t="array" ref="F22">IF((AND(B22:E22="")), "", (IF(SUM(B22:E22) &lt;&gt;1, "Error: Total must equal 100%.", 1)))</f>
        <v>1</v>
      </c>
      <c r="G22" s="34"/>
      <c r="H22" s="184"/>
      <c r="I22" s="227"/>
      <c r="AA22" s="83" t="s">
        <v>701</v>
      </c>
      <c r="AD22" s="219"/>
      <c r="AE22" s="198"/>
      <c r="AF22" s="198"/>
      <c r="AG22" s="198"/>
      <c r="AH22" s="223"/>
      <c r="AI22" s="163"/>
      <c r="AJ22" s="167">
        <f t="shared" si="3"/>
        <v>19</v>
      </c>
      <c r="AK22" s="168">
        <f>IF(AC_Chart_Background_Data[[#This Row],[X]] &lt; EFC_70P-EFC_50P, EFC_50P, MAX(EFC_70P-AC_Chart_Background_Data[[#This Row],[X]],0))</f>
        <v>88</v>
      </c>
      <c r="AL22" s="168">
        <f>IF(AC_Chart_Background_Data[[#This Row],[X]] &lt; EFC_85P-EFC_70P, EFC_70P, MAX(EFC_85P-AC_Chart_Background_Data[[#This Row],[X]],0))</f>
        <v>107</v>
      </c>
      <c r="AM22" s="168">
        <f>IF(AC_Chart_Background_Data[[#This Row],[X]] &lt; EFC_95P-EFC_85P, EFC_85P, MAX(EFC_95P-AC_Chart_Background_Data[[#This Row],[X]],0))</f>
        <v>126</v>
      </c>
      <c r="AN22" s="168">
        <f>IF(AC_Chart_Background_Data[[#This Row],[X]] &lt; EFC_99P-EFC_95P, EFC_95P, MAX(EFC_99P-AC_Chart_Background_Data[[#This Row],[X]],0))</f>
        <v>145</v>
      </c>
      <c r="AO22" s="168">
        <f t="shared" si="0"/>
        <v>170</v>
      </c>
      <c r="AP22" s="163"/>
      <c r="AQ22" s="170">
        <v>19</v>
      </c>
      <c r="AR22" s="170">
        <v>88</v>
      </c>
      <c r="AS22" s="170">
        <v>107</v>
      </c>
      <c r="AT22" s="170">
        <v>126</v>
      </c>
      <c r="AU22" s="170">
        <v>145</v>
      </c>
      <c r="AV22" s="170">
        <v>170</v>
      </c>
      <c r="AW22" s="11"/>
      <c r="AX22" s="107">
        <v>58.75</v>
      </c>
      <c r="AY22" s="108">
        <v>9185</v>
      </c>
      <c r="AZ22" s="109">
        <f t="shared" si="1"/>
        <v>0</v>
      </c>
      <c r="BA22" s="11"/>
      <c r="BB22" s="107">
        <v>182.5</v>
      </c>
      <c r="BC22" s="108">
        <v>112</v>
      </c>
      <c r="BD22" s="110">
        <f t="shared" si="2"/>
        <v>0</v>
      </c>
    </row>
    <row r="23" spans="1:56" ht="15.75" customHeight="1" thickBot="1" x14ac:dyDescent="0.3">
      <c r="A23" s="35" t="str">
        <f>INDEX(DataTable_Economic[#Headers],1,2)</f>
        <v>Population (2022)</v>
      </c>
      <c r="B23" s="6" t="str">
        <f>IFERROR(VLOOKUP(B$21,DataTable_Economic[], MATCH($A23, DataTable_Economic[#Headers], 0),FALSE), "")</f>
        <v/>
      </c>
      <c r="C23" s="6" t="str">
        <f>IFERROR(VLOOKUP(C$21,DataTable_Economic[], MATCH($A23, DataTable_Economic[#Headers], 0),FALSE), "")</f>
        <v/>
      </c>
      <c r="D23" s="6" t="str">
        <f>IFERROR(VLOOKUP(D$21,DataTable_Economic[], MATCH($A23, DataTable_Economic[#Headers], 0),FALSE), "")</f>
        <v/>
      </c>
      <c r="E23" s="6" t="str">
        <f>IFERROR(VLOOKUP(E$21,DataTable_Economic[], MATCH($A23, DataTable_Economic[#Headers], 0),FALSE), "")</f>
        <v/>
      </c>
      <c r="F23" s="128"/>
      <c r="G23" s="36"/>
      <c r="H23" s="185"/>
      <c r="I23" s="228"/>
      <c r="AA23" s="83" t="s">
        <v>703</v>
      </c>
      <c r="AD23" s="219"/>
      <c r="AE23" s="198"/>
      <c r="AF23" s="198"/>
      <c r="AG23" s="198"/>
      <c r="AH23" s="223"/>
      <c r="AI23" s="163"/>
      <c r="AJ23" s="167">
        <f t="shared" si="3"/>
        <v>20</v>
      </c>
      <c r="AK23" s="168">
        <f>IF(AC_Chart_Background_Data[[#This Row],[X]] &lt; EFC_70P-EFC_50P, EFC_50P, MAX(EFC_70P-AC_Chart_Background_Data[[#This Row],[X]],0))</f>
        <v>87</v>
      </c>
      <c r="AL23" s="168">
        <f>IF(AC_Chart_Background_Data[[#This Row],[X]] &lt; EFC_85P-EFC_70P, EFC_70P, MAX(EFC_85P-AC_Chart_Background_Data[[#This Row],[X]],0))</f>
        <v>106</v>
      </c>
      <c r="AM23" s="168">
        <f>IF(AC_Chart_Background_Data[[#This Row],[X]] &lt; EFC_95P-EFC_85P, EFC_85P, MAX(EFC_95P-AC_Chart_Background_Data[[#This Row],[X]],0))</f>
        <v>125</v>
      </c>
      <c r="AN23" s="168">
        <f>IF(AC_Chart_Background_Data[[#This Row],[X]] &lt; EFC_99P-EFC_95P, EFC_95P, MAX(EFC_99P-AC_Chart_Background_Data[[#This Row],[X]],0))</f>
        <v>145</v>
      </c>
      <c r="AO23" s="168">
        <f t="shared" si="0"/>
        <v>170</v>
      </c>
      <c r="AP23" s="163"/>
      <c r="AQ23" s="170">
        <v>20</v>
      </c>
      <c r="AR23" s="170">
        <v>87</v>
      </c>
      <c r="AS23" s="170">
        <v>106</v>
      </c>
      <c r="AT23" s="170">
        <v>125</v>
      </c>
      <c r="AU23" s="170">
        <v>145</v>
      </c>
      <c r="AV23" s="170">
        <v>170</v>
      </c>
      <c r="AW23" s="11"/>
      <c r="AX23" s="107">
        <v>130</v>
      </c>
      <c r="AY23" s="108">
        <v>12398</v>
      </c>
      <c r="AZ23" s="109">
        <f t="shared" si="1"/>
        <v>0</v>
      </c>
      <c r="BA23" s="11"/>
      <c r="BB23" s="107">
        <v>94.7</v>
      </c>
      <c r="BC23" s="108">
        <v>1193</v>
      </c>
      <c r="BD23" s="110">
        <f t="shared" si="2"/>
        <v>0</v>
      </c>
    </row>
    <row r="24" spans="1:56" ht="18" customHeight="1" x14ac:dyDescent="0.25">
      <c r="A24" s="35" t="str">
        <f>INDEX(DataTable_Economic[#Headers],1,3)</f>
        <v>Population Change (%, 2018-2022)</v>
      </c>
      <c r="B24" s="151" t="str">
        <f>IFERROR(VLOOKUP(B$21,DataTable_Economic[], MATCH($A24, DataTable_Economic[#Headers], 0),FALSE), "")</f>
        <v/>
      </c>
      <c r="C24" s="151" t="str">
        <f>IFERROR(VLOOKUP(C$21,DataTable_Economic[], MATCH($A24, DataTable_Economic[#Headers], 0),FALSE), "")</f>
        <v/>
      </c>
      <c r="D24" s="151" t="str">
        <f>IFERROR(VLOOKUP(D$21,DataTable_Economic[], MATCH($A24, DataTable_Economic[#Headers], 0),FALSE), "")</f>
        <v/>
      </c>
      <c r="E24" s="151" t="str">
        <f>IFERROR(VLOOKUP(E$21,DataTable_Economic[], MATCH($A24, DataTable_Economic[#Headers], 0),FALSE), "")</f>
        <v/>
      </c>
      <c r="F24" s="156" t="str" cm="1">
        <f t="array" ref="F24">IF((AND(B24:E24="")),"",(IF($F$22=1, SUMPRODUCT(--ISNUMBER(B24:E24),$B$22:$E$22,B24:E24), "")))</f>
        <v/>
      </c>
      <c r="G24" s="37" t="s">
        <v>835</v>
      </c>
      <c r="H24" s="150">
        <v>3.1</v>
      </c>
      <c r="I24" s="161" t="str">
        <f>IF(F24="","",
                      IF(G24="&lt;",IF(F24&lt;H24,"Yes","No"),
                                             IF(G24="&gt;",IF(F24&gt;H24,"Yes","No"))
                           )
       )</f>
        <v/>
      </c>
      <c r="AD24" s="219"/>
      <c r="AE24" s="198"/>
      <c r="AF24" s="198"/>
      <c r="AG24" s="198"/>
      <c r="AH24" s="223"/>
      <c r="AI24" s="163"/>
      <c r="AJ24" s="167">
        <f t="shared" si="3"/>
        <v>21</v>
      </c>
      <c r="AK24" s="168">
        <f>IF(AC_Chart_Background_Data[[#This Row],[X]] &lt; EFC_70P-EFC_50P, EFC_50P, MAX(EFC_70P-AC_Chart_Background_Data[[#This Row],[X]],0))</f>
        <v>86</v>
      </c>
      <c r="AL24" s="168">
        <f>IF(AC_Chart_Background_Data[[#This Row],[X]] &lt; EFC_85P-EFC_70P, EFC_70P, MAX(EFC_85P-AC_Chart_Background_Data[[#This Row],[X]],0))</f>
        <v>105</v>
      </c>
      <c r="AM24" s="168">
        <f>IF(AC_Chart_Background_Data[[#This Row],[X]] &lt; EFC_95P-EFC_85P, EFC_85P, MAX(EFC_95P-AC_Chart_Background_Data[[#This Row],[X]],0))</f>
        <v>124</v>
      </c>
      <c r="AN24" s="168">
        <f>IF(AC_Chart_Background_Data[[#This Row],[X]] &lt; EFC_99P-EFC_95P, EFC_95P, MAX(EFC_99P-AC_Chart_Background_Data[[#This Row],[X]],0))</f>
        <v>145</v>
      </c>
      <c r="AO24" s="168">
        <f t="shared" si="0"/>
        <v>170</v>
      </c>
      <c r="AP24" s="163"/>
      <c r="AQ24" s="170">
        <v>21</v>
      </c>
      <c r="AR24" s="170">
        <v>86</v>
      </c>
      <c r="AS24" s="170">
        <v>105</v>
      </c>
      <c r="AT24" s="170">
        <v>124</v>
      </c>
      <c r="AU24" s="170">
        <v>145</v>
      </c>
      <c r="AV24" s="170">
        <v>170</v>
      </c>
      <c r="AW24" s="11"/>
      <c r="AX24" s="107">
        <v>93.5</v>
      </c>
      <c r="AY24" s="108">
        <v>214</v>
      </c>
      <c r="AZ24" s="109">
        <f t="shared" si="1"/>
        <v>0</v>
      </c>
      <c r="BA24" s="11"/>
      <c r="BB24" s="107">
        <v>90.41</v>
      </c>
      <c r="BC24" s="108">
        <v>90782</v>
      </c>
      <c r="BD24" s="110">
        <f t="shared" si="2"/>
        <v>0</v>
      </c>
    </row>
    <row r="25" spans="1:56" ht="18" customHeight="1" thickBot="1" x14ac:dyDescent="0.3">
      <c r="A25" s="35" t="str">
        <f>INDEX(DataTable_Economic[#Headers],1,4)</f>
        <v>Poverty Rate (%, 2022)</v>
      </c>
      <c r="B25" s="151" t="str">
        <f>IFERROR(VLOOKUP(B$21,DataTable_Economic[], MATCH($A25, DataTable_Economic[#Headers], 0),FALSE), "")</f>
        <v/>
      </c>
      <c r="C25" s="151" t="str">
        <f>IFERROR(VLOOKUP(C$21,DataTable_Economic[], MATCH($A25, DataTable_Economic[#Headers], 0),FALSE), "")</f>
        <v/>
      </c>
      <c r="D25" s="151" t="str">
        <f>IFERROR(VLOOKUP(D$21,DataTable_Economic[], MATCH($A25, DataTable_Economic[#Headers], 0),FALSE), "")</f>
        <v/>
      </c>
      <c r="E25" s="151" t="str">
        <f>IFERROR(VLOOKUP(E$21,DataTable_Economic[], MATCH($A25, DataTable_Economic[#Headers], 0),FALSE), "")</f>
        <v/>
      </c>
      <c r="F25" s="157" t="str" cm="1">
        <f t="array" ref="F25">IF((AND(B25:E25="")),"",(IF($F$22=1, SUMPRODUCT(--ISNUMBER(B25:E25),$B$22:$E$22,B25:E25), "")))</f>
        <v/>
      </c>
      <c r="G25" s="37" t="s">
        <v>836</v>
      </c>
      <c r="H25" s="150">
        <v>13.3</v>
      </c>
      <c r="I25" s="161" t="str">
        <f t="shared" ref="I25:I29" si="4">IF(F25="","",
                      IF(G25="&lt;",IF(F25&lt;H25,"Yes","No"),
                                             IF(G25="&gt;",IF(F25&gt;H25,"Yes","No"))
                           )
       )</f>
        <v/>
      </c>
      <c r="AD25" s="220"/>
      <c r="AE25" s="199"/>
      <c r="AF25" s="199"/>
      <c r="AG25" s="199"/>
      <c r="AH25" s="224"/>
      <c r="AI25" s="163"/>
      <c r="AJ25" s="167">
        <f t="shared" si="3"/>
        <v>22</v>
      </c>
      <c r="AK25" s="168">
        <f>IF(AC_Chart_Background_Data[[#This Row],[X]] &lt; EFC_70P-EFC_50P, EFC_50P, MAX(EFC_70P-AC_Chart_Background_Data[[#This Row],[X]],0))</f>
        <v>85</v>
      </c>
      <c r="AL25" s="168">
        <f>IF(AC_Chart_Background_Data[[#This Row],[X]] &lt; EFC_85P-EFC_70P, EFC_70P, MAX(EFC_85P-AC_Chart_Background_Data[[#This Row],[X]],0))</f>
        <v>104</v>
      </c>
      <c r="AM25" s="168">
        <f>IF(AC_Chart_Background_Data[[#This Row],[X]] &lt; EFC_95P-EFC_85P, EFC_85P, MAX(EFC_95P-AC_Chart_Background_Data[[#This Row],[X]],0))</f>
        <v>123</v>
      </c>
      <c r="AN25" s="168">
        <f>IF(AC_Chart_Background_Data[[#This Row],[X]] &lt; EFC_99P-EFC_95P, EFC_95P, MAX(EFC_99P-AC_Chart_Background_Data[[#This Row],[X]],0))</f>
        <v>144</v>
      </c>
      <c r="AO25" s="168">
        <f t="shared" si="0"/>
        <v>170</v>
      </c>
      <c r="AP25" s="163"/>
      <c r="AQ25" s="170">
        <v>22</v>
      </c>
      <c r="AR25" s="170">
        <v>85</v>
      </c>
      <c r="AS25" s="170">
        <v>104</v>
      </c>
      <c r="AT25" s="170">
        <v>123</v>
      </c>
      <c r="AU25" s="170">
        <v>144</v>
      </c>
      <c r="AV25" s="170">
        <v>170</v>
      </c>
      <c r="AW25" s="11"/>
      <c r="AX25" s="107">
        <v>107.5</v>
      </c>
      <c r="AY25" s="108">
        <v>304</v>
      </c>
      <c r="AZ25" s="109">
        <f t="shared" si="1"/>
        <v>0</v>
      </c>
      <c r="BA25" s="11"/>
      <c r="BB25" s="107">
        <v>108</v>
      </c>
      <c r="BC25" s="108">
        <v>306</v>
      </c>
      <c r="BD25" s="110">
        <f t="shared" si="2"/>
        <v>0</v>
      </c>
    </row>
    <row r="26" spans="1:56" ht="18" customHeight="1" x14ac:dyDescent="0.25">
      <c r="A26" s="35" t="str">
        <f>INDEX(DataTable_Economic[#Headers],1,5)</f>
        <v>Median Household Income (2022)</v>
      </c>
      <c r="B26" s="7" t="str">
        <f>IFERROR(VLOOKUP(B$21,DataTable_Economic[], MATCH($A26, DataTable_Economic[#Headers], 0),FALSE), "")</f>
        <v/>
      </c>
      <c r="C26" s="7" t="str">
        <f>IFERROR(VLOOKUP(C$21,DataTable_Economic[], MATCH($A26, DataTable_Economic[#Headers], 0),FALSE), "")</f>
        <v/>
      </c>
      <c r="D26" s="7" t="str">
        <f>IFERROR(VLOOKUP(D$21,DataTable_Economic[], MATCH($A26, DataTable_Economic[#Headers], 0),FALSE), "")</f>
        <v/>
      </c>
      <c r="E26" s="7" t="str">
        <f>IFERROR(VLOOKUP(E$21,DataTable_Economic[], MATCH($A26, DataTable_Economic[#Headers], 0),FALSE), "")</f>
        <v/>
      </c>
      <c r="F26" s="159" t="str" cm="1">
        <f t="array" ref="F26">IF((AND(B26:E26="")),"",(IF($F$22=1, SUMPRODUCT(--ISNUMBER(B26:E26),$B$22:$E$22,B26:E26), "")))</f>
        <v/>
      </c>
      <c r="G26" s="37" t="s">
        <v>835</v>
      </c>
      <c r="H26" s="39">
        <v>66186</v>
      </c>
      <c r="I26" s="161" t="str">
        <f t="shared" si="4"/>
        <v/>
      </c>
      <c r="AD26" s="93" t="s">
        <v>707</v>
      </c>
      <c r="AE26" s="86" t="str">
        <f>"&gt; $"&amp;EFC_99P</f>
        <v>&gt; $166</v>
      </c>
      <c r="AF26" s="87">
        <v>1</v>
      </c>
      <c r="AG26" s="86" t="str">
        <f>"&gt; $"&amp;EFC_99P</f>
        <v>&gt; $166</v>
      </c>
      <c r="AH26" s="88">
        <v>1</v>
      </c>
      <c r="AI26" s="164"/>
      <c r="AJ26" s="167">
        <f t="shared" si="3"/>
        <v>23</v>
      </c>
      <c r="AK26" s="168">
        <f>IF(AC_Chart_Background_Data[[#This Row],[X]] &lt; EFC_70P-EFC_50P, EFC_50P, MAX(EFC_70P-AC_Chart_Background_Data[[#This Row],[X]],0))</f>
        <v>84</v>
      </c>
      <c r="AL26" s="168">
        <f>IF(AC_Chart_Background_Data[[#This Row],[X]] &lt; EFC_85P-EFC_70P, EFC_70P, MAX(EFC_85P-AC_Chart_Background_Data[[#This Row],[X]],0))</f>
        <v>103</v>
      </c>
      <c r="AM26" s="168">
        <f>IF(AC_Chart_Background_Data[[#This Row],[X]] &lt; EFC_95P-EFC_85P, EFC_85P, MAX(EFC_95P-AC_Chart_Background_Data[[#This Row],[X]],0))</f>
        <v>122</v>
      </c>
      <c r="AN26" s="168">
        <f>IF(AC_Chart_Background_Data[[#This Row],[X]] &lt; EFC_99P-EFC_95P, EFC_95P, MAX(EFC_99P-AC_Chart_Background_Data[[#This Row],[X]],0))</f>
        <v>143</v>
      </c>
      <c r="AO26" s="168">
        <f t="shared" si="0"/>
        <v>170</v>
      </c>
      <c r="AP26" s="164"/>
      <c r="AQ26" s="171">
        <v>23</v>
      </c>
      <c r="AR26" s="171">
        <v>84</v>
      </c>
      <c r="AS26" s="171">
        <v>103</v>
      </c>
      <c r="AT26" s="171">
        <v>122</v>
      </c>
      <c r="AU26" s="171">
        <v>143</v>
      </c>
      <c r="AV26" s="171">
        <v>170</v>
      </c>
      <c r="AW26" s="11"/>
      <c r="AX26" s="107">
        <v>34.96</v>
      </c>
      <c r="AY26" s="108">
        <v>1859</v>
      </c>
      <c r="AZ26" s="109">
        <f t="shared" si="1"/>
        <v>0</v>
      </c>
      <c r="BA26" s="11"/>
      <c r="BB26" s="107">
        <v>106.42</v>
      </c>
      <c r="BC26" s="108">
        <v>15395</v>
      </c>
      <c r="BD26" s="110">
        <f t="shared" si="2"/>
        <v>0</v>
      </c>
    </row>
    <row r="27" spans="1:56" ht="18" customHeight="1" x14ac:dyDescent="0.25">
      <c r="A27" s="35" t="str">
        <f>INDEX(DataTable_Economic[#Headers],1,6)</f>
        <v>Unemployment Rate (%, 2022)</v>
      </c>
      <c r="B27" s="151" t="str">
        <f>IFERROR(VLOOKUP(B$21,DataTable_Economic[], MATCH($A27, DataTable_Economic[#Headers], 0),FALSE), "")</f>
        <v/>
      </c>
      <c r="C27" s="151" t="str">
        <f>IFERROR(VLOOKUP(C$21,DataTable_Economic[], MATCH($A27, DataTable_Economic[#Headers], 0),FALSE), "")</f>
        <v/>
      </c>
      <c r="D27" s="151" t="str">
        <f>IFERROR(VLOOKUP(D$21,DataTable_Economic[], MATCH($A27, DataTable_Economic[#Headers], 0),FALSE), "")</f>
        <v/>
      </c>
      <c r="E27" s="151" t="str">
        <f>IFERROR(VLOOKUP(E$21,DataTable_Economic[], MATCH($A27, DataTable_Economic[#Headers], 0),FALSE), "")</f>
        <v/>
      </c>
      <c r="F27" s="158" t="str" cm="1">
        <f t="array" ref="F27">IF((AND(B27:E27="")),"",(IF($F$22=1, SUMPRODUCT(--ISNUMBER(B27:E27),$B$22:$E$22,B27:E27), "")))</f>
        <v/>
      </c>
      <c r="G27" s="38" t="s">
        <v>836</v>
      </c>
      <c r="H27" s="150">
        <v>3.7</v>
      </c>
      <c r="I27" s="161" t="str">
        <f t="shared" si="4"/>
        <v/>
      </c>
      <c r="AD27" s="94" t="s">
        <v>709</v>
      </c>
      <c r="AE27" s="73" t="str">
        <f>"$"&amp;EFC_95P&amp;" - $"&amp;EFC_99P</f>
        <v>$145 - $166</v>
      </c>
      <c r="AF27" s="74">
        <v>1</v>
      </c>
      <c r="AG27" s="73" t="str">
        <f>"$"&amp;EFC_95P&amp;" - $"&amp;EFC_99P</f>
        <v>$145 - $166</v>
      </c>
      <c r="AH27" s="75">
        <v>0.75</v>
      </c>
      <c r="AI27" s="164"/>
      <c r="AJ27" s="167">
        <f t="shared" si="3"/>
        <v>24</v>
      </c>
      <c r="AK27" s="168">
        <f>IF(AC_Chart_Background_Data[[#This Row],[X]] &lt; EFC_70P-EFC_50P, EFC_50P, MAX(EFC_70P-AC_Chart_Background_Data[[#This Row],[X]],0))</f>
        <v>83</v>
      </c>
      <c r="AL27" s="168">
        <f>IF(AC_Chart_Background_Data[[#This Row],[X]] &lt; EFC_85P-EFC_70P, EFC_70P, MAX(EFC_85P-AC_Chart_Background_Data[[#This Row],[X]],0))</f>
        <v>102</v>
      </c>
      <c r="AM27" s="168">
        <f>IF(AC_Chart_Background_Data[[#This Row],[X]] &lt; EFC_95P-EFC_85P, EFC_85P, MAX(EFC_95P-AC_Chart_Background_Data[[#This Row],[X]],0))</f>
        <v>121</v>
      </c>
      <c r="AN27" s="168">
        <f>IF(AC_Chart_Background_Data[[#This Row],[X]] &lt; EFC_99P-EFC_95P, EFC_95P, MAX(EFC_99P-AC_Chart_Background_Data[[#This Row],[X]],0))</f>
        <v>142</v>
      </c>
      <c r="AO27" s="168">
        <f t="shared" si="0"/>
        <v>170</v>
      </c>
      <c r="AP27" s="164"/>
      <c r="AQ27" s="171">
        <v>24</v>
      </c>
      <c r="AR27" s="171">
        <v>83</v>
      </c>
      <c r="AS27" s="171">
        <v>102</v>
      </c>
      <c r="AT27" s="171">
        <v>121</v>
      </c>
      <c r="AU27" s="171">
        <v>142</v>
      </c>
      <c r="AV27" s="171">
        <v>170</v>
      </c>
      <c r="AW27" s="11"/>
      <c r="AX27" s="107">
        <v>56.44</v>
      </c>
      <c r="AY27" s="108">
        <v>7836</v>
      </c>
      <c r="AZ27" s="109">
        <f t="shared" si="1"/>
        <v>0</v>
      </c>
      <c r="BA27" s="11"/>
      <c r="BB27" s="107">
        <v>70.83</v>
      </c>
      <c r="BC27" s="108">
        <v>183</v>
      </c>
      <c r="BD27" s="110">
        <f t="shared" si="2"/>
        <v>0</v>
      </c>
    </row>
    <row r="28" spans="1:56" ht="19.5" customHeight="1" x14ac:dyDescent="0.3">
      <c r="A28" s="35" t="str">
        <f>INDEX(DataTable_Economic[#Headers],1,7)</f>
        <v>Total Appraised Value (2022-2023)</v>
      </c>
      <c r="B28" s="7" t="str">
        <f>IFERROR(VLOOKUP(B$21,DataTable_Economic[], MATCH($A28, DataTable_Economic[#Headers], 0),FALSE), "")</f>
        <v/>
      </c>
      <c r="C28" s="7" t="str">
        <f>IFERROR(VLOOKUP(C$21,DataTable_Economic[], MATCH($A28, DataTable_Economic[#Headers], 0),FALSE), "")</f>
        <v/>
      </c>
      <c r="D28" s="7" t="str">
        <f>IFERROR(VLOOKUP(D$21,DataTable_Economic[], MATCH($A28, DataTable_Economic[#Headers], 0),FALSE), "")</f>
        <v/>
      </c>
      <c r="E28" s="7" t="str">
        <f>IFERROR(VLOOKUP(E$21,DataTable_Economic[], MATCH($A28, DataTable_Economic[#Headers], 0),FALSE), "")</f>
        <v/>
      </c>
      <c r="F28" s="40"/>
      <c r="G28" s="41"/>
      <c r="H28" s="42"/>
      <c r="I28" s="129" t="s">
        <v>719</v>
      </c>
      <c r="AD28" s="94" t="s">
        <v>710</v>
      </c>
      <c r="AE28" s="73" t="str">
        <f>"$"&amp;EFC_85P&amp;" - $"&amp;EFC_95P</f>
        <v>$126 - $145</v>
      </c>
      <c r="AF28" s="74">
        <v>0.75</v>
      </c>
      <c r="AG28" s="73" t="str">
        <f>"$"&amp;EFC_85P&amp;" - $"&amp;EFC_95P</f>
        <v>$126 - $145</v>
      </c>
      <c r="AH28" s="75">
        <v>0.5</v>
      </c>
      <c r="AI28" s="164"/>
      <c r="AJ28" s="167">
        <f t="shared" si="3"/>
        <v>25</v>
      </c>
      <c r="AK28" s="168">
        <f>IF(AC_Chart_Background_Data[[#This Row],[X]] &lt; EFC_70P-EFC_50P, EFC_50P, MAX(EFC_70P-AC_Chart_Background_Data[[#This Row],[X]],0))</f>
        <v>82</v>
      </c>
      <c r="AL28" s="168">
        <f>IF(AC_Chart_Background_Data[[#This Row],[X]] &lt; EFC_85P-EFC_70P, EFC_70P, MAX(EFC_85P-AC_Chart_Background_Data[[#This Row],[X]],0))</f>
        <v>101</v>
      </c>
      <c r="AM28" s="168">
        <f>IF(AC_Chart_Background_Data[[#This Row],[X]] &lt; EFC_95P-EFC_85P, EFC_85P, MAX(EFC_95P-AC_Chart_Background_Data[[#This Row],[X]],0))</f>
        <v>120</v>
      </c>
      <c r="AN28" s="168">
        <f>IF(AC_Chart_Background_Data[[#This Row],[X]] &lt; EFC_99P-EFC_95P, EFC_95P, MAX(EFC_99P-AC_Chart_Background_Data[[#This Row],[X]],0))</f>
        <v>141</v>
      </c>
      <c r="AO28" s="168">
        <f t="shared" si="0"/>
        <v>170</v>
      </c>
      <c r="AP28" s="164"/>
      <c r="AQ28" s="171">
        <v>25</v>
      </c>
      <c r="AR28" s="171">
        <v>82</v>
      </c>
      <c r="AS28" s="171">
        <v>101</v>
      </c>
      <c r="AT28" s="171">
        <v>120</v>
      </c>
      <c r="AU28" s="171">
        <v>141</v>
      </c>
      <c r="AV28" s="171">
        <v>170</v>
      </c>
      <c r="AW28" s="11"/>
      <c r="AX28" s="107">
        <v>82.78</v>
      </c>
      <c r="AY28" s="108">
        <v>473</v>
      </c>
      <c r="AZ28" s="109">
        <f t="shared" si="1"/>
        <v>0</v>
      </c>
      <c r="BA28" s="11"/>
      <c r="BB28" s="107">
        <v>34.549999999999997</v>
      </c>
      <c r="BC28" s="108">
        <v>77</v>
      </c>
      <c r="BD28" s="110">
        <f t="shared" si="2"/>
        <v>0</v>
      </c>
    </row>
    <row r="29" spans="1:56" ht="18" customHeight="1" x14ac:dyDescent="0.25">
      <c r="A29" s="43" t="s">
        <v>732</v>
      </c>
      <c r="B29" s="39" t="str">
        <f>IF(OR(B23="",B28=""),"", (B28/B23))</f>
        <v/>
      </c>
      <c r="C29" s="39" t="str">
        <f>IF(OR(C23="",C28=""),"", (C28/C23))</f>
        <v/>
      </c>
      <c r="D29" s="39" t="str">
        <f>IF(OR(D23="",D28=""),"", (D28/D23))</f>
        <v/>
      </c>
      <c r="E29" s="44" t="str">
        <f>IF(OR(E23="",E28=""),"", (E28/E23))</f>
        <v/>
      </c>
      <c r="F29" s="45" t="str" cm="1">
        <f t="array" ref="F29">IF((AND(B29:E29="")),"",(IF($F$22=1, SUMPRODUCT(--ISNUMBER(B29:E29),$B$22:$E$22,B29:E29), "")))</f>
        <v/>
      </c>
      <c r="G29" s="46" t="s">
        <v>835</v>
      </c>
      <c r="H29" s="47">
        <v>139031</v>
      </c>
      <c r="I29" s="160" t="str">
        <f t="shared" si="4"/>
        <v/>
      </c>
      <c r="AD29" s="94" t="s">
        <v>711</v>
      </c>
      <c r="AE29" s="73" t="str">
        <f>"$"&amp;EFC_70P&amp;" - $"&amp;EFC_85P</f>
        <v>$107 - $126</v>
      </c>
      <c r="AF29" s="74">
        <v>0.5</v>
      </c>
      <c r="AG29" s="73" t="str">
        <f>"$"&amp;EFC_70P&amp;" - $"&amp;EFC_85P</f>
        <v>$107 - $126</v>
      </c>
      <c r="AH29" s="75">
        <v>0.25</v>
      </c>
      <c r="AI29" s="164"/>
      <c r="AJ29" s="167">
        <f t="shared" si="3"/>
        <v>26</v>
      </c>
      <c r="AK29" s="168">
        <f>IF(AC_Chart_Background_Data[[#This Row],[X]] &lt; EFC_70P-EFC_50P, EFC_50P, MAX(EFC_70P-AC_Chart_Background_Data[[#This Row],[X]],0))</f>
        <v>81</v>
      </c>
      <c r="AL29" s="168">
        <f>IF(AC_Chart_Background_Data[[#This Row],[X]] &lt; EFC_85P-EFC_70P, EFC_70P, MAX(EFC_85P-AC_Chart_Background_Data[[#This Row],[X]],0))</f>
        <v>100</v>
      </c>
      <c r="AM29" s="168">
        <f>IF(AC_Chart_Background_Data[[#This Row],[X]] &lt; EFC_95P-EFC_85P, EFC_85P, MAX(EFC_95P-AC_Chart_Background_Data[[#This Row],[X]],0))</f>
        <v>119</v>
      </c>
      <c r="AN29" s="168">
        <f>IF(AC_Chart_Background_Data[[#This Row],[X]] &lt; EFC_99P-EFC_95P, EFC_95P, MAX(EFC_99P-AC_Chart_Background_Data[[#This Row],[X]],0))</f>
        <v>140</v>
      </c>
      <c r="AO29" s="168">
        <f t="shared" si="0"/>
        <v>170</v>
      </c>
      <c r="AP29" s="164"/>
      <c r="AQ29" s="171">
        <v>26</v>
      </c>
      <c r="AR29" s="171">
        <v>81</v>
      </c>
      <c r="AS29" s="171">
        <v>100</v>
      </c>
      <c r="AT29" s="171">
        <v>119</v>
      </c>
      <c r="AU29" s="171">
        <v>140</v>
      </c>
      <c r="AV29" s="171">
        <v>170</v>
      </c>
      <c r="AW29" s="23"/>
      <c r="AX29" s="107">
        <v>108.65</v>
      </c>
      <c r="AY29" s="108">
        <v>323</v>
      </c>
      <c r="AZ29" s="109">
        <f t="shared" si="1"/>
        <v>0</v>
      </c>
      <c r="BA29" s="11"/>
      <c r="BB29" s="107">
        <v>84.45</v>
      </c>
      <c r="BC29" s="108">
        <v>12723</v>
      </c>
      <c r="BD29" s="110">
        <f t="shared" si="2"/>
        <v>0</v>
      </c>
    </row>
    <row r="30" spans="1:56" ht="31.5" customHeight="1" thickBot="1" x14ac:dyDescent="0.3">
      <c r="A30" s="216" t="str">
        <f>IF(AC_Step2_Running_Total_Passed,
           IF(B21="",
                   "Select up to four local governments that represent your local government or project area",
                    IF(SUM(B22:E22)&lt;&gt;1,
                                "Ensure that the LGU Coverage percentages total to 100%.",
                                IF(NOT(AC_Step3_Completed),
                                          "Parameters should not be empty.",
                                          IF(NOT(AC_Step3_Passed),
                                                     "You are only eligible for SRF Principal Forgiveness/SRP grant if you receive 4.C.4 points or BIL EC funding. You are eligible for loans.",
                                                     "")))),
             "")</f>
        <v/>
      </c>
      <c r="B30" s="217"/>
      <c r="C30" s="217"/>
      <c r="D30" s="217"/>
      <c r="E30" s="217"/>
      <c r="F30" s="229" t="s">
        <v>733</v>
      </c>
      <c r="G30" s="229"/>
      <c r="H30" s="229"/>
      <c r="I30" s="126" t="str" cm="1">
        <f t="array" ref="I30">IF(AND(I24:I29&lt;&gt;"",AC_Step2_Completed),COUNTIF(I24:I29,"=Yes"),"")</f>
        <v/>
      </c>
      <c r="AD30" s="94" t="s">
        <v>712</v>
      </c>
      <c r="AE30" s="73" t="str">
        <f>"$"&amp;EFC_50P&amp;" - $"&amp;EFC_70P</f>
        <v>$89 - $107</v>
      </c>
      <c r="AF30" s="74">
        <v>0.25</v>
      </c>
      <c r="AG30" s="73" t="str">
        <f>"$"&amp;EFC_50P&amp;" - $"&amp;EFC_70P</f>
        <v>$89 - $107</v>
      </c>
      <c r="AH30" s="75">
        <v>0</v>
      </c>
      <c r="AI30" s="164"/>
      <c r="AJ30" s="167">
        <f t="shared" si="3"/>
        <v>27</v>
      </c>
      <c r="AK30" s="168">
        <f>IF(AC_Chart_Background_Data[[#This Row],[X]] &lt; EFC_70P-EFC_50P, EFC_50P, MAX(EFC_70P-AC_Chart_Background_Data[[#This Row],[X]],0))</f>
        <v>80</v>
      </c>
      <c r="AL30" s="168">
        <f>IF(AC_Chart_Background_Data[[#This Row],[X]] &lt; EFC_85P-EFC_70P, EFC_70P, MAX(EFC_85P-AC_Chart_Background_Data[[#This Row],[X]],0))</f>
        <v>99</v>
      </c>
      <c r="AM30" s="168">
        <f>IF(AC_Chart_Background_Data[[#This Row],[X]] &lt; EFC_95P-EFC_85P, EFC_85P, MAX(EFC_95P-AC_Chart_Background_Data[[#This Row],[X]],0))</f>
        <v>118</v>
      </c>
      <c r="AN30" s="168">
        <f>IF(AC_Chart_Background_Data[[#This Row],[X]] &lt; EFC_99P-EFC_95P, EFC_95P, MAX(EFC_99P-AC_Chart_Background_Data[[#This Row],[X]],0))</f>
        <v>139</v>
      </c>
      <c r="AO30" s="168">
        <f t="shared" si="0"/>
        <v>170</v>
      </c>
      <c r="AP30" s="164"/>
      <c r="AQ30" s="171">
        <v>27</v>
      </c>
      <c r="AR30" s="171">
        <v>80</v>
      </c>
      <c r="AS30" s="171">
        <v>99</v>
      </c>
      <c r="AT30" s="171">
        <v>118</v>
      </c>
      <c r="AU30" s="171">
        <v>139</v>
      </c>
      <c r="AV30" s="171">
        <v>170</v>
      </c>
      <c r="AW30" s="11"/>
      <c r="AX30" s="107">
        <v>134.13</v>
      </c>
      <c r="AY30" s="108">
        <v>1344</v>
      </c>
      <c r="AZ30" s="109">
        <f t="shared" si="1"/>
        <v>0</v>
      </c>
      <c r="BA30" s="11"/>
      <c r="BB30" s="107">
        <v>116.83</v>
      </c>
      <c r="BC30" s="108">
        <v>5880</v>
      </c>
      <c r="BD30" s="110">
        <f t="shared" si="2"/>
        <v>0</v>
      </c>
    </row>
    <row r="31" spans="1:56" ht="18" customHeight="1" thickBot="1" x14ac:dyDescent="0.3">
      <c r="F31" s="125"/>
      <c r="G31" s="125"/>
      <c r="H31" s="125"/>
      <c r="AD31" s="95" t="s">
        <v>713</v>
      </c>
      <c r="AE31" s="76" t="str">
        <f>"$0 - $"&amp;EFC_50P</f>
        <v>$0 - $89</v>
      </c>
      <c r="AF31" s="77">
        <v>0</v>
      </c>
      <c r="AG31" s="76" t="str">
        <f>"$0 - $"&amp;EFC_50P</f>
        <v>$0 - $89</v>
      </c>
      <c r="AH31" s="78">
        <v>0</v>
      </c>
      <c r="AI31" s="164"/>
      <c r="AJ31" s="167">
        <f t="shared" si="3"/>
        <v>28</v>
      </c>
      <c r="AK31" s="168">
        <f>IF(AC_Chart_Background_Data[[#This Row],[X]] &lt; EFC_70P-EFC_50P, EFC_50P, MAX(EFC_70P-AC_Chart_Background_Data[[#This Row],[X]],0))</f>
        <v>79</v>
      </c>
      <c r="AL31" s="168">
        <f>IF(AC_Chart_Background_Data[[#This Row],[X]] &lt; EFC_85P-EFC_70P, EFC_70P, MAX(EFC_85P-AC_Chart_Background_Data[[#This Row],[X]],0))</f>
        <v>98</v>
      </c>
      <c r="AM31" s="168">
        <f>IF(AC_Chart_Background_Data[[#This Row],[X]] &lt; EFC_95P-EFC_85P, EFC_85P, MAX(EFC_95P-AC_Chart_Background_Data[[#This Row],[X]],0))</f>
        <v>117</v>
      </c>
      <c r="AN31" s="168">
        <f>IF(AC_Chart_Background_Data[[#This Row],[X]] &lt; EFC_99P-EFC_95P, EFC_95P, MAX(EFC_99P-AC_Chart_Background_Data[[#This Row],[X]],0))</f>
        <v>138</v>
      </c>
      <c r="AO31" s="168">
        <f t="shared" si="0"/>
        <v>170</v>
      </c>
      <c r="AP31" s="164"/>
      <c r="AQ31" s="171">
        <v>28</v>
      </c>
      <c r="AR31" s="171">
        <v>79</v>
      </c>
      <c r="AS31" s="171">
        <v>98</v>
      </c>
      <c r="AT31" s="171">
        <v>117</v>
      </c>
      <c r="AU31" s="171">
        <v>138</v>
      </c>
      <c r="AV31" s="171">
        <v>170</v>
      </c>
      <c r="AW31" s="11"/>
      <c r="AX31" s="107">
        <v>85</v>
      </c>
      <c r="AY31" s="108">
        <v>4977</v>
      </c>
      <c r="AZ31" s="109">
        <f t="shared" si="1"/>
        <v>0</v>
      </c>
      <c r="BA31" s="11"/>
      <c r="BB31" s="107">
        <v>112.45</v>
      </c>
      <c r="BC31" s="108">
        <v>911</v>
      </c>
      <c r="BD31" s="110">
        <f t="shared" si="2"/>
        <v>0</v>
      </c>
    </row>
    <row r="32" spans="1:56" ht="18.75" customHeight="1" thickBot="1" x14ac:dyDescent="0.35">
      <c r="A32" s="19" t="s">
        <v>822</v>
      </c>
      <c r="B32" s="48"/>
      <c r="AA32" s="68"/>
      <c r="AD32" s="68" t="s">
        <v>764</v>
      </c>
      <c r="AE32" s="204" t="e">
        <f>IF(AC_Step5_Running_Total_Passed,
         IF(AI_Effective_Combined_Bill&lt;=EFC_50P,
               0,
              IF(AI_Effective_Combined_Bill&lt;=EFC_70P,
                   0.25,
                   IF(AI_Effective_Combined_Bill&lt;=EFC_85P,
                         0.5,
                         IF(AI_Effective_Combined_Bill&lt;=EFC_95P,0.75,1)
                        )
                    )
              ),
            NA()
          )</f>
        <v>#N/A</v>
      </c>
      <c r="AF32" s="205"/>
      <c r="AG32" s="204" t="e">
        <f>IF(AC_Step5_Running_Total_Passed,
        IF(AC_PCPCPM+AI_Effective_Combined_Bill&lt;=EFC_70P,
             0,
             IF(AC_PCPCPM+AI_Effective_Combined_Bill&lt;=EFC_85P,
                  0.25,
                  IF(AC_PCPCPM+AI_Effective_Combined_Bill&lt;=EFC_95P,
                       0.5,
                       IF(AC_PCPCPM+AI_Effective_Combined_Bill&lt;=EFC_99P,0.75,1)
                       )
                 )
             ),
            NA()
         )</f>
        <v>#N/A</v>
      </c>
      <c r="AH32" s="205"/>
      <c r="AI32" s="165"/>
      <c r="AJ32" s="167">
        <f t="shared" si="3"/>
        <v>29</v>
      </c>
      <c r="AK32" s="168">
        <f>IF(AC_Chart_Background_Data[[#This Row],[X]] &lt; EFC_70P-EFC_50P, EFC_50P, MAX(EFC_70P-AC_Chart_Background_Data[[#This Row],[X]],0))</f>
        <v>78</v>
      </c>
      <c r="AL32" s="168">
        <f>IF(AC_Chart_Background_Data[[#This Row],[X]] &lt; EFC_85P-EFC_70P, EFC_70P, MAX(EFC_85P-AC_Chart_Background_Data[[#This Row],[X]],0))</f>
        <v>97</v>
      </c>
      <c r="AM32" s="168">
        <f>IF(AC_Chart_Background_Data[[#This Row],[X]] &lt; EFC_95P-EFC_85P, EFC_85P, MAX(EFC_95P-AC_Chart_Background_Data[[#This Row],[X]],0))</f>
        <v>116</v>
      </c>
      <c r="AN32" s="168">
        <f>IF(AC_Chart_Background_Data[[#This Row],[X]] &lt; EFC_99P-EFC_95P, EFC_95P, MAX(EFC_99P-AC_Chart_Background_Data[[#This Row],[X]],0))</f>
        <v>137</v>
      </c>
      <c r="AO32" s="168">
        <f t="shared" si="0"/>
        <v>170</v>
      </c>
      <c r="AP32" s="165"/>
      <c r="AQ32" s="173">
        <v>29</v>
      </c>
      <c r="AR32" s="173">
        <v>78</v>
      </c>
      <c r="AS32" s="173">
        <v>97</v>
      </c>
      <c r="AT32" s="173">
        <v>116</v>
      </c>
      <c r="AU32" s="173">
        <v>137</v>
      </c>
      <c r="AV32" s="173">
        <v>170</v>
      </c>
      <c r="AW32" s="65"/>
      <c r="AX32" s="107">
        <v>80.25</v>
      </c>
      <c r="AY32" s="108">
        <v>3301</v>
      </c>
      <c r="AZ32" s="109">
        <f t="shared" si="1"/>
        <v>0</v>
      </c>
      <c r="BA32" s="11"/>
      <c r="BB32" s="107">
        <v>71.290000000000006</v>
      </c>
      <c r="BC32" s="108">
        <v>10219</v>
      </c>
      <c r="BD32" s="110">
        <f t="shared" si="2"/>
        <v>0</v>
      </c>
    </row>
    <row r="33" spans="1:56" ht="15" customHeight="1" thickBot="1" x14ac:dyDescent="0.3">
      <c r="A33" s="21" t="s">
        <v>823</v>
      </c>
      <c r="B33" s="49"/>
      <c r="AD33" s="68" t="s">
        <v>765</v>
      </c>
      <c r="AE33" s="201" t="str">
        <f>IF(AC_Step5_Running_Total_Passed,MAX(AE32:AH32),"Complete the steps above to determine.")</f>
        <v>Complete the steps above to determine.</v>
      </c>
      <c r="AF33" s="202"/>
      <c r="AG33" s="202"/>
      <c r="AH33" s="203"/>
      <c r="AI33" s="172"/>
      <c r="AJ33" s="167">
        <f t="shared" si="3"/>
        <v>30</v>
      </c>
      <c r="AK33" s="168">
        <f>IF(AC_Chart_Background_Data[[#This Row],[X]] &lt; EFC_70P-EFC_50P, EFC_50P, MAX(EFC_70P-AC_Chart_Background_Data[[#This Row],[X]],0))</f>
        <v>77</v>
      </c>
      <c r="AL33" s="168">
        <f>IF(AC_Chart_Background_Data[[#This Row],[X]] &lt; EFC_85P-EFC_70P, EFC_70P, MAX(EFC_85P-AC_Chart_Background_Data[[#This Row],[X]],0))</f>
        <v>96</v>
      </c>
      <c r="AM33" s="168">
        <f>IF(AC_Chart_Background_Data[[#This Row],[X]] &lt; EFC_95P-EFC_85P, EFC_85P, MAX(EFC_95P-AC_Chart_Background_Data[[#This Row],[X]],0))</f>
        <v>115</v>
      </c>
      <c r="AN33" s="168">
        <f>IF(AC_Chart_Background_Data[[#This Row],[X]] &lt; EFC_99P-EFC_95P, EFC_95P, MAX(EFC_99P-AC_Chart_Background_Data[[#This Row],[X]],0))</f>
        <v>136</v>
      </c>
      <c r="AO33" s="168">
        <f t="shared" si="0"/>
        <v>170</v>
      </c>
      <c r="AP33" s="172"/>
      <c r="AQ33" s="171">
        <v>30</v>
      </c>
      <c r="AR33" s="171">
        <v>77</v>
      </c>
      <c r="AS33" s="171">
        <v>96</v>
      </c>
      <c r="AT33" s="171">
        <v>115</v>
      </c>
      <c r="AU33" s="171">
        <v>136</v>
      </c>
      <c r="AV33" s="171">
        <v>170</v>
      </c>
      <c r="AX33" s="107">
        <v>216.46</v>
      </c>
      <c r="AY33" s="108">
        <v>32031</v>
      </c>
      <c r="AZ33" s="109">
        <f t="shared" si="1"/>
        <v>0</v>
      </c>
      <c r="BA33" s="11"/>
      <c r="BB33" s="107">
        <v>177.31</v>
      </c>
      <c r="BC33" s="108">
        <v>1009</v>
      </c>
      <c r="BD33" s="110">
        <f t="shared" si="2"/>
        <v>0</v>
      </c>
    </row>
    <row r="34" spans="1:56" ht="18" customHeight="1" x14ac:dyDescent="0.35">
      <c r="A34" s="50" t="s">
        <v>734</v>
      </c>
      <c r="B34" s="114"/>
      <c r="D34" s="51"/>
      <c r="AH34" s="11"/>
      <c r="AI34" s="11"/>
      <c r="AJ34" s="167">
        <f t="shared" si="3"/>
        <v>31</v>
      </c>
      <c r="AK34" s="168">
        <f>IF(AC_Chart_Background_Data[[#This Row],[X]] &lt; EFC_70P-EFC_50P, EFC_50P, MAX(EFC_70P-AC_Chart_Background_Data[[#This Row],[X]],0))</f>
        <v>76</v>
      </c>
      <c r="AL34" s="168">
        <f>IF(AC_Chart_Background_Data[[#This Row],[X]] &lt; EFC_85P-EFC_70P, EFC_70P, MAX(EFC_85P-AC_Chart_Background_Data[[#This Row],[X]],0))</f>
        <v>95</v>
      </c>
      <c r="AM34" s="168">
        <f>IF(AC_Chart_Background_Data[[#This Row],[X]] &lt; EFC_95P-EFC_85P, EFC_85P, MAX(EFC_95P-AC_Chart_Background_Data[[#This Row],[X]],0))</f>
        <v>114</v>
      </c>
      <c r="AN34" s="168">
        <f>IF(AC_Chart_Background_Data[[#This Row],[X]] &lt; EFC_99P-EFC_95P, EFC_95P, MAX(EFC_99P-AC_Chart_Background_Data[[#This Row],[X]],0))</f>
        <v>135</v>
      </c>
      <c r="AO34" s="168">
        <f t="shared" si="0"/>
        <v>170</v>
      </c>
      <c r="AP34" s="11"/>
      <c r="AQ34" s="171">
        <v>31</v>
      </c>
      <c r="AR34" s="171">
        <v>76</v>
      </c>
      <c r="AS34" s="171">
        <v>95</v>
      </c>
      <c r="AT34" s="171">
        <v>114</v>
      </c>
      <c r="AU34" s="171">
        <v>135</v>
      </c>
      <c r="AV34" s="171">
        <v>170</v>
      </c>
      <c r="AW34" s="11"/>
      <c r="AX34" s="107">
        <v>83.39</v>
      </c>
      <c r="AY34" s="108">
        <v>93</v>
      </c>
      <c r="AZ34" s="109">
        <f t="shared" si="1"/>
        <v>0</v>
      </c>
      <c r="BA34" s="11"/>
      <c r="BB34" s="107">
        <v>110.85</v>
      </c>
      <c r="BC34" s="108">
        <v>157</v>
      </c>
      <c r="BD34" s="110">
        <f t="shared" si="2"/>
        <v>0</v>
      </c>
    </row>
    <row r="35" spans="1:56" ht="18" customHeight="1" x14ac:dyDescent="0.35">
      <c r="A35" s="50" t="s">
        <v>735</v>
      </c>
      <c r="B35" s="114"/>
      <c r="AF35" s="200" t="s">
        <v>781</v>
      </c>
      <c r="AG35" s="200"/>
      <c r="AH35" s="11"/>
      <c r="AI35" s="11"/>
      <c r="AJ35" s="167">
        <f t="shared" si="3"/>
        <v>32</v>
      </c>
      <c r="AK35" s="168">
        <f>IF(AC_Chart_Background_Data[[#This Row],[X]] &lt; EFC_70P-EFC_50P, EFC_50P, MAX(EFC_70P-AC_Chart_Background_Data[[#This Row],[X]],0))</f>
        <v>75</v>
      </c>
      <c r="AL35" s="168">
        <f>IF(AC_Chart_Background_Data[[#This Row],[X]] &lt; EFC_85P-EFC_70P, EFC_70P, MAX(EFC_85P-AC_Chart_Background_Data[[#This Row],[X]],0))</f>
        <v>94</v>
      </c>
      <c r="AM35" s="168">
        <f>IF(AC_Chart_Background_Data[[#This Row],[X]] &lt; EFC_95P-EFC_85P, EFC_85P, MAX(EFC_95P-AC_Chart_Background_Data[[#This Row],[X]],0))</f>
        <v>113</v>
      </c>
      <c r="AN35" s="168">
        <f>IF(AC_Chart_Background_Data[[#This Row],[X]] &lt; EFC_99P-EFC_95P, EFC_95P, MAX(EFC_99P-AC_Chart_Background_Data[[#This Row],[X]],0))</f>
        <v>134</v>
      </c>
      <c r="AO35" s="168">
        <f t="shared" si="0"/>
        <v>170</v>
      </c>
      <c r="AP35" s="11"/>
      <c r="AQ35" s="171">
        <v>32</v>
      </c>
      <c r="AR35" s="171">
        <v>75</v>
      </c>
      <c r="AS35" s="171">
        <v>94</v>
      </c>
      <c r="AT35" s="171">
        <v>113</v>
      </c>
      <c r="AU35" s="171">
        <v>134</v>
      </c>
      <c r="AV35" s="171">
        <v>170</v>
      </c>
      <c r="AW35" s="11"/>
      <c r="AX35" s="107">
        <v>80.97</v>
      </c>
      <c r="AY35" s="108">
        <v>74283</v>
      </c>
      <c r="AZ35" s="109">
        <f t="shared" si="1"/>
        <v>0</v>
      </c>
      <c r="BA35" s="11"/>
      <c r="BB35" s="107">
        <v>87.57</v>
      </c>
      <c r="BC35" s="108">
        <v>15747</v>
      </c>
      <c r="BD35" s="110">
        <f t="shared" si="2"/>
        <v>0</v>
      </c>
    </row>
    <row r="36" spans="1:56" ht="18" customHeight="1" x14ac:dyDescent="0.35">
      <c r="A36" s="50" t="s">
        <v>820</v>
      </c>
      <c r="B36" s="114"/>
      <c r="AF36" s="119" t="s">
        <v>782</v>
      </c>
      <c r="AG36" s="120" t="s">
        <v>783</v>
      </c>
      <c r="AH36" s="11"/>
      <c r="AI36" s="11"/>
      <c r="AJ36" s="167">
        <f t="shared" si="3"/>
        <v>33</v>
      </c>
      <c r="AK36" s="168">
        <f>IF(AC_Chart_Background_Data[[#This Row],[X]] &lt; EFC_70P-EFC_50P, EFC_50P, MAX(EFC_70P-AC_Chart_Background_Data[[#This Row],[X]],0))</f>
        <v>74</v>
      </c>
      <c r="AL36" s="168">
        <f>IF(AC_Chart_Background_Data[[#This Row],[X]] &lt; EFC_85P-EFC_70P, EFC_70P, MAX(EFC_85P-AC_Chart_Background_Data[[#This Row],[X]],0))</f>
        <v>93</v>
      </c>
      <c r="AM36" s="168">
        <f>IF(AC_Chart_Background_Data[[#This Row],[X]] &lt; EFC_95P-EFC_85P, EFC_85P, MAX(EFC_95P-AC_Chart_Background_Data[[#This Row],[X]],0))</f>
        <v>112</v>
      </c>
      <c r="AN36" s="168">
        <f>IF(AC_Chart_Background_Data[[#This Row],[X]] &lt; EFC_99P-EFC_95P, EFC_95P, MAX(EFC_99P-AC_Chart_Background_Data[[#This Row],[X]],0))</f>
        <v>133</v>
      </c>
      <c r="AO36" s="168">
        <f t="shared" si="0"/>
        <v>170</v>
      </c>
      <c r="AP36" s="11"/>
      <c r="AQ36" s="171">
        <v>33</v>
      </c>
      <c r="AR36" s="171">
        <v>74</v>
      </c>
      <c r="AS36" s="171">
        <v>93</v>
      </c>
      <c r="AT36" s="171">
        <v>112</v>
      </c>
      <c r="AU36" s="171">
        <v>133</v>
      </c>
      <c r="AV36" s="171">
        <v>170</v>
      </c>
      <c r="AW36" s="11"/>
      <c r="AX36" s="107">
        <v>127.5</v>
      </c>
      <c r="AY36" s="108">
        <v>1140</v>
      </c>
      <c r="AZ36" s="109">
        <f t="shared" si="1"/>
        <v>0</v>
      </c>
      <c r="BA36" s="11"/>
      <c r="BB36" s="107">
        <v>82.02</v>
      </c>
      <c r="BC36" s="108">
        <v>199</v>
      </c>
      <c r="BD36" s="110">
        <f t="shared" si="2"/>
        <v>0</v>
      </c>
    </row>
    <row r="37" spans="1:56" ht="18" customHeight="1" x14ac:dyDescent="0.35">
      <c r="A37" s="50" t="s">
        <v>821</v>
      </c>
      <c r="B37" s="114"/>
      <c r="AF37" s="119" t="s">
        <v>784</v>
      </c>
      <c r="AG37" s="120" t="s">
        <v>785</v>
      </c>
      <c r="AH37" s="11"/>
      <c r="AI37" s="11"/>
      <c r="AJ37" s="167">
        <f t="shared" si="3"/>
        <v>34</v>
      </c>
      <c r="AK37" s="168">
        <f>IF(AC_Chart_Background_Data[[#This Row],[X]] &lt; EFC_70P-EFC_50P, EFC_50P, MAX(EFC_70P-AC_Chart_Background_Data[[#This Row],[X]],0))</f>
        <v>73</v>
      </c>
      <c r="AL37" s="168">
        <f>IF(AC_Chart_Background_Data[[#This Row],[X]] &lt; EFC_85P-EFC_70P, EFC_70P, MAX(EFC_85P-AC_Chart_Background_Data[[#This Row],[X]],0))</f>
        <v>92</v>
      </c>
      <c r="AM37" s="168">
        <f>IF(AC_Chart_Background_Data[[#This Row],[X]] &lt; EFC_95P-EFC_85P, EFC_85P, MAX(EFC_95P-AC_Chart_Background_Data[[#This Row],[X]],0))</f>
        <v>111</v>
      </c>
      <c r="AN37" s="168">
        <f>IF(AC_Chart_Background_Data[[#This Row],[X]] &lt; EFC_99P-EFC_95P, EFC_95P, MAX(EFC_99P-AC_Chart_Background_Data[[#This Row],[X]],0))</f>
        <v>132</v>
      </c>
      <c r="AO37" s="168">
        <f t="shared" si="0"/>
        <v>170</v>
      </c>
      <c r="AP37" s="11"/>
      <c r="AQ37" s="171">
        <v>34</v>
      </c>
      <c r="AR37" s="171">
        <v>73</v>
      </c>
      <c r="AS37" s="171">
        <v>92</v>
      </c>
      <c r="AT37" s="171">
        <v>111</v>
      </c>
      <c r="AU37" s="171">
        <v>132</v>
      </c>
      <c r="AV37" s="171">
        <v>170</v>
      </c>
      <c r="AW37" s="11"/>
      <c r="AX37" s="107">
        <v>90</v>
      </c>
      <c r="AY37" s="108">
        <v>251</v>
      </c>
      <c r="AZ37" s="109">
        <f t="shared" si="1"/>
        <v>0</v>
      </c>
      <c r="BA37" s="11"/>
      <c r="BB37" s="107">
        <v>117.3</v>
      </c>
      <c r="BC37" s="108">
        <v>19808</v>
      </c>
      <c r="BD37" s="110">
        <f t="shared" si="2"/>
        <v>0</v>
      </c>
    </row>
    <row r="38" spans="1:56" ht="15" customHeight="1" x14ac:dyDescent="0.25">
      <c r="A38" s="50" t="s">
        <v>824</v>
      </c>
      <c r="B38" s="114"/>
      <c r="AF38" s="119" t="s">
        <v>786</v>
      </c>
      <c r="AG38" s="120" t="s">
        <v>787</v>
      </c>
      <c r="AH38" s="11"/>
      <c r="AI38" s="11"/>
      <c r="AJ38" s="167">
        <f t="shared" si="3"/>
        <v>35</v>
      </c>
      <c r="AK38" s="168">
        <f>IF(AC_Chart_Background_Data[[#This Row],[X]] &lt; EFC_70P-EFC_50P, EFC_50P, MAX(EFC_70P-AC_Chart_Background_Data[[#This Row],[X]],0))</f>
        <v>72</v>
      </c>
      <c r="AL38" s="168">
        <f>IF(AC_Chart_Background_Data[[#This Row],[X]] &lt; EFC_85P-EFC_70P, EFC_70P, MAX(EFC_85P-AC_Chart_Background_Data[[#This Row],[X]],0))</f>
        <v>91</v>
      </c>
      <c r="AM38" s="168">
        <f>IF(AC_Chart_Background_Data[[#This Row],[X]] &lt; EFC_95P-EFC_85P, EFC_85P, MAX(EFC_95P-AC_Chart_Background_Data[[#This Row],[X]],0))</f>
        <v>110</v>
      </c>
      <c r="AN38" s="168">
        <f>IF(AC_Chart_Background_Data[[#This Row],[X]] &lt; EFC_99P-EFC_95P, EFC_95P, MAX(EFC_99P-AC_Chart_Background_Data[[#This Row],[X]],0))</f>
        <v>131</v>
      </c>
      <c r="AO38" s="168">
        <f t="shared" si="0"/>
        <v>170</v>
      </c>
      <c r="AP38" s="11"/>
      <c r="AQ38" s="171">
        <v>35</v>
      </c>
      <c r="AR38" s="171">
        <v>72</v>
      </c>
      <c r="AS38" s="171">
        <v>91</v>
      </c>
      <c r="AT38" s="171">
        <v>110</v>
      </c>
      <c r="AU38" s="171">
        <v>131</v>
      </c>
      <c r="AV38" s="171">
        <v>170</v>
      </c>
      <c r="AW38" s="82"/>
      <c r="AX38" s="107">
        <v>94.7</v>
      </c>
      <c r="AY38" s="108">
        <v>1155</v>
      </c>
      <c r="AZ38" s="109">
        <f t="shared" si="1"/>
        <v>0</v>
      </c>
      <c r="BA38" s="11"/>
      <c r="BB38" s="107">
        <v>116.18</v>
      </c>
      <c r="BC38" s="108">
        <v>1332</v>
      </c>
      <c r="BD38" s="110">
        <f t="shared" si="2"/>
        <v>0</v>
      </c>
    </row>
    <row r="39" spans="1:56" ht="18" customHeight="1" x14ac:dyDescent="0.35">
      <c r="A39" s="52" t="s">
        <v>736</v>
      </c>
      <c r="B39" s="53" t="str">
        <f>IF(AC_Step4_Completed,
             (FIF_Operating_Revenues/
                  (FIF_Total_Expenditures + FIF_Dept_Principal + FIF_Interest + (AI_Project_Cost/20))
               ),
              ""
        )</f>
        <v/>
      </c>
      <c r="AF39" s="119" t="s">
        <v>788</v>
      </c>
      <c r="AG39" s="120" t="s">
        <v>789</v>
      </c>
      <c r="AH39" s="11"/>
      <c r="AI39" s="11"/>
      <c r="AJ39" s="167">
        <f t="shared" si="3"/>
        <v>36</v>
      </c>
      <c r="AK39" s="168">
        <f>IF(AC_Chart_Background_Data[[#This Row],[X]] &lt; EFC_70P-EFC_50P, EFC_50P, MAX(EFC_70P-AC_Chart_Background_Data[[#This Row],[X]],0))</f>
        <v>71</v>
      </c>
      <c r="AL39" s="168">
        <f>IF(AC_Chart_Background_Data[[#This Row],[X]] &lt; EFC_85P-EFC_70P, EFC_70P, MAX(EFC_85P-AC_Chart_Background_Data[[#This Row],[X]],0))</f>
        <v>90</v>
      </c>
      <c r="AM39" s="168">
        <f>IF(AC_Chart_Background_Data[[#This Row],[X]] &lt; EFC_95P-EFC_85P, EFC_85P, MAX(EFC_95P-AC_Chart_Background_Data[[#This Row],[X]],0))</f>
        <v>109</v>
      </c>
      <c r="AN39" s="168">
        <f>IF(AC_Chart_Background_Data[[#This Row],[X]] &lt; EFC_99P-EFC_95P, EFC_95P, MAX(EFC_99P-AC_Chart_Background_Data[[#This Row],[X]],0))</f>
        <v>130</v>
      </c>
      <c r="AO39" s="168">
        <f t="shared" si="0"/>
        <v>170</v>
      </c>
      <c r="AP39" s="11"/>
      <c r="AQ39" s="171">
        <v>36</v>
      </c>
      <c r="AR39" s="171">
        <v>71</v>
      </c>
      <c r="AS39" s="171">
        <v>90</v>
      </c>
      <c r="AT39" s="171">
        <v>109</v>
      </c>
      <c r="AU39" s="171">
        <v>130</v>
      </c>
      <c r="AV39" s="171">
        <v>170</v>
      </c>
      <c r="AW39" s="82"/>
      <c r="AX39" s="107">
        <v>90.41</v>
      </c>
      <c r="AY39" s="108">
        <v>92327</v>
      </c>
      <c r="AZ39" s="109">
        <f t="shared" si="1"/>
        <v>0</v>
      </c>
      <c r="BA39" s="11"/>
      <c r="BB39" s="107">
        <v>111.67</v>
      </c>
      <c r="BC39" s="108">
        <v>213</v>
      </c>
      <c r="BD39" s="110">
        <f t="shared" si="2"/>
        <v>0</v>
      </c>
    </row>
    <row r="40" spans="1:56" ht="15.75" customHeight="1" x14ac:dyDescent="0.25">
      <c r="A40" s="206" t="str">
        <f>IF(AC_Step3_Running_Total_Passed,
          IF(AC_Step4_Completed,
                IF(AC_Step4_Passed,"","You are only eligible for SRF Principal Forgiveness/SRP grant if you receive 4.C.4 points or BIL EC funding. You are eligible for loans."),
                "Complete Step 4. Enter operating revenues, total expenditures, and project cost. If paying existing debt service, enter debt principal and interest payments."),
          ""
       )</f>
        <v/>
      </c>
      <c r="B40" s="207"/>
      <c r="C40" s="105"/>
      <c r="D40" s="105"/>
      <c r="E40" s="105"/>
      <c r="F40" s="105"/>
      <c r="AF40" s="119" t="s">
        <v>790</v>
      </c>
      <c r="AG40" s="120" t="s">
        <v>791</v>
      </c>
      <c r="AH40" s="11"/>
      <c r="AI40" s="11"/>
      <c r="AJ40" s="167">
        <f t="shared" si="3"/>
        <v>37</v>
      </c>
      <c r="AK40" s="168">
        <f>IF(AC_Chart_Background_Data[[#This Row],[X]] &lt; EFC_70P-EFC_50P, EFC_50P, MAX(EFC_70P-AC_Chart_Background_Data[[#This Row],[X]],0))</f>
        <v>70</v>
      </c>
      <c r="AL40" s="168">
        <f>IF(AC_Chart_Background_Data[[#This Row],[X]] &lt; EFC_85P-EFC_70P, EFC_70P, MAX(EFC_85P-AC_Chart_Background_Data[[#This Row],[X]],0))</f>
        <v>89</v>
      </c>
      <c r="AM40" s="168">
        <f>IF(AC_Chart_Background_Data[[#This Row],[X]] &lt; EFC_95P-EFC_85P, EFC_85P, MAX(EFC_95P-AC_Chart_Background_Data[[#This Row],[X]],0))</f>
        <v>108</v>
      </c>
      <c r="AN40" s="168">
        <f>IF(AC_Chart_Background_Data[[#This Row],[X]] &lt; EFC_99P-EFC_95P, EFC_95P, MAX(EFC_99P-AC_Chart_Background_Data[[#This Row],[X]],0))</f>
        <v>129</v>
      </c>
      <c r="AO40" s="168">
        <f t="shared" si="0"/>
        <v>170</v>
      </c>
      <c r="AP40" s="11"/>
      <c r="AQ40" s="171">
        <v>37</v>
      </c>
      <c r="AR40" s="171">
        <v>70</v>
      </c>
      <c r="AS40" s="171">
        <v>89</v>
      </c>
      <c r="AT40" s="171">
        <v>108</v>
      </c>
      <c r="AU40" s="171">
        <v>129</v>
      </c>
      <c r="AV40" s="171">
        <v>170</v>
      </c>
      <c r="AW40" s="82"/>
      <c r="AX40" s="107">
        <v>106.42</v>
      </c>
      <c r="AY40" s="108">
        <v>16796</v>
      </c>
      <c r="AZ40" s="109">
        <f t="shared" si="1"/>
        <v>0</v>
      </c>
      <c r="BA40" s="11"/>
      <c r="BB40" s="107">
        <v>88.21</v>
      </c>
      <c r="BC40" s="108">
        <v>8636</v>
      </c>
      <c r="BD40" s="110">
        <f t="shared" si="2"/>
        <v>0</v>
      </c>
    </row>
    <row r="41" spans="1:56" ht="15" customHeight="1" x14ac:dyDescent="0.25">
      <c r="A41" s="206"/>
      <c r="B41" s="207"/>
      <c r="C41" s="103"/>
      <c r="D41" s="103"/>
      <c r="E41" s="103"/>
      <c r="F41" s="103"/>
      <c r="AF41" s="119" t="s">
        <v>792</v>
      </c>
      <c r="AG41" s="120" t="s">
        <v>793</v>
      </c>
      <c r="AH41" s="11"/>
      <c r="AI41" s="11"/>
      <c r="AJ41" s="167">
        <f t="shared" si="3"/>
        <v>38</v>
      </c>
      <c r="AK41" s="168">
        <f>IF(AC_Chart_Background_Data[[#This Row],[X]] &lt; EFC_70P-EFC_50P, EFC_50P, MAX(EFC_70P-AC_Chart_Background_Data[[#This Row],[X]],0))</f>
        <v>69</v>
      </c>
      <c r="AL41" s="168">
        <f>IF(AC_Chart_Background_Data[[#This Row],[X]] &lt; EFC_85P-EFC_70P, EFC_70P, MAX(EFC_85P-AC_Chart_Background_Data[[#This Row],[X]],0))</f>
        <v>88</v>
      </c>
      <c r="AM41" s="168">
        <f>IF(AC_Chart_Background_Data[[#This Row],[X]] &lt; EFC_95P-EFC_85P, EFC_85P, MAX(EFC_95P-AC_Chart_Background_Data[[#This Row],[X]],0))</f>
        <v>107</v>
      </c>
      <c r="AN41" s="168">
        <f>IF(AC_Chart_Background_Data[[#This Row],[X]] &lt; EFC_99P-EFC_95P, EFC_95P, MAX(EFC_99P-AC_Chart_Background_Data[[#This Row],[X]],0))</f>
        <v>128</v>
      </c>
      <c r="AO41" s="168">
        <f t="shared" si="0"/>
        <v>170</v>
      </c>
      <c r="AP41" s="11"/>
      <c r="AQ41" s="171">
        <v>38</v>
      </c>
      <c r="AR41" s="171">
        <v>69</v>
      </c>
      <c r="AS41" s="171">
        <v>88</v>
      </c>
      <c r="AT41" s="171">
        <v>107</v>
      </c>
      <c r="AU41" s="171">
        <v>128</v>
      </c>
      <c r="AV41" s="171">
        <v>170</v>
      </c>
      <c r="AW41" s="82"/>
      <c r="AX41" s="107">
        <v>82.55</v>
      </c>
      <c r="AY41" s="108">
        <v>4638</v>
      </c>
      <c r="AZ41" s="109">
        <f t="shared" si="1"/>
        <v>0</v>
      </c>
      <c r="BA41" s="11"/>
      <c r="BB41" s="107">
        <v>61.53</v>
      </c>
      <c r="BC41" s="108">
        <v>5314</v>
      </c>
      <c r="BD41" s="110">
        <f t="shared" si="2"/>
        <v>0</v>
      </c>
    </row>
    <row r="42" spans="1:56" ht="15.75" customHeight="1" thickBot="1" x14ac:dyDescent="0.3">
      <c r="A42" s="208"/>
      <c r="B42" s="209"/>
      <c r="C42" s="103"/>
      <c r="D42" s="103"/>
      <c r="E42" s="103"/>
      <c r="F42" s="103"/>
      <c r="AF42" s="119" t="s">
        <v>794</v>
      </c>
      <c r="AG42" s="120" t="s">
        <v>795</v>
      </c>
      <c r="AH42" s="11"/>
      <c r="AI42" s="11"/>
      <c r="AJ42" s="167">
        <f t="shared" si="3"/>
        <v>39</v>
      </c>
      <c r="AK42" s="168">
        <f>IF(AC_Chart_Background_Data[[#This Row],[X]] &lt; EFC_70P-EFC_50P, EFC_50P, MAX(EFC_70P-AC_Chart_Background_Data[[#This Row],[X]],0))</f>
        <v>68</v>
      </c>
      <c r="AL42" s="168">
        <f>IF(AC_Chart_Background_Data[[#This Row],[X]] &lt; EFC_85P-EFC_70P, EFC_70P, MAX(EFC_85P-AC_Chart_Background_Data[[#This Row],[X]],0))</f>
        <v>87</v>
      </c>
      <c r="AM42" s="168">
        <f>IF(AC_Chart_Background_Data[[#This Row],[X]] &lt; EFC_95P-EFC_85P, EFC_85P, MAX(EFC_95P-AC_Chart_Background_Data[[#This Row],[X]],0))</f>
        <v>106</v>
      </c>
      <c r="AN42" s="168">
        <f>IF(AC_Chart_Background_Data[[#This Row],[X]] &lt; EFC_99P-EFC_95P, EFC_95P, MAX(EFC_99P-AC_Chart_Background_Data[[#This Row],[X]],0))</f>
        <v>127</v>
      </c>
      <c r="AO42" s="168">
        <f t="shared" si="0"/>
        <v>170</v>
      </c>
      <c r="AP42" s="11"/>
      <c r="AQ42" s="171">
        <v>39</v>
      </c>
      <c r="AR42" s="171">
        <v>68</v>
      </c>
      <c r="AS42" s="171">
        <v>87</v>
      </c>
      <c r="AT42" s="171">
        <v>106</v>
      </c>
      <c r="AU42" s="171">
        <v>127</v>
      </c>
      <c r="AV42" s="171">
        <v>170</v>
      </c>
      <c r="AW42" s="11"/>
      <c r="AX42" s="107">
        <v>61.53</v>
      </c>
      <c r="AY42" s="108">
        <v>108971</v>
      </c>
      <c r="AZ42" s="109">
        <f t="shared" si="1"/>
        <v>0</v>
      </c>
      <c r="BA42" s="11"/>
      <c r="BB42" s="107">
        <v>107.02</v>
      </c>
      <c r="BC42" s="108">
        <v>1465</v>
      </c>
      <c r="BD42" s="110">
        <f t="shared" si="2"/>
        <v>0</v>
      </c>
    </row>
    <row r="43" spans="1:56" ht="15.75" customHeight="1" thickBot="1" x14ac:dyDescent="0.3">
      <c r="A43" s="104"/>
      <c r="B43" s="104"/>
      <c r="C43" s="103"/>
      <c r="D43" s="103"/>
      <c r="E43" s="103"/>
      <c r="F43" s="103"/>
      <c r="AF43" s="119" t="s">
        <v>796</v>
      </c>
      <c r="AG43" s="120" t="s">
        <v>797</v>
      </c>
      <c r="AH43" s="11"/>
      <c r="AI43" s="11"/>
      <c r="AJ43" s="167">
        <f t="shared" si="3"/>
        <v>40</v>
      </c>
      <c r="AK43" s="168">
        <f>IF(AC_Chart_Background_Data[[#This Row],[X]] &lt; EFC_70P-EFC_50P, EFC_50P, MAX(EFC_70P-AC_Chart_Background_Data[[#This Row],[X]],0))</f>
        <v>67</v>
      </c>
      <c r="AL43" s="168">
        <f>IF(AC_Chart_Background_Data[[#This Row],[X]] &lt; EFC_85P-EFC_70P, EFC_70P, MAX(EFC_85P-AC_Chart_Background_Data[[#This Row],[X]],0))</f>
        <v>86</v>
      </c>
      <c r="AM43" s="168">
        <f>IF(AC_Chart_Background_Data[[#This Row],[X]] &lt; EFC_95P-EFC_85P, EFC_85P, MAX(EFC_95P-AC_Chart_Background_Data[[#This Row],[X]],0))</f>
        <v>105</v>
      </c>
      <c r="AN43" s="168">
        <f>IF(AC_Chart_Background_Data[[#This Row],[X]] &lt; EFC_99P-EFC_95P, EFC_95P, MAX(EFC_99P-AC_Chart_Background_Data[[#This Row],[X]],0))</f>
        <v>126</v>
      </c>
      <c r="AO43" s="168">
        <f t="shared" si="0"/>
        <v>170</v>
      </c>
      <c r="AP43" s="11"/>
      <c r="AQ43" s="171">
        <v>40</v>
      </c>
      <c r="AR43" s="171">
        <v>67</v>
      </c>
      <c r="AS43" s="171">
        <v>86</v>
      </c>
      <c r="AT43" s="171">
        <v>105</v>
      </c>
      <c r="AU43" s="171">
        <v>126</v>
      </c>
      <c r="AV43" s="171">
        <v>170</v>
      </c>
      <c r="AW43" s="82"/>
      <c r="AX43" s="107">
        <v>73.45</v>
      </c>
      <c r="AY43" s="108">
        <v>39166</v>
      </c>
      <c r="AZ43" s="109">
        <f t="shared" si="1"/>
        <v>0</v>
      </c>
      <c r="BA43" s="11"/>
      <c r="BB43" s="107">
        <v>64.599999999999994</v>
      </c>
      <c r="BC43" s="108">
        <v>9547</v>
      </c>
      <c r="BD43" s="110">
        <f t="shared" si="2"/>
        <v>0</v>
      </c>
    </row>
    <row r="44" spans="1:56" ht="18.75" customHeight="1" x14ac:dyDescent="0.3">
      <c r="A44" s="19" t="s">
        <v>737</v>
      </c>
      <c r="B44" s="20"/>
      <c r="C44" s="20"/>
      <c r="D44" s="48"/>
      <c r="E44" s="54" t="s">
        <v>738</v>
      </c>
      <c r="F44" s="55"/>
      <c r="AB44" s="11"/>
      <c r="AF44" s="119" t="s">
        <v>798</v>
      </c>
      <c r="AG44" s="120" t="s">
        <v>799</v>
      </c>
      <c r="AH44" s="11"/>
      <c r="AI44" s="11"/>
      <c r="AJ44" s="167">
        <f t="shared" si="3"/>
        <v>41</v>
      </c>
      <c r="AK44" s="168">
        <f>IF(AC_Chart_Background_Data[[#This Row],[X]] &lt; EFC_70P-EFC_50P, EFC_50P, MAX(EFC_70P-AC_Chart_Background_Data[[#This Row],[X]],0))</f>
        <v>66</v>
      </c>
      <c r="AL44" s="168">
        <f>IF(AC_Chart_Background_Data[[#This Row],[X]] &lt; EFC_85P-EFC_70P, EFC_70P, MAX(EFC_85P-AC_Chart_Background_Data[[#This Row],[X]],0))</f>
        <v>85</v>
      </c>
      <c r="AM44" s="168">
        <f>IF(AC_Chart_Background_Data[[#This Row],[X]] &lt; EFC_95P-EFC_85P, EFC_85P, MAX(EFC_95P-AC_Chart_Background_Data[[#This Row],[X]],0))</f>
        <v>104</v>
      </c>
      <c r="AN44" s="168">
        <f>IF(AC_Chart_Background_Data[[#This Row],[X]] &lt; EFC_99P-EFC_95P, EFC_95P, MAX(EFC_99P-AC_Chart_Background_Data[[#This Row],[X]],0))</f>
        <v>125</v>
      </c>
      <c r="AO44" s="168">
        <f t="shared" si="0"/>
        <v>170</v>
      </c>
      <c r="AP44" s="11"/>
      <c r="AQ44" s="171">
        <v>41</v>
      </c>
      <c r="AR44" s="171">
        <v>66</v>
      </c>
      <c r="AS44" s="171">
        <v>85</v>
      </c>
      <c r="AT44" s="171">
        <v>104</v>
      </c>
      <c r="AU44" s="171">
        <v>125</v>
      </c>
      <c r="AV44" s="171">
        <v>170</v>
      </c>
      <c r="AW44" s="82"/>
      <c r="AX44" s="107">
        <v>112.45</v>
      </c>
      <c r="AY44" s="108">
        <v>1000</v>
      </c>
      <c r="AZ44" s="109">
        <f t="shared" si="1"/>
        <v>0</v>
      </c>
      <c r="BA44" s="11"/>
      <c r="BB44" s="107">
        <v>107.75</v>
      </c>
      <c r="BC44" s="108">
        <v>356</v>
      </c>
      <c r="BD44" s="110">
        <f t="shared" si="2"/>
        <v>0</v>
      </c>
    </row>
    <row r="45" spans="1:56" ht="17.25" customHeight="1" x14ac:dyDescent="0.25">
      <c r="A45" s="179" t="s">
        <v>770</v>
      </c>
      <c r="B45" s="180"/>
      <c r="C45" s="181"/>
      <c r="D45" s="182"/>
      <c r="E45" s="56" t="s">
        <v>739</v>
      </c>
      <c r="F45" s="57" t="s">
        <v>740</v>
      </c>
      <c r="AB45" s="11"/>
      <c r="AF45" s="119" t="s">
        <v>800</v>
      </c>
      <c r="AG45" s="120" t="s">
        <v>801</v>
      </c>
      <c r="AJ45" s="167">
        <f t="shared" si="3"/>
        <v>42</v>
      </c>
      <c r="AK45" s="168">
        <f>IF(AC_Chart_Background_Data[[#This Row],[X]] &lt; EFC_70P-EFC_50P, EFC_50P, MAX(EFC_70P-AC_Chart_Background_Data[[#This Row],[X]],0))</f>
        <v>65</v>
      </c>
      <c r="AL45" s="168">
        <f>IF(AC_Chart_Background_Data[[#This Row],[X]] &lt; EFC_85P-EFC_70P, EFC_70P, MAX(EFC_85P-AC_Chart_Background_Data[[#This Row],[X]],0))</f>
        <v>84</v>
      </c>
      <c r="AM45" s="168">
        <f>IF(AC_Chart_Background_Data[[#This Row],[X]] &lt; EFC_95P-EFC_85P, EFC_85P, MAX(EFC_95P-AC_Chart_Background_Data[[#This Row],[X]],0))</f>
        <v>103</v>
      </c>
      <c r="AN45" s="168">
        <f>IF(AC_Chart_Background_Data[[#This Row],[X]] &lt; EFC_99P-EFC_95P, EFC_95P, MAX(EFC_99P-AC_Chart_Background_Data[[#This Row],[X]],0))</f>
        <v>124</v>
      </c>
      <c r="AO45" s="168">
        <f t="shared" si="0"/>
        <v>170</v>
      </c>
      <c r="AQ45" s="160">
        <v>42</v>
      </c>
      <c r="AR45" s="160">
        <v>65</v>
      </c>
      <c r="AS45" s="160">
        <v>84</v>
      </c>
      <c r="AT45" s="160">
        <v>103</v>
      </c>
      <c r="AU45" s="160">
        <v>124</v>
      </c>
      <c r="AV45" s="160">
        <v>170</v>
      </c>
      <c r="AW45" s="82"/>
      <c r="AX45" s="107">
        <v>66.45</v>
      </c>
      <c r="AY45" s="108">
        <v>9555</v>
      </c>
      <c r="AZ45" s="109">
        <f t="shared" si="1"/>
        <v>0</v>
      </c>
      <c r="BA45" s="11"/>
      <c r="BB45" s="107">
        <v>130.34</v>
      </c>
      <c r="BC45" s="108">
        <v>566</v>
      </c>
      <c r="BD45" s="110">
        <f t="shared" si="2"/>
        <v>0</v>
      </c>
    </row>
    <row r="46" spans="1:56" ht="16.5" customHeight="1" thickBot="1" x14ac:dyDescent="0.3">
      <c r="A46" s="190" t="s">
        <v>769</v>
      </c>
      <c r="B46" s="191"/>
      <c r="C46" s="192"/>
      <c r="D46" s="193"/>
      <c r="E46" s="115"/>
      <c r="F46" s="116"/>
      <c r="AF46" s="119" t="s">
        <v>802</v>
      </c>
      <c r="AG46" s="120" t="s">
        <v>803</v>
      </c>
      <c r="AJ46" s="167">
        <f t="shared" si="3"/>
        <v>43</v>
      </c>
      <c r="AK46" s="168">
        <f>IF(AC_Chart_Background_Data[[#This Row],[X]] &lt; EFC_70P-EFC_50P, EFC_50P, MAX(EFC_70P-AC_Chart_Background_Data[[#This Row],[X]],0))</f>
        <v>64</v>
      </c>
      <c r="AL46" s="168">
        <f>IF(AC_Chart_Background_Data[[#This Row],[X]] &lt; EFC_85P-EFC_70P, EFC_70P, MAX(EFC_85P-AC_Chart_Background_Data[[#This Row],[X]],0))</f>
        <v>83</v>
      </c>
      <c r="AM46" s="168">
        <f>IF(AC_Chart_Background_Data[[#This Row],[X]] &lt; EFC_95P-EFC_85P, EFC_85P, MAX(EFC_95P-AC_Chart_Background_Data[[#This Row],[X]],0))</f>
        <v>102</v>
      </c>
      <c r="AN46" s="168">
        <f>IF(AC_Chart_Background_Data[[#This Row],[X]] &lt; EFC_99P-EFC_95P, EFC_95P, MAX(EFC_99P-AC_Chart_Background_Data[[#This Row],[X]],0))</f>
        <v>123</v>
      </c>
      <c r="AO46" s="168">
        <f t="shared" si="0"/>
        <v>170</v>
      </c>
      <c r="AQ46" s="160">
        <v>43</v>
      </c>
      <c r="AR46" s="160">
        <v>64</v>
      </c>
      <c r="AS46" s="160">
        <v>83</v>
      </c>
      <c r="AT46" s="160">
        <v>102</v>
      </c>
      <c r="AU46" s="160">
        <v>123</v>
      </c>
      <c r="AV46" s="160">
        <v>170</v>
      </c>
      <c r="AW46" s="82"/>
      <c r="AX46" s="107">
        <v>92.5</v>
      </c>
      <c r="AY46" s="108">
        <v>952</v>
      </c>
      <c r="AZ46" s="109">
        <f t="shared" si="1"/>
        <v>0</v>
      </c>
      <c r="BA46" s="11"/>
      <c r="BB46" s="107">
        <v>78.400000000000006</v>
      </c>
      <c r="BC46" s="108">
        <v>6392</v>
      </c>
      <c r="BD46" s="110">
        <f t="shared" si="2"/>
        <v>0</v>
      </c>
    </row>
    <row r="47" spans="1:56" ht="15" customHeight="1" x14ac:dyDescent="0.25">
      <c r="A47" s="231" t="s">
        <v>741</v>
      </c>
      <c r="B47" s="232"/>
      <c r="C47" s="145" t="str">
        <f>IF(AC_Step4_Running_Total_Passed,
        IF(LEFT(AI_Provider_Type,8)="Combined",
              IF(AI_Project_Type&lt;&gt;"",IF(AND(AI_Rate_Water&gt;0,AI_Rate_Sewer&gt;0),AI_Rate_Water+AI_Rate_Sewer,"Enter water and sewer bills."),"Select project type."),
              IF(LEFT(AI_Provider_Type,6)="Single",
                    IF(AI_Project_Type="Water",
                          IF(AI_Rate_Water&gt;0,AI_Rate_Water/0.4,"Enter water bill."),
                          IF(AI_Project_Type="Wastewater",IF(AI_Rate_Sewer&gt;0,AI_Rate_Sewer/0.6,"Enter sewer bill."), "Select project type.")),
                    "Select service provider type.")),
        "" )</f>
        <v/>
      </c>
      <c r="AF47" s="119" t="s">
        <v>804</v>
      </c>
      <c r="AG47" s="120" t="s">
        <v>805</v>
      </c>
      <c r="AJ47" s="167">
        <f t="shared" si="3"/>
        <v>44</v>
      </c>
      <c r="AK47" s="168">
        <f>IF(AC_Chart_Background_Data[[#This Row],[X]] &lt; EFC_70P-EFC_50P, EFC_50P, MAX(EFC_70P-AC_Chart_Background_Data[[#This Row],[X]],0))</f>
        <v>63</v>
      </c>
      <c r="AL47" s="168">
        <f>IF(AC_Chart_Background_Data[[#This Row],[X]] &lt; EFC_85P-EFC_70P, EFC_70P, MAX(EFC_85P-AC_Chart_Background_Data[[#This Row],[X]],0))</f>
        <v>82</v>
      </c>
      <c r="AM47" s="168">
        <f>IF(AC_Chart_Background_Data[[#This Row],[X]] &lt; EFC_95P-EFC_85P, EFC_85P, MAX(EFC_95P-AC_Chart_Background_Data[[#This Row],[X]],0))</f>
        <v>101</v>
      </c>
      <c r="AN47" s="168">
        <f>IF(AC_Chart_Background_Data[[#This Row],[X]] &lt; EFC_99P-EFC_95P, EFC_95P, MAX(EFC_99P-AC_Chart_Background_Data[[#This Row],[X]],0))</f>
        <v>122</v>
      </c>
      <c r="AO47" s="168">
        <f t="shared" si="0"/>
        <v>170</v>
      </c>
      <c r="AQ47" s="160">
        <v>44</v>
      </c>
      <c r="AR47" s="160">
        <v>63</v>
      </c>
      <c r="AS47" s="160">
        <v>82</v>
      </c>
      <c r="AT47" s="160">
        <v>101</v>
      </c>
      <c r="AU47" s="160">
        <v>122</v>
      </c>
      <c r="AV47" s="160">
        <v>170</v>
      </c>
      <c r="AW47" s="11"/>
      <c r="AX47" s="107">
        <v>96</v>
      </c>
      <c r="AY47" s="108">
        <v>2327</v>
      </c>
      <c r="AZ47" s="109">
        <f t="shared" si="1"/>
        <v>0</v>
      </c>
      <c r="BA47" s="11"/>
      <c r="BB47" s="107">
        <v>104.75</v>
      </c>
      <c r="BC47" s="108">
        <v>1032</v>
      </c>
      <c r="BD47" s="110">
        <f t="shared" si="2"/>
        <v>0</v>
      </c>
    </row>
    <row r="48" spans="1:56" ht="15" customHeight="1" x14ac:dyDescent="0.25">
      <c r="A48" s="243"/>
      <c r="B48" s="244"/>
      <c r="C48" s="146"/>
      <c r="AF48" s="119" t="s">
        <v>806</v>
      </c>
      <c r="AG48" s="120" t="s">
        <v>807</v>
      </c>
      <c r="AJ48" s="167">
        <f t="shared" si="3"/>
        <v>45</v>
      </c>
      <c r="AK48" s="168">
        <f>IF(AC_Chart_Background_Data[[#This Row],[X]] &lt; EFC_70P-EFC_50P, EFC_50P, MAX(EFC_70P-AC_Chart_Background_Data[[#This Row],[X]],0))</f>
        <v>62</v>
      </c>
      <c r="AL48" s="168">
        <f>IF(AC_Chart_Background_Data[[#This Row],[X]] &lt; EFC_85P-EFC_70P, EFC_70P, MAX(EFC_85P-AC_Chart_Background_Data[[#This Row],[X]],0))</f>
        <v>81</v>
      </c>
      <c r="AM48" s="168">
        <f>IF(AC_Chart_Background_Data[[#This Row],[X]] &lt; EFC_95P-EFC_85P, EFC_85P, MAX(EFC_95P-AC_Chart_Background_Data[[#This Row],[X]],0))</f>
        <v>100</v>
      </c>
      <c r="AN48" s="168">
        <f>IF(AC_Chart_Background_Data[[#This Row],[X]] &lt; EFC_99P-EFC_95P, EFC_95P, MAX(EFC_99P-AC_Chart_Background_Data[[#This Row],[X]],0))</f>
        <v>121</v>
      </c>
      <c r="AO48" s="168">
        <f t="shared" si="0"/>
        <v>170</v>
      </c>
      <c r="AQ48" s="160">
        <v>45</v>
      </c>
      <c r="AR48" s="160">
        <v>62</v>
      </c>
      <c r="AS48" s="160">
        <v>81</v>
      </c>
      <c r="AT48" s="160">
        <v>100</v>
      </c>
      <c r="AU48" s="160">
        <v>121</v>
      </c>
      <c r="AV48" s="160">
        <v>170</v>
      </c>
      <c r="AW48" s="11"/>
      <c r="AX48" s="107">
        <v>79.62</v>
      </c>
      <c r="AY48" s="108">
        <v>44281</v>
      </c>
      <c r="AZ48" s="109">
        <f t="shared" si="1"/>
        <v>0</v>
      </c>
      <c r="BA48" s="11"/>
      <c r="BB48" s="107">
        <v>135.5</v>
      </c>
      <c r="BC48" s="108">
        <v>2473</v>
      </c>
      <c r="BD48" s="110">
        <f t="shared" si="2"/>
        <v>0</v>
      </c>
    </row>
    <row r="49" spans="1:56" ht="15" customHeight="1" x14ac:dyDescent="0.25">
      <c r="A49" s="243" t="str">
        <f>"Number of "&amp;LOWER(AI_Project_Type)&amp;" non-residential connections:"</f>
        <v>Number of  non-residential connections:</v>
      </c>
      <c r="B49" s="244"/>
      <c r="C49" s="147"/>
      <c r="F49" s="58"/>
      <c r="AF49" s="119" t="s">
        <v>808</v>
      </c>
      <c r="AG49" s="120" t="s">
        <v>809</v>
      </c>
      <c r="AJ49" s="167">
        <f t="shared" si="3"/>
        <v>46</v>
      </c>
      <c r="AK49" s="168">
        <f>IF(AC_Chart_Background_Data[[#This Row],[X]] &lt; EFC_70P-EFC_50P, EFC_50P, MAX(EFC_70P-AC_Chart_Background_Data[[#This Row],[X]],0))</f>
        <v>61</v>
      </c>
      <c r="AL49" s="168">
        <f>IF(AC_Chart_Background_Data[[#This Row],[X]] &lt; EFC_85P-EFC_70P, EFC_70P, MAX(EFC_85P-AC_Chart_Background_Data[[#This Row],[X]],0))</f>
        <v>80</v>
      </c>
      <c r="AM49" s="168">
        <f>IF(AC_Chart_Background_Data[[#This Row],[X]] &lt; EFC_95P-EFC_85P, EFC_85P, MAX(EFC_95P-AC_Chart_Background_Data[[#This Row],[X]],0))</f>
        <v>99</v>
      </c>
      <c r="AN49" s="168">
        <f>IF(AC_Chart_Background_Data[[#This Row],[X]] &lt; EFC_99P-EFC_95P, EFC_95P, MAX(EFC_99P-AC_Chart_Background_Data[[#This Row],[X]],0))</f>
        <v>120</v>
      </c>
      <c r="AO49" s="168">
        <f t="shared" si="0"/>
        <v>170</v>
      </c>
      <c r="AQ49" s="160">
        <v>46</v>
      </c>
      <c r="AR49" s="160">
        <v>61</v>
      </c>
      <c r="AS49" s="160">
        <v>80</v>
      </c>
      <c r="AT49" s="160">
        <v>99</v>
      </c>
      <c r="AU49" s="160">
        <v>120</v>
      </c>
      <c r="AV49" s="160">
        <v>170</v>
      </c>
      <c r="AW49" s="11"/>
      <c r="AX49" s="107">
        <v>87.57</v>
      </c>
      <c r="AY49" s="108">
        <v>17223</v>
      </c>
      <c r="AZ49" s="109">
        <f t="shared" si="1"/>
        <v>0</v>
      </c>
      <c r="BA49" s="11"/>
      <c r="BB49" s="107">
        <v>90.92</v>
      </c>
      <c r="BC49" s="108">
        <v>6056</v>
      </c>
      <c r="BD49" s="110">
        <f t="shared" si="2"/>
        <v>0</v>
      </c>
    </row>
    <row r="50" spans="1:56" ht="15" customHeight="1" x14ac:dyDescent="0.25">
      <c r="A50" s="243" t="str">
        <f>"Calculated total number of "&amp;LOWER(AI_Project_Type)&amp;" connections:"</f>
        <v>Calculated total number of  connections:</v>
      </c>
      <c r="B50" s="244"/>
      <c r="C50" s="148" t="str">
        <f>IF(AND(ISNUMBER(AI_Connections_Res.),ISNUMBER(C49)),AI_Connections_Res.+C49,"")</f>
        <v/>
      </c>
      <c r="AJ50" s="167">
        <f t="shared" si="3"/>
        <v>47</v>
      </c>
      <c r="AK50" s="168">
        <f>IF(AC_Chart_Background_Data[[#This Row],[X]] &lt; EFC_70P-EFC_50P, EFC_50P, MAX(EFC_70P-AC_Chart_Background_Data[[#This Row],[X]],0))</f>
        <v>60</v>
      </c>
      <c r="AL50" s="168">
        <f>IF(AC_Chart_Background_Data[[#This Row],[X]] &lt; EFC_85P-EFC_70P, EFC_70P, MAX(EFC_85P-AC_Chart_Background_Data[[#This Row],[X]],0))</f>
        <v>79</v>
      </c>
      <c r="AM50" s="168">
        <f>IF(AC_Chart_Background_Data[[#This Row],[X]] &lt; EFC_95P-EFC_85P, EFC_85P, MAX(EFC_95P-AC_Chart_Background_Data[[#This Row],[X]],0))</f>
        <v>98</v>
      </c>
      <c r="AN50" s="168">
        <f>IF(AC_Chart_Background_Data[[#This Row],[X]] &lt; EFC_99P-EFC_95P, EFC_95P, MAX(EFC_99P-AC_Chart_Background_Data[[#This Row],[X]],0))</f>
        <v>119</v>
      </c>
      <c r="AO50" s="168">
        <f t="shared" si="0"/>
        <v>170</v>
      </c>
      <c r="AQ50" s="160">
        <v>47</v>
      </c>
      <c r="AR50" s="160">
        <v>60</v>
      </c>
      <c r="AS50" s="160">
        <v>79</v>
      </c>
      <c r="AT50" s="160">
        <v>98</v>
      </c>
      <c r="AU50" s="160">
        <v>119</v>
      </c>
      <c r="AV50" s="160">
        <v>170</v>
      </c>
      <c r="AW50" s="11"/>
      <c r="AX50" s="107">
        <v>82.02</v>
      </c>
      <c r="AY50" s="108">
        <v>279</v>
      </c>
      <c r="AZ50" s="109">
        <f t="shared" si="1"/>
        <v>0</v>
      </c>
      <c r="BA50" s="11"/>
      <c r="BB50" s="107">
        <v>141.34</v>
      </c>
      <c r="BC50" s="108">
        <v>1042</v>
      </c>
      <c r="BD50" s="110">
        <f t="shared" si="2"/>
        <v>0</v>
      </c>
    </row>
    <row r="51" spans="1:56" ht="15" customHeight="1" x14ac:dyDescent="0.25">
      <c r="A51" s="245"/>
      <c r="B51" s="246"/>
      <c r="C51" s="146"/>
      <c r="AJ51" s="167">
        <f t="shared" si="3"/>
        <v>48</v>
      </c>
      <c r="AK51" s="168">
        <f>IF(AC_Chart_Background_Data[[#This Row],[X]] &lt; EFC_70P-EFC_50P, EFC_50P, MAX(EFC_70P-AC_Chart_Background_Data[[#This Row],[X]],0))</f>
        <v>59</v>
      </c>
      <c r="AL51" s="168">
        <f>IF(AC_Chart_Background_Data[[#This Row],[X]] &lt; EFC_85P-EFC_70P, EFC_70P, MAX(EFC_85P-AC_Chart_Background_Data[[#This Row],[X]],0))</f>
        <v>78</v>
      </c>
      <c r="AM51" s="168">
        <f>IF(AC_Chart_Background_Data[[#This Row],[X]] &lt; EFC_95P-EFC_85P, EFC_85P, MAX(EFC_95P-AC_Chart_Background_Data[[#This Row],[X]],0))</f>
        <v>97</v>
      </c>
      <c r="AN51" s="168">
        <f>IF(AC_Chart_Background_Data[[#This Row],[X]] &lt; EFC_99P-EFC_95P, EFC_95P, MAX(EFC_99P-AC_Chart_Background_Data[[#This Row],[X]],0))</f>
        <v>118</v>
      </c>
      <c r="AO51" s="168">
        <f t="shared" si="0"/>
        <v>170</v>
      </c>
      <c r="AQ51" s="160">
        <v>48</v>
      </c>
      <c r="AR51" s="160">
        <v>59</v>
      </c>
      <c r="AS51" s="160">
        <v>78</v>
      </c>
      <c r="AT51" s="160">
        <v>97</v>
      </c>
      <c r="AU51" s="160">
        <v>118</v>
      </c>
      <c r="AV51" s="160">
        <v>170</v>
      </c>
      <c r="AX51" s="107">
        <v>118.25</v>
      </c>
      <c r="AY51" s="108">
        <v>85329</v>
      </c>
      <c r="AZ51" s="109">
        <f t="shared" si="1"/>
        <v>0</v>
      </c>
      <c r="BA51" s="11"/>
      <c r="BB51" s="107">
        <v>97.49</v>
      </c>
      <c r="BC51" s="108">
        <v>1038</v>
      </c>
      <c r="BD51" s="110">
        <f t="shared" si="2"/>
        <v>0</v>
      </c>
    </row>
    <row r="52" spans="1:56" ht="15.75" customHeight="1" thickBot="1" x14ac:dyDescent="0.3">
      <c r="A52" s="59"/>
      <c r="B52" s="60" t="s">
        <v>742</v>
      </c>
      <c r="C52" s="149" t="str">
        <f>IF(AC_Step5_Running_Total_Passed,(AI_Project_Cost/AC_Connections/20/12),"")</f>
        <v/>
      </c>
      <c r="E52" s="61"/>
      <c r="AJ52" s="167">
        <f t="shared" si="3"/>
        <v>49</v>
      </c>
      <c r="AK52" s="168">
        <f>IF(AC_Chart_Background_Data[[#This Row],[X]] &lt; EFC_70P-EFC_50P, EFC_50P, MAX(EFC_70P-AC_Chart_Background_Data[[#This Row],[X]],0))</f>
        <v>58</v>
      </c>
      <c r="AL52" s="168">
        <f>IF(AC_Chart_Background_Data[[#This Row],[X]] &lt; EFC_85P-EFC_70P, EFC_70P, MAX(EFC_85P-AC_Chart_Background_Data[[#This Row],[X]],0))</f>
        <v>77</v>
      </c>
      <c r="AM52" s="168">
        <f>IF(AC_Chart_Background_Data[[#This Row],[X]] &lt; EFC_95P-EFC_85P, EFC_85P, MAX(EFC_95P-AC_Chart_Background_Data[[#This Row],[X]],0))</f>
        <v>96</v>
      </c>
      <c r="AN52" s="168">
        <f>IF(AC_Chart_Background_Data[[#This Row],[X]] &lt; EFC_99P-EFC_95P, EFC_95P, MAX(EFC_99P-AC_Chart_Background_Data[[#This Row],[X]],0))</f>
        <v>117</v>
      </c>
      <c r="AO52" s="168">
        <f t="shared" si="0"/>
        <v>170</v>
      </c>
      <c r="AQ52" s="160">
        <v>49</v>
      </c>
      <c r="AR52" s="160">
        <v>58</v>
      </c>
      <c r="AS52" s="160">
        <v>77</v>
      </c>
      <c r="AT52" s="160">
        <v>96</v>
      </c>
      <c r="AU52" s="160">
        <v>117</v>
      </c>
      <c r="AV52" s="160">
        <v>170</v>
      </c>
      <c r="AX52" s="107">
        <v>117.45</v>
      </c>
      <c r="AY52" s="108">
        <v>1293</v>
      </c>
      <c r="AZ52" s="109">
        <f t="shared" si="1"/>
        <v>0</v>
      </c>
      <c r="BA52" s="11"/>
      <c r="BB52" s="107">
        <v>95.14</v>
      </c>
      <c r="BC52" s="108">
        <v>773</v>
      </c>
      <c r="BD52" s="110">
        <f t="shared" si="2"/>
        <v>0</v>
      </c>
    </row>
    <row r="53" spans="1:56" ht="15" customHeight="1" x14ac:dyDescent="0.25">
      <c r="B53" s="62"/>
      <c r="C53" s="61"/>
      <c r="E53" s="61"/>
      <c r="AJ53" s="167">
        <f t="shared" si="3"/>
        <v>50</v>
      </c>
      <c r="AK53" s="168">
        <f>IF(AC_Chart_Background_Data[[#This Row],[X]] &lt; EFC_70P-EFC_50P, EFC_50P, MAX(EFC_70P-AC_Chart_Background_Data[[#This Row],[X]],0))</f>
        <v>57</v>
      </c>
      <c r="AL53" s="168">
        <f>IF(AC_Chart_Background_Data[[#This Row],[X]] &lt; EFC_85P-EFC_70P, EFC_70P, MAX(EFC_85P-AC_Chart_Background_Data[[#This Row],[X]],0))</f>
        <v>76</v>
      </c>
      <c r="AM53" s="168">
        <f>IF(AC_Chart_Background_Data[[#This Row],[X]] &lt; EFC_95P-EFC_85P, EFC_85P, MAX(EFC_95P-AC_Chart_Background_Data[[#This Row],[X]],0))</f>
        <v>95</v>
      </c>
      <c r="AN53" s="168">
        <f>IF(AC_Chart_Background_Data[[#This Row],[X]] &lt; EFC_99P-EFC_95P, EFC_95P, MAX(EFC_99P-AC_Chart_Background_Data[[#This Row],[X]],0))</f>
        <v>116</v>
      </c>
      <c r="AO53" s="168">
        <f t="shared" si="0"/>
        <v>170</v>
      </c>
      <c r="AQ53" s="160">
        <v>50</v>
      </c>
      <c r="AR53" s="160">
        <v>57</v>
      </c>
      <c r="AS53" s="160">
        <v>76</v>
      </c>
      <c r="AT53" s="160">
        <v>95</v>
      </c>
      <c r="AU53" s="160">
        <v>116</v>
      </c>
      <c r="AV53" s="160">
        <v>170</v>
      </c>
      <c r="AX53" s="107">
        <v>130.34</v>
      </c>
      <c r="AY53" s="108">
        <v>566</v>
      </c>
      <c r="AZ53" s="109">
        <f t="shared" si="1"/>
        <v>0</v>
      </c>
      <c r="BA53" s="11"/>
      <c r="BB53" s="107">
        <v>122.73</v>
      </c>
      <c r="BC53" s="108">
        <v>595</v>
      </c>
      <c r="BD53" s="110">
        <f t="shared" si="2"/>
        <v>0</v>
      </c>
    </row>
    <row r="54" spans="1:56" ht="18.75" customHeight="1" x14ac:dyDescent="0.3">
      <c r="A54" s="101" t="s">
        <v>825</v>
      </c>
      <c r="B54" s="62"/>
      <c r="C54" s="61"/>
      <c r="E54" s="61"/>
      <c r="AJ54" s="167">
        <f t="shared" si="3"/>
        <v>51</v>
      </c>
      <c r="AK54" s="168">
        <f>IF(AC_Chart_Background_Data[[#This Row],[X]] &lt; EFC_70P-EFC_50P, EFC_50P, MAX(EFC_70P-AC_Chart_Background_Data[[#This Row],[X]],0))</f>
        <v>56</v>
      </c>
      <c r="AL54" s="168">
        <f>IF(AC_Chart_Background_Data[[#This Row],[X]] &lt; EFC_85P-EFC_70P, EFC_70P, MAX(EFC_85P-AC_Chart_Background_Data[[#This Row],[X]],0))</f>
        <v>75</v>
      </c>
      <c r="AM54" s="168">
        <f>IF(AC_Chart_Background_Data[[#This Row],[X]] &lt; EFC_95P-EFC_85P, EFC_85P, MAX(EFC_95P-AC_Chart_Background_Data[[#This Row],[X]],0))</f>
        <v>94</v>
      </c>
      <c r="AN54" s="168">
        <f>IF(AC_Chart_Background_Data[[#This Row],[X]] &lt; EFC_99P-EFC_95P, EFC_95P, MAX(EFC_99P-AC_Chart_Background_Data[[#This Row],[X]],0))</f>
        <v>115</v>
      </c>
      <c r="AO54" s="168">
        <f t="shared" si="0"/>
        <v>170</v>
      </c>
      <c r="AQ54" s="160">
        <v>51</v>
      </c>
      <c r="AR54" s="160">
        <v>56</v>
      </c>
      <c r="AS54" s="160">
        <v>75</v>
      </c>
      <c r="AT54" s="160">
        <v>94</v>
      </c>
      <c r="AU54" s="160">
        <v>115</v>
      </c>
      <c r="AV54" s="160">
        <v>170</v>
      </c>
      <c r="AX54" s="107">
        <v>100.98</v>
      </c>
      <c r="AY54" s="108">
        <v>1300</v>
      </c>
      <c r="AZ54" s="109">
        <f t="shared" si="1"/>
        <v>0</v>
      </c>
      <c r="BA54" s="11"/>
      <c r="BB54" s="107">
        <v>75.180000000000007</v>
      </c>
      <c r="BC54" s="108">
        <v>2033</v>
      </c>
      <c r="BD54" s="110">
        <f t="shared" si="2"/>
        <v>0</v>
      </c>
    </row>
    <row r="55" spans="1:56" ht="15" customHeight="1" x14ac:dyDescent="0.25">
      <c r="A55" s="102" t="s">
        <v>743</v>
      </c>
      <c r="B55" s="62"/>
      <c r="C55" s="61"/>
      <c r="E55" s="61"/>
      <c r="AJ55" s="167">
        <f t="shared" si="3"/>
        <v>52</v>
      </c>
      <c r="AK55" s="168">
        <f>IF(AC_Chart_Background_Data[[#This Row],[X]] &lt; EFC_70P-EFC_50P, EFC_50P, MAX(EFC_70P-AC_Chart_Background_Data[[#This Row],[X]],0))</f>
        <v>55</v>
      </c>
      <c r="AL55" s="168">
        <f>IF(AC_Chart_Background_Data[[#This Row],[X]] &lt; EFC_85P-EFC_70P, EFC_70P, MAX(EFC_85P-AC_Chart_Background_Data[[#This Row],[X]],0))</f>
        <v>74</v>
      </c>
      <c r="AM55" s="168">
        <f>IF(AC_Chart_Background_Data[[#This Row],[X]] &lt; EFC_95P-EFC_85P, EFC_85P, MAX(EFC_95P-AC_Chart_Background_Data[[#This Row],[X]],0))</f>
        <v>93</v>
      </c>
      <c r="AN55" s="168">
        <f>IF(AC_Chart_Background_Data[[#This Row],[X]] &lt; EFC_99P-EFC_95P, EFC_95P, MAX(EFC_99P-AC_Chart_Background_Data[[#This Row],[X]],0))</f>
        <v>114</v>
      </c>
      <c r="AO55" s="168">
        <f t="shared" si="0"/>
        <v>170</v>
      </c>
      <c r="AQ55" s="160">
        <v>52</v>
      </c>
      <c r="AR55" s="160">
        <v>55</v>
      </c>
      <c r="AS55" s="160">
        <v>74</v>
      </c>
      <c r="AT55" s="160">
        <v>93</v>
      </c>
      <c r="AU55" s="160">
        <v>114</v>
      </c>
      <c r="AV55" s="160">
        <v>170</v>
      </c>
      <c r="AX55" s="107">
        <v>74.2</v>
      </c>
      <c r="AY55" s="108">
        <v>486</v>
      </c>
      <c r="AZ55" s="109">
        <f t="shared" si="1"/>
        <v>0</v>
      </c>
      <c r="BA55" s="11"/>
      <c r="BB55" s="107">
        <v>123.27</v>
      </c>
      <c r="BC55" s="108">
        <v>306</v>
      </c>
      <c r="BD55" s="110">
        <f t="shared" si="2"/>
        <v>0</v>
      </c>
    </row>
    <row r="56" spans="1:56" ht="17.25" customHeight="1" x14ac:dyDescent="0.25">
      <c r="A56" s="14" t="s">
        <v>826</v>
      </c>
      <c r="B56" s="62"/>
      <c r="C56" s="61"/>
      <c r="E56" s="61"/>
      <c r="AJ56" s="167">
        <f t="shared" si="3"/>
        <v>53</v>
      </c>
      <c r="AK56" s="168">
        <f>IF(AC_Chart_Background_Data[[#This Row],[X]] &lt; EFC_70P-EFC_50P, EFC_50P, MAX(EFC_70P-AC_Chart_Background_Data[[#This Row],[X]],0))</f>
        <v>54</v>
      </c>
      <c r="AL56" s="168">
        <f>IF(AC_Chart_Background_Data[[#This Row],[X]] &lt; EFC_85P-EFC_70P, EFC_70P, MAX(EFC_85P-AC_Chart_Background_Data[[#This Row],[X]],0))</f>
        <v>73</v>
      </c>
      <c r="AM56" s="168">
        <f>IF(AC_Chart_Background_Data[[#This Row],[X]] &lt; EFC_95P-EFC_85P, EFC_85P, MAX(EFC_95P-AC_Chart_Background_Data[[#This Row],[X]],0))</f>
        <v>92</v>
      </c>
      <c r="AN56" s="168">
        <f>IF(AC_Chart_Background_Data[[#This Row],[X]] &lt; EFC_99P-EFC_95P, EFC_95P, MAX(EFC_99P-AC_Chart_Background_Data[[#This Row],[X]],0))</f>
        <v>113</v>
      </c>
      <c r="AO56" s="168">
        <f t="shared" si="0"/>
        <v>170</v>
      </c>
      <c r="AQ56" s="160">
        <v>53</v>
      </c>
      <c r="AR56" s="160">
        <v>54</v>
      </c>
      <c r="AS56" s="160">
        <v>73</v>
      </c>
      <c r="AT56" s="160">
        <v>92</v>
      </c>
      <c r="AU56" s="160">
        <v>113</v>
      </c>
      <c r="AV56" s="160">
        <v>170</v>
      </c>
      <c r="AX56" s="107">
        <v>95.42</v>
      </c>
      <c r="AY56" s="108">
        <v>1363</v>
      </c>
      <c r="AZ56" s="109">
        <f t="shared" si="1"/>
        <v>0</v>
      </c>
      <c r="BA56" s="11"/>
      <c r="BB56" s="107">
        <v>58.75</v>
      </c>
      <c r="BC56" s="108">
        <v>9046</v>
      </c>
      <c r="BD56" s="110">
        <f t="shared" si="2"/>
        <v>0</v>
      </c>
    </row>
    <row r="57" spans="1:56" ht="15" customHeight="1" x14ac:dyDescent="0.25">
      <c r="B57" s="62"/>
      <c r="C57" s="61"/>
      <c r="E57" s="61"/>
      <c r="AJ57" s="167">
        <f t="shared" si="3"/>
        <v>54</v>
      </c>
      <c r="AK57" s="168">
        <f>IF(AC_Chart_Background_Data[[#This Row],[X]] &lt; EFC_70P-EFC_50P, EFC_50P, MAX(EFC_70P-AC_Chart_Background_Data[[#This Row],[X]],0))</f>
        <v>53</v>
      </c>
      <c r="AL57" s="168">
        <f>IF(AC_Chart_Background_Data[[#This Row],[X]] &lt; EFC_85P-EFC_70P, EFC_70P, MAX(EFC_85P-AC_Chart_Background_Data[[#This Row],[X]],0))</f>
        <v>72</v>
      </c>
      <c r="AM57" s="168">
        <f>IF(AC_Chart_Background_Data[[#This Row],[X]] &lt; EFC_95P-EFC_85P, EFC_85P, MAX(EFC_95P-AC_Chart_Background_Data[[#This Row],[X]],0))</f>
        <v>91</v>
      </c>
      <c r="AN57" s="168">
        <f>IF(AC_Chart_Background_Data[[#This Row],[X]] &lt; EFC_99P-EFC_95P, EFC_95P, MAX(EFC_99P-AC_Chart_Background_Data[[#This Row],[X]],0))</f>
        <v>112</v>
      </c>
      <c r="AO57" s="168">
        <f t="shared" si="0"/>
        <v>170</v>
      </c>
      <c r="AQ57" s="160">
        <v>54</v>
      </c>
      <c r="AR57" s="160">
        <v>53</v>
      </c>
      <c r="AS57" s="160">
        <v>72</v>
      </c>
      <c r="AT57" s="160">
        <v>91</v>
      </c>
      <c r="AU57" s="160">
        <v>112</v>
      </c>
      <c r="AV57" s="160">
        <v>170</v>
      </c>
      <c r="AX57" s="107">
        <v>116.25</v>
      </c>
      <c r="AY57" s="108">
        <v>823</v>
      </c>
      <c r="AZ57" s="109">
        <f t="shared" si="1"/>
        <v>0</v>
      </c>
      <c r="BA57" s="11"/>
      <c r="BB57" s="107">
        <v>87.22</v>
      </c>
      <c r="BC57" s="108">
        <v>10872</v>
      </c>
      <c r="BD57" s="110">
        <f t="shared" si="2"/>
        <v>0</v>
      </c>
    </row>
    <row r="58" spans="1:56" ht="15" customHeight="1" x14ac:dyDescent="0.25">
      <c r="A58" s="238" t="s">
        <v>827</v>
      </c>
      <c r="B58" s="62"/>
      <c r="C58" s="61"/>
      <c r="E58" s="61"/>
      <c r="AH58" s="82"/>
      <c r="AI58" s="82"/>
      <c r="AJ58" s="167">
        <f t="shared" si="3"/>
        <v>55</v>
      </c>
      <c r="AK58" s="168">
        <f>IF(AC_Chart_Background_Data[[#This Row],[X]] &lt; EFC_70P-EFC_50P, EFC_50P, MAX(EFC_70P-AC_Chart_Background_Data[[#This Row],[X]],0))</f>
        <v>52</v>
      </c>
      <c r="AL58" s="168">
        <f>IF(AC_Chart_Background_Data[[#This Row],[X]] &lt; EFC_85P-EFC_70P, EFC_70P, MAX(EFC_85P-AC_Chart_Background_Data[[#This Row],[X]],0))</f>
        <v>71</v>
      </c>
      <c r="AM58" s="168">
        <f>IF(AC_Chart_Background_Data[[#This Row],[X]] &lt; EFC_95P-EFC_85P, EFC_85P, MAX(EFC_95P-AC_Chart_Background_Data[[#This Row],[X]],0))</f>
        <v>90</v>
      </c>
      <c r="AN58" s="168">
        <f>IF(AC_Chart_Background_Data[[#This Row],[X]] &lt; EFC_99P-EFC_95P, EFC_95P, MAX(EFC_99P-AC_Chart_Background_Data[[#This Row],[X]],0))</f>
        <v>111</v>
      </c>
      <c r="AO58" s="168">
        <f t="shared" si="0"/>
        <v>170</v>
      </c>
      <c r="AP58" s="82"/>
      <c r="AQ58" s="170">
        <v>55</v>
      </c>
      <c r="AR58" s="170">
        <v>52</v>
      </c>
      <c r="AS58" s="170">
        <v>71</v>
      </c>
      <c r="AT58" s="170">
        <v>90</v>
      </c>
      <c r="AU58" s="170">
        <v>111</v>
      </c>
      <c r="AV58" s="170">
        <v>170</v>
      </c>
      <c r="AX58" s="107">
        <v>87.22</v>
      </c>
      <c r="AY58" s="108">
        <v>21438</v>
      </c>
      <c r="AZ58" s="109">
        <f t="shared" si="1"/>
        <v>0</v>
      </c>
      <c r="BA58" s="11"/>
      <c r="BB58" s="107">
        <v>60</v>
      </c>
      <c r="BC58" s="108">
        <v>136</v>
      </c>
      <c r="BD58" s="110">
        <f t="shared" si="2"/>
        <v>0</v>
      </c>
    </row>
    <row r="59" spans="1:56" ht="15" customHeight="1" x14ac:dyDescent="0.25">
      <c r="A59" s="238"/>
      <c r="B59" s="62"/>
      <c r="C59" s="61"/>
      <c r="E59" s="61"/>
      <c r="AB59" s="17"/>
      <c r="AC59" s="11"/>
      <c r="AD59" s="11"/>
      <c r="AE59" s="11"/>
      <c r="AF59" s="11"/>
      <c r="AG59" s="11"/>
      <c r="AH59" s="11"/>
      <c r="AI59" s="11"/>
      <c r="AJ59" s="167">
        <f t="shared" si="3"/>
        <v>56</v>
      </c>
      <c r="AK59" s="168">
        <f>IF(AC_Chart_Background_Data[[#This Row],[X]] &lt; EFC_70P-EFC_50P, EFC_50P, MAX(EFC_70P-AC_Chart_Background_Data[[#This Row],[X]],0))</f>
        <v>51</v>
      </c>
      <c r="AL59" s="168">
        <f>IF(AC_Chart_Background_Data[[#This Row],[X]] &lt; EFC_85P-EFC_70P, EFC_70P, MAX(EFC_85P-AC_Chart_Background_Data[[#This Row],[X]],0))</f>
        <v>70</v>
      </c>
      <c r="AM59" s="168">
        <f>IF(AC_Chart_Background_Data[[#This Row],[X]] &lt; EFC_95P-EFC_85P, EFC_85P, MAX(EFC_95P-AC_Chart_Background_Data[[#This Row],[X]],0))</f>
        <v>89</v>
      </c>
      <c r="AN59" s="168">
        <f>IF(AC_Chart_Background_Data[[#This Row],[X]] &lt; EFC_99P-EFC_95P, EFC_95P, MAX(EFC_99P-AC_Chart_Background_Data[[#This Row],[X]],0))</f>
        <v>110</v>
      </c>
      <c r="AO59" s="168">
        <f t="shared" si="0"/>
        <v>170</v>
      </c>
      <c r="AP59" s="11"/>
      <c r="AQ59" s="171">
        <v>56</v>
      </c>
      <c r="AR59" s="171">
        <v>51</v>
      </c>
      <c r="AS59" s="171">
        <v>70</v>
      </c>
      <c r="AT59" s="171">
        <v>89</v>
      </c>
      <c r="AU59" s="171">
        <v>110</v>
      </c>
      <c r="AV59" s="171">
        <v>170</v>
      </c>
      <c r="AX59" s="107">
        <v>100.76</v>
      </c>
      <c r="AY59" s="108">
        <v>634</v>
      </c>
      <c r="AZ59" s="109">
        <f t="shared" si="1"/>
        <v>0</v>
      </c>
      <c r="BA59" s="11"/>
      <c r="BB59" s="107">
        <v>137.72999999999999</v>
      </c>
      <c r="BC59" s="108">
        <v>1144</v>
      </c>
      <c r="BD59" s="110">
        <f t="shared" si="2"/>
        <v>0</v>
      </c>
    </row>
    <row r="60" spans="1:56" ht="15" customHeight="1" thickBot="1" x14ac:dyDescent="0.3">
      <c r="A60" s="238"/>
      <c r="B60" s="62"/>
      <c r="C60" s="61"/>
      <c r="E60" s="61"/>
      <c r="AB60" s="17"/>
      <c r="AC60" s="82"/>
      <c r="AD60" s="82"/>
      <c r="AE60" s="82"/>
      <c r="AF60" s="82"/>
      <c r="AG60" s="82"/>
      <c r="AH60" s="82"/>
      <c r="AI60" s="82"/>
      <c r="AJ60" s="167">
        <f t="shared" si="3"/>
        <v>57</v>
      </c>
      <c r="AK60" s="168">
        <f>IF(AC_Chart_Background_Data[[#This Row],[X]] &lt; EFC_70P-EFC_50P, EFC_50P, MAX(EFC_70P-AC_Chart_Background_Data[[#This Row],[X]],0))</f>
        <v>50</v>
      </c>
      <c r="AL60" s="168">
        <f>IF(AC_Chart_Background_Data[[#This Row],[X]] &lt; EFC_85P-EFC_70P, EFC_70P, MAX(EFC_85P-AC_Chart_Background_Data[[#This Row],[X]],0))</f>
        <v>69</v>
      </c>
      <c r="AM60" s="168">
        <f>IF(AC_Chart_Background_Data[[#This Row],[X]] &lt; EFC_95P-EFC_85P, EFC_85P, MAX(EFC_95P-AC_Chart_Background_Data[[#This Row],[X]],0))</f>
        <v>88</v>
      </c>
      <c r="AN60" s="168">
        <f>IF(AC_Chart_Background_Data[[#This Row],[X]] &lt; EFC_99P-EFC_95P, EFC_95P, MAX(EFC_99P-AC_Chart_Background_Data[[#This Row],[X]],0))</f>
        <v>109</v>
      </c>
      <c r="AO60" s="168">
        <f t="shared" si="0"/>
        <v>170</v>
      </c>
      <c r="AP60" s="82"/>
      <c r="AQ60" s="170">
        <v>57</v>
      </c>
      <c r="AR60" s="170">
        <v>50</v>
      </c>
      <c r="AS60" s="170">
        <v>69</v>
      </c>
      <c r="AT60" s="170">
        <v>88</v>
      </c>
      <c r="AU60" s="170">
        <v>109</v>
      </c>
      <c r="AV60" s="170">
        <v>170</v>
      </c>
      <c r="AX60" s="107">
        <v>90.04</v>
      </c>
      <c r="AY60" s="108">
        <v>2512</v>
      </c>
      <c r="AZ60" s="109">
        <f t="shared" si="1"/>
        <v>0</v>
      </c>
      <c r="BA60" s="11"/>
      <c r="BB60" s="107">
        <v>105.5</v>
      </c>
      <c r="BC60" s="108">
        <v>956</v>
      </c>
      <c r="BD60" s="110">
        <f t="shared" si="2"/>
        <v>0</v>
      </c>
    </row>
    <row r="61" spans="1:56" ht="15" customHeight="1" x14ac:dyDescent="0.25">
      <c r="A61" s="240" t="str" cm="1">
        <f t="array" ref="A61">_xlfn.IFS(AI_Applicant&lt;&gt;"",
             IF(VU_D1="Yes","100% (Igonre chart)
 D1 Unit",
                 IF(AC_Step5_Running_Total_Passed,
                        AC_Grant_Eligibility,
                        "You are only eligible for SRF Principal Forgiveness/SRP grant if you receive 4.C.4 points or BIL EC funding. You are eligible for loans."
                      )
                  ),
     AI_Applicant="",""
           )</f>
        <v/>
      </c>
      <c r="B61" s="62"/>
      <c r="C61" s="61"/>
      <c r="E61" s="61"/>
      <c r="AB61" s="17"/>
      <c r="AC61" s="82"/>
      <c r="AD61" s="82"/>
      <c r="AE61" s="82"/>
      <c r="AF61" s="82"/>
      <c r="AG61" s="82"/>
      <c r="AH61" s="82"/>
      <c r="AI61" s="82"/>
      <c r="AJ61" s="167">
        <f t="shared" si="3"/>
        <v>58</v>
      </c>
      <c r="AK61" s="168">
        <f>IF(AC_Chart_Background_Data[[#This Row],[X]] &lt; EFC_70P-EFC_50P, EFC_50P, MAX(EFC_70P-AC_Chart_Background_Data[[#This Row],[X]],0))</f>
        <v>49</v>
      </c>
      <c r="AL61" s="168">
        <f>IF(AC_Chart_Background_Data[[#This Row],[X]] &lt; EFC_85P-EFC_70P, EFC_70P, MAX(EFC_85P-AC_Chart_Background_Data[[#This Row],[X]],0))</f>
        <v>68</v>
      </c>
      <c r="AM61" s="168">
        <f>IF(AC_Chart_Background_Data[[#This Row],[X]] &lt; EFC_95P-EFC_85P, EFC_85P, MAX(EFC_95P-AC_Chart_Background_Data[[#This Row],[X]],0))</f>
        <v>87</v>
      </c>
      <c r="AN61" s="168">
        <f>IF(AC_Chart_Background_Data[[#This Row],[X]] &lt; EFC_99P-EFC_95P, EFC_95P, MAX(EFC_99P-AC_Chart_Background_Data[[#This Row],[X]],0))</f>
        <v>108</v>
      </c>
      <c r="AO61" s="168">
        <f t="shared" si="0"/>
        <v>170</v>
      </c>
      <c r="AP61" s="82"/>
      <c r="AQ61" s="170">
        <v>58</v>
      </c>
      <c r="AR61" s="170">
        <v>49</v>
      </c>
      <c r="AS61" s="170">
        <v>68</v>
      </c>
      <c r="AT61" s="170">
        <v>87</v>
      </c>
      <c r="AU61" s="170">
        <v>108</v>
      </c>
      <c r="AV61" s="170">
        <v>170</v>
      </c>
      <c r="AX61" s="107">
        <v>60.72</v>
      </c>
      <c r="AY61" s="108">
        <v>623</v>
      </c>
      <c r="AZ61" s="109">
        <f t="shared" si="1"/>
        <v>0</v>
      </c>
      <c r="BA61" s="11"/>
      <c r="BB61" s="107">
        <v>101.33</v>
      </c>
      <c r="BC61" s="108">
        <v>1824</v>
      </c>
      <c r="BD61" s="110">
        <f t="shared" si="2"/>
        <v>0</v>
      </c>
    </row>
    <row r="62" spans="1:56" ht="15" customHeight="1" x14ac:dyDescent="0.25">
      <c r="A62" s="241"/>
      <c r="B62" s="62"/>
      <c r="C62" s="61"/>
      <c r="E62" s="61"/>
      <c r="AB62" s="17"/>
      <c r="AC62" s="82"/>
      <c r="AD62" s="82"/>
      <c r="AE62" s="82"/>
      <c r="AF62" s="82"/>
      <c r="AG62" s="82"/>
      <c r="AH62" s="82"/>
      <c r="AI62" s="82"/>
      <c r="AJ62" s="167">
        <f t="shared" si="3"/>
        <v>59</v>
      </c>
      <c r="AK62" s="168">
        <f>IF(AC_Chart_Background_Data[[#This Row],[X]] &lt; EFC_70P-EFC_50P, EFC_50P, MAX(EFC_70P-AC_Chart_Background_Data[[#This Row],[X]],0))</f>
        <v>48</v>
      </c>
      <c r="AL62" s="168">
        <f>IF(AC_Chart_Background_Data[[#This Row],[X]] &lt; EFC_85P-EFC_70P, EFC_70P, MAX(EFC_85P-AC_Chart_Background_Data[[#This Row],[X]],0))</f>
        <v>67</v>
      </c>
      <c r="AM62" s="168">
        <f>IF(AC_Chart_Background_Data[[#This Row],[X]] &lt; EFC_95P-EFC_85P, EFC_85P, MAX(EFC_95P-AC_Chart_Background_Data[[#This Row],[X]],0))</f>
        <v>86</v>
      </c>
      <c r="AN62" s="168">
        <f>IF(AC_Chart_Background_Data[[#This Row],[X]] &lt; EFC_99P-EFC_95P, EFC_95P, MAX(EFC_99P-AC_Chart_Background_Data[[#This Row],[X]],0))</f>
        <v>107</v>
      </c>
      <c r="AO62" s="168">
        <f t="shared" si="0"/>
        <v>170</v>
      </c>
      <c r="AP62" s="82"/>
      <c r="AQ62" s="170">
        <v>59</v>
      </c>
      <c r="AR62" s="170">
        <v>48</v>
      </c>
      <c r="AS62" s="170">
        <v>67</v>
      </c>
      <c r="AT62" s="170">
        <v>86</v>
      </c>
      <c r="AU62" s="170">
        <v>107</v>
      </c>
      <c r="AV62" s="170">
        <v>170</v>
      </c>
      <c r="AX62" s="107">
        <v>136.01</v>
      </c>
      <c r="AY62" s="108">
        <v>335</v>
      </c>
      <c r="AZ62" s="109">
        <f t="shared" si="1"/>
        <v>0</v>
      </c>
      <c r="BA62" s="11"/>
      <c r="BB62" s="107">
        <v>114.65</v>
      </c>
      <c r="BC62" s="108">
        <v>522</v>
      </c>
      <c r="BD62" s="110">
        <f t="shared" si="2"/>
        <v>0</v>
      </c>
    </row>
    <row r="63" spans="1:56" ht="15" customHeight="1" x14ac:dyDescent="0.25">
      <c r="A63" s="241"/>
      <c r="AB63" s="11"/>
      <c r="AC63" s="82"/>
      <c r="AD63" s="82"/>
      <c r="AE63" s="82"/>
      <c r="AF63" s="82"/>
      <c r="AG63" s="82"/>
      <c r="AH63" s="82"/>
      <c r="AI63" s="82"/>
      <c r="AJ63" s="167">
        <f t="shared" si="3"/>
        <v>60</v>
      </c>
      <c r="AK63" s="168">
        <f>IF(AC_Chart_Background_Data[[#This Row],[X]] &lt; EFC_70P-EFC_50P, EFC_50P, MAX(EFC_70P-AC_Chart_Background_Data[[#This Row],[X]],0))</f>
        <v>47</v>
      </c>
      <c r="AL63" s="168">
        <f>IF(AC_Chart_Background_Data[[#This Row],[X]] &lt; EFC_85P-EFC_70P, EFC_70P, MAX(EFC_85P-AC_Chart_Background_Data[[#This Row],[X]],0))</f>
        <v>66</v>
      </c>
      <c r="AM63" s="168">
        <f>IF(AC_Chart_Background_Data[[#This Row],[X]] &lt; EFC_95P-EFC_85P, EFC_85P, MAX(EFC_95P-AC_Chart_Background_Data[[#This Row],[X]],0))</f>
        <v>85</v>
      </c>
      <c r="AN63" s="168">
        <f>IF(AC_Chart_Background_Data[[#This Row],[X]] &lt; EFC_99P-EFC_95P, EFC_95P, MAX(EFC_99P-AC_Chart_Background_Data[[#This Row],[X]],0))</f>
        <v>106</v>
      </c>
      <c r="AO63" s="168">
        <f t="shared" si="0"/>
        <v>170</v>
      </c>
      <c r="AP63" s="82"/>
      <c r="AQ63" s="170">
        <v>60</v>
      </c>
      <c r="AR63" s="170">
        <v>47</v>
      </c>
      <c r="AS63" s="170">
        <v>66</v>
      </c>
      <c r="AT63" s="170">
        <v>85</v>
      </c>
      <c r="AU63" s="170">
        <v>106</v>
      </c>
      <c r="AV63" s="170">
        <v>170</v>
      </c>
      <c r="AX63" s="107">
        <v>86</v>
      </c>
      <c r="AY63" s="108">
        <v>2310</v>
      </c>
      <c r="AZ63" s="109">
        <f t="shared" si="1"/>
        <v>0</v>
      </c>
      <c r="BA63" s="11"/>
      <c r="BB63" s="107">
        <v>102.86</v>
      </c>
      <c r="BC63" s="108">
        <v>4600</v>
      </c>
      <c r="BD63" s="110">
        <f t="shared" si="2"/>
        <v>0</v>
      </c>
    </row>
    <row r="64" spans="1:56" ht="15" customHeight="1" x14ac:dyDescent="0.25">
      <c r="A64" s="241"/>
      <c r="AB64" s="11"/>
      <c r="AC64" s="11"/>
      <c r="AD64" s="11"/>
      <c r="AE64" s="11"/>
      <c r="AF64" s="11"/>
      <c r="AG64" s="11"/>
      <c r="AH64" s="11"/>
      <c r="AI64" s="11"/>
      <c r="AJ64" s="167">
        <f t="shared" si="3"/>
        <v>61</v>
      </c>
      <c r="AK64" s="168">
        <f>IF(AC_Chart_Background_Data[[#This Row],[X]] &lt; EFC_70P-EFC_50P, EFC_50P, MAX(EFC_70P-AC_Chart_Background_Data[[#This Row],[X]],0))</f>
        <v>46</v>
      </c>
      <c r="AL64" s="168">
        <f>IF(AC_Chart_Background_Data[[#This Row],[X]] &lt; EFC_85P-EFC_70P, EFC_70P, MAX(EFC_85P-AC_Chart_Background_Data[[#This Row],[X]],0))</f>
        <v>65</v>
      </c>
      <c r="AM64" s="168">
        <f>IF(AC_Chart_Background_Data[[#This Row],[X]] &lt; EFC_95P-EFC_85P, EFC_85P, MAX(EFC_95P-AC_Chart_Background_Data[[#This Row],[X]],0))</f>
        <v>84</v>
      </c>
      <c r="AN64" s="168">
        <f>IF(AC_Chart_Background_Data[[#This Row],[X]] &lt; EFC_99P-EFC_95P, EFC_95P, MAX(EFC_99P-AC_Chart_Background_Data[[#This Row],[X]],0))</f>
        <v>105</v>
      </c>
      <c r="AO64" s="168">
        <f t="shared" si="0"/>
        <v>170</v>
      </c>
      <c r="AP64" s="11"/>
      <c r="AQ64" s="171">
        <v>61</v>
      </c>
      <c r="AR64" s="171">
        <v>46</v>
      </c>
      <c r="AS64" s="171">
        <v>65</v>
      </c>
      <c r="AT64" s="171">
        <v>84</v>
      </c>
      <c r="AU64" s="171">
        <v>105</v>
      </c>
      <c r="AV64" s="171">
        <v>170</v>
      </c>
      <c r="AX64" s="107">
        <v>138.25</v>
      </c>
      <c r="AY64" s="108">
        <v>12437</v>
      </c>
      <c r="AZ64" s="109">
        <f t="shared" si="1"/>
        <v>0</v>
      </c>
      <c r="BA64" s="11"/>
      <c r="BB64" s="107">
        <v>76.37</v>
      </c>
      <c r="BC64" s="108">
        <v>474</v>
      </c>
      <c r="BD64" s="110">
        <f t="shared" ref="BD64:BD73" si="5" xml:space="preserve"> AI_Project_Cost/BC64/20/12</f>
        <v>0</v>
      </c>
    </row>
    <row r="65" spans="1:56" ht="15" customHeight="1" x14ac:dyDescent="0.25">
      <c r="A65" s="241"/>
      <c r="AB65" s="11"/>
      <c r="AC65" s="11"/>
      <c r="AD65" s="11"/>
      <c r="AE65" s="11"/>
      <c r="AF65" s="11"/>
      <c r="AG65" s="11"/>
      <c r="AH65" s="11"/>
      <c r="AI65" s="11"/>
      <c r="AJ65" s="167">
        <f t="shared" si="3"/>
        <v>62</v>
      </c>
      <c r="AK65" s="168">
        <f>IF(AC_Chart_Background_Data[[#This Row],[X]] &lt; EFC_70P-EFC_50P, EFC_50P, MAX(EFC_70P-AC_Chart_Background_Data[[#This Row],[X]],0))</f>
        <v>45</v>
      </c>
      <c r="AL65" s="168">
        <f>IF(AC_Chart_Background_Data[[#This Row],[X]] &lt; EFC_85P-EFC_70P, EFC_70P, MAX(EFC_85P-AC_Chart_Background_Data[[#This Row],[X]],0))</f>
        <v>64</v>
      </c>
      <c r="AM65" s="168">
        <f>IF(AC_Chart_Background_Data[[#This Row],[X]] &lt; EFC_95P-EFC_85P, EFC_85P, MAX(EFC_95P-AC_Chart_Background_Data[[#This Row],[X]],0))</f>
        <v>83</v>
      </c>
      <c r="AN65" s="168">
        <f>IF(AC_Chart_Background_Data[[#This Row],[X]] &lt; EFC_99P-EFC_95P, EFC_95P, MAX(EFC_99P-AC_Chart_Background_Data[[#This Row],[X]],0))</f>
        <v>104</v>
      </c>
      <c r="AO65" s="168">
        <f t="shared" si="0"/>
        <v>170</v>
      </c>
      <c r="AP65" s="11"/>
      <c r="AQ65" s="171">
        <v>62</v>
      </c>
      <c r="AR65" s="171">
        <v>45</v>
      </c>
      <c r="AS65" s="171">
        <v>64</v>
      </c>
      <c r="AT65" s="171">
        <v>83</v>
      </c>
      <c r="AU65" s="171">
        <v>104</v>
      </c>
      <c r="AV65" s="171">
        <v>170</v>
      </c>
      <c r="AX65" s="107">
        <v>108.05</v>
      </c>
      <c r="AY65" s="108">
        <v>1500</v>
      </c>
      <c r="AZ65" s="109">
        <f t="shared" si="1"/>
        <v>0</v>
      </c>
      <c r="BA65" s="11"/>
      <c r="BB65" s="107">
        <v>251.1</v>
      </c>
      <c r="BC65" s="108">
        <v>114</v>
      </c>
      <c r="BD65" s="110">
        <f t="shared" si="5"/>
        <v>0</v>
      </c>
    </row>
    <row r="66" spans="1:56" ht="17.25" customHeight="1" x14ac:dyDescent="0.25">
      <c r="A66" s="241"/>
      <c r="AD66" s="11"/>
      <c r="AE66" s="11"/>
      <c r="AF66" s="11"/>
      <c r="AG66" s="11"/>
      <c r="AH66" s="11"/>
      <c r="AI66" s="11"/>
      <c r="AJ66" s="167">
        <f t="shared" si="3"/>
        <v>63</v>
      </c>
      <c r="AK66" s="168">
        <f>IF(AC_Chart_Background_Data[[#This Row],[X]] &lt; EFC_70P-EFC_50P, EFC_50P, MAX(EFC_70P-AC_Chart_Background_Data[[#This Row],[X]],0))</f>
        <v>44</v>
      </c>
      <c r="AL66" s="168">
        <f>IF(AC_Chart_Background_Data[[#This Row],[X]] &lt; EFC_85P-EFC_70P, EFC_70P, MAX(EFC_85P-AC_Chart_Background_Data[[#This Row],[X]],0))</f>
        <v>63</v>
      </c>
      <c r="AM66" s="168">
        <f>IF(AC_Chart_Background_Data[[#This Row],[X]] &lt; EFC_95P-EFC_85P, EFC_85P, MAX(EFC_95P-AC_Chart_Background_Data[[#This Row],[X]],0))</f>
        <v>82</v>
      </c>
      <c r="AN66" s="168">
        <f>IF(AC_Chart_Background_Data[[#This Row],[X]] &lt; EFC_99P-EFC_95P, EFC_95P, MAX(EFC_99P-AC_Chart_Background_Data[[#This Row],[X]],0))</f>
        <v>103</v>
      </c>
      <c r="AO66" s="168">
        <f t="shared" si="0"/>
        <v>170</v>
      </c>
      <c r="AP66" s="11"/>
      <c r="AQ66" s="171">
        <v>63</v>
      </c>
      <c r="AR66" s="171">
        <v>44</v>
      </c>
      <c r="AS66" s="171">
        <v>63</v>
      </c>
      <c r="AT66" s="171">
        <v>82</v>
      </c>
      <c r="AU66" s="171">
        <v>103</v>
      </c>
      <c r="AV66" s="171">
        <v>170</v>
      </c>
      <c r="AX66" s="107">
        <v>161.1</v>
      </c>
      <c r="AY66" s="108">
        <v>79</v>
      </c>
      <c r="AZ66" s="109">
        <f t="shared" si="1"/>
        <v>0</v>
      </c>
      <c r="BA66" s="11"/>
      <c r="BB66" s="107">
        <v>132.94999999999999</v>
      </c>
      <c r="BC66" s="108">
        <v>769</v>
      </c>
      <c r="BD66" s="110">
        <f t="shared" si="5"/>
        <v>0</v>
      </c>
    </row>
    <row r="67" spans="1:56" ht="15.75" customHeight="1" x14ac:dyDescent="0.25">
      <c r="A67" s="241"/>
      <c r="AD67" s="11"/>
      <c r="AE67" s="11"/>
      <c r="AF67" s="11"/>
      <c r="AG67" s="11"/>
      <c r="AH67" s="11"/>
      <c r="AI67" s="11"/>
      <c r="AJ67" s="167">
        <f t="shared" si="3"/>
        <v>64</v>
      </c>
      <c r="AK67" s="168">
        <f>IF(AC_Chart_Background_Data[[#This Row],[X]] &lt; EFC_70P-EFC_50P, EFC_50P, MAX(EFC_70P-AC_Chart_Background_Data[[#This Row],[X]],0))</f>
        <v>43</v>
      </c>
      <c r="AL67" s="168">
        <f>IF(AC_Chart_Background_Data[[#This Row],[X]] &lt; EFC_85P-EFC_70P, EFC_70P, MAX(EFC_85P-AC_Chart_Background_Data[[#This Row],[X]],0))</f>
        <v>62</v>
      </c>
      <c r="AM67" s="168">
        <f>IF(AC_Chart_Background_Data[[#This Row],[X]] &lt; EFC_95P-EFC_85P, EFC_85P, MAX(EFC_95P-AC_Chart_Background_Data[[#This Row],[X]],0))</f>
        <v>81</v>
      </c>
      <c r="AN67" s="168">
        <f>IF(AC_Chart_Background_Data[[#This Row],[X]] &lt; EFC_99P-EFC_95P, EFC_95P, MAX(EFC_99P-AC_Chart_Background_Data[[#This Row],[X]],0))</f>
        <v>102</v>
      </c>
      <c r="AO67" s="168">
        <f t="shared" ref="AO67:AO130" si="6">AC_Ymax</f>
        <v>170</v>
      </c>
      <c r="AP67" s="11"/>
      <c r="AQ67" s="171">
        <v>64</v>
      </c>
      <c r="AR67" s="171">
        <v>43</v>
      </c>
      <c r="AS67" s="171">
        <v>62</v>
      </c>
      <c r="AT67" s="171">
        <v>81</v>
      </c>
      <c r="AU67" s="171">
        <v>102</v>
      </c>
      <c r="AV67" s="171">
        <v>170</v>
      </c>
      <c r="AX67" s="107">
        <v>0</v>
      </c>
      <c r="AY67" s="108">
        <v>2122</v>
      </c>
      <c r="AZ67" s="109">
        <f t="shared" ref="AZ67:AZ89" si="7" xml:space="preserve"> AI_Project_Cost/AY67/20/12</f>
        <v>0</v>
      </c>
      <c r="BA67" s="11"/>
      <c r="BB67" s="107">
        <v>77.709999999999994</v>
      </c>
      <c r="BC67" s="108">
        <v>5327</v>
      </c>
      <c r="BD67" s="110">
        <f t="shared" si="5"/>
        <v>0</v>
      </c>
    </row>
    <row r="68" spans="1:56" ht="15" customHeight="1" thickBot="1" x14ac:dyDescent="0.3">
      <c r="A68" s="242"/>
      <c r="AJ68" s="167">
        <f t="shared" si="3"/>
        <v>65</v>
      </c>
      <c r="AK68" s="168">
        <f>IF(AC_Chart_Background_Data[[#This Row],[X]] &lt; EFC_70P-EFC_50P, EFC_50P, MAX(EFC_70P-AC_Chart_Background_Data[[#This Row],[X]],0))</f>
        <v>42</v>
      </c>
      <c r="AL68" s="168">
        <f>IF(AC_Chart_Background_Data[[#This Row],[X]] &lt; EFC_85P-EFC_70P, EFC_70P, MAX(EFC_85P-AC_Chart_Background_Data[[#This Row],[X]],0))</f>
        <v>61</v>
      </c>
      <c r="AM68" s="168">
        <f>IF(AC_Chart_Background_Data[[#This Row],[X]] &lt; EFC_95P-EFC_85P, EFC_85P, MAX(EFC_95P-AC_Chart_Background_Data[[#This Row],[X]],0))</f>
        <v>80</v>
      </c>
      <c r="AN68" s="168">
        <f>IF(AC_Chart_Background_Data[[#This Row],[X]] &lt; EFC_99P-EFC_95P, EFC_95P, MAX(EFC_99P-AC_Chart_Background_Data[[#This Row],[X]],0))</f>
        <v>101</v>
      </c>
      <c r="AO68" s="168">
        <f t="shared" si="6"/>
        <v>170</v>
      </c>
      <c r="AQ68" s="160">
        <v>65</v>
      </c>
      <c r="AR68" s="160">
        <v>42</v>
      </c>
      <c r="AS68" s="160">
        <v>61</v>
      </c>
      <c r="AT68" s="160">
        <v>80</v>
      </c>
      <c r="AU68" s="160">
        <v>101</v>
      </c>
      <c r="AV68" s="160">
        <v>170</v>
      </c>
      <c r="AX68" s="107">
        <v>77.38</v>
      </c>
      <c r="AY68" s="108">
        <v>6015</v>
      </c>
      <c r="AZ68" s="109">
        <f t="shared" si="7"/>
        <v>0</v>
      </c>
      <c r="BA68" s="11"/>
      <c r="BB68" s="107">
        <v>132.66999999999999</v>
      </c>
      <c r="BC68" s="108">
        <v>17</v>
      </c>
      <c r="BD68" s="110">
        <f t="shared" si="5"/>
        <v>0</v>
      </c>
    </row>
    <row r="69" spans="1:56" ht="15.75" customHeight="1" x14ac:dyDescent="0.25">
      <c r="A69" s="239" t="s">
        <v>828</v>
      </c>
      <c r="B69" s="239"/>
      <c r="AJ69" s="167">
        <f t="shared" si="3"/>
        <v>66</v>
      </c>
      <c r="AK69" s="168">
        <f>IF(AC_Chart_Background_Data[[#This Row],[X]] &lt; EFC_70P-EFC_50P, EFC_50P, MAX(EFC_70P-AC_Chart_Background_Data[[#This Row],[X]],0))</f>
        <v>41</v>
      </c>
      <c r="AL69" s="168">
        <f>IF(AC_Chart_Background_Data[[#This Row],[X]] &lt; EFC_85P-EFC_70P, EFC_70P, MAX(EFC_85P-AC_Chart_Background_Data[[#This Row],[X]],0))</f>
        <v>60</v>
      </c>
      <c r="AM69" s="168">
        <f>IF(AC_Chart_Background_Data[[#This Row],[X]] &lt; EFC_95P-EFC_85P, EFC_85P, MAX(EFC_95P-AC_Chart_Background_Data[[#This Row],[X]],0))</f>
        <v>79</v>
      </c>
      <c r="AN69" s="168">
        <f>IF(AC_Chart_Background_Data[[#This Row],[X]] &lt; EFC_99P-EFC_95P, EFC_95P, MAX(EFC_99P-AC_Chart_Background_Data[[#This Row],[X]],0))</f>
        <v>100</v>
      </c>
      <c r="AO69" s="168">
        <f t="shared" si="6"/>
        <v>170</v>
      </c>
      <c r="AQ69" s="160">
        <v>66</v>
      </c>
      <c r="AR69" s="160">
        <v>41</v>
      </c>
      <c r="AS69" s="160">
        <v>60</v>
      </c>
      <c r="AT69" s="160">
        <v>79</v>
      </c>
      <c r="AU69" s="160">
        <v>100</v>
      </c>
      <c r="AV69" s="160">
        <v>170</v>
      </c>
      <c r="AX69" s="107">
        <v>87.75</v>
      </c>
      <c r="AY69" s="108">
        <v>44419</v>
      </c>
      <c r="AZ69" s="109">
        <f t="shared" si="7"/>
        <v>0</v>
      </c>
      <c r="BA69" s="11"/>
      <c r="BB69" s="107">
        <v>66.25</v>
      </c>
      <c r="BC69" s="108">
        <v>5037</v>
      </c>
      <c r="BD69" s="110">
        <f t="shared" si="5"/>
        <v>0</v>
      </c>
    </row>
    <row r="70" spans="1:56" ht="15" customHeight="1" x14ac:dyDescent="0.25">
      <c r="A70" s="239"/>
      <c r="B70" s="239"/>
      <c r="AJ70" s="167">
        <f t="shared" ref="AJ70:AJ133" si="8">AJ69+1</f>
        <v>67</v>
      </c>
      <c r="AK70" s="168">
        <f>IF(AC_Chart_Background_Data[[#This Row],[X]] &lt; EFC_70P-EFC_50P, EFC_50P, MAX(EFC_70P-AC_Chart_Background_Data[[#This Row],[X]],0))</f>
        <v>40</v>
      </c>
      <c r="AL70" s="168">
        <f>IF(AC_Chart_Background_Data[[#This Row],[X]] &lt; EFC_85P-EFC_70P, EFC_70P, MAX(EFC_85P-AC_Chart_Background_Data[[#This Row],[X]],0))</f>
        <v>59</v>
      </c>
      <c r="AM70" s="168">
        <f>IF(AC_Chart_Background_Data[[#This Row],[X]] &lt; EFC_95P-EFC_85P, EFC_85P, MAX(EFC_95P-AC_Chart_Background_Data[[#This Row],[X]],0))</f>
        <v>78</v>
      </c>
      <c r="AN70" s="168">
        <f>IF(AC_Chart_Background_Data[[#This Row],[X]] &lt; EFC_99P-EFC_95P, EFC_95P, MAX(EFC_99P-AC_Chart_Background_Data[[#This Row],[X]],0))</f>
        <v>99</v>
      </c>
      <c r="AO70" s="168">
        <f t="shared" si="6"/>
        <v>170</v>
      </c>
      <c r="AQ70" s="160">
        <v>67</v>
      </c>
      <c r="AR70" s="160">
        <v>40</v>
      </c>
      <c r="AS70" s="160">
        <v>59</v>
      </c>
      <c r="AT70" s="160">
        <v>78</v>
      </c>
      <c r="AU70" s="160">
        <v>99</v>
      </c>
      <c r="AV70" s="160">
        <v>170</v>
      </c>
      <c r="AX70" s="107">
        <v>64.599999999999994</v>
      </c>
      <c r="AY70" s="108">
        <v>8755</v>
      </c>
      <c r="AZ70" s="109">
        <f t="shared" si="7"/>
        <v>0</v>
      </c>
      <c r="BA70" s="11"/>
      <c r="BB70" s="107">
        <v>60.72</v>
      </c>
      <c r="BC70" s="108">
        <v>619</v>
      </c>
      <c r="BD70" s="110">
        <f t="shared" si="5"/>
        <v>0</v>
      </c>
    </row>
    <row r="71" spans="1:56" ht="15" customHeight="1" x14ac:dyDescent="0.25">
      <c r="A71" s="233" t="s">
        <v>829</v>
      </c>
      <c r="B71" s="233"/>
      <c r="AJ71" s="167">
        <f t="shared" si="8"/>
        <v>68</v>
      </c>
      <c r="AK71" s="168">
        <f>IF(AC_Chart_Background_Data[[#This Row],[X]] &lt; EFC_70P-EFC_50P, EFC_50P, MAX(EFC_70P-AC_Chart_Background_Data[[#This Row],[X]],0))</f>
        <v>39</v>
      </c>
      <c r="AL71" s="168">
        <f>IF(AC_Chart_Background_Data[[#This Row],[X]] &lt; EFC_85P-EFC_70P, EFC_70P, MAX(EFC_85P-AC_Chart_Background_Data[[#This Row],[X]],0))</f>
        <v>58</v>
      </c>
      <c r="AM71" s="168">
        <f>IF(AC_Chart_Background_Data[[#This Row],[X]] &lt; EFC_95P-EFC_85P, EFC_85P, MAX(EFC_95P-AC_Chart_Background_Data[[#This Row],[X]],0))</f>
        <v>77</v>
      </c>
      <c r="AN71" s="168">
        <f>IF(AC_Chart_Background_Data[[#This Row],[X]] &lt; EFC_99P-EFC_95P, EFC_95P, MAX(EFC_99P-AC_Chart_Background_Data[[#This Row],[X]],0))</f>
        <v>98</v>
      </c>
      <c r="AO71" s="168">
        <f t="shared" si="6"/>
        <v>170</v>
      </c>
      <c r="AQ71" s="160">
        <v>68</v>
      </c>
      <c r="AR71" s="160">
        <v>39</v>
      </c>
      <c r="AS71" s="160">
        <v>58</v>
      </c>
      <c r="AT71" s="160">
        <v>77</v>
      </c>
      <c r="AU71" s="160">
        <v>98</v>
      </c>
      <c r="AV71" s="160">
        <v>170</v>
      </c>
      <c r="AX71" s="107">
        <v>185.25</v>
      </c>
      <c r="AY71" s="108">
        <v>5090</v>
      </c>
      <c r="AZ71" s="109">
        <f t="shared" si="7"/>
        <v>0</v>
      </c>
      <c r="BA71" s="11"/>
      <c r="BB71" s="107">
        <v>136.72</v>
      </c>
      <c r="BC71" s="108">
        <v>2306</v>
      </c>
      <c r="BD71" s="110">
        <f t="shared" si="5"/>
        <v>0</v>
      </c>
    </row>
    <row r="72" spans="1:56" ht="15" customHeight="1" x14ac:dyDescent="0.25">
      <c r="A72" s="234" t="s">
        <v>830</v>
      </c>
      <c r="B72" s="234"/>
      <c r="AJ72" s="167">
        <f t="shared" si="8"/>
        <v>69</v>
      </c>
      <c r="AK72" s="168">
        <f>IF(AC_Chart_Background_Data[[#This Row],[X]] &lt; EFC_70P-EFC_50P, EFC_50P, MAX(EFC_70P-AC_Chart_Background_Data[[#This Row],[X]],0))</f>
        <v>38</v>
      </c>
      <c r="AL72" s="168">
        <f>IF(AC_Chart_Background_Data[[#This Row],[X]] &lt; EFC_85P-EFC_70P, EFC_70P, MAX(EFC_85P-AC_Chart_Background_Data[[#This Row],[X]],0))</f>
        <v>57</v>
      </c>
      <c r="AM72" s="168">
        <f>IF(AC_Chart_Background_Data[[#This Row],[X]] &lt; EFC_95P-EFC_85P, EFC_85P, MAX(EFC_95P-AC_Chart_Background_Data[[#This Row],[X]],0))</f>
        <v>76</v>
      </c>
      <c r="AN72" s="168">
        <f>IF(AC_Chart_Background_Data[[#This Row],[X]] &lt; EFC_99P-EFC_95P, EFC_95P, MAX(EFC_99P-AC_Chart_Background_Data[[#This Row],[X]],0))</f>
        <v>97</v>
      </c>
      <c r="AO72" s="168">
        <f t="shared" si="6"/>
        <v>170</v>
      </c>
      <c r="AQ72" s="160">
        <v>69</v>
      </c>
      <c r="AR72" s="160">
        <v>38</v>
      </c>
      <c r="AS72" s="160">
        <v>57</v>
      </c>
      <c r="AT72" s="160">
        <v>76</v>
      </c>
      <c r="AU72" s="160">
        <v>97</v>
      </c>
      <c r="AV72" s="160">
        <v>170</v>
      </c>
      <c r="AX72" s="107">
        <v>141.34</v>
      </c>
      <c r="AY72" s="108">
        <v>1684</v>
      </c>
      <c r="AZ72" s="109">
        <f t="shared" si="7"/>
        <v>0</v>
      </c>
      <c r="BA72" s="11"/>
      <c r="BB72" s="107">
        <v>86</v>
      </c>
      <c r="BC72" s="108">
        <v>2231</v>
      </c>
      <c r="BD72" s="110">
        <f t="shared" si="5"/>
        <v>0</v>
      </c>
    </row>
    <row r="73" spans="1:56" ht="15.75" customHeight="1" x14ac:dyDescent="0.25">
      <c r="A73" s="234"/>
      <c r="B73" s="234"/>
      <c r="AJ73" s="167">
        <f t="shared" si="8"/>
        <v>70</v>
      </c>
      <c r="AK73" s="168">
        <f>IF(AC_Chart_Background_Data[[#This Row],[X]] &lt; EFC_70P-EFC_50P, EFC_50P, MAX(EFC_70P-AC_Chart_Background_Data[[#This Row],[X]],0))</f>
        <v>37</v>
      </c>
      <c r="AL73" s="168">
        <f>IF(AC_Chart_Background_Data[[#This Row],[X]] &lt; EFC_85P-EFC_70P, EFC_70P, MAX(EFC_85P-AC_Chart_Background_Data[[#This Row],[X]],0))</f>
        <v>56</v>
      </c>
      <c r="AM73" s="168">
        <f>IF(AC_Chart_Background_Data[[#This Row],[X]] &lt; EFC_95P-EFC_85P, EFC_85P, MAX(EFC_95P-AC_Chart_Background_Data[[#This Row],[X]],0))</f>
        <v>75</v>
      </c>
      <c r="AN73" s="168">
        <f>IF(AC_Chart_Background_Data[[#This Row],[X]] &lt; EFC_99P-EFC_95P, EFC_95P, MAX(EFC_99P-AC_Chart_Background_Data[[#This Row],[X]],0))</f>
        <v>96</v>
      </c>
      <c r="AO73" s="168">
        <f t="shared" si="6"/>
        <v>170</v>
      </c>
      <c r="AQ73" s="160">
        <v>70</v>
      </c>
      <c r="AR73" s="160">
        <v>37</v>
      </c>
      <c r="AS73" s="160">
        <v>56</v>
      </c>
      <c r="AT73" s="160">
        <v>75</v>
      </c>
      <c r="AU73" s="160">
        <v>96</v>
      </c>
      <c r="AV73" s="160">
        <v>170</v>
      </c>
      <c r="AX73" s="107">
        <v>15.15</v>
      </c>
      <c r="AY73" s="108">
        <v>6</v>
      </c>
      <c r="AZ73" s="109">
        <f t="shared" si="7"/>
        <v>0</v>
      </c>
      <c r="BA73" s="11"/>
      <c r="BB73" s="107">
        <v>105.42</v>
      </c>
      <c r="BC73" s="108">
        <v>2921</v>
      </c>
      <c r="BD73" s="110">
        <f t="shared" si="5"/>
        <v>0</v>
      </c>
    </row>
    <row r="74" spans="1:56" ht="15" customHeight="1" x14ac:dyDescent="0.25">
      <c r="A74" s="234"/>
      <c r="B74" s="234"/>
      <c r="AJ74" s="167">
        <f t="shared" si="8"/>
        <v>71</v>
      </c>
      <c r="AK74" s="168">
        <f>IF(AC_Chart_Background_Data[[#This Row],[X]] &lt; EFC_70P-EFC_50P, EFC_50P, MAX(EFC_70P-AC_Chart_Background_Data[[#This Row],[X]],0))</f>
        <v>36</v>
      </c>
      <c r="AL74" s="168">
        <f>IF(AC_Chart_Background_Data[[#This Row],[X]] &lt; EFC_85P-EFC_70P, EFC_70P, MAX(EFC_85P-AC_Chart_Background_Data[[#This Row],[X]],0))</f>
        <v>55</v>
      </c>
      <c r="AM74" s="168">
        <f>IF(AC_Chart_Background_Data[[#This Row],[X]] &lt; EFC_95P-EFC_85P, EFC_85P, MAX(EFC_95P-AC_Chart_Background_Data[[#This Row],[X]],0))</f>
        <v>74</v>
      </c>
      <c r="AN74" s="168">
        <f>IF(AC_Chart_Background_Data[[#This Row],[X]] &lt; EFC_99P-EFC_95P, EFC_95P, MAX(EFC_99P-AC_Chart_Background_Data[[#This Row],[X]],0))</f>
        <v>95</v>
      </c>
      <c r="AO74" s="168">
        <f t="shared" si="6"/>
        <v>170</v>
      </c>
      <c r="AQ74" s="160">
        <v>71</v>
      </c>
      <c r="AR74" s="160">
        <v>36</v>
      </c>
      <c r="AS74" s="160">
        <v>55</v>
      </c>
      <c r="AT74" s="160">
        <v>74</v>
      </c>
      <c r="AU74" s="160">
        <v>95</v>
      </c>
      <c r="AV74" s="160">
        <v>170</v>
      </c>
      <c r="AX74" s="107">
        <v>82.75</v>
      </c>
      <c r="AY74" s="108">
        <v>3918</v>
      </c>
      <c r="AZ74" s="109">
        <f t="shared" si="7"/>
        <v>0</v>
      </c>
      <c r="BA74" s="11"/>
      <c r="BB74" s="11"/>
      <c r="BC74" s="11"/>
      <c r="BD74" s="11"/>
    </row>
    <row r="75" spans="1:56" x14ac:dyDescent="0.25">
      <c r="A75" s="234"/>
      <c r="B75" s="234"/>
      <c r="AJ75" s="167">
        <f t="shared" si="8"/>
        <v>72</v>
      </c>
      <c r="AK75" s="168">
        <f>IF(AC_Chart_Background_Data[[#This Row],[X]] &lt; EFC_70P-EFC_50P, EFC_50P, MAX(EFC_70P-AC_Chart_Background_Data[[#This Row],[X]],0))</f>
        <v>35</v>
      </c>
      <c r="AL75" s="168">
        <f>IF(AC_Chart_Background_Data[[#This Row],[X]] &lt; EFC_85P-EFC_70P, EFC_70P, MAX(EFC_85P-AC_Chart_Background_Data[[#This Row],[X]],0))</f>
        <v>54</v>
      </c>
      <c r="AM75" s="168">
        <f>IF(AC_Chart_Background_Data[[#This Row],[X]] &lt; EFC_95P-EFC_85P, EFC_85P, MAX(EFC_95P-AC_Chart_Background_Data[[#This Row],[X]],0))</f>
        <v>73</v>
      </c>
      <c r="AN75" s="168">
        <f>IF(AC_Chart_Background_Data[[#This Row],[X]] &lt; EFC_99P-EFC_95P, EFC_95P, MAX(EFC_99P-AC_Chart_Background_Data[[#This Row],[X]],0))</f>
        <v>94</v>
      </c>
      <c r="AO75" s="168">
        <f t="shared" si="6"/>
        <v>170</v>
      </c>
      <c r="AQ75" s="160">
        <v>72</v>
      </c>
      <c r="AR75" s="160">
        <v>35</v>
      </c>
      <c r="AS75" s="160">
        <v>54</v>
      </c>
      <c r="AT75" s="160">
        <v>73</v>
      </c>
      <c r="AU75" s="160">
        <v>94</v>
      </c>
      <c r="AV75" s="160">
        <v>170</v>
      </c>
      <c r="AX75" s="107">
        <v>155.61000000000001</v>
      </c>
      <c r="AY75" s="108">
        <v>5699</v>
      </c>
      <c r="AZ75" s="109">
        <f t="shared" si="7"/>
        <v>0</v>
      </c>
      <c r="BA75" s="11"/>
      <c r="BB75" s="11"/>
      <c r="BC75" s="11"/>
      <c r="BD75" s="11"/>
    </row>
    <row r="76" spans="1:56" ht="15" customHeight="1" x14ac:dyDescent="0.25">
      <c r="A76" s="234"/>
      <c r="B76" s="234"/>
      <c r="AJ76" s="167">
        <f t="shared" si="8"/>
        <v>73</v>
      </c>
      <c r="AK76" s="168">
        <f>IF(AC_Chart_Background_Data[[#This Row],[X]] &lt; EFC_70P-EFC_50P, EFC_50P, MAX(EFC_70P-AC_Chart_Background_Data[[#This Row],[X]],0))</f>
        <v>34</v>
      </c>
      <c r="AL76" s="168">
        <f>IF(AC_Chart_Background_Data[[#This Row],[X]] &lt; EFC_85P-EFC_70P, EFC_70P, MAX(EFC_85P-AC_Chart_Background_Data[[#This Row],[X]],0))</f>
        <v>53</v>
      </c>
      <c r="AM76" s="168">
        <f>IF(AC_Chart_Background_Data[[#This Row],[X]] &lt; EFC_95P-EFC_85P, EFC_85P, MAX(EFC_95P-AC_Chart_Background_Data[[#This Row],[X]],0))</f>
        <v>72</v>
      </c>
      <c r="AN76" s="168">
        <f>IF(AC_Chart_Background_Data[[#This Row],[X]] &lt; EFC_99P-EFC_95P, EFC_95P, MAX(EFC_99P-AC_Chart_Background_Data[[#This Row],[X]],0))</f>
        <v>93</v>
      </c>
      <c r="AO76" s="168">
        <f t="shared" si="6"/>
        <v>170</v>
      </c>
      <c r="AQ76" s="160">
        <v>73</v>
      </c>
      <c r="AR76" s="160">
        <v>34</v>
      </c>
      <c r="AS76" s="160">
        <v>53</v>
      </c>
      <c r="AT76" s="160">
        <v>72</v>
      </c>
      <c r="AU76" s="160">
        <v>93</v>
      </c>
      <c r="AV76" s="160">
        <v>170</v>
      </c>
      <c r="AX76" s="107">
        <v>129.30000000000001</v>
      </c>
      <c r="AY76" s="108">
        <v>975</v>
      </c>
      <c r="AZ76" s="109">
        <f t="shared" si="7"/>
        <v>0</v>
      </c>
      <c r="BA76" s="11"/>
      <c r="BB76" s="11"/>
      <c r="BC76" s="11"/>
      <c r="BD76" s="11"/>
    </row>
    <row r="77" spans="1:56" x14ac:dyDescent="0.25">
      <c r="C77" s="117" t="s">
        <v>776</v>
      </c>
      <c r="AJ77" s="167">
        <f t="shared" si="8"/>
        <v>74</v>
      </c>
      <c r="AK77" s="168">
        <f>IF(AC_Chart_Background_Data[[#This Row],[X]] &lt; EFC_70P-EFC_50P, EFC_50P, MAX(EFC_70P-AC_Chart_Background_Data[[#This Row],[X]],0))</f>
        <v>33</v>
      </c>
      <c r="AL77" s="168">
        <f>IF(AC_Chart_Background_Data[[#This Row],[X]] &lt; EFC_85P-EFC_70P, EFC_70P, MAX(EFC_85P-AC_Chart_Background_Data[[#This Row],[X]],0))</f>
        <v>52</v>
      </c>
      <c r="AM77" s="168">
        <f>IF(AC_Chart_Background_Data[[#This Row],[X]] &lt; EFC_95P-EFC_85P, EFC_85P, MAX(EFC_95P-AC_Chart_Background_Data[[#This Row],[X]],0))</f>
        <v>71</v>
      </c>
      <c r="AN77" s="168">
        <f>IF(AC_Chart_Background_Data[[#This Row],[X]] &lt; EFC_99P-EFC_95P, EFC_95P, MAX(EFC_99P-AC_Chart_Background_Data[[#This Row],[X]],0))</f>
        <v>92</v>
      </c>
      <c r="AO77" s="168">
        <f t="shared" si="6"/>
        <v>170</v>
      </c>
      <c r="AQ77" s="160">
        <v>74</v>
      </c>
      <c r="AR77" s="160">
        <v>33</v>
      </c>
      <c r="AS77" s="160">
        <v>52</v>
      </c>
      <c r="AT77" s="160">
        <v>71</v>
      </c>
      <c r="AU77" s="160">
        <v>92</v>
      </c>
      <c r="AV77" s="160">
        <v>170</v>
      </c>
      <c r="AX77" s="107">
        <v>109.45</v>
      </c>
      <c r="AY77" s="108">
        <v>5560</v>
      </c>
      <c r="AZ77" s="109">
        <f t="shared" si="7"/>
        <v>0</v>
      </c>
      <c r="BA77" s="11"/>
      <c r="BB77" s="11"/>
      <c r="BC77" s="11"/>
      <c r="BD77" s="11"/>
    </row>
    <row r="78" spans="1:56" x14ac:dyDescent="0.25">
      <c r="C78" s="117" t="s">
        <v>851</v>
      </c>
      <c r="AJ78" s="167">
        <f t="shared" si="8"/>
        <v>75</v>
      </c>
      <c r="AK78" s="168">
        <f>IF(AC_Chart_Background_Data[[#This Row],[X]] &lt; EFC_70P-EFC_50P, EFC_50P, MAX(EFC_70P-AC_Chart_Background_Data[[#This Row],[X]],0))</f>
        <v>32</v>
      </c>
      <c r="AL78" s="168">
        <f>IF(AC_Chart_Background_Data[[#This Row],[X]] &lt; EFC_85P-EFC_70P, EFC_70P, MAX(EFC_85P-AC_Chart_Background_Data[[#This Row],[X]],0))</f>
        <v>51</v>
      </c>
      <c r="AM78" s="168">
        <f>IF(AC_Chart_Background_Data[[#This Row],[X]] &lt; EFC_95P-EFC_85P, EFC_85P, MAX(EFC_95P-AC_Chart_Background_Data[[#This Row],[X]],0))</f>
        <v>70</v>
      </c>
      <c r="AN78" s="168">
        <f>IF(AC_Chart_Background_Data[[#This Row],[X]] &lt; EFC_99P-EFC_95P, EFC_95P, MAX(EFC_99P-AC_Chart_Background_Data[[#This Row],[X]],0))</f>
        <v>91</v>
      </c>
      <c r="AO78" s="168">
        <f t="shared" si="6"/>
        <v>170</v>
      </c>
      <c r="AQ78" s="160">
        <v>75</v>
      </c>
      <c r="AR78" s="160">
        <v>32</v>
      </c>
      <c r="AS78" s="160">
        <v>51</v>
      </c>
      <c r="AT78" s="160">
        <v>70</v>
      </c>
      <c r="AU78" s="160">
        <v>91</v>
      </c>
      <c r="AV78" s="160">
        <v>170</v>
      </c>
      <c r="AX78" s="107">
        <v>133.6</v>
      </c>
      <c r="AY78" s="108">
        <v>450</v>
      </c>
      <c r="AZ78" s="109">
        <f t="shared" si="7"/>
        <v>0</v>
      </c>
      <c r="BA78" s="11"/>
      <c r="BB78" s="11"/>
      <c r="BC78" s="11"/>
      <c r="BD78" s="11"/>
    </row>
    <row r="79" spans="1:56" ht="15.75" thickBot="1" x14ac:dyDescent="0.3">
      <c r="A79" s="71"/>
      <c r="AJ79" s="167">
        <f t="shared" si="8"/>
        <v>76</v>
      </c>
      <c r="AK79" s="168">
        <f>IF(AC_Chart_Background_Data[[#This Row],[X]] &lt; EFC_70P-EFC_50P, EFC_50P, MAX(EFC_70P-AC_Chart_Background_Data[[#This Row],[X]],0))</f>
        <v>31</v>
      </c>
      <c r="AL79" s="168">
        <f>IF(AC_Chart_Background_Data[[#This Row],[X]] &lt; EFC_85P-EFC_70P, EFC_70P, MAX(EFC_85P-AC_Chart_Background_Data[[#This Row],[X]],0))</f>
        <v>50</v>
      </c>
      <c r="AM79" s="168">
        <f>IF(AC_Chart_Background_Data[[#This Row],[X]] &lt; EFC_95P-EFC_85P, EFC_85P, MAX(EFC_95P-AC_Chart_Background_Data[[#This Row],[X]],0))</f>
        <v>69</v>
      </c>
      <c r="AN79" s="168">
        <f>IF(AC_Chart_Background_Data[[#This Row],[X]] &lt; EFC_99P-EFC_95P, EFC_95P, MAX(EFC_99P-AC_Chart_Background_Data[[#This Row],[X]],0))</f>
        <v>90</v>
      </c>
      <c r="AO79" s="168">
        <f t="shared" si="6"/>
        <v>170</v>
      </c>
      <c r="AQ79" s="160">
        <v>76</v>
      </c>
      <c r="AR79" s="160">
        <v>31</v>
      </c>
      <c r="AS79" s="160">
        <v>50</v>
      </c>
      <c r="AT79" s="160">
        <v>69</v>
      </c>
      <c r="AU79" s="160">
        <v>90</v>
      </c>
      <c r="AV79" s="160">
        <v>170</v>
      </c>
      <c r="AX79" s="107">
        <v>71.290000000000006</v>
      </c>
      <c r="AY79" s="108">
        <v>30628</v>
      </c>
      <c r="AZ79" s="109">
        <f t="shared" si="7"/>
        <v>0</v>
      </c>
      <c r="BA79" s="11"/>
      <c r="BB79" s="11"/>
      <c r="BC79" s="11"/>
      <c r="BD79" s="11"/>
    </row>
    <row r="80" spans="1:56" ht="16.5" thickBot="1" x14ac:dyDescent="0.3">
      <c r="A80" s="72"/>
      <c r="B80" s="235" t="s">
        <v>771</v>
      </c>
      <c r="C80" s="236"/>
      <c r="D80" s="236"/>
      <c r="E80" s="236"/>
      <c r="F80" s="237"/>
      <c r="AJ80" s="167">
        <f t="shared" si="8"/>
        <v>77</v>
      </c>
      <c r="AK80" s="168">
        <f>IF(AC_Chart_Background_Data[[#This Row],[X]] &lt; EFC_70P-EFC_50P, EFC_50P, MAX(EFC_70P-AC_Chart_Background_Data[[#This Row],[X]],0))</f>
        <v>30</v>
      </c>
      <c r="AL80" s="168">
        <f>IF(AC_Chart_Background_Data[[#This Row],[X]] &lt; EFC_85P-EFC_70P, EFC_70P, MAX(EFC_85P-AC_Chart_Background_Data[[#This Row],[X]],0))</f>
        <v>49</v>
      </c>
      <c r="AM80" s="168">
        <f>IF(AC_Chart_Background_Data[[#This Row],[X]] &lt; EFC_95P-EFC_85P, EFC_85P, MAX(EFC_95P-AC_Chart_Background_Data[[#This Row],[X]],0))</f>
        <v>68</v>
      </c>
      <c r="AN80" s="168">
        <f>IF(AC_Chart_Background_Data[[#This Row],[X]] &lt; EFC_99P-EFC_95P, EFC_95P, MAX(EFC_99P-AC_Chart_Background_Data[[#This Row],[X]],0))</f>
        <v>89</v>
      </c>
      <c r="AO80" s="168">
        <f t="shared" si="6"/>
        <v>170</v>
      </c>
      <c r="AQ80" s="160">
        <v>77</v>
      </c>
      <c r="AR80" s="160">
        <v>30</v>
      </c>
      <c r="AS80" s="160">
        <v>49</v>
      </c>
      <c r="AT80" s="160">
        <v>68</v>
      </c>
      <c r="AU80" s="160">
        <v>89</v>
      </c>
      <c r="AV80" s="160">
        <v>170</v>
      </c>
      <c r="AX80" s="107">
        <v>106.63</v>
      </c>
      <c r="AY80" s="108">
        <v>2016</v>
      </c>
      <c r="AZ80" s="109">
        <f t="shared" si="7"/>
        <v>0</v>
      </c>
      <c r="BA80" s="11"/>
      <c r="BB80" s="11"/>
      <c r="BC80" s="11"/>
      <c r="BD80" s="11"/>
    </row>
    <row r="81" spans="1:56" x14ac:dyDescent="0.25">
      <c r="A81" s="72"/>
      <c r="AJ81" s="167">
        <f t="shared" si="8"/>
        <v>78</v>
      </c>
      <c r="AK81" s="168">
        <f>IF(AC_Chart_Background_Data[[#This Row],[X]] &lt; EFC_70P-EFC_50P, EFC_50P, MAX(EFC_70P-AC_Chart_Background_Data[[#This Row],[X]],0))</f>
        <v>29</v>
      </c>
      <c r="AL81" s="168">
        <f>IF(AC_Chart_Background_Data[[#This Row],[X]] &lt; EFC_85P-EFC_70P, EFC_70P, MAX(EFC_85P-AC_Chart_Background_Data[[#This Row],[X]],0))</f>
        <v>48</v>
      </c>
      <c r="AM81" s="168">
        <f>IF(AC_Chart_Background_Data[[#This Row],[X]] &lt; EFC_95P-EFC_85P, EFC_85P, MAX(EFC_95P-AC_Chart_Background_Data[[#This Row],[X]],0))</f>
        <v>67</v>
      </c>
      <c r="AN81" s="168">
        <f>IF(AC_Chart_Background_Data[[#This Row],[X]] &lt; EFC_99P-EFC_95P, EFC_95P, MAX(EFC_99P-AC_Chart_Background_Data[[#This Row],[X]],0))</f>
        <v>88</v>
      </c>
      <c r="AO81" s="168">
        <f t="shared" si="6"/>
        <v>170</v>
      </c>
      <c r="AQ81" s="160">
        <v>78</v>
      </c>
      <c r="AR81" s="160">
        <v>29</v>
      </c>
      <c r="AS81" s="160">
        <v>48</v>
      </c>
      <c r="AT81" s="160">
        <v>67</v>
      </c>
      <c r="AU81" s="160">
        <v>88</v>
      </c>
      <c r="AV81" s="160">
        <v>170</v>
      </c>
      <c r="AX81" s="107">
        <v>97.49</v>
      </c>
      <c r="AY81" s="108">
        <v>1270</v>
      </c>
      <c r="AZ81" s="109">
        <f t="shared" si="7"/>
        <v>0</v>
      </c>
      <c r="BA81" s="11"/>
      <c r="BB81" s="11"/>
      <c r="BC81" s="11"/>
      <c r="BD81" s="11"/>
    </row>
    <row r="82" spans="1:56" x14ac:dyDescent="0.25">
      <c r="A82" s="72"/>
      <c r="AJ82" s="167">
        <f t="shared" si="8"/>
        <v>79</v>
      </c>
      <c r="AK82" s="168">
        <f>IF(AC_Chart_Background_Data[[#This Row],[X]] &lt; EFC_70P-EFC_50P, EFC_50P, MAX(EFC_70P-AC_Chart_Background_Data[[#This Row],[X]],0))</f>
        <v>28</v>
      </c>
      <c r="AL82" s="168">
        <f>IF(AC_Chart_Background_Data[[#This Row],[X]] &lt; EFC_85P-EFC_70P, EFC_70P, MAX(EFC_85P-AC_Chart_Background_Data[[#This Row],[X]],0))</f>
        <v>47</v>
      </c>
      <c r="AM82" s="168">
        <f>IF(AC_Chart_Background_Data[[#This Row],[X]] &lt; EFC_95P-EFC_85P, EFC_85P, MAX(EFC_95P-AC_Chart_Background_Data[[#This Row],[X]],0))</f>
        <v>66</v>
      </c>
      <c r="AN82" s="168">
        <f>IF(AC_Chart_Background_Data[[#This Row],[X]] &lt; EFC_99P-EFC_95P, EFC_95P, MAX(EFC_99P-AC_Chart_Background_Data[[#This Row],[X]],0))</f>
        <v>87</v>
      </c>
      <c r="AO82" s="168">
        <f t="shared" si="6"/>
        <v>170</v>
      </c>
      <c r="AQ82" s="160">
        <v>79</v>
      </c>
      <c r="AR82" s="160">
        <v>28</v>
      </c>
      <c r="AS82" s="160">
        <v>47</v>
      </c>
      <c r="AT82" s="160">
        <v>66</v>
      </c>
      <c r="AU82" s="160">
        <v>87</v>
      </c>
      <c r="AV82" s="160">
        <v>170</v>
      </c>
      <c r="AX82" s="107">
        <v>133.85</v>
      </c>
      <c r="AY82" s="108">
        <v>1311</v>
      </c>
      <c r="AZ82" s="109">
        <f t="shared" si="7"/>
        <v>0</v>
      </c>
      <c r="BA82" s="11"/>
      <c r="BB82" s="11"/>
      <c r="BC82" s="11"/>
      <c r="BD82" s="11"/>
    </row>
    <row r="83" spans="1:56" x14ac:dyDescent="0.25">
      <c r="AJ83" s="167">
        <f t="shared" si="8"/>
        <v>80</v>
      </c>
      <c r="AK83" s="168">
        <f>IF(AC_Chart_Background_Data[[#This Row],[X]] &lt; EFC_70P-EFC_50P, EFC_50P, MAX(EFC_70P-AC_Chart_Background_Data[[#This Row],[X]],0))</f>
        <v>27</v>
      </c>
      <c r="AL83" s="168">
        <f>IF(AC_Chart_Background_Data[[#This Row],[X]] &lt; EFC_85P-EFC_70P, EFC_70P, MAX(EFC_85P-AC_Chart_Background_Data[[#This Row],[X]],0))</f>
        <v>46</v>
      </c>
      <c r="AM83" s="168">
        <f>IF(AC_Chart_Background_Data[[#This Row],[X]] &lt; EFC_95P-EFC_85P, EFC_85P, MAX(EFC_95P-AC_Chart_Background_Data[[#This Row],[X]],0))</f>
        <v>65</v>
      </c>
      <c r="AN83" s="168">
        <f>IF(AC_Chart_Background_Data[[#This Row],[X]] &lt; EFC_99P-EFC_95P, EFC_95P, MAX(EFC_99P-AC_Chart_Background_Data[[#This Row],[X]],0))</f>
        <v>86</v>
      </c>
      <c r="AO83" s="168">
        <f t="shared" si="6"/>
        <v>170</v>
      </c>
      <c r="AQ83" s="160">
        <v>80</v>
      </c>
      <c r="AR83" s="160">
        <v>27</v>
      </c>
      <c r="AS83" s="160">
        <v>46</v>
      </c>
      <c r="AT83" s="160">
        <v>65</v>
      </c>
      <c r="AU83" s="160">
        <v>86</v>
      </c>
      <c r="AV83" s="160">
        <v>170</v>
      </c>
      <c r="AX83" s="107">
        <v>101.88</v>
      </c>
      <c r="AY83" s="108">
        <v>7594</v>
      </c>
      <c r="AZ83" s="109">
        <f t="shared" si="7"/>
        <v>0</v>
      </c>
      <c r="BA83" s="11"/>
      <c r="BB83" s="11"/>
      <c r="BC83" s="11"/>
      <c r="BD83" s="11"/>
    </row>
    <row r="84" spans="1:56" x14ac:dyDescent="0.25">
      <c r="AJ84" s="167">
        <f t="shared" si="8"/>
        <v>81</v>
      </c>
      <c r="AK84" s="168">
        <f>IF(AC_Chart_Background_Data[[#This Row],[X]] &lt; EFC_70P-EFC_50P, EFC_50P, MAX(EFC_70P-AC_Chart_Background_Data[[#This Row],[X]],0))</f>
        <v>26</v>
      </c>
      <c r="AL84" s="168">
        <f>IF(AC_Chart_Background_Data[[#This Row],[X]] &lt; EFC_85P-EFC_70P, EFC_70P, MAX(EFC_85P-AC_Chart_Background_Data[[#This Row],[X]],0))</f>
        <v>45</v>
      </c>
      <c r="AM84" s="168">
        <f>IF(AC_Chart_Background_Data[[#This Row],[X]] &lt; EFC_95P-EFC_85P, EFC_85P, MAX(EFC_95P-AC_Chart_Background_Data[[#This Row],[X]],0))</f>
        <v>64</v>
      </c>
      <c r="AN84" s="168">
        <f>IF(AC_Chart_Background_Data[[#This Row],[X]] &lt; EFC_99P-EFC_95P, EFC_95P, MAX(EFC_99P-AC_Chart_Background_Data[[#This Row],[X]],0))</f>
        <v>85</v>
      </c>
      <c r="AO84" s="168">
        <f t="shared" si="6"/>
        <v>170</v>
      </c>
      <c r="AX84" s="107">
        <v>108.87</v>
      </c>
      <c r="AY84" s="108">
        <v>721</v>
      </c>
      <c r="AZ84" s="109">
        <f t="shared" si="7"/>
        <v>0</v>
      </c>
      <c r="BA84" s="11"/>
      <c r="BB84" s="11"/>
      <c r="BC84" s="11"/>
      <c r="BD84" s="11"/>
    </row>
    <row r="85" spans="1:56" x14ac:dyDescent="0.25">
      <c r="AJ85" s="167">
        <f t="shared" si="8"/>
        <v>82</v>
      </c>
      <c r="AK85" s="168">
        <f>IF(AC_Chart_Background_Data[[#This Row],[X]] &lt; EFC_70P-EFC_50P, EFC_50P, MAX(EFC_70P-AC_Chart_Background_Data[[#This Row],[X]],0))</f>
        <v>25</v>
      </c>
      <c r="AL85" s="168">
        <f>IF(AC_Chart_Background_Data[[#This Row],[X]] &lt; EFC_85P-EFC_70P, EFC_70P, MAX(EFC_85P-AC_Chart_Background_Data[[#This Row],[X]],0))</f>
        <v>44</v>
      </c>
      <c r="AM85" s="168">
        <f>IF(AC_Chart_Background_Data[[#This Row],[X]] &lt; EFC_95P-EFC_85P, EFC_85P, MAX(EFC_95P-AC_Chart_Background_Data[[#This Row],[X]],0))</f>
        <v>63</v>
      </c>
      <c r="AN85" s="168">
        <f>IF(AC_Chart_Background_Data[[#This Row],[X]] &lt; EFC_99P-EFC_95P, EFC_95P, MAX(EFC_99P-AC_Chart_Background_Data[[#This Row],[X]],0))</f>
        <v>84</v>
      </c>
      <c r="AO85" s="168">
        <f t="shared" si="6"/>
        <v>170</v>
      </c>
      <c r="AX85" s="107">
        <v>109.13</v>
      </c>
      <c r="AY85" s="108">
        <v>6558</v>
      </c>
      <c r="AZ85" s="109">
        <f t="shared" si="7"/>
        <v>0</v>
      </c>
      <c r="BA85" s="11"/>
      <c r="BB85" s="11"/>
      <c r="BC85" s="11"/>
      <c r="BD85" s="11"/>
    </row>
    <row r="86" spans="1:56" x14ac:dyDescent="0.25">
      <c r="AJ86" s="167">
        <f t="shared" si="8"/>
        <v>83</v>
      </c>
      <c r="AK86" s="168">
        <f>IF(AC_Chart_Background_Data[[#This Row],[X]] &lt; EFC_70P-EFC_50P, EFC_50P, MAX(EFC_70P-AC_Chart_Background_Data[[#This Row],[X]],0))</f>
        <v>24</v>
      </c>
      <c r="AL86" s="168">
        <f>IF(AC_Chart_Background_Data[[#This Row],[X]] &lt; EFC_85P-EFC_70P, EFC_70P, MAX(EFC_85P-AC_Chart_Background_Data[[#This Row],[X]],0))</f>
        <v>43</v>
      </c>
      <c r="AM86" s="168">
        <f>IF(AC_Chart_Background_Data[[#This Row],[X]] &lt; EFC_95P-EFC_85P, EFC_85P, MAX(EFC_95P-AC_Chart_Background_Data[[#This Row],[X]],0))</f>
        <v>62</v>
      </c>
      <c r="AN86" s="168">
        <f>IF(AC_Chart_Background_Data[[#This Row],[X]] &lt; EFC_99P-EFC_95P, EFC_95P, MAX(EFC_99P-AC_Chart_Background_Data[[#This Row],[X]],0))</f>
        <v>83</v>
      </c>
      <c r="AO86" s="168">
        <f t="shared" si="6"/>
        <v>170</v>
      </c>
      <c r="AX86" s="107">
        <v>114.65</v>
      </c>
      <c r="AY86" s="108">
        <v>519</v>
      </c>
      <c r="AZ86" s="109">
        <f t="shared" si="7"/>
        <v>0</v>
      </c>
      <c r="BA86" s="11"/>
      <c r="BB86" s="11"/>
      <c r="BC86" s="11"/>
      <c r="BD86" s="11"/>
    </row>
    <row r="87" spans="1:56" x14ac:dyDescent="0.25">
      <c r="AJ87" s="167">
        <f t="shared" si="8"/>
        <v>84</v>
      </c>
      <c r="AK87" s="168">
        <f>IF(AC_Chart_Background_Data[[#This Row],[X]] &lt; EFC_70P-EFC_50P, EFC_50P, MAX(EFC_70P-AC_Chart_Background_Data[[#This Row],[X]],0))</f>
        <v>23</v>
      </c>
      <c r="AL87" s="168">
        <f>IF(AC_Chart_Background_Data[[#This Row],[X]] &lt; EFC_85P-EFC_70P, EFC_70P, MAX(EFC_85P-AC_Chart_Background_Data[[#This Row],[X]],0))</f>
        <v>42</v>
      </c>
      <c r="AM87" s="168">
        <f>IF(AC_Chart_Background_Data[[#This Row],[X]] &lt; EFC_95P-EFC_85P, EFC_85P, MAX(EFC_95P-AC_Chart_Background_Data[[#This Row],[X]],0))</f>
        <v>61</v>
      </c>
      <c r="AN87" s="168">
        <f>IF(AC_Chart_Background_Data[[#This Row],[X]] &lt; EFC_99P-EFC_95P, EFC_95P, MAX(EFC_99P-AC_Chart_Background_Data[[#This Row],[X]],0))</f>
        <v>82</v>
      </c>
      <c r="AO87" s="168">
        <f t="shared" si="6"/>
        <v>170</v>
      </c>
      <c r="AX87" s="107">
        <v>92.35</v>
      </c>
      <c r="AY87" s="108">
        <v>10819</v>
      </c>
      <c r="AZ87" s="109">
        <f t="shared" si="7"/>
        <v>0</v>
      </c>
      <c r="BA87" s="11"/>
      <c r="BB87" s="11"/>
      <c r="BC87" s="11"/>
      <c r="BD87" s="11"/>
    </row>
    <row r="88" spans="1:56" x14ac:dyDescent="0.25">
      <c r="AJ88" s="167">
        <f t="shared" si="8"/>
        <v>85</v>
      </c>
      <c r="AK88" s="168">
        <f>IF(AC_Chart_Background_Data[[#This Row],[X]] &lt; EFC_70P-EFC_50P, EFC_50P, MAX(EFC_70P-AC_Chart_Background_Data[[#This Row],[X]],0))</f>
        <v>22</v>
      </c>
      <c r="AL88" s="168">
        <f>IF(AC_Chart_Background_Data[[#This Row],[X]] &lt; EFC_85P-EFC_70P, EFC_70P, MAX(EFC_85P-AC_Chart_Background_Data[[#This Row],[X]],0))</f>
        <v>41</v>
      </c>
      <c r="AM88" s="168">
        <f>IF(AC_Chart_Background_Data[[#This Row],[X]] &lt; EFC_95P-EFC_85P, EFC_85P, MAX(EFC_95P-AC_Chart_Background_Data[[#This Row],[X]],0))</f>
        <v>60</v>
      </c>
      <c r="AN88" s="168">
        <f>IF(AC_Chart_Background_Data[[#This Row],[X]] &lt; EFC_99P-EFC_95P, EFC_95P, MAX(EFC_99P-AC_Chart_Background_Data[[#This Row],[X]],0))</f>
        <v>81</v>
      </c>
      <c r="AO88" s="168">
        <f t="shared" si="6"/>
        <v>170</v>
      </c>
      <c r="AX88" s="107">
        <v>90.62</v>
      </c>
      <c r="AY88" s="108">
        <v>1960</v>
      </c>
      <c r="AZ88" s="109">
        <f t="shared" si="7"/>
        <v>0</v>
      </c>
      <c r="BA88" s="11"/>
      <c r="BB88" s="11"/>
      <c r="BC88" s="11"/>
      <c r="BD88" s="11"/>
    </row>
    <row r="89" spans="1:56" x14ac:dyDescent="0.25">
      <c r="AJ89" s="167">
        <f t="shared" si="8"/>
        <v>86</v>
      </c>
      <c r="AK89" s="168">
        <f>IF(AC_Chart_Background_Data[[#This Row],[X]] &lt; EFC_70P-EFC_50P, EFC_50P, MAX(EFC_70P-AC_Chart_Background_Data[[#This Row],[X]],0))</f>
        <v>21</v>
      </c>
      <c r="AL89" s="168">
        <f>IF(AC_Chart_Background_Data[[#This Row],[X]] &lt; EFC_85P-EFC_70P, EFC_70P, MAX(EFC_85P-AC_Chart_Background_Data[[#This Row],[X]],0))</f>
        <v>40</v>
      </c>
      <c r="AM89" s="168">
        <f>IF(AC_Chart_Background_Data[[#This Row],[X]] &lt; EFC_95P-EFC_85P, EFC_85P, MAX(EFC_95P-AC_Chart_Background_Data[[#This Row],[X]],0))</f>
        <v>59</v>
      </c>
      <c r="AN89" s="168">
        <f>IF(AC_Chart_Background_Data[[#This Row],[X]] &lt; EFC_99P-EFC_95P, EFC_95P, MAX(EFC_99P-AC_Chart_Background_Data[[#This Row],[X]],0))</f>
        <v>80</v>
      </c>
      <c r="AO89" s="168">
        <f t="shared" si="6"/>
        <v>170</v>
      </c>
      <c r="AX89" s="107">
        <v>80.489999999999995</v>
      </c>
      <c r="AY89" s="108">
        <v>4345</v>
      </c>
      <c r="AZ89" s="109">
        <f t="shared" si="7"/>
        <v>0</v>
      </c>
      <c r="BA89" s="11"/>
      <c r="BB89" s="11"/>
      <c r="BC89" s="11"/>
      <c r="BD89" s="11"/>
    </row>
    <row r="90" spans="1:56" x14ac:dyDescent="0.25">
      <c r="AJ90" s="167">
        <f t="shared" si="8"/>
        <v>87</v>
      </c>
      <c r="AK90" s="168">
        <f>IF(AC_Chart_Background_Data[[#This Row],[X]] &lt; EFC_70P-EFC_50P, EFC_50P, MAX(EFC_70P-AC_Chart_Background_Data[[#This Row],[X]],0))</f>
        <v>20</v>
      </c>
      <c r="AL90" s="168">
        <f>IF(AC_Chart_Background_Data[[#This Row],[X]] &lt; EFC_85P-EFC_70P, EFC_70P, MAX(EFC_85P-AC_Chart_Background_Data[[#This Row],[X]],0))</f>
        <v>39</v>
      </c>
      <c r="AM90" s="168">
        <f>IF(AC_Chart_Background_Data[[#This Row],[X]] &lt; EFC_95P-EFC_85P, EFC_85P, MAX(EFC_95P-AC_Chart_Background_Data[[#This Row],[X]],0))</f>
        <v>58</v>
      </c>
      <c r="AN90" s="168">
        <f>IF(AC_Chart_Background_Data[[#This Row],[X]] &lt; EFC_99P-EFC_95P, EFC_95P, MAX(EFC_99P-AC_Chart_Background_Data[[#This Row],[X]],0))</f>
        <v>79</v>
      </c>
      <c r="AO90" s="168">
        <f t="shared" si="6"/>
        <v>170</v>
      </c>
      <c r="BA90" s="11"/>
      <c r="BB90" s="11"/>
      <c r="BC90" s="11"/>
      <c r="BD90" s="11"/>
    </row>
    <row r="91" spans="1:56" x14ac:dyDescent="0.25">
      <c r="AJ91" s="167">
        <f t="shared" si="8"/>
        <v>88</v>
      </c>
      <c r="AK91" s="168">
        <f>IF(AC_Chart_Background_Data[[#This Row],[X]] &lt; EFC_70P-EFC_50P, EFC_50P, MAX(EFC_70P-AC_Chart_Background_Data[[#This Row],[X]],0))</f>
        <v>19</v>
      </c>
      <c r="AL91" s="168">
        <f>IF(AC_Chart_Background_Data[[#This Row],[X]] &lt; EFC_85P-EFC_70P, EFC_70P, MAX(EFC_85P-AC_Chart_Background_Data[[#This Row],[X]],0))</f>
        <v>38</v>
      </c>
      <c r="AM91" s="168">
        <f>IF(AC_Chart_Background_Data[[#This Row],[X]] &lt; EFC_95P-EFC_85P, EFC_85P, MAX(EFC_95P-AC_Chart_Background_Data[[#This Row],[X]],0))</f>
        <v>57</v>
      </c>
      <c r="AN91" s="168">
        <f>IF(AC_Chart_Background_Data[[#This Row],[X]] &lt; EFC_99P-EFC_95P, EFC_95P, MAX(EFC_99P-AC_Chart_Background_Data[[#This Row],[X]],0))</f>
        <v>78</v>
      </c>
      <c r="AO91" s="168">
        <f t="shared" si="6"/>
        <v>170</v>
      </c>
      <c r="BA91" s="11"/>
      <c r="BB91" s="11"/>
      <c r="BC91" s="11"/>
      <c r="BD91" s="11"/>
    </row>
    <row r="92" spans="1:56" x14ac:dyDescent="0.25">
      <c r="AJ92" s="167">
        <f t="shared" si="8"/>
        <v>89</v>
      </c>
      <c r="AK92" s="168">
        <f>IF(AC_Chart_Background_Data[[#This Row],[X]] &lt; EFC_70P-EFC_50P, EFC_50P, MAX(EFC_70P-AC_Chart_Background_Data[[#This Row],[X]],0))</f>
        <v>18</v>
      </c>
      <c r="AL92" s="168">
        <f>IF(AC_Chart_Background_Data[[#This Row],[X]] &lt; EFC_85P-EFC_70P, EFC_70P, MAX(EFC_85P-AC_Chart_Background_Data[[#This Row],[X]],0))</f>
        <v>37</v>
      </c>
      <c r="AM92" s="168">
        <f>IF(AC_Chart_Background_Data[[#This Row],[X]] &lt; EFC_95P-EFC_85P, EFC_85P, MAX(EFC_95P-AC_Chart_Background_Data[[#This Row],[X]],0))</f>
        <v>56</v>
      </c>
      <c r="AN92" s="168">
        <f>IF(AC_Chart_Background_Data[[#This Row],[X]] &lt; EFC_99P-EFC_95P, EFC_95P, MAX(EFC_99P-AC_Chart_Background_Data[[#This Row],[X]],0))</f>
        <v>77</v>
      </c>
      <c r="AO92" s="168">
        <f t="shared" si="6"/>
        <v>170</v>
      </c>
      <c r="BA92" s="11"/>
      <c r="BB92" s="11"/>
      <c r="BC92" s="11"/>
      <c r="BD92" s="11"/>
    </row>
    <row r="93" spans="1:56" x14ac:dyDescent="0.25">
      <c r="AJ93" s="167">
        <f t="shared" si="8"/>
        <v>90</v>
      </c>
      <c r="AK93" s="168">
        <f>IF(AC_Chart_Background_Data[[#This Row],[X]] &lt; EFC_70P-EFC_50P, EFC_50P, MAX(EFC_70P-AC_Chart_Background_Data[[#This Row],[X]],0))</f>
        <v>17</v>
      </c>
      <c r="AL93" s="168">
        <f>IF(AC_Chart_Background_Data[[#This Row],[X]] &lt; EFC_85P-EFC_70P, EFC_70P, MAX(EFC_85P-AC_Chart_Background_Data[[#This Row],[X]],0))</f>
        <v>36</v>
      </c>
      <c r="AM93" s="168">
        <f>IF(AC_Chart_Background_Data[[#This Row],[X]] &lt; EFC_95P-EFC_85P, EFC_85P, MAX(EFC_95P-AC_Chart_Background_Data[[#This Row],[X]],0))</f>
        <v>55</v>
      </c>
      <c r="AN93" s="168">
        <f>IF(AC_Chart_Background_Data[[#This Row],[X]] &lt; EFC_99P-EFC_95P, EFC_95P, MAX(EFC_99P-AC_Chart_Background_Data[[#This Row],[X]],0))</f>
        <v>76</v>
      </c>
      <c r="AO93" s="168">
        <f t="shared" si="6"/>
        <v>170</v>
      </c>
      <c r="BA93" s="11"/>
      <c r="BB93" s="11"/>
      <c r="BC93" s="11"/>
      <c r="BD93" s="11"/>
    </row>
    <row r="94" spans="1:56" x14ac:dyDescent="0.25">
      <c r="AJ94" s="167">
        <f t="shared" si="8"/>
        <v>91</v>
      </c>
      <c r="AK94" s="168">
        <f>IF(AC_Chart_Background_Data[[#This Row],[X]] &lt; EFC_70P-EFC_50P, EFC_50P, MAX(EFC_70P-AC_Chart_Background_Data[[#This Row],[X]],0))</f>
        <v>16</v>
      </c>
      <c r="AL94" s="168">
        <f>IF(AC_Chart_Background_Data[[#This Row],[X]] &lt; EFC_85P-EFC_70P, EFC_70P, MAX(EFC_85P-AC_Chart_Background_Data[[#This Row],[X]],0))</f>
        <v>35</v>
      </c>
      <c r="AM94" s="168">
        <f>IF(AC_Chart_Background_Data[[#This Row],[X]] &lt; EFC_95P-EFC_85P, EFC_85P, MAX(EFC_95P-AC_Chart_Background_Data[[#This Row],[X]],0))</f>
        <v>54</v>
      </c>
      <c r="AN94" s="168">
        <f>IF(AC_Chart_Background_Data[[#This Row],[X]] &lt; EFC_99P-EFC_95P, EFC_95P, MAX(EFC_99P-AC_Chart_Background_Data[[#This Row],[X]],0))</f>
        <v>75</v>
      </c>
      <c r="AO94" s="168">
        <f t="shared" si="6"/>
        <v>170</v>
      </c>
      <c r="BA94" s="11"/>
      <c r="BB94" s="11"/>
      <c r="BC94" s="11"/>
      <c r="BD94" s="11"/>
    </row>
    <row r="95" spans="1:56" x14ac:dyDescent="0.25">
      <c r="AJ95" s="167">
        <f t="shared" si="8"/>
        <v>92</v>
      </c>
      <c r="AK95" s="168">
        <f>IF(AC_Chart_Background_Data[[#This Row],[X]] &lt; EFC_70P-EFC_50P, EFC_50P, MAX(EFC_70P-AC_Chart_Background_Data[[#This Row],[X]],0))</f>
        <v>15</v>
      </c>
      <c r="AL95" s="168">
        <f>IF(AC_Chart_Background_Data[[#This Row],[X]] &lt; EFC_85P-EFC_70P, EFC_70P, MAX(EFC_85P-AC_Chart_Background_Data[[#This Row],[X]],0))</f>
        <v>34</v>
      </c>
      <c r="AM95" s="168">
        <f>IF(AC_Chart_Background_Data[[#This Row],[X]] &lt; EFC_95P-EFC_85P, EFC_85P, MAX(EFC_95P-AC_Chart_Background_Data[[#This Row],[X]],0))</f>
        <v>53</v>
      </c>
      <c r="AN95" s="168">
        <f>IF(AC_Chart_Background_Data[[#This Row],[X]] &lt; EFC_99P-EFC_95P, EFC_95P, MAX(EFC_99P-AC_Chart_Background_Data[[#This Row],[X]],0))</f>
        <v>74</v>
      </c>
      <c r="AO95" s="168">
        <f t="shared" si="6"/>
        <v>170</v>
      </c>
      <c r="BA95" s="11"/>
      <c r="BB95" s="11"/>
      <c r="BC95" s="11"/>
      <c r="BD95" s="11"/>
    </row>
    <row r="96" spans="1:56" x14ac:dyDescent="0.25">
      <c r="AJ96" s="167">
        <f t="shared" si="8"/>
        <v>93</v>
      </c>
      <c r="AK96" s="168">
        <f>IF(AC_Chart_Background_Data[[#This Row],[X]] &lt; EFC_70P-EFC_50P, EFC_50P, MAX(EFC_70P-AC_Chart_Background_Data[[#This Row],[X]],0))</f>
        <v>14</v>
      </c>
      <c r="AL96" s="168">
        <f>IF(AC_Chart_Background_Data[[#This Row],[X]] &lt; EFC_85P-EFC_70P, EFC_70P, MAX(EFC_85P-AC_Chart_Background_Data[[#This Row],[X]],0))</f>
        <v>33</v>
      </c>
      <c r="AM96" s="168">
        <f>IF(AC_Chart_Background_Data[[#This Row],[X]] &lt; EFC_95P-EFC_85P, EFC_85P, MAX(EFC_95P-AC_Chart_Background_Data[[#This Row],[X]],0))</f>
        <v>52</v>
      </c>
      <c r="AN96" s="168">
        <f>IF(AC_Chart_Background_Data[[#This Row],[X]] &lt; EFC_99P-EFC_95P, EFC_95P, MAX(EFC_99P-AC_Chart_Background_Data[[#This Row],[X]],0))</f>
        <v>73</v>
      </c>
      <c r="AO96" s="168">
        <f t="shared" si="6"/>
        <v>170</v>
      </c>
      <c r="BA96" s="11"/>
      <c r="BB96" s="11"/>
      <c r="BC96" s="11"/>
      <c r="BD96" s="11"/>
    </row>
    <row r="97" spans="36:56" x14ac:dyDescent="0.25">
      <c r="AJ97" s="167">
        <f t="shared" si="8"/>
        <v>94</v>
      </c>
      <c r="AK97" s="168">
        <f>IF(AC_Chart_Background_Data[[#This Row],[X]] &lt; EFC_70P-EFC_50P, EFC_50P, MAX(EFC_70P-AC_Chart_Background_Data[[#This Row],[X]],0))</f>
        <v>13</v>
      </c>
      <c r="AL97" s="168">
        <f>IF(AC_Chart_Background_Data[[#This Row],[X]] &lt; EFC_85P-EFC_70P, EFC_70P, MAX(EFC_85P-AC_Chart_Background_Data[[#This Row],[X]],0))</f>
        <v>32</v>
      </c>
      <c r="AM97" s="168">
        <f>IF(AC_Chart_Background_Data[[#This Row],[X]] &lt; EFC_95P-EFC_85P, EFC_85P, MAX(EFC_95P-AC_Chart_Background_Data[[#This Row],[X]],0))</f>
        <v>51</v>
      </c>
      <c r="AN97" s="168">
        <f>IF(AC_Chart_Background_Data[[#This Row],[X]] &lt; EFC_99P-EFC_95P, EFC_95P, MAX(EFC_99P-AC_Chart_Background_Data[[#This Row],[X]],0))</f>
        <v>72</v>
      </c>
      <c r="AO97" s="168">
        <f t="shared" si="6"/>
        <v>170</v>
      </c>
      <c r="BA97" s="11"/>
      <c r="BB97" s="11"/>
      <c r="BC97" s="11"/>
      <c r="BD97" s="11"/>
    </row>
    <row r="98" spans="36:56" x14ac:dyDescent="0.25">
      <c r="AJ98" s="167">
        <f t="shared" si="8"/>
        <v>95</v>
      </c>
      <c r="AK98" s="168">
        <f>IF(AC_Chart_Background_Data[[#This Row],[X]] &lt; EFC_70P-EFC_50P, EFC_50P, MAX(EFC_70P-AC_Chart_Background_Data[[#This Row],[X]],0))</f>
        <v>12</v>
      </c>
      <c r="AL98" s="168">
        <f>IF(AC_Chart_Background_Data[[#This Row],[X]] &lt; EFC_85P-EFC_70P, EFC_70P, MAX(EFC_85P-AC_Chart_Background_Data[[#This Row],[X]],0))</f>
        <v>31</v>
      </c>
      <c r="AM98" s="168">
        <f>IF(AC_Chart_Background_Data[[#This Row],[X]] &lt; EFC_95P-EFC_85P, EFC_85P, MAX(EFC_95P-AC_Chart_Background_Data[[#This Row],[X]],0))</f>
        <v>50</v>
      </c>
      <c r="AN98" s="168">
        <f>IF(AC_Chart_Background_Data[[#This Row],[X]] &lt; EFC_99P-EFC_95P, EFC_95P, MAX(EFC_99P-AC_Chart_Background_Data[[#This Row],[X]],0))</f>
        <v>71</v>
      </c>
      <c r="AO98" s="168">
        <f t="shared" si="6"/>
        <v>170</v>
      </c>
      <c r="BA98" s="11"/>
      <c r="BB98" s="11"/>
      <c r="BC98" s="11"/>
      <c r="BD98" s="11"/>
    </row>
    <row r="99" spans="36:56" x14ac:dyDescent="0.25">
      <c r="AJ99" s="167">
        <f t="shared" si="8"/>
        <v>96</v>
      </c>
      <c r="AK99" s="168">
        <f>IF(AC_Chart_Background_Data[[#This Row],[X]] &lt; EFC_70P-EFC_50P, EFC_50P, MAX(EFC_70P-AC_Chart_Background_Data[[#This Row],[X]],0))</f>
        <v>11</v>
      </c>
      <c r="AL99" s="168">
        <f>IF(AC_Chart_Background_Data[[#This Row],[X]] &lt; EFC_85P-EFC_70P, EFC_70P, MAX(EFC_85P-AC_Chart_Background_Data[[#This Row],[X]],0))</f>
        <v>30</v>
      </c>
      <c r="AM99" s="168">
        <f>IF(AC_Chart_Background_Data[[#This Row],[X]] &lt; EFC_95P-EFC_85P, EFC_85P, MAX(EFC_95P-AC_Chart_Background_Data[[#This Row],[X]],0))</f>
        <v>49</v>
      </c>
      <c r="AN99" s="168">
        <f>IF(AC_Chart_Background_Data[[#This Row],[X]] &lt; EFC_99P-EFC_95P, EFC_95P, MAX(EFC_99P-AC_Chart_Background_Data[[#This Row],[X]],0))</f>
        <v>70</v>
      </c>
      <c r="AO99" s="168">
        <f t="shared" si="6"/>
        <v>170</v>
      </c>
      <c r="BA99" s="11"/>
      <c r="BB99" s="11"/>
      <c r="BC99" s="11"/>
      <c r="BD99" s="11"/>
    </row>
    <row r="100" spans="36:56" x14ac:dyDescent="0.25">
      <c r="AJ100" s="167">
        <f t="shared" si="8"/>
        <v>97</v>
      </c>
      <c r="AK100" s="168">
        <f>IF(AC_Chart_Background_Data[[#This Row],[X]] &lt; EFC_70P-EFC_50P, EFC_50P, MAX(EFC_70P-AC_Chart_Background_Data[[#This Row],[X]],0))</f>
        <v>10</v>
      </c>
      <c r="AL100" s="168">
        <f>IF(AC_Chart_Background_Data[[#This Row],[X]] &lt; EFC_85P-EFC_70P, EFC_70P, MAX(EFC_85P-AC_Chart_Background_Data[[#This Row],[X]],0))</f>
        <v>29</v>
      </c>
      <c r="AM100" s="168">
        <f>IF(AC_Chart_Background_Data[[#This Row],[X]] &lt; EFC_95P-EFC_85P, EFC_85P, MAX(EFC_95P-AC_Chart_Background_Data[[#This Row],[X]],0))</f>
        <v>48</v>
      </c>
      <c r="AN100" s="168">
        <f>IF(AC_Chart_Background_Data[[#This Row],[X]] &lt; EFC_99P-EFC_95P, EFC_95P, MAX(EFC_99P-AC_Chart_Background_Data[[#This Row],[X]],0))</f>
        <v>69</v>
      </c>
      <c r="AO100" s="168">
        <f t="shared" si="6"/>
        <v>170</v>
      </c>
      <c r="BA100" s="11"/>
      <c r="BB100" s="11"/>
      <c r="BC100" s="11"/>
      <c r="BD100" s="11"/>
    </row>
    <row r="101" spans="36:56" x14ac:dyDescent="0.25">
      <c r="AJ101" s="167">
        <f t="shared" si="8"/>
        <v>98</v>
      </c>
      <c r="AK101" s="168">
        <f>IF(AC_Chart_Background_Data[[#This Row],[X]] &lt; EFC_70P-EFC_50P, EFC_50P, MAX(EFC_70P-AC_Chart_Background_Data[[#This Row],[X]],0))</f>
        <v>9</v>
      </c>
      <c r="AL101" s="168">
        <f>IF(AC_Chart_Background_Data[[#This Row],[X]] &lt; EFC_85P-EFC_70P, EFC_70P, MAX(EFC_85P-AC_Chart_Background_Data[[#This Row],[X]],0))</f>
        <v>28</v>
      </c>
      <c r="AM101" s="168">
        <f>IF(AC_Chart_Background_Data[[#This Row],[X]] &lt; EFC_95P-EFC_85P, EFC_85P, MAX(EFC_95P-AC_Chart_Background_Data[[#This Row],[X]],0))</f>
        <v>47</v>
      </c>
      <c r="AN101" s="168">
        <f>IF(AC_Chart_Background_Data[[#This Row],[X]] &lt; EFC_99P-EFC_95P, EFC_95P, MAX(EFC_99P-AC_Chart_Background_Data[[#This Row],[X]],0))</f>
        <v>68</v>
      </c>
      <c r="AO101" s="168">
        <f t="shared" si="6"/>
        <v>170</v>
      </c>
      <c r="BA101" s="11"/>
      <c r="BB101" s="11"/>
      <c r="BC101" s="11"/>
      <c r="BD101" s="11"/>
    </row>
    <row r="102" spans="36:56" x14ac:dyDescent="0.25">
      <c r="AJ102" s="167">
        <f t="shared" si="8"/>
        <v>99</v>
      </c>
      <c r="AK102" s="168">
        <f>IF(AC_Chart_Background_Data[[#This Row],[X]] &lt; EFC_70P-EFC_50P, EFC_50P, MAX(EFC_70P-AC_Chart_Background_Data[[#This Row],[X]],0))</f>
        <v>8</v>
      </c>
      <c r="AL102" s="168">
        <f>IF(AC_Chart_Background_Data[[#This Row],[X]] &lt; EFC_85P-EFC_70P, EFC_70P, MAX(EFC_85P-AC_Chart_Background_Data[[#This Row],[X]],0))</f>
        <v>27</v>
      </c>
      <c r="AM102" s="168">
        <f>IF(AC_Chart_Background_Data[[#This Row],[X]] &lt; EFC_95P-EFC_85P, EFC_85P, MAX(EFC_95P-AC_Chart_Background_Data[[#This Row],[X]],0))</f>
        <v>46</v>
      </c>
      <c r="AN102" s="168">
        <f>IF(AC_Chart_Background_Data[[#This Row],[X]] &lt; EFC_99P-EFC_95P, EFC_95P, MAX(EFC_99P-AC_Chart_Background_Data[[#This Row],[X]],0))</f>
        <v>67</v>
      </c>
      <c r="AO102" s="168">
        <f t="shared" si="6"/>
        <v>170</v>
      </c>
      <c r="BA102" s="11"/>
      <c r="BB102" s="11"/>
      <c r="BC102" s="11"/>
      <c r="BD102" s="11"/>
    </row>
    <row r="103" spans="36:56" x14ac:dyDescent="0.25">
      <c r="AJ103" s="167">
        <f t="shared" si="8"/>
        <v>100</v>
      </c>
      <c r="AK103" s="168">
        <f>IF(AC_Chart_Background_Data[[#This Row],[X]] &lt; EFC_70P-EFC_50P, EFC_50P, MAX(EFC_70P-AC_Chart_Background_Data[[#This Row],[X]],0))</f>
        <v>7</v>
      </c>
      <c r="AL103" s="168">
        <f>IF(AC_Chart_Background_Data[[#This Row],[X]] &lt; EFC_85P-EFC_70P, EFC_70P, MAX(EFC_85P-AC_Chart_Background_Data[[#This Row],[X]],0))</f>
        <v>26</v>
      </c>
      <c r="AM103" s="168">
        <f>IF(AC_Chart_Background_Data[[#This Row],[X]] &lt; EFC_95P-EFC_85P, EFC_85P, MAX(EFC_95P-AC_Chart_Background_Data[[#This Row],[X]],0))</f>
        <v>45</v>
      </c>
      <c r="AN103" s="168">
        <f>IF(AC_Chart_Background_Data[[#This Row],[X]] &lt; EFC_99P-EFC_95P, EFC_95P, MAX(EFC_99P-AC_Chart_Background_Data[[#This Row],[X]],0))</f>
        <v>66</v>
      </c>
      <c r="AO103" s="168">
        <f t="shared" si="6"/>
        <v>170</v>
      </c>
      <c r="BA103" s="11"/>
      <c r="BB103" s="11"/>
      <c r="BC103" s="11"/>
      <c r="BD103" s="11"/>
    </row>
    <row r="104" spans="36:56" x14ac:dyDescent="0.25">
      <c r="AJ104" s="167">
        <f t="shared" si="8"/>
        <v>101</v>
      </c>
      <c r="AK104" s="168">
        <f>IF(AC_Chart_Background_Data[[#This Row],[X]] &lt; EFC_70P-EFC_50P, EFC_50P, MAX(EFC_70P-AC_Chart_Background_Data[[#This Row],[X]],0))</f>
        <v>6</v>
      </c>
      <c r="AL104" s="168">
        <f>IF(AC_Chart_Background_Data[[#This Row],[X]] &lt; EFC_85P-EFC_70P, EFC_70P, MAX(EFC_85P-AC_Chart_Background_Data[[#This Row],[X]],0))</f>
        <v>25</v>
      </c>
      <c r="AM104" s="168">
        <f>IF(AC_Chart_Background_Data[[#This Row],[X]] &lt; EFC_95P-EFC_85P, EFC_85P, MAX(EFC_95P-AC_Chart_Background_Data[[#This Row],[X]],0))</f>
        <v>44</v>
      </c>
      <c r="AN104" s="168">
        <f>IF(AC_Chart_Background_Data[[#This Row],[X]] &lt; EFC_99P-EFC_95P, EFC_95P, MAX(EFC_99P-AC_Chart_Background_Data[[#This Row],[X]],0))</f>
        <v>65</v>
      </c>
      <c r="AO104" s="168">
        <f t="shared" si="6"/>
        <v>170</v>
      </c>
      <c r="BA104" s="11"/>
      <c r="BB104" s="11"/>
      <c r="BC104" s="11"/>
      <c r="BD104" s="11"/>
    </row>
    <row r="105" spans="36:56" x14ac:dyDescent="0.25">
      <c r="AJ105" s="167">
        <f t="shared" si="8"/>
        <v>102</v>
      </c>
      <c r="AK105" s="168">
        <f>IF(AC_Chart_Background_Data[[#This Row],[X]] &lt; EFC_70P-EFC_50P, EFC_50P, MAX(EFC_70P-AC_Chart_Background_Data[[#This Row],[X]],0))</f>
        <v>5</v>
      </c>
      <c r="AL105" s="168">
        <f>IF(AC_Chart_Background_Data[[#This Row],[X]] &lt; EFC_85P-EFC_70P, EFC_70P, MAX(EFC_85P-AC_Chart_Background_Data[[#This Row],[X]],0))</f>
        <v>24</v>
      </c>
      <c r="AM105" s="168">
        <f>IF(AC_Chart_Background_Data[[#This Row],[X]] &lt; EFC_95P-EFC_85P, EFC_85P, MAX(EFC_95P-AC_Chart_Background_Data[[#This Row],[X]],0))</f>
        <v>43</v>
      </c>
      <c r="AN105" s="168">
        <f>IF(AC_Chart_Background_Data[[#This Row],[X]] &lt; EFC_99P-EFC_95P, EFC_95P, MAX(EFC_99P-AC_Chart_Background_Data[[#This Row],[X]],0))</f>
        <v>64</v>
      </c>
      <c r="AO105" s="168">
        <f t="shared" si="6"/>
        <v>170</v>
      </c>
      <c r="BA105" s="11"/>
      <c r="BB105" s="11"/>
      <c r="BC105" s="11"/>
      <c r="BD105" s="11"/>
    </row>
    <row r="106" spans="36:56" x14ac:dyDescent="0.25">
      <c r="AJ106" s="167">
        <f t="shared" si="8"/>
        <v>103</v>
      </c>
      <c r="AK106" s="168">
        <f>IF(AC_Chart_Background_Data[[#This Row],[X]] &lt; EFC_70P-EFC_50P, EFC_50P, MAX(EFC_70P-AC_Chart_Background_Data[[#This Row],[X]],0))</f>
        <v>4</v>
      </c>
      <c r="AL106" s="168">
        <f>IF(AC_Chart_Background_Data[[#This Row],[X]] &lt; EFC_85P-EFC_70P, EFC_70P, MAX(EFC_85P-AC_Chart_Background_Data[[#This Row],[X]],0))</f>
        <v>23</v>
      </c>
      <c r="AM106" s="168">
        <f>IF(AC_Chart_Background_Data[[#This Row],[X]] &lt; EFC_95P-EFC_85P, EFC_85P, MAX(EFC_95P-AC_Chart_Background_Data[[#This Row],[X]],0))</f>
        <v>42</v>
      </c>
      <c r="AN106" s="168">
        <f>IF(AC_Chart_Background_Data[[#This Row],[X]] &lt; EFC_99P-EFC_95P, EFC_95P, MAX(EFC_99P-AC_Chart_Background_Data[[#This Row],[X]],0))</f>
        <v>63</v>
      </c>
      <c r="AO106" s="168">
        <f t="shared" si="6"/>
        <v>170</v>
      </c>
      <c r="BA106" s="11"/>
      <c r="BB106" s="11"/>
      <c r="BC106" s="11"/>
      <c r="BD106" s="11"/>
    </row>
    <row r="107" spans="36:56" x14ac:dyDescent="0.25">
      <c r="AJ107" s="167">
        <f t="shared" si="8"/>
        <v>104</v>
      </c>
      <c r="AK107" s="168">
        <f>IF(AC_Chart_Background_Data[[#This Row],[X]] &lt; EFC_70P-EFC_50P, EFC_50P, MAX(EFC_70P-AC_Chart_Background_Data[[#This Row],[X]],0))</f>
        <v>3</v>
      </c>
      <c r="AL107" s="168">
        <f>IF(AC_Chart_Background_Data[[#This Row],[X]] &lt; EFC_85P-EFC_70P, EFC_70P, MAX(EFC_85P-AC_Chart_Background_Data[[#This Row],[X]],0))</f>
        <v>22</v>
      </c>
      <c r="AM107" s="168">
        <f>IF(AC_Chart_Background_Data[[#This Row],[X]] &lt; EFC_95P-EFC_85P, EFC_85P, MAX(EFC_95P-AC_Chart_Background_Data[[#This Row],[X]],0))</f>
        <v>41</v>
      </c>
      <c r="AN107" s="168">
        <f>IF(AC_Chart_Background_Data[[#This Row],[X]] &lt; EFC_99P-EFC_95P, EFC_95P, MAX(EFC_99P-AC_Chart_Background_Data[[#This Row],[X]],0))</f>
        <v>62</v>
      </c>
      <c r="AO107" s="168">
        <f t="shared" si="6"/>
        <v>170</v>
      </c>
      <c r="BA107" s="11"/>
      <c r="BB107" s="11"/>
      <c r="BC107" s="11"/>
      <c r="BD107" s="11"/>
    </row>
    <row r="108" spans="36:56" x14ac:dyDescent="0.25">
      <c r="AJ108" s="167">
        <f t="shared" si="8"/>
        <v>105</v>
      </c>
      <c r="AK108" s="168">
        <f>IF(AC_Chart_Background_Data[[#This Row],[X]] &lt; EFC_70P-EFC_50P, EFC_50P, MAX(EFC_70P-AC_Chart_Background_Data[[#This Row],[X]],0))</f>
        <v>2</v>
      </c>
      <c r="AL108" s="168">
        <f>IF(AC_Chart_Background_Data[[#This Row],[X]] &lt; EFC_85P-EFC_70P, EFC_70P, MAX(EFC_85P-AC_Chart_Background_Data[[#This Row],[X]],0))</f>
        <v>21</v>
      </c>
      <c r="AM108" s="168">
        <f>IF(AC_Chart_Background_Data[[#This Row],[X]] &lt; EFC_95P-EFC_85P, EFC_85P, MAX(EFC_95P-AC_Chart_Background_Data[[#This Row],[X]],0))</f>
        <v>40</v>
      </c>
      <c r="AN108" s="168">
        <f>IF(AC_Chart_Background_Data[[#This Row],[X]] &lt; EFC_99P-EFC_95P, EFC_95P, MAX(EFC_99P-AC_Chart_Background_Data[[#This Row],[X]],0))</f>
        <v>61</v>
      </c>
      <c r="AO108" s="168">
        <f t="shared" si="6"/>
        <v>170</v>
      </c>
      <c r="BA108" s="11"/>
      <c r="BB108" s="11"/>
      <c r="BC108" s="11"/>
      <c r="BD108" s="11"/>
    </row>
    <row r="109" spans="36:56" x14ac:dyDescent="0.25">
      <c r="AJ109" s="167">
        <f t="shared" si="8"/>
        <v>106</v>
      </c>
      <c r="AK109" s="168">
        <f>IF(AC_Chart_Background_Data[[#This Row],[X]] &lt; EFC_70P-EFC_50P, EFC_50P, MAX(EFC_70P-AC_Chart_Background_Data[[#This Row],[X]],0))</f>
        <v>1</v>
      </c>
      <c r="AL109" s="168">
        <f>IF(AC_Chart_Background_Data[[#This Row],[X]] &lt; EFC_85P-EFC_70P, EFC_70P, MAX(EFC_85P-AC_Chart_Background_Data[[#This Row],[X]],0))</f>
        <v>20</v>
      </c>
      <c r="AM109" s="168">
        <f>IF(AC_Chart_Background_Data[[#This Row],[X]] &lt; EFC_95P-EFC_85P, EFC_85P, MAX(EFC_95P-AC_Chart_Background_Data[[#This Row],[X]],0))</f>
        <v>39</v>
      </c>
      <c r="AN109" s="168">
        <f>IF(AC_Chart_Background_Data[[#This Row],[X]] &lt; EFC_99P-EFC_95P, EFC_95P, MAX(EFC_99P-AC_Chart_Background_Data[[#This Row],[X]],0))</f>
        <v>60</v>
      </c>
      <c r="AO109" s="168">
        <f t="shared" si="6"/>
        <v>170</v>
      </c>
      <c r="BA109" s="11"/>
      <c r="BB109" s="11"/>
      <c r="BC109" s="11"/>
      <c r="BD109" s="11"/>
    </row>
    <row r="110" spans="36:56" x14ac:dyDescent="0.25">
      <c r="AJ110" s="167">
        <f t="shared" si="8"/>
        <v>107</v>
      </c>
      <c r="AK110" s="168">
        <f>IF(AC_Chart_Background_Data[[#This Row],[X]] &lt; EFC_70P-EFC_50P, EFC_50P, MAX(EFC_70P-AC_Chart_Background_Data[[#This Row],[X]],0))</f>
        <v>0</v>
      </c>
      <c r="AL110" s="168">
        <f>IF(AC_Chart_Background_Data[[#This Row],[X]] &lt; EFC_85P-EFC_70P, EFC_70P, MAX(EFC_85P-AC_Chart_Background_Data[[#This Row],[X]],0))</f>
        <v>19</v>
      </c>
      <c r="AM110" s="168">
        <f>IF(AC_Chart_Background_Data[[#This Row],[X]] &lt; EFC_95P-EFC_85P, EFC_85P, MAX(EFC_95P-AC_Chart_Background_Data[[#This Row],[X]],0))</f>
        <v>38</v>
      </c>
      <c r="AN110" s="168">
        <f>IF(AC_Chart_Background_Data[[#This Row],[X]] &lt; EFC_99P-EFC_95P, EFC_95P, MAX(EFC_99P-AC_Chart_Background_Data[[#This Row],[X]],0))</f>
        <v>59</v>
      </c>
      <c r="AO110" s="168">
        <f t="shared" si="6"/>
        <v>170</v>
      </c>
      <c r="BA110" s="11"/>
      <c r="BB110" s="11"/>
      <c r="BC110" s="11"/>
      <c r="BD110" s="11"/>
    </row>
    <row r="111" spans="36:56" x14ac:dyDescent="0.25">
      <c r="AJ111" s="167">
        <f t="shared" si="8"/>
        <v>108</v>
      </c>
      <c r="AK111" s="168">
        <f>IF(AC_Chart_Background_Data[[#This Row],[X]] &lt; EFC_70P-EFC_50P, EFC_50P, MAX(EFC_70P-AC_Chart_Background_Data[[#This Row],[X]],0))</f>
        <v>0</v>
      </c>
      <c r="AL111" s="168">
        <f>IF(AC_Chart_Background_Data[[#This Row],[X]] &lt; EFC_85P-EFC_70P, EFC_70P, MAX(EFC_85P-AC_Chart_Background_Data[[#This Row],[X]],0))</f>
        <v>18</v>
      </c>
      <c r="AM111" s="168">
        <f>IF(AC_Chart_Background_Data[[#This Row],[X]] &lt; EFC_95P-EFC_85P, EFC_85P, MAX(EFC_95P-AC_Chart_Background_Data[[#This Row],[X]],0))</f>
        <v>37</v>
      </c>
      <c r="AN111" s="168">
        <f>IF(AC_Chart_Background_Data[[#This Row],[X]] &lt; EFC_99P-EFC_95P, EFC_95P, MAX(EFC_99P-AC_Chart_Background_Data[[#This Row],[X]],0))</f>
        <v>58</v>
      </c>
      <c r="AO111" s="168">
        <f t="shared" si="6"/>
        <v>170</v>
      </c>
      <c r="BA111" s="11"/>
      <c r="BB111" s="11"/>
      <c r="BC111" s="11"/>
      <c r="BD111" s="11"/>
    </row>
    <row r="112" spans="36:56" x14ac:dyDescent="0.25">
      <c r="AJ112" s="167">
        <f t="shared" si="8"/>
        <v>109</v>
      </c>
      <c r="AK112" s="168">
        <f>IF(AC_Chart_Background_Data[[#This Row],[X]] &lt; EFC_70P-EFC_50P, EFC_50P, MAX(EFC_70P-AC_Chart_Background_Data[[#This Row],[X]],0))</f>
        <v>0</v>
      </c>
      <c r="AL112" s="168">
        <f>IF(AC_Chart_Background_Data[[#This Row],[X]] &lt; EFC_85P-EFC_70P, EFC_70P, MAX(EFC_85P-AC_Chart_Background_Data[[#This Row],[X]],0))</f>
        <v>17</v>
      </c>
      <c r="AM112" s="168">
        <f>IF(AC_Chart_Background_Data[[#This Row],[X]] &lt; EFC_95P-EFC_85P, EFC_85P, MAX(EFC_95P-AC_Chart_Background_Data[[#This Row],[X]],0))</f>
        <v>36</v>
      </c>
      <c r="AN112" s="168">
        <f>IF(AC_Chart_Background_Data[[#This Row],[X]] &lt; EFC_99P-EFC_95P, EFC_95P, MAX(EFC_99P-AC_Chart_Background_Data[[#This Row],[X]],0))</f>
        <v>57</v>
      </c>
      <c r="AO112" s="168">
        <f t="shared" si="6"/>
        <v>170</v>
      </c>
      <c r="BA112" s="11"/>
      <c r="BB112" s="11"/>
      <c r="BC112" s="11"/>
      <c r="BD112" s="11"/>
    </row>
    <row r="113" spans="36:56" x14ac:dyDescent="0.25">
      <c r="AJ113" s="167">
        <f t="shared" si="8"/>
        <v>110</v>
      </c>
      <c r="AK113" s="168">
        <f>IF(AC_Chart_Background_Data[[#This Row],[X]] &lt; EFC_70P-EFC_50P, EFC_50P, MAX(EFC_70P-AC_Chart_Background_Data[[#This Row],[X]],0))</f>
        <v>0</v>
      </c>
      <c r="AL113" s="168">
        <f>IF(AC_Chart_Background_Data[[#This Row],[X]] &lt; EFC_85P-EFC_70P, EFC_70P, MAX(EFC_85P-AC_Chart_Background_Data[[#This Row],[X]],0))</f>
        <v>16</v>
      </c>
      <c r="AM113" s="168">
        <f>IF(AC_Chart_Background_Data[[#This Row],[X]] &lt; EFC_95P-EFC_85P, EFC_85P, MAX(EFC_95P-AC_Chart_Background_Data[[#This Row],[X]],0))</f>
        <v>35</v>
      </c>
      <c r="AN113" s="168">
        <f>IF(AC_Chart_Background_Data[[#This Row],[X]] &lt; EFC_99P-EFC_95P, EFC_95P, MAX(EFC_99P-AC_Chart_Background_Data[[#This Row],[X]],0))</f>
        <v>56</v>
      </c>
      <c r="AO113" s="168">
        <f t="shared" si="6"/>
        <v>170</v>
      </c>
      <c r="BA113" s="11"/>
      <c r="BB113" s="11"/>
      <c r="BC113" s="11"/>
      <c r="BD113" s="11"/>
    </row>
    <row r="114" spans="36:56" x14ac:dyDescent="0.25">
      <c r="AJ114" s="167">
        <f t="shared" si="8"/>
        <v>111</v>
      </c>
      <c r="AK114" s="168">
        <f>IF(AC_Chart_Background_Data[[#This Row],[X]] &lt; EFC_70P-EFC_50P, EFC_50P, MAX(EFC_70P-AC_Chart_Background_Data[[#This Row],[X]],0))</f>
        <v>0</v>
      </c>
      <c r="AL114" s="168">
        <f>IF(AC_Chart_Background_Data[[#This Row],[X]] &lt; EFC_85P-EFC_70P, EFC_70P, MAX(EFC_85P-AC_Chart_Background_Data[[#This Row],[X]],0))</f>
        <v>15</v>
      </c>
      <c r="AM114" s="168">
        <f>IF(AC_Chart_Background_Data[[#This Row],[X]] &lt; EFC_95P-EFC_85P, EFC_85P, MAX(EFC_95P-AC_Chart_Background_Data[[#This Row],[X]],0))</f>
        <v>34</v>
      </c>
      <c r="AN114" s="168">
        <f>IF(AC_Chart_Background_Data[[#This Row],[X]] &lt; EFC_99P-EFC_95P, EFC_95P, MAX(EFC_99P-AC_Chart_Background_Data[[#This Row],[X]],0))</f>
        <v>55</v>
      </c>
      <c r="AO114" s="168">
        <f t="shared" si="6"/>
        <v>170</v>
      </c>
      <c r="BA114" s="11"/>
      <c r="BB114" s="11"/>
      <c r="BC114" s="11"/>
      <c r="BD114" s="11"/>
    </row>
    <row r="115" spans="36:56" x14ac:dyDescent="0.25">
      <c r="AJ115" s="167">
        <f t="shared" si="8"/>
        <v>112</v>
      </c>
      <c r="AK115" s="168">
        <f>IF(AC_Chart_Background_Data[[#This Row],[X]] &lt; EFC_70P-EFC_50P, EFC_50P, MAX(EFC_70P-AC_Chart_Background_Data[[#This Row],[X]],0))</f>
        <v>0</v>
      </c>
      <c r="AL115" s="168">
        <f>IF(AC_Chart_Background_Data[[#This Row],[X]] &lt; EFC_85P-EFC_70P, EFC_70P, MAX(EFC_85P-AC_Chart_Background_Data[[#This Row],[X]],0))</f>
        <v>14</v>
      </c>
      <c r="AM115" s="168">
        <f>IF(AC_Chart_Background_Data[[#This Row],[X]] &lt; EFC_95P-EFC_85P, EFC_85P, MAX(EFC_95P-AC_Chart_Background_Data[[#This Row],[X]],0))</f>
        <v>33</v>
      </c>
      <c r="AN115" s="168">
        <f>IF(AC_Chart_Background_Data[[#This Row],[X]] &lt; EFC_99P-EFC_95P, EFC_95P, MAX(EFC_99P-AC_Chart_Background_Data[[#This Row],[X]],0))</f>
        <v>54</v>
      </c>
      <c r="AO115" s="168">
        <f t="shared" si="6"/>
        <v>170</v>
      </c>
      <c r="BA115" s="11"/>
      <c r="BB115" s="11"/>
      <c r="BC115" s="11"/>
      <c r="BD115" s="11"/>
    </row>
    <row r="116" spans="36:56" x14ac:dyDescent="0.25">
      <c r="AJ116" s="167">
        <f t="shared" si="8"/>
        <v>113</v>
      </c>
      <c r="AK116" s="168">
        <f>IF(AC_Chart_Background_Data[[#This Row],[X]] &lt; EFC_70P-EFC_50P, EFC_50P, MAX(EFC_70P-AC_Chart_Background_Data[[#This Row],[X]],0))</f>
        <v>0</v>
      </c>
      <c r="AL116" s="168">
        <f>IF(AC_Chart_Background_Data[[#This Row],[X]] &lt; EFC_85P-EFC_70P, EFC_70P, MAX(EFC_85P-AC_Chart_Background_Data[[#This Row],[X]],0))</f>
        <v>13</v>
      </c>
      <c r="AM116" s="168">
        <f>IF(AC_Chart_Background_Data[[#This Row],[X]] &lt; EFC_95P-EFC_85P, EFC_85P, MAX(EFC_95P-AC_Chart_Background_Data[[#This Row],[X]],0))</f>
        <v>32</v>
      </c>
      <c r="AN116" s="168">
        <f>IF(AC_Chart_Background_Data[[#This Row],[X]] &lt; EFC_99P-EFC_95P, EFC_95P, MAX(EFC_99P-AC_Chart_Background_Data[[#This Row],[X]],0))</f>
        <v>53</v>
      </c>
      <c r="AO116" s="168">
        <f t="shared" si="6"/>
        <v>170</v>
      </c>
      <c r="BA116" s="11"/>
      <c r="BB116" s="11"/>
      <c r="BC116" s="11"/>
      <c r="BD116" s="11"/>
    </row>
    <row r="117" spans="36:56" x14ac:dyDescent="0.25">
      <c r="AJ117" s="167">
        <f t="shared" si="8"/>
        <v>114</v>
      </c>
      <c r="AK117" s="168">
        <f>IF(AC_Chart_Background_Data[[#This Row],[X]] &lt; EFC_70P-EFC_50P, EFC_50P, MAX(EFC_70P-AC_Chart_Background_Data[[#This Row],[X]],0))</f>
        <v>0</v>
      </c>
      <c r="AL117" s="168">
        <f>IF(AC_Chart_Background_Data[[#This Row],[X]] &lt; EFC_85P-EFC_70P, EFC_70P, MAX(EFC_85P-AC_Chart_Background_Data[[#This Row],[X]],0))</f>
        <v>12</v>
      </c>
      <c r="AM117" s="168">
        <f>IF(AC_Chart_Background_Data[[#This Row],[X]] &lt; EFC_95P-EFC_85P, EFC_85P, MAX(EFC_95P-AC_Chart_Background_Data[[#This Row],[X]],0))</f>
        <v>31</v>
      </c>
      <c r="AN117" s="168">
        <f>IF(AC_Chart_Background_Data[[#This Row],[X]] &lt; EFC_99P-EFC_95P, EFC_95P, MAX(EFC_99P-AC_Chart_Background_Data[[#This Row],[X]],0))</f>
        <v>52</v>
      </c>
      <c r="AO117" s="168">
        <f t="shared" si="6"/>
        <v>170</v>
      </c>
      <c r="BA117" s="11"/>
      <c r="BB117" s="11"/>
      <c r="BC117" s="11"/>
      <c r="BD117" s="11"/>
    </row>
    <row r="118" spans="36:56" x14ac:dyDescent="0.25">
      <c r="AJ118" s="167">
        <f t="shared" si="8"/>
        <v>115</v>
      </c>
      <c r="AK118" s="168">
        <f>IF(AC_Chart_Background_Data[[#This Row],[X]] &lt; EFC_70P-EFC_50P, EFC_50P, MAX(EFC_70P-AC_Chart_Background_Data[[#This Row],[X]],0))</f>
        <v>0</v>
      </c>
      <c r="AL118" s="168">
        <f>IF(AC_Chart_Background_Data[[#This Row],[X]] &lt; EFC_85P-EFC_70P, EFC_70P, MAX(EFC_85P-AC_Chart_Background_Data[[#This Row],[X]],0))</f>
        <v>11</v>
      </c>
      <c r="AM118" s="168">
        <f>IF(AC_Chart_Background_Data[[#This Row],[X]] &lt; EFC_95P-EFC_85P, EFC_85P, MAX(EFC_95P-AC_Chart_Background_Data[[#This Row],[X]],0))</f>
        <v>30</v>
      </c>
      <c r="AN118" s="168">
        <f>IF(AC_Chart_Background_Data[[#This Row],[X]] &lt; EFC_99P-EFC_95P, EFC_95P, MAX(EFC_99P-AC_Chart_Background_Data[[#This Row],[X]],0))</f>
        <v>51</v>
      </c>
      <c r="AO118" s="168">
        <f t="shared" si="6"/>
        <v>170</v>
      </c>
      <c r="BA118" s="11"/>
      <c r="BB118" s="11"/>
      <c r="BC118" s="11"/>
      <c r="BD118" s="11"/>
    </row>
    <row r="119" spans="36:56" x14ac:dyDescent="0.25">
      <c r="AJ119" s="167">
        <f t="shared" si="8"/>
        <v>116</v>
      </c>
      <c r="AK119" s="168">
        <f>IF(AC_Chart_Background_Data[[#This Row],[X]] &lt; EFC_70P-EFC_50P, EFC_50P, MAX(EFC_70P-AC_Chart_Background_Data[[#This Row],[X]],0))</f>
        <v>0</v>
      </c>
      <c r="AL119" s="168">
        <f>IF(AC_Chart_Background_Data[[#This Row],[X]] &lt; EFC_85P-EFC_70P, EFC_70P, MAX(EFC_85P-AC_Chart_Background_Data[[#This Row],[X]],0))</f>
        <v>10</v>
      </c>
      <c r="AM119" s="168">
        <f>IF(AC_Chart_Background_Data[[#This Row],[X]] &lt; EFC_95P-EFC_85P, EFC_85P, MAX(EFC_95P-AC_Chart_Background_Data[[#This Row],[X]],0))</f>
        <v>29</v>
      </c>
      <c r="AN119" s="168">
        <f>IF(AC_Chart_Background_Data[[#This Row],[X]] &lt; EFC_99P-EFC_95P, EFC_95P, MAX(EFC_99P-AC_Chart_Background_Data[[#This Row],[X]],0))</f>
        <v>50</v>
      </c>
      <c r="AO119" s="168">
        <f t="shared" si="6"/>
        <v>170</v>
      </c>
      <c r="BA119" s="11"/>
      <c r="BB119" s="11"/>
      <c r="BC119" s="11"/>
      <c r="BD119" s="11"/>
    </row>
    <row r="120" spans="36:56" x14ac:dyDescent="0.25">
      <c r="AJ120" s="167">
        <f t="shared" si="8"/>
        <v>117</v>
      </c>
      <c r="AK120" s="168">
        <f>IF(AC_Chart_Background_Data[[#This Row],[X]] &lt; EFC_70P-EFC_50P, EFC_50P, MAX(EFC_70P-AC_Chart_Background_Data[[#This Row],[X]],0))</f>
        <v>0</v>
      </c>
      <c r="AL120" s="168">
        <f>IF(AC_Chart_Background_Data[[#This Row],[X]] &lt; EFC_85P-EFC_70P, EFC_70P, MAX(EFC_85P-AC_Chart_Background_Data[[#This Row],[X]],0))</f>
        <v>9</v>
      </c>
      <c r="AM120" s="168">
        <f>IF(AC_Chart_Background_Data[[#This Row],[X]] &lt; EFC_95P-EFC_85P, EFC_85P, MAX(EFC_95P-AC_Chart_Background_Data[[#This Row],[X]],0))</f>
        <v>28</v>
      </c>
      <c r="AN120" s="168">
        <f>IF(AC_Chart_Background_Data[[#This Row],[X]] &lt; EFC_99P-EFC_95P, EFC_95P, MAX(EFC_99P-AC_Chart_Background_Data[[#This Row],[X]],0))</f>
        <v>49</v>
      </c>
      <c r="AO120" s="168">
        <f t="shared" si="6"/>
        <v>170</v>
      </c>
      <c r="BA120" s="11"/>
      <c r="BB120" s="11"/>
      <c r="BC120" s="11"/>
      <c r="BD120" s="11"/>
    </row>
    <row r="121" spans="36:56" x14ac:dyDescent="0.25">
      <c r="AJ121" s="167">
        <f t="shared" si="8"/>
        <v>118</v>
      </c>
      <c r="AK121" s="168">
        <f>IF(AC_Chart_Background_Data[[#This Row],[X]] &lt; EFC_70P-EFC_50P, EFC_50P, MAX(EFC_70P-AC_Chart_Background_Data[[#This Row],[X]],0))</f>
        <v>0</v>
      </c>
      <c r="AL121" s="168">
        <f>IF(AC_Chart_Background_Data[[#This Row],[X]] &lt; EFC_85P-EFC_70P, EFC_70P, MAX(EFC_85P-AC_Chart_Background_Data[[#This Row],[X]],0))</f>
        <v>8</v>
      </c>
      <c r="AM121" s="168">
        <f>IF(AC_Chart_Background_Data[[#This Row],[X]] &lt; EFC_95P-EFC_85P, EFC_85P, MAX(EFC_95P-AC_Chart_Background_Data[[#This Row],[X]],0))</f>
        <v>27</v>
      </c>
      <c r="AN121" s="168">
        <f>IF(AC_Chart_Background_Data[[#This Row],[X]] &lt; EFC_99P-EFC_95P, EFC_95P, MAX(EFC_99P-AC_Chart_Background_Data[[#This Row],[X]],0))</f>
        <v>48</v>
      </c>
      <c r="AO121" s="168">
        <f t="shared" si="6"/>
        <v>170</v>
      </c>
      <c r="BA121" s="11"/>
      <c r="BB121" s="11"/>
      <c r="BC121" s="11"/>
      <c r="BD121" s="11"/>
    </row>
    <row r="122" spans="36:56" x14ac:dyDescent="0.25">
      <c r="AJ122" s="167">
        <f t="shared" si="8"/>
        <v>119</v>
      </c>
      <c r="AK122" s="168">
        <f>IF(AC_Chart_Background_Data[[#This Row],[X]] &lt; EFC_70P-EFC_50P, EFC_50P, MAX(EFC_70P-AC_Chart_Background_Data[[#This Row],[X]],0))</f>
        <v>0</v>
      </c>
      <c r="AL122" s="168">
        <f>IF(AC_Chart_Background_Data[[#This Row],[X]] &lt; EFC_85P-EFC_70P, EFC_70P, MAX(EFC_85P-AC_Chart_Background_Data[[#This Row],[X]],0))</f>
        <v>7</v>
      </c>
      <c r="AM122" s="168">
        <f>IF(AC_Chart_Background_Data[[#This Row],[X]] &lt; EFC_95P-EFC_85P, EFC_85P, MAX(EFC_95P-AC_Chart_Background_Data[[#This Row],[X]],0))</f>
        <v>26</v>
      </c>
      <c r="AN122" s="168">
        <f>IF(AC_Chart_Background_Data[[#This Row],[X]] &lt; EFC_99P-EFC_95P, EFC_95P, MAX(EFC_99P-AC_Chart_Background_Data[[#This Row],[X]],0))</f>
        <v>47</v>
      </c>
      <c r="AO122" s="168">
        <f t="shared" si="6"/>
        <v>170</v>
      </c>
      <c r="BA122" s="11"/>
      <c r="BB122" s="11"/>
      <c r="BC122" s="11"/>
      <c r="BD122" s="11"/>
    </row>
    <row r="123" spans="36:56" x14ac:dyDescent="0.25">
      <c r="AJ123" s="167">
        <f t="shared" si="8"/>
        <v>120</v>
      </c>
      <c r="AK123" s="168">
        <f>IF(AC_Chart_Background_Data[[#This Row],[X]] &lt; EFC_70P-EFC_50P, EFC_50P, MAX(EFC_70P-AC_Chart_Background_Data[[#This Row],[X]],0))</f>
        <v>0</v>
      </c>
      <c r="AL123" s="168">
        <f>IF(AC_Chart_Background_Data[[#This Row],[X]] &lt; EFC_85P-EFC_70P, EFC_70P, MAX(EFC_85P-AC_Chart_Background_Data[[#This Row],[X]],0))</f>
        <v>6</v>
      </c>
      <c r="AM123" s="168">
        <f>IF(AC_Chart_Background_Data[[#This Row],[X]] &lt; EFC_95P-EFC_85P, EFC_85P, MAX(EFC_95P-AC_Chart_Background_Data[[#This Row],[X]],0))</f>
        <v>25</v>
      </c>
      <c r="AN123" s="168">
        <f>IF(AC_Chart_Background_Data[[#This Row],[X]] &lt; EFC_99P-EFC_95P, EFC_95P, MAX(EFC_99P-AC_Chart_Background_Data[[#This Row],[X]],0))</f>
        <v>46</v>
      </c>
      <c r="AO123" s="168">
        <f t="shared" si="6"/>
        <v>170</v>
      </c>
      <c r="BA123" s="11"/>
      <c r="BB123" s="11"/>
      <c r="BC123" s="11"/>
      <c r="BD123" s="11"/>
    </row>
    <row r="124" spans="36:56" x14ac:dyDescent="0.25">
      <c r="AJ124" s="167">
        <f t="shared" si="8"/>
        <v>121</v>
      </c>
      <c r="AK124" s="168">
        <f>IF(AC_Chart_Background_Data[[#This Row],[X]] &lt; EFC_70P-EFC_50P, EFC_50P, MAX(EFC_70P-AC_Chart_Background_Data[[#This Row],[X]],0))</f>
        <v>0</v>
      </c>
      <c r="AL124" s="168">
        <f>IF(AC_Chart_Background_Data[[#This Row],[X]] &lt; EFC_85P-EFC_70P, EFC_70P, MAX(EFC_85P-AC_Chart_Background_Data[[#This Row],[X]],0))</f>
        <v>5</v>
      </c>
      <c r="AM124" s="168">
        <f>IF(AC_Chart_Background_Data[[#This Row],[X]] &lt; EFC_95P-EFC_85P, EFC_85P, MAX(EFC_95P-AC_Chart_Background_Data[[#This Row],[X]],0))</f>
        <v>24</v>
      </c>
      <c r="AN124" s="168">
        <f>IF(AC_Chart_Background_Data[[#This Row],[X]] &lt; EFC_99P-EFC_95P, EFC_95P, MAX(EFC_99P-AC_Chart_Background_Data[[#This Row],[X]],0))</f>
        <v>45</v>
      </c>
      <c r="AO124" s="168">
        <f t="shared" si="6"/>
        <v>170</v>
      </c>
      <c r="BA124" s="11"/>
      <c r="BB124" s="11"/>
      <c r="BC124" s="11"/>
      <c r="BD124" s="11"/>
    </row>
    <row r="125" spans="36:56" x14ac:dyDescent="0.25">
      <c r="AJ125" s="167">
        <f t="shared" si="8"/>
        <v>122</v>
      </c>
      <c r="AK125" s="168">
        <f>IF(AC_Chart_Background_Data[[#This Row],[X]] &lt; EFC_70P-EFC_50P, EFC_50P, MAX(EFC_70P-AC_Chart_Background_Data[[#This Row],[X]],0))</f>
        <v>0</v>
      </c>
      <c r="AL125" s="168">
        <f>IF(AC_Chart_Background_Data[[#This Row],[X]] &lt; EFC_85P-EFC_70P, EFC_70P, MAX(EFC_85P-AC_Chart_Background_Data[[#This Row],[X]],0))</f>
        <v>4</v>
      </c>
      <c r="AM125" s="168">
        <f>IF(AC_Chart_Background_Data[[#This Row],[X]] &lt; EFC_95P-EFC_85P, EFC_85P, MAX(EFC_95P-AC_Chart_Background_Data[[#This Row],[X]],0))</f>
        <v>23</v>
      </c>
      <c r="AN125" s="168">
        <f>IF(AC_Chart_Background_Data[[#This Row],[X]] &lt; EFC_99P-EFC_95P, EFC_95P, MAX(EFC_99P-AC_Chart_Background_Data[[#This Row],[X]],0))</f>
        <v>44</v>
      </c>
      <c r="AO125" s="168">
        <f t="shared" si="6"/>
        <v>170</v>
      </c>
      <c r="BA125" s="11"/>
      <c r="BB125" s="11"/>
      <c r="BC125" s="11"/>
      <c r="BD125" s="11"/>
    </row>
    <row r="126" spans="36:56" x14ac:dyDescent="0.25">
      <c r="AJ126" s="167">
        <f t="shared" si="8"/>
        <v>123</v>
      </c>
      <c r="AK126" s="168">
        <f>IF(AC_Chart_Background_Data[[#This Row],[X]] &lt; EFC_70P-EFC_50P, EFC_50P, MAX(EFC_70P-AC_Chart_Background_Data[[#This Row],[X]],0))</f>
        <v>0</v>
      </c>
      <c r="AL126" s="168">
        <f>IF(AC_Chart_Background_Data[[#This Row],[X]] &lt; EFC_85P-EFC_70P, EFC_70P, MAX(EFC_85P-AC_Chart_Background_Data[[#This Row],[X]],0))</f>
        <v>3</v>
      </c>
      <c r="AM126" s="168">
        <f>IF(AC_Chart_Background_Data[[#This Row],[X]] &lt; EFC_95P-EFC_85P, EFC_85P, MAX(EFC_95P-AC_Chart_Background_Data[[#This Row],[X]],0))</f>
        <v>22</v>
      </c>
      <c r="AN126" s="168">
        <f>IF(AC_Chart_Background_Data[[#This Row],[X]] &lt; EFC_99P-EFC_95P, EFC_95P, MAX(EFC_99P-AC_Chart_Background_Data[[#This Row],[X]],0))</f>
        <v>43</v>
      </c>
      <c r="AO126" s="168">
        <f t="shared" si="6"/>
        <v>170</v>
      </c>
      <c r="BA126" s="11"/>
      <c r="BB126" s="11"/>
      <c r="BC126" s="11"/>
      <c r="BD126" s="11"/>
    </row>
    <row r="127" spans="36:56" x14ac:dyDescent="0.25">
      <c r="AJ127" s="167">
        <f t="shared" si="8"/>
        <v>124</v>
      </c>
      <c r="AK127" s="168">
        <f>IF(AC_Chart_Background_Data[[#This Row],[X]] &lt; EFC_70P-EFC_50P, EFC_50P, MAX(EFC_70P-AC_Chart_Background_Data[[#This Row],[X]],0))</f>
        <v>0</v>
      </c>
      <c r="AL127" s="168">
        <f>IF(AC_Chart_Background_Data[[#This Row],[X]] &lt; EFC_85P-EFC_70P, EFC_70P, MAX(EFC_85P-AC_Chart_Background_Data[[#This Row],[X]],0))</f>
        <v>2</v>
      </c>
      <c r="AM127" s="168">
        <f>IF(AC_Chart_Background_Data[[#This Row],[X]] &lt; EFC_95P-EFC_85P, EFC_85P, MAX(EFC_95P-AC_Chart_Background_Data[[#This Row],[X]],0))</f>
        <v>21</v>
      </c>
      <c r="AN127" s="168">
        <f>IF(AC_Chart_Background_Data[[#This Row],[X]] &lt; EFC_99P-EFC_95P, EFC_95P, MAX(EFC_99P-AC_Chart_Background_Data[[#This Row],[X]],0))</f>
        <v>42</v>
      </c>
      <c r="AO127" s="168">
        <f t="shared" si="6"/>
        <v>170</v>
      </c>
      <c r="BA127" s="11"/>
      <c r="BB127" s="11"/>
      <c r="BC127" s="11"/>
      <c r="BD127" s="11"/>
    </row>
    <row r="128" spans="36:56" x14ac:dyDescent="0.25">
      <c r="AJ128" s="167">
        <f t="shared" si="8"/>
        <v>125</v>
      </c>
      <c r="AK128" s="168">
        <f>IF(AC_Chart_Background_Data[[#This Row],[X]] &lt; EFC_70P-EFC_50P, EFC_50P, MAX(EFC_70P-AC_Chart_Background_Data[[#This Row],[X]],0))</f>
        <v>0</v>
      </c>
      <c r="AL128" s="168">
        <f>IF(AC_Chart_Background_Data[[#This Row],[X]] &lt; EFC_85P-EFC_70P, EFC_70P, MAX(EFC_85P-AC_Chart_Background_Data[[#This Row],[X]],0))</f>
        <v>1</v>
      </c>
      <c r="AM128" s="168">
        <f>IF(AC_Chart_Background_Data[[#This Row],[X]] &lt; EFC_95P-EFC_85P, EFC_85P, MAX(EFC_95P-AC_Chart_Background_Data[[#This Row],[X]],0))</f>
        <v>20</v>
      </c>
      <c r="AN128" s="168">
        <f>IF(AC_Chart_Background_Data[[#This Row],[X]] &lt; EFC_99P-EFC_95P, EFC_95P, MAX(EFC_99P-AC_Chart_Background_Data[[#This Row],[X]],0))</f>
        <v>41</v>
      </c>
      <c r="AO128" s="168">
        <f t="shared" si="6"/>
        <v>170</v>
      </c>
      <c r="BA128" s="11"/>
      <c r="BB128" s="11"/>
      <c r="BC128" s="11"/>
      <c r="BD128" s="11"/>
    </row>
    <row r="129" spans="36:56" x14ac:dyDescent="0.25">
      <c r="AJ129" s="167">
        <f t="shared" si="8"/>
        <v>126</v>
      </c>
      <c r="AK129" s="168">
        <f>IF(AC_Chart_Background_Data[[#This Row],[X]] &lt; EFC_70P-EFC_50P, EFC_50P, MAX(EFC_70P-AC_Chart_Background_Data[[#This Row],[X]],0))</f>
        <v>0</v>
      </c>
      <c r="AL129" s="168">
        <f>IF(AC_Chart_Background_Data[[#This Row],[X]] &lt; EFC_85P-EFC_70P, EFC_70P, MAX(EFC_85P-AC_Chart_Background_Data[[#This Row],[X]],0))</f>
        <v>0</v>
      </c>
      <c r="AM129" s="168">
        <f>IF(AC_Chart_Background_Data[[#This Row],[X]] &lt; EFC_95P-EFC_85P, EFC_85P, MAX(EFC_95P-AC_Chart_Background_Data[[#This Row],[X]],0))</f>
        <v>19</v>
      </c>
      <c r="AN129" s="168">
        <f>IF(AC_Chart_Background_Data[[#This Row],[X]] &lt; EFC_99P-EFC_95P, EFC_95P, MAX(EFC_99P-AC_Chart_Background_Data[[#This Row],[X]],0))</f>
        <v>40</v>
      </c>
      <c r="AO129" s="168">
        <f t="shared" si="6"/>
        <v>170</v>
      </c>
      <c r="BA129" s="11"/>
      <c r="BB129" s="11"/>
      <c r="BC129" s="11"/>
      <c r="BD129" s="11"/>
    </row>
    <row r="130" spans="36:56" x14ac:dyDescent="0.25">
      <c r="AJ130" s="167">
        <f t="shared" si="8"/>
        <v>127</v>
      </c>
      <c r="AK130" s="168">
        <f>IF(AC_Chart_Background_Data[[#This Row],[X]] &lt; EFC_70P-EFC_50P, EFC_50P, MAX(EFC_70P-AC_Chart_Background_Data[[#This Row],[X]],0))</f>
        <v>0</v>
      </c>
      <c r="AL130" s="168">
        <f>IF(AC_Chart_Background_Data[[#This Row],[X]] &lt; EFC_85P-EFC_70P, EFC_70P, MAX(EFC_85P-AC_Chart_Background_Data[[#This Row],[X]],0))</f>
        <v>0</v>
      </c>
      <c r="AM130" s="168">
        <f>IF(AC_Chart_Background_Data[[#This Row],[X]] &lt; EFC_95P-EFC_85P, EFC_85P, MAX(EFC_95P-AC_Chart_Background_Data[[#This Row],[X]],0))</f>
        <v>18</v>
      </c>
      <c r="AN130" s="168">
        <f>IF(AC_Chart_Background_Data[[#This Row],[X]] &lt; EFC_99P-EFC_95P, EFC_95P, MAX(EFC_99P-AC_Chart_Background_Data[[#This Row],[X]],0))</f>
        <v>39</v>
      </c>
      <c r="AO130" s="168">
        <f t="shared" si="6"/>
        <v>170</v>
      </c>
      <c r="BA130" s="11"/>
      <c r="BB130" s="11"/>
      <c r="BC130" s="11"/>
      <c r="BD130" s="11"/>
    </row>
    <row r="131" spans="36:56" x14ac:dyDescent="0.25">
      <c r="AJ131" s="167">
        <f t="shared" si="8"/>
        <v>128</v>
      </c>
      <c r="AK131" s="168">
        <f>IF(AC_Chart_Background_Data[[#This Row],[X]] &lt; EFC_70P-EFC_50P, EFC_50P, MAX(EFC_70P-AC_Chart_Background_Data[[#This Row],[X]],0))</f>
        <v>0</v>
      </c>
      <c r="AL131" s="168">
        <f>IF(AC_Chart_Background_Data[[#This Row],[X]] &lt; EFC_85P-EFC_70P, EFC_70P, MAX(EFC_85P-AC_Chart_Background_Data[[#This Row],[X]],0))</f>
        <v>0</v>
      </c>
      <c r="AM131" s="168">
        <f>IF(AC_Chart_Background_Data[[#This Row],[X]] &lt; EFC_95P-EFC_85P, EFC_85P, MAX(EFC_95P-AC_Chart_Background_Data[[#This Row],[X]],0))</f>
        <v>17</v>
      </c>
      <c r="AN131" s="168">
        <f>IF(AC_Chart_Background_Data[[#This Row],[X]] &lt; EFC_99P-EFC_95P, EFC_95P, MAX(EFC_99P-AC_Chart_Background_Data[[#This Row],[X]],0))</f>
        <v>38</v>
      </c>
      <c r="AO131" s="168">
        <f t="shared" ref="AO131:AO194" si="9">AC_Ymax</f>
        <v>170</v>
      </c>
      <c r="BA131" s="11"/>
      <c r="BB131" s="11"/>
      <c r="BC131" s="11"/>
      <c r="BD131" s="11"/>
    </row>
    <row r="132" spans="36:56" x14ac:dyDescent="0.25">
      <c r="AJ132" s="167">
        <f t="shared" si="8"/>
        <v>129</v>
      </c>
      <c r="AK132" s="168">
        <f>IF(AC_Chart_Background_Data[[#This Row],[X]] &lt; EFC_70P-EFC_50P, EFC_50P, MAX(EFC_70P-AC_Chart_Background_Data[[#This Row],[X]],0))</f>
        <v>0</v>
      </c>
      <c r="AL132" s="168">
        <f>IF(AC_Chart_Background_Data[[#This Row],[X]] &lt; EFC_85P-EFC_70P, EFC_70P, MAX(EFC_85P-AC_Chart_Background_Data[[#This Row],[X]],0))</f>
        <v>0</v>
      </c>
      <c r="AM132" s="168">
        <f>IF(AC_Chart_Background_Data[[#This Row],[X]] &lt; EFC_95P-EFC_85P, EFC_85P, MAX(EFC_95P-AC_Chart_Background_Data[[#This Row],[X]],0))</f>
        <v>16</v>
      </c>
      <c r="AN132" s="168">
        <f>IF(AC_Chart_Background_Data[[#This Row],[X]] &lt; EFC_99P-EFC_95P, EFC_95P, MAX(EFC_99P-AC_Chart_Background_Data[[#This Row],[X]],0))</f>
        <v>37</v>
      </c>
      <c r="AO132" s="168">
        <f t="shared" si="9"/>
        <v>170</v>
      </c>
      <c r="BA132" s="11"/>
      <c r="BB132" s="11"/>
      <c r="BC132" s="11"/>
      <c r="BD132" s="11"/>
    </row>
    <row r="133" spans="36:56" x14ac:dyDescent="0.25">
      <c r="AJ133" s="167">
        <f t="shared" si="8"/>
        <v>130</v>
      </c>
      <c r="AK133" s="168">
        <f>IF(AC_Chart_Background_Data[[#This Row],[X]] &lt; EFC_70P-EFC_50P, EFC_50P, MAX(EFC_70P-AC_Chart_Background_Data[[#This Row],[X]],0))</f>
        <v>0</v>
      </c>
      <c r="AL133" s="168">
        <f>IF(AC_Chart_Background_Data[[#This Row],[X]] &lt; EFC_85P-EFC_70P, EFC_70P, MAX(EFC_85P-AC_Chart_Background_Data[[#This Row],[X]],0))</f>
        <v>0</v>
      </c>
      <c r="AM133" s="168">
        <f>IF(AC_Chart_Background_Data[[#This Row],[X]] &lt; EFC_95P-EFC_85P, EFC_85P, MAX(EFC_95P-AC_Chart_Background_Data[[#This Row],[X]],0))</f>
        <v>15</v>
      </c>
      <c r="AN133" s="168">
        <f>IF(AC_Chart_Background_Data[[#This Row],[X]] &lt; EFC_99P-EFC_95P, EFC_95P, MAX(EFC_99P-AC_Chart_Background_Data[[#This Row],[X]],0))</f>
        <v>36</v>
      </c>
      <c r="AO133" s="168">
        <f t="shared" si="9"/>
        <v>170</v>
      </c>
      <c r="BA133" s="11"/>
      <c r="BB133" s="11"/>
      <c r="BC133" s="11"/>
      <c r="BD133" s="11"/>
    </row>
    <row r="134" spans="36:56" x14ac:dyDescent="0.25">
      <c r="AJ134" s="167">
        <f t="shared" ref="AJ134:AJ197" si="10">AJ133+1</f>
        <v>131</v>
      </c>
      <c r="AK134" s="168">
        <f>IF(AC_Chart_Background_Data[[#This Row],[X]] &lt; EFC_70P-EFC_50P, EFC_50P, MAX(EFC_70P-AC_Chart_Background_Data[[#This Row],[X]],0))</f>
        <v>0</v>
      </c>
      <c r="AL134" s="168">
        <f>IF(AC_Chart_Background_Data[[#This Row],[X]] &lt; EFC_85P-EFC_70P, EFC_70P, MAX(EFC_85P-AC_Chart_Background_Data[[#This Row],[X]],0))</f>
        <v>0</v>
      </c>
      <c r="AM134" s="168">
        <f>IF(AC_Chart_Background_Data[[#This Row],[X]] &lt; EFC_95P-EFC_85P, EFC_85P, MAX(EFC_95P-AC_Chart_Background_Data[[#This Row],[X]],0))</f>
        <v>14</v>
      </c>
      <c r="AN134" s="168">
        <f>IF(AC_Chart_Background_Data[[#This Row],[X]] &lt; EFC_99P-EFC_95P, EFC_95P, MAX(EFC_99P-AC_Chart_Background_Data[[#This Row],[X]],0))</f>
        <v>35</v>
      </c>
      <c r="AO134" s="168">
        <f t="shared" si="9"/>
        <v>170</v>
      </c>
      <c r="BA134" s="11"/>
      <c r="BB134" s="11"/>
      <c r="BC134" s="11"/>
      <c r="BD134" s="11"/>
    </row>
    <row r="135" spans="36:56" x14ac:dyDescent="0.25">
      <c r="AJ135" s="167">
        <f t="shared" si="10"/>
        <v>132</v>
      </c>
      <c r="AK135" s="168">
        <f>IF(AC_Chart_Background_Data[[#This Row],[X]] &lt; EFC_70P-EFC_50P, EFC_50P, MAX(EFC_70P-AC_Chart_Background_Data[[#This Row],[X]],0))</f>
        <v>0</v>
      </c>
      <c r="AL135" s="168">
        <f>IF(AC_Chart_Background_Data[[#This Row],[X]] &lt; EFC_85P-EFC_70P, EFC_70P, MAX(EFC_85P-AC_Chart_Background_Data[[#This Row],[X]],0))</f>
        <v>0</v>
      </c>
      <c r="AM135" s="168">
        <f>IF(AC_Chart_Background_Data[[#This Row],[X]] &lt; EFC_95P-EFC_85P, EFC_85P, MAX(EFC_95P-AC_Chart_Background_Data[[#This Row],[X]],0))</f>
        <v>13</v>
      </c>
      <c r="AN135" s="168">
        <f>IF(AC_Chart_Background_Data[[#This Row],[X]] &lt; EFC_99P-EFC_95P, EFC_95P, MAX(EFC_99P-AC_Chart_Background_Data[[#This Row],[X]],0))</f>
        <v>34</v>
      </c>
      <c r="AO135" s="168">
        <f t="shared" si="9"/>
        <v>170</v>
      </c>
      <c r="BA135" s="11"/>
      <c r="BB135" s="11"/>
      <c r="BC135" s="11"/>
      <c r="BD135" s="11"/>
    </row>
    <row r="136" spans="36:56" x14ac:dyDescent="0.25">
      <c r="AJ136" s="167">
        <f t="shared" si="10"/>
        <v>133</v>
      </c>
      <c r="AK136" s="168">
        <f>IF(AC_Chart_Background_Data[[#This Row],[X]] &lt; EFC_70P-EFC_50P, EFC_50P, MAX(EFC_70P-AC_Chart_Background_Data[[#This Row],[X]],0))</f>
        <v>0</v>
      </c>
      <c r="AL136" s="168">
        <f>IF(AC_Chart_Background_Data[[#This Row],[X]] &lt; EFC_85P-EFC_70P, EFC_70P, MAX(EFC_85P-AC_Chart_Background_Data[[#This Row],[X]],0))</f>
        <v>0</v>
      </c>
      <c r="AM136" s="168">
        <f>IF(AC_Chart_Background_Data[[#This Row],[X]] &lt; EFC_95P-EFC_85P, EFC_85P, MAX(EFC_95P-AC_Chart_Background_Data[[#This Row],[X]],0))</f>
        <v>12</v>
      </c>
      <c r="AN136" s="168">
        <f>IF(AC_Chart_Background_Data[[#This Row],[X]] &lt; EFC_99P-EFC_95P, EFC_95P, MAX(EFC_99P-AC_Chart_Background_Data[[#This Row],[X]],0))</f>
        <v>33</v>
      </c>
      <c r="AO136" s="168">
        <f t="shared" si="9"/>
        <v>170</v>
      </c>
      <c r="BA136" s="11"/>
      <c r="BB136" s="11"/>
      <c r="BC136" s="11"/>
      <c r="BD136" s="11"/>
    </row>
    <row r="137" spans="36:56" x14ac:dyDescent="0.25">
      <c r="AJ137" s="167">
        <f t="shared" si="10"/>
        <v>134</v>
      </c>
      <c r="AK137" s="168">
        <f>IF(AC_Chart_Background_Data[[#This Row],[X]] &lt; EFC_70P-EFC_50P, EFC_50P, MAX(EFC_70P-AC_Chart_Background_Data[[#This Row],[X]],0))</f>
        <v>0</v>
      </c>
      <c r="AL137" s="168">
        <f>IF(AC_Chart_Background_Data[[#This Row],[X]] &lt; EFC_85P-EFC_70P, EFC_70P, MAX(EFC_85P-AC_Chart_Background_Data[[#This Row],[X]],0))</f>
        <v>0</v>
      </c>
      <c r="AM137" s="168">
        <f>IF(AC_Chart_Background_Data[[#This Row],[X]] &lt; EFC_95P-EFC_85P, EFC_85P, MAX(EFC_95P-AC_Chart_Background_Data[[#This Row],[X]],0))</f>
        <v>11</v>
      </c>
      <c r="AN137" s="168">
        <f>IF(AC_Chart_Background_Data[[#This Row],[X]] &lt; EFC_99P-EFC_95P, EFC_95P, MAX(EFC_99P-AC_Chart_Background_Data[[#This Row],[X]],0))</f>
        <v>32</v>
      </c>
      <c r="AO137" s="168">
        <f t="shared" si="9"/>
        <v>170</v>
      </c>
      <c r="BA137" s="11"/>
      <c r="BB137" s="11"/>
      <c r="BC137" s="11"/>
      <c r="BD137" s="11"/>
    </row>
    <row r="138" spans="36:56" x14ac:dyDescent="0.25">
      <c r="AJ138" s="167">
        <f t="shared" si="10"/>
        <v>135</v>
      </c>
      <c r="AK138" s="168">
        <f>IF(AC_Chart_Background_Data[[#This Row],[X]] &lt; EFC_70P-EFC_50P, EFC_50P, MAX(EFC_70P-AC_Chart_Background_Data[[#This Row],[X]],0))</f>
        <v>0</v>
      </c>
      <c r="AL138" s="168">
        <f>IF(AC_Chart_Background_Data[[#This Row],[X]] &lt; EFC_85P-EFC_70P, EFC_70P, MAX(EFC_85P-AC_Chart_Background_Data[[#This Row],[X]],0))</f>
        <v>0</v>
      </c>
      <c r="AM138" s="168">
        <f>IF(AC_Chart_Background_Data[[#This Row],[X]] &lt; EFC_95P-EFC_85P, EFC_85P, MAX(EFC_95P-AC_Chart_Background_Data[[#This Row],[X]],0))</f>
        <v>10</v>
      </c>
      <c r="AN138" s="168">
        <f>IF(AC_Chart_Background_Data[[#This Row],[X]] &lt; EFC_99P-EFC_95P, EFC_95P, MAX(EFC_99P-AC_Chart_Background_Data[[#This Row],[X]],0))</f>
        <v>31</v>
      </c>
      <c r="AO138" s="168">
        <f t="shared" si="9"/>
        <v>170</v>
      </c>
      <c r="BA138" s="11"/>
      <c r="BB138" s="11"/>
      <c r="BC138" s="11"/>
      <c r="BD138" s="11"/>
    </row>
    <row r="139" spans="36:56" x14ac:dyDescent="0.25">
      <c r="AJ139" s="167">
        <f t="shared" si="10"/>
        <v>136</v>
      </c>
      <c r="AK139" s="168">
        <f>IF(AC_Chart_Background_Data[[#This Row],[X]] &lt; EFC_70P-EFC_50P, EFC_50P, MAX(EFC_70P-AC_Chart_Background_Data[[#This Row],[X]],0))</f>
        <v>0</v>
      </c>
      <c r="AL139" s="168">
        <f>IF(AC_Chart_Background_Data[[#This Row],[X]] &lt; EFC_85P-EFC_70P, EFC_70P, MAX(EFC_85P-AC_Chart_Background_Data[[#This Row],[X]],0))</f>
        <v>0</v>
      </c>
      <c r="AM139" s="168">
        <f>IF(AC_Chart_Background_Data[[#This Row],[X]] &lt; EFC_95P-EFC_85P, EFC_85P, MAX(EFC_95P-AC_Chart_Background_Data[[#This Row],[X]],0))</f>
        <v>9</v>
      </c>
      <c r="AN139" s="168">
        <f>IF(AC_Chart_Background_Data[[#This Row],[X]] &lt; EFC_99P-EFC_95P, EFC_95P, MAX(EFC_99P-AC_Chart_Background_Data[[#This Row],[X]],0))</f>
        <v>30</v>
      </c>
      <c r="AO139" s="168">
        <f t="shared" si="9"/>
        <v>170</v>
      </c>
      <c r="BA139" s="11"/>
      <c r="BB139" s="11"/>
      <c r="BC139" s="11"/>
      <c r="BD139" s="11"/>
    </row>
    <row r="140" spans="36:56" x14ac:dyDescent="0.25">
      <c r="AJ140" s="167">
        <f t="shared" si="10"/>
        <v>137</v>
      </c>
      <c r="AK140" s="168">
        <f>IF(AC_Chart_Background_Data[[#This Row],[X]] &lt; EFC_70P-EFC_50P, EFC_50P, MAX(EFC_70P-AC_Chart_Background_Data[[#This Row],[X]],0))</f>
        <v>0</v>
      </c>
      <c r="AL140" s="168">
        <f>IF(AC_Chart_Background_Data[[#This Row],[X]] &lt; EFC_85P-EFC_70P, EFC_70P, MAX(EFC_85P-AC_Chart_Background_Data[[#This Row],[X]],0))</f>
        <v>0</v>
      </c>
      <c r="AM140" s="168">
        <f>IF(AC_Chart_Background_Data[[#This Row],[X]] &lt; EFC_95P-EFC_85P, EFC_85P, MAX(EFC_95P-AC_Chart_Background_Data[[#This Row],[X]],0))</f>
        <v>8</v>
      </c>
      <c r="AN140" s="168">
        <f>IF(AC_Chart_Background_Data[[#This Row],[X]] &lt; EFC_99P-EFC_95P, EFC_95P, MAX(EFC_99P-AC_Chart_Background_Data[[#This Row],[X]],0))</f>
        <v>29</v>
      </c>
      <c r="AO140" s="168">
        <f t="shared" si="9"/>
        <v>170</v>
      </c>
      <c r="BA140" s="11"/>
      <c r="BB140" s="11"/>
      <c r="BC140" s="11"/>
      <c r="BD140" s="11"/>
    </row>
    <row r="141" spans="36:56" x14ac:dyDescent="0.25">
      <c r="AJ141" s="167">
        <f t="shared" si="10"/>
        <v>138</v>
      </c>
      <c r="AK141" s="168">
        <f>IF(AC_Chart_Background_Data[[#This Row],[X]] &lt; EFC_70P-EFC_50P, EFC_50P, MAX(EFC_70P-AC_Chart_Background_Data[[#This Row],[X]],0))</f>
        <v>0</v>
      </c>
      <c r="AL141" s="168">
        <f>IF(AC_Chart_Background_Data[[#This Row],[X]] &lt; EFC_85P-EFC_70P, EFC_70P, MAX(EFC_85P-AC_Chart_Background_Data[[#This Row],[X]],0))</f>
        <v>0</v>
      </c>
      <c r="AM141" s="168">
        <f>IF(AC_Chart_Background_Data[[#This Row],[X]] &lt; EFC_95P-EFC_85P, EFC_85P, MAX(EFC_95P-AC_Chart_Background_Data[[#This Row],[X]],0))</f>
        <v>7</v>
      </c>
      <c r="AN141" s="168">
        <f>IF(AC_Chart_Background_Data[[#This Row],[X]] &lt; EFC_99P-EFC_95P, EFC_95P, MAX(EFC_99P-AC_Chart_Background_Data[[#This Row],[X]],0))</f>
        <v>28</v>
      </c>
      <c r="AO141" s="168">
        <f t="shared" si="9"/>
        <v>170</v>
      </c>
      <c r="BA141" s="11"/>
      <c r="BB141" s="11"/>
      <c r="BC141" s="11"/>
      <c r="BD141" s="11"/>
    </row>
    <row r="142" spans="36:56" x14ac:dyDescent="0.25">
      <c r="AJ142" s="167">
        <f t="shared" si="10"/>
        <v>139</v>
      </c>
      <c r="AK142" s="168">
        <f>IF(AC_Chart_Background_Data[[#This Row],[X]] &lt; EFC_70P-EFC_50P, EFC_50P, MAX(EFC_70P-AC_Chart_Background_Data[[#This Row],[X]],0))</f>
        <v>0</v>
      </c>
      <c r="AL142" s="168">
        <f>IF(AC_Chart_Background_Data[[#This Row],[X]] &lt; EFC_85P-EFC_70P, EFC_70P, MAX(EFC_85P-AC_Chart_Background_Data[[#This Row],[X]],0))</f>
        <v>0</v>
      </c>
      <c r="AM142" s="168">
        <f>IF(AC_Chart_Background_Data[[#This Row],[X]] &lt; EFC_95P-EFC_85P, EFC_85P, MAX(EFC_95P-AC_Chart_Background_Data[[#This Row],[X]],0))</f>
        <v>6</v>
      </c>
      <c r="AN142" s="168">
        <f>IF(AC_Chart_Background_Data[[#This Row],[X]] &lt; EFC_99P-EFC_95P, EFC_95P, MAX(EFC_99P-AC_Chart_Background_Data[[#This Row],[X]],0))</f>
        <v>27</v>
      </c>
      <c r="AO142" s="168">
        <f t="shared" si="9"/>
        <v>170</v>
      </c>
      <c r="BA142" s="11"/>
      <c r="BB142" s="11"/>
      <c r="BC142" s="11"/>
      <c r="BD142" s="11"/>
    </row>
    <row r="143" spans="36:56" x14ac:dyDescent="0.25">
      <c r="AJ143" s="167">
        <f t="shared" si="10"/>
        <v>140</v>
      </c>
      <c r="AK143" s="168">
        <f>IF(AC_Chart_Background_Data[[#This Row],[X]] &lt; EFC_70P-EFC_50P, EFC_50P, MAX(EFC_70P-AC_Chart_Background_Data[[#This Row],[X]],0))</f>
        <v>0</v>
      </c>
      <c r="AL143" s="168">
        <f>IF(AC_Chart_Background_Data[[#This Row],[X]] &lt; EFC_85P-EFC_70P, EFC_70P, MAX(EFC_85P-AC_Chart_Background_Data[[#This Row],[X]],0))</f>
        <v>0</v>
      </c>
      <c r="AM143" s="168">
        <f>IF(AC_Chart_Background_Data[[#This Row],[X]] &lt; EFC_95P-EFC_85P, EFC_85P, MAX(EFC_95P-AC_Chart_Background_Data[[#This Row],[X]],0))</f>
        <v>5</v>
      </c>
      <c r="AN143" s="168">
        <f>IF(AC_Chart_Background_Data[[#This Row],[X]] &lt; EFC_99P-EFC_95P, EFC_95P, MAX(EFC_99P-AC_Chart_Background_Data[[#This Row],[X]],0))</f>
        <v>26</v>
      </c>
      <c r="AO143" s="168">
        <f t="shared" si="9"/>
        <v>170</v>
      </c>
      <c r="BA143" s="11"/>
      <c r="BB143" s="11"/>
      <c r="BC143" s="11"/>
      <c r="BD143" s="11"/>
    </row>
    <row r="144" spans="36:56" x14ac:dyDescent="0.25">
      <c r="AJ144" s="167">
        <f t="shared" si="10"/>
        <v>141</v>
      </c>
      <c r="AK144" s="168">
        <f>IF(AC_Chart_Background_Data[[#This Row],[X]] &lt; EFC_70P-EFC_50P, EFC_50P, MAX(EFC_70P-AC_Chart_Background_Data[[#This Row],[X]],0))</f>
        <v>0</v>
      </c>
      <c r="AL144" s="168">
        <f>IF(AC_Chart_Background_Data[[#This Row],[X]] &lt; EFC_85P-EFC_70P, EFC_70P, MAX(EFC_85P-AC_Chart_Background_Data[[#This Row],[X]],0))</f>
        <v>0</v>
      </c>
      <c r="AM144" s="168">
        <f>IF(AC_Chart_Background_Data[[#This Row],[X]] &lt; EFC_95P-EFC_85P, EFC_85P, MAX(EFC_95P-AC_Chart_Background_Data[[#This Row],[X]],0))</f>
        <v>4</v>
      </c>
      <c r="AN144" s="168">
        <f>IF(AC_Chart_Background_Data[[#This Row],[X]] &lt; EFC_99P-EFC_95P, EFC_95P, MAX(EFC_99P-AC_Chart_Background_Data[[#This Row],[X]],0))</f>
        <v>25</v>
      </c>
      <c r="AO144" s="168">
        <f t="shared" si="9"/>
        <v>170</v>
      </c>
      <c r="BA144" s="11"/>
      <c r="BB144" s="11"/>
      <c r="BC144" s="11"/>
      <c r="BD144" s="11"/>
    </row>
    <row r="145" spans="36:56" x14ac:dyDescent="0.25">
      <c r="AJ145" s="167">
        <f t="shared" si="10"/>
        <v>142</v>
      </c>
      <c r="AK145" s="168">
        <f>IF(AC_Chart_Background_Data[[#This Row],[X]] &lt; EFC_70P-EFC_50P, EFC_50P, MAX(EFC_70P-AC_Chart_Background_Data[[#This Row],[X]],0))</f>
        <v>0</v>
      </c>
      <c r="AL145" s="168">
        <f>IF(AC_Chart_Background_Data[[#This Row],[X]] &lt; EFC_85P-EFC_70P, EFC_70P, MAX(EFC_85P-AC_Chart_Background_Data[[#This Row],[X]],0))</f>
        <v>0</v>
      </c>
      <c r="AM145" s="168">
        <f>IF(AC_Chart_Background_Data[[#This Row],[X]] &lt; EFC_95P-EFC_85P, EFC_85P, MAX(EFC_95P-AC_Chart_Background_Data[[#This Row],[X]],0))</f>
        <v>3</v>
      </c>
      <c r="AN145" s="168">
        <f>IF(AC_Chart_Background_Data[[#This Row],[X]] &lt; EFC_99P-EFC_95P, EFC_95P, MAX(EFC_99P-AC_Chart_Background_Data[[#This Row],[X]],0))</f>
        <v>24</v>
      </c>
      <c r="AO145" s="168">
        <f t="shared" si="9"/>
        <v>170</v>
      </c>
      <c r="BA145" s="11"/>
      <c r="BB145" s="11"/>
      <c r="BC145" s="11"/>
      <c r="BD145" s="11"/>
    </row>
    <row r="146" spans="36:56" x14ac:dyDescent="0.25">
      <c r="AJ146" s="167">
        <f t="shared" si="10"/>
        <v>143</v>
      </c>
      <c r="AK146" s="168">
        <f>IF(AC_Chart_Background_Data[[#This Row],[X]] &lt; EFC_70P-EFC_50P, EFC_50P, MAX(EFC_70P-AC_Chart_Background_Data[[#This Row],[X]],0))</f>
        <v>0</v>
      </c>
      <c r="AL146" s="168">
        <f>IF(AC_Chart_Background_Data[[#This Row],[X]] &lt; EFC_85P-EFC_70P, EFC_70P, MAX(EFC_85P-AC_Chart_Background_Data[[#This Row],[X]],0))</f>
        <v>0</v>
      </c>
      <c r="AM146" s="168">
        <f>IF(AC_Chart_Background_Data[[#This Row],[X]] &lt; EFC_95P-EFC_85P, EFC_85P, MAX(EFC_95P-AC_Chart_Background_Data[[#This Row],[X]],0))</f>
        <v>2</v>
      </c>
      <c r="AN146" s="168">
        <f>IF(AC_Chart_Background_Data[[#This Row],[X]] &lt; EFC_99P-EFC_95P, EFC_95P, MAX(EFC_99P-AC_Chart_Background_Data[[#This Row],[X]],0))</f>
        <v>23</v>
      </c>
      <c r="AO146" s="168">
        <f t="shared" si="9"/>
        <v>170</v>
      </c>
      <c r="BA146" s="11"/>
      <c r="BB146" s="11"/>
      <c r="BC146" s="11"/>
      <c r="BD146" s="11"/>
    </row>
    <row r="147" spans="36:56" x14ac:dyDescent="0.25">
      <c r="AJ147" s="167">
        <f t="shared" si="10"/>
        <v>144</v>
      </c>
      <c r="AK147" s="168">
        <f>IF(AC_Chart_Background_Data[[#This Row],[X]] &lt; EFC_70P-EFC_50P, EFC_50P, MAX(EFC_70P-AC_Chart_Background_Data[[#This Row],[X]],0))</f>
        <v>0</v>
      </c>
      <c r="AL147" s="168">
        <f>IF(AC_Chart_Background_Data[[#This Row],[X]] &lt; EFC_85P-EFC_70P, EFC_70P, MAX(EFC_85P-AC_Chart_Background_Data[[#This Row],[X]],0))</f>
        <v>0</v>
      </c>
      <c r="AM147" s="168">
        <f>IF(AC_Chart_Background_Data[[#This Row],[X]] &lt; EFC_95P-EFC_85P, EFC_85P, MAX(EFC_95P-AC_Chart_Background_Data[[#This Row],[X]],0))</f>
        <v>1</v>
      </c>
      <c r="AN147" s="168">
        <f>IF(AC_Chart_Background_Data[[#This Row],[X]] &lt; EFC_99P-EFC_95P, EFC_95P, MAX(EFC_99P-AC_Chart_Background_Data[[#This Row],[X]],0))</f>
        <v>22</v>
      </c>
      <c r="AO147" s="168">
        <f t="shared" si="9"/>
        <v>170</v>
      </c>
      <c r="BA147" s="11"/>
      <c r="BB147" s="11"/>
      <c r="BC147" s="11"/>
      <c r="BD147" s="11"/>
    </row>
    <row r="148" spans="36:56" x14ac:dyDescent="0.25">
      <c r="AJ148" s="167">
        <f t="shared" si="10"/>
        <v>145</v>
      </c>
      <c r="AK148" s="168">
        <f>IF(AC_Chart_Background_Data[[#This Row],[X]] &lt; EFC_70P-EFC_50P, EFC_50P, MAX(EFC_70P-AC_Chart_Background_Data[[#This Row],[X]],0))</f>
        <v>0</v>
      </c>
      <c r="AL148" s="168">
        <f>IF(AC_Chart_Background_Data[[#This Row],[X]] &lt; EFC_85P-EFC_70P, EFC_70P, MAX(EFC_85P-AC_Chart_Background_Data[[#This Row],[X]],0))</f>
        <v>0</v>
      </c>
      <c r="AM148" s="168">
        <f>IF(AC_Chart_Background_Data[[#This Row],[X]] &lt; EFC_95P-EFC_85P, EFC_85P, MAX(EFC_95P-AC_Chart_Background_Data[[#This Row],[X]],0))</f>
        <v>0</v>
      </c>
      <c r="AN148" s="168">
        <f>IF(AC_Chart_Background_Data[[#This Row],[X]] &lt; EFC_99P-EFC_95P, EFC_95P, MAX(EFC_99P-AC_Chart_Background_Data[[#This Row],[X]],0))</f>
        <v>21</v>
      </c>
      <c r="AO148" s="168">
        <f t="shared" si="9"/>
        <v>170</v>
      </c>
      <c r="BA148" s="11"/>
      <c r="BB148" s="11"/>
      <c r="BC148" s="11"/>
      <c r="BD148" s="11"/>
    </row>
    <row r="149" spans="36:56" x14ac:dyDescent="0.25">
      <c r="AJ149" s="167">
        <f t="shared" si="10"/>
        <v>146</v>
      </c>
      <c r="AK149" s="168">
        <f>IF(AC_Chart_Background_Data[[#This Row],[X]] &lt; EFC_70P-EFC_50P, EFC_50P, MAX(EFC_70P-AC_Chart_Background_Data[[#This Row],[X]],0))</f>
        <v>0</v>
      </c>
      <c r="AL149" s="168">
        <f>IF(AC_Chart_Background_Data[[#This Row],[X]] &lt; EFC_85P-EFC_70P, EFC_70P, MAX(EFC_85P-AC_Chart_Background_Data[[#This Row],[X]],0))</f>
        <v>0</v>
      </c>
      <c r="AM149" s="168">
        <f>IF(AC_Chart_Background_Data[[#This Row],[X]] &lt; EFC_95P-EFC_85P, EFC_85P, MAX(EFC_95P-AC_Chart_Background_Data[[#This Row],[X]],0))</f>
        <v>0</v>
      </c>
      <c r="AN149" s="168">
        <f>IF(AC_Chart_Background_Data[[#This Row],[X]] &lt; EFC_99P-EFC_95P, EFC_95P, MAX(EFC_99P-AC_Chart_Background_Data[[#This Row],[X]],0))</f>
        <v>20</v>
      </c>
      <c r="AO149" s="168">
        <f t="shared" si="9"/>
        <v>170</v>
      </c>
      <c r="BA149" s="11"/>
      <c r="BB149" s="11"/>
      <c r="BC149" s="11"/>
      <c r="BD149" s="11"/>
    </row>
    <row r="150" spans="36:56" x14ac:dyDescent="0.25">
      <c r="AJ150" s="167">
        <f t="shared" si="10"/>
        <v>147</v>
      </c>
      <c r="AK150" s="168">
        <f>IF(AC_Chart_Background_Data[[#This Row],[X]] &lt; EFC_70P-EFC_50P, EFC_50P, MAX(EFC_70P-AC_Chart_Background_Data[[#This Row],[X]],0))</f>
        <v>0</v>
      </c>
      <c r="AL150" s="168">
        <f>IF(AC_Chart_Background_Data[[#This Row],[X]] &lt; EFC_85P-EFC_70P, EFC_70P, MAX(EFC_85P-AC_Chart_Background_Data[[#This Row],[X]],0))</f>
        <v>0</v>
      </c>
      <c r="AM150" s="168">
        <f>IF(AC_Chart_Background_Data[[#This Row],[X]] &lt; EFC_95P-EFC_85P, EFC_85P, MAX(EFC_95P-AC_Chart_Background_Data[[#This Row],[X]],0))</f>
        <v>0</v>
      </c>
      <c r="AN150" s="168">
        <f>IF(AC_Chart_Background_Data[[#This Row],[X]] &lt; EFC_99P-EFC_95P, EFC_95P, MAX(EFC_99P-AC_Chart_Background_Data[[#This Row],[X]],0))</f>
        <v>19</v>
      </c>
      <c r="AO150" s="168">
        <f t="shared" si="9"/>
        <v>170</v>
      </c>
      <c r="BA150" s="11"/>
      <c r="BB150" s="11"/>
      <c r="BC150" s="11"/>
      <c r="BD150" s="11"/>
    </row>
    <row r="151" spans="36:56" x14ac:dyDescent="0.25">
      <c r="AJ151" s="167">
        <f t="shared" si="10"/>
        <v>148</v>
      </c>
      <c r="AK151" s="168">
        <f>IF(AC_Chart_Background_Data[[#This Row],[X]] &lt; EFC_70P-EFC_50P, EFC_50P, MAX(EFC_70P-AC_Chart_Background_Data[[#This Row],[X]],0))</f>
        <v>0</v>
      </c>
      <c r="AL151" s="168">
        <f>IF(AC_Chart_Background_Data[[#This Row],[X]] &lt; EFC_85P-EFC_70P, EFC_70P, MAX(EFC_85P-AC_Chart_Background_Data[[#This Row],[X]],0))</f>
        <v>0</v>
      </c>
      <c r="AM151" s="168">
        <f>IF(AC_Chart_Background_Data[[#This Row],[X]] &lt; EFC_95P-EFC_85P, EFC_85P, MAX(EFC_95P-AC_Chart_Background_Data[[#This Row],[X]],0))</f>
        <v>0</v>
      </c>
      <c r="AN151" s="168">
        <f>IF(AC_Chart_Background_Data[[#This Row],[X]] &lt; EFC_99P-EFC_95P, EFC_95P, MAX(EFC_99P-AC_Chart_Background_Data[[#This Row],[X]],0))</f>
        <v>18</v>
      </c>
      <c r="AO151" s="168">
        <f t="shared" si="9"/>
        <v>170</v>
      </c>
      <c r="BA151" s="11"/>
      <c r="BB151" s="11"/>
      <c r="BC151" s="11"/>
      <c r="BD151" s="11"/>
    </row>
    <row r="152" spans="36:56" x14ac:dyDescent="0.25">
      <c r="AJ152" s="167">
        <f t="shared" si="10"/>
        <v>149</v>
      </c>
      <c r="AK152" s="168">
        <f>IF(AC_Chart_Background_Data[[#This Row],[X]] &lt; EFC_70P-EFC_50P, EFC_50P, MAX(EFC_70P-AC_Chart_Background_Data[[#This Row],[X]],0))</f>
        <v>0</v>
      </c>
      <c r="AL152" s="168">
        <f>IF(AC_Chart_Background_Data[[#This Row],[X]] &lt; EFC_85P-EFC_70P, EFC_70P, MAX(EFC_85P-AC_Chart_Background_Data[[#This Row],[X]],0))</f>
        <v>0</v>
      </c>
      <c r="AM152" s="168">
        <f>IF(AC_Chart_Background_Data[[#This Row],[X]] &lt; EFC_95P-EFC_85P, EFC_85P, MAX(EFC_95P-AC_Chart_Background_Data[[#This Row],[X]],0))</f>
        <v>0</v>
      </c>
      <c r="AN152" s="168">
        <f>IF(AC_Chart_Background_Data[[#This Row],[X]] &lt; EFC_99P-EFC_95P, EFC_95P, MAX(EFC_99P-AC_Chart_Background_Data[[#This Row],[X]],0))</f>
        <v>17</v>
      </c>
      <c r="AO152" s="168">
        <f t="shared" si="9"/>
        <v>170</v>
      </c>
      <c r="BA152" s="11"/>
      <c r="BB152" s="11"/>
      <c r="BC152" s="11"/>
      <c r="BD152" s="11"/>
    </row>
    <row r="153" spans="36:56" x14ac:dyDescent="0.25">
      <c r="AJ153" s="167">
        <f t="shared" si="10"/>
        <v>150</v>
      </c>
      <c r="AK153" s="168">
        <f>IF(AC_Chart_Background_Data[[#This Row],[X]] &lt; EFC_70P-EFC_50P, EFC_50P, MAX(EFC_70P-AC_Chart_Background_Data[[#This Row],[X]],0))</f>
        <v>0</v>
      </c>
      <c r="AL153" s="168">
        <f>IF(AC_Chart_Background_Data[[#This Row],[X]] &lt; EFC_85P-EFC_70P, EFC_70P, MAX(EFC_85P-AC_Chart_Background_Data[[#This Row],[X]],0))</f>
        <v>0</v>
      </c>
      <c r="AM153" s="168">
        <f>IF(AC_Chart_Background_Data[[#This Row],[X]] &lt; EFC_95P-EFC_85P, EFC_85P, MAX(EFC_95P-AC_Chart_Background_Data[[#This Row],[X]],0))</f>
        <v>0</v>
      </c>
      <c r="AN153" s="168">
        <f>IF(AC_Chart_Background_Data[[#This Row],[X]] &lt; EFC_99P-EFC_95P, EFC_95P, MAX(EFC_99P-AC_Chart_Background_Data[[#This Row],[X]],0))</f>
        <v>16</v>
      </c>
      <c r="AO153" s="168">
        <f t="shared" si="9"/>
        <v>170</v>
      </c>
      <c r="BA153" s="11"/>
      <c r="BB153" s="11"/>
      <c r="BC153" s="11"/>
      <c r="BD153" s="11"/>
    </row>
    <row r="154" spans="36:56" x14ac:dyDescent="0.25">
      <c r="AJ154" s="167">
        <f t="shared" si="10"/>
        <v>151</v>
      </c>
      <c r="AK154" s="168">
        <f>IF(AC_Chart_Background_Data[[#This Row],[X]] &lt; EFC_70P-EFC_50P, EFC_50P, MAX(EFC_70P-AC_Chart_Background_Data[[#This Row],[X]],0))</f>
        <v>0</v>
      </c>
      <c r="AL154" s="168">
        <f>IF(AC_Chart_Background_Data[[#This Row],[X]] &lt; EFC_85P-EFC_70P, EFC_70P, MAX(EFC_85P-AC_Chart_Background_Data[[#This Row],[X]],0))</f>
        <v>0</v>
      </c>
      <c r="AM154" s="168">
        <f>IF(AC_Chart_Background_Data[[#This Row],[X]] &lt; EFC_95P-EFC_85P, EFC_85P, MAX(EFC_95P-AC_Chart_Background_Data[[#This Row],[X]],0))</f>
        <v>0</v>
      </c>
      <c r="AN154" s="168">
        <f>IF(AC_Chart_Background_Data[[#This Row],[X]] &lt; EFC_99P-EFC_95P, EFC_95P, MAX(EFC_99P-AC_Chart_Background_Data[[#This Row],[X]],0))</f>
        <v>15</v>
      </c>
      <c r="AO154" s="168">
        <f t="shared" si="9"/>
        <v>170</v>
      </c>
      <c r="BA154" s="11"/>
      <c r="BB154" s="11"/>
      <c r="BC154" s="11"/>
      <c r="BD154" s="11"/>
    </row>
    <row r="155" spans="36:56" x14ac:dyDescent="0.25">
      <c r="AJ155" s="167">
        <f t="shared" si="10"/>
        <v>152</v>
      </c>
      <c r="AK155" s="168">
        <f>IF(AC_Chart_Background_Data[[#This Row],[X]] &lt; EFC_70P-EFC_50P, EFC_50P, MAX(EFC_70P-AC_Chart_Background_Data[[#This Row],[X]],0))</f>
        <v>0</v>
      </c>
      <c r="AL155" s="168">
        <f>IF(AC_Chart_Background_Data[[#This Row],[X]] &lt; EFC_85P-EFC_70P, EFC_70P, MAX(EFC_85P-AC_Chart_Background_Data[[#This Row],[X]],0))</f>
        <v>0</v>
      </c>
      <c r="AM155" s="168">
        <f>IF(AC_Chart_Background_Data[[#This Row],[X]] &lt; EFC_95P-EFC_85P, EFC_85P, MAX(EFC_95P-AC_Chart_Background_Data[[#This Row],[X]],0))</f>
        <v>0</v>
      </c>
      <c r="AN155" s="168">
        <f>IF(AC_Chart_Background_Data[[#This Row],[X]] &lt; EFC_99P-EFC_95P, EFC_95P, MAX(EFC_99P-AC_Chart_Background_Data[[#This Row],[X]],0))</f>
        <v>14</v>
      </c>
      <c r="AO155" s="168">
        <f t="shared" si="9"/>
        <v>170</v>
      </c>
      <c r="BA155" s="11"/>
      <c r="BB155" s="11"/>
      <c r="BC155" s="11"/>
      <c r="BD155" s="11"/>
    </row>
    <row r="156" spans="36:56" x14ac:dyDescent="0.25">
      <c r="AJ156" s="167">
        <f t="shared" si="10"/>
        <v>153</v>
      </c>
      <c r="AK156" s="168">
        <f>IF(AC_Chart_Background_Data[[#This Row],[X]] &lt; EFC_70P-EFC_50P, EFC_50P, MAX(EFC_70P-AC_Chart_Background_Data[[#This Row],[X]],0))</f>
        <v>0</v>
      </c>
      <c r="AL156" s="168">
        <f>IF(AC_Chart_Background_Data[[#This Row],[X]] &lt; EFC_85P-EFC_70P, EFC_70P, MAX(EFC_85P-AC_Chart_Background_Data[[#This Row],[X]],0))</f>
        <v>0</v>
      </c>
      <c r="AM156" s="168">
        <f>IF(AC_Chart_Background_Data[[#This Row],[X]] &lt; EFC_95P-EFC_85P, EFC_85P, MAX(EFC_95P-AC_Chart_Background_Data[[#This Row],[X]],0))</f>
        <v>0</v>
      </c>
      <c r="AN156" s="168">
        <f>IF(AC_Chart_Background_Data[[#This Row],[X]] &lt; EFC_99P-EFC_95P, EFC_95P, MAX(EFC_99P-AC_Chart_Background_Data[[#This Row],[X]],0))</f>
        <v>13</v>
      </c>
      <c r="AO156" s="168">
        <f t="shared" si="9"/>
        <v>170</v>
      </c>
      <c r="BA156" s="11"/>
      <c r="BB156" s="11"/>
      <c r="BC156" s="11"/>
      <c r="BD156" s="11"/>
    </row>
    <row r="157" spans="36:56" x14ac:dyDescent="0.25">
      <c r="AJ157" s="167">
        <f t="shared" si="10"/>
        <v>154</v>
      </c>
      <c r="AK157" s="168">
        <f>IF(AC_Chart_Background_Data[[#This Row],[X]] &lt; EFC_70P-EFC_50P, EFC_50P, MAX(EFC_70P-AC_Chart_Background_Data[[#This Row],[X]],0))</f>
        <v>0</v>
      </c>
      <c r="AL157" s="168">
        <f>IF(AC_Chart_Background_Data[[#This Row],[X]] &lt; EFC_85P-EFC_70P, EFC_70P, MAX(EFC_85P-AC_Chart_Background_Data[[#This Row],[X]],0))</f>
        <v>0</v>
      </c>
      <c r="AM157" s="168">
        <f>IF(AC_Chart_Background_Data[[#This Row],[X]] &lt; EFC_95P-EFC_85P, EFC_85P, MAX(EFC_95P-AC_Chart_Background_Data[[#This Row],[X]],0))</f>
        <v>0</v>
      </c>
      <c r="AN157" s="168">
        <f>IF(AC_Chart_Background_Data[[#This Row],[X]] &lt; EFC_99P-EFC_95P, EFC_95P, MAX(EFC_99P-AC_Chart_Background_Data[[#This Row],[X]],0))</f>
        <v>12</v>
      </c>
      <c r="AO157" s="168">
        <f t="shared" si="9"/>
        <v>170</v>
      </c>
      <c r="BA157" s="11"/>
      <c r="BB157" s="11"/>
      <c r="BC157" s="11"/>
      <c r="BD157" s="11"/>
    </row>
    <row r="158" spans="36:56" x14ac:dyDescent="0.25">
      <c r="AJ158" s="167">
        <f t="shared" si="10"/>
        <v>155</v>
      </c>
      <c r="AK158" s="168">
        <f>IF(AC_Chart_Background_Data[[#This Row],[X]] &lt; EFC_70P-EFC_50P, EFC_50P, MAX(EFC_70P-AC_Chart_Background_Data[[#This Row],[X]],0))</f>
        <v>0</v>
      </c>
      <c r="AL158" s="168">
        <f>IF(AC_Chart_Background_Data[[#This Row],[X]] &lt; EFC_85P-EFC_70P, EFC_70P, MAX(EFC_85P-AC_Chart_Background_Data[[#This Row],[X]],0))</f>
        <v>0</v>
      </c>
      <c r="AM158" s="168">
        <f>IF(AC_Chart_Background_Data[[#This Row],[X]] &lt; EFC_95P-EFC_85P, EFC_85P, MAX(EFC_95P-AC_Chart_Background_Data[[#This Row],[X]],0))</f>
        <v>0</v>
      </c>
      <c r="AN158" s="168">
        <f>IF(AC_Chart_Background_Data[[#This Row],[X]] &lt; EFC_99P-EFC_95P, EFC_95P, MAX(EFC_99P-AC_Chart_Background_Data[[#This Row],[X]],0))</f>
        <v>11</v>
      </c>
      <c r="AO158" s="168">
        <f t="shared" si="9"/>
        <v>170</v>
      </c>
      <c r="BA158" s="11"/>
      <c r="BB158" s="11"/>
      <c r="BC158" s="11"/>
      <c r="BD158" s="11"/>
    </row>
    <row r="159" spans="36:56" x14ac:dyDescent="0.25">
      <c r="AJ159" s="167">
        <f t="shared" si="10"/>
        <v>156</v>
      </c>
      <c r="AK159" s="168">
        <f>IF(AC_Chart_Background_Data[[#This Row],[X]] &lt; EFC_70P-EFC_50P, EFC_50P, MAX(EFC_70P-AC_Chart_Background_Data[[#This Row],[X]],0))</f>
        <v>0</v>
      </c>
      <c r="AL159" s="168">
        <f>IF(AC_Chart_Background_Data[[#This Row],[X]] &lt; EFC_85P-EFC_70P, EFC_70P, MAX(EFC_85P-AC_Chart_Background_Data[[#This Row],[X]],0))</f>
        <v>0</v>
      </c>
      <c r="AM159" s="168">
        <f>IF(AC_Chart_Background_Data[[#This Row],[X]] &lt; EFC_95P-EFC_85P, EFC_85P, MAX(EFC_95P-AC_Chart_Background_Data[[#This Row],[X]],0))</f>
        <v>0</v>
      </c>
      <c r="AN159" s="168">
        <f>IF(AC_Chart_Background_Data[[#This Row],[X]] &lt; EFC_99P-EFC_95P, EFC_95P, MAX(EFC_99P-AC_Chart_Background_Data[[#This Row],[X]],0))</f>
        <v>10</v>
      </c>
      <c r="AO159" s="168">
        <f t="shared" si="9"/>
        <v>170</v>
      </c>
      <c r="BA159" s="11"/>
      <c r="BB159" s="11"/>
      <c r="BC159" s="11"/>
      <c r="BD159" s="11"/>
    </row>
    <row r="160" spans="36:56" x14ac:dyDescent="0.25">
      <c r="AJ160" s="167">
        <f t="shared" si="10"/>
        <v>157</v>
      </c>
      <c r="AK160" s="168">
        <f>IF(AC_Chart_Background_Data[[#This Row],[X]] &lt; EFC_70P-EFC_50P, EFC_50P, MAX(EFC_70P-AC_Chart_Background_Data[[#This Row],[X]],0))</f>
        <v>0</v>
      </c>
      <c r="AL160" s="168">
        <f>IF(AC_Chart_Background_Data[[#This Row],[X]] &lt; EFC_85P-EFC_70P, EFC_70P, MAX(EFC_85P-AC_Chart_Background_Data[[#This Row],[X]],0))</f>
        <v>0</v>
      </c>
      <c r="AM160" s="168">
        <f>IF(AC_Chart_Background_Data[[#This Row],[X]] &lt; EFC_95P-EFC_85P, EFC_85P, MAX(EFC_95P-AC_Chart_Background_Data[[#This Row],[X]],0))</f>
        <v>0</v>
      </c>
      <c r="AN160" s="168">
        <f>IF(AC_Chart_Background_Data[[#This Row],[X]] &lt; EFC_99P-EFC_95P, EFC_95P, MAX(EFC_99P-AC_Chart_Background_Data[[#This Row],[X]],0))</f>
        <v>9</v>
      </c>
      <c r="AO160" s="168">
        <f t="shared" si="9"/>
        <v>170</v>
      </c>
      <c r="BA160" s="11"/>
      <c r="BB160" s="11"/>
      <c r="BC160" s="11"/>
      <c r="BD160" s="11"/>
    </row>
    <row r="161" spans="36:56" x14ac:dyDescent="0.25">
      <c r="AJ161" s="167">
        <f t="shared" si="10"/>
        <v>158</v>
      </c>
      <c r="AK161" s="168">
        <f>IF(AC_Chart_Background_Data[[#This Row],[X]] &lt; EFC_70P-EFC_50P, EFC_50P, MAX(EFC_70P-AC_Chart_Background_Data[[#This Row],[X]],0))</f>
        <v>0</v>
      </c>
      <c r="AL161" s="168">
        <f>IF(AC_Chart_Background_Data[[#This Row],[X]] &lt; EFC_85P-EFC_70P, EFC_70P, MAX(EFC_85P-AC_Chart_Background_Data[[#This Row],[X]],0))</f>
        <v>0</v>
      </c>
      <c r="AM161" s="168">
        <f>IF(AC_Chart_Background_Data[[#This Row],[X]] &lt; EFC_95P-EFC_85P, EFC_85P, MAX(EFC_95P-AC_Chart_Background_Data[[#This Row],[X]],0))</f>
        <v>0</v>
      </c>
      <c r="AN161" s="168">
        <f>IF(AC_Chart_Background_Data[[#This Row],[X]] &lt; EFC_99P-EFC_95P, EFC_95P, MAX(EFC_99P-AC_Chart_Background_Data[[#This Row],[X]],0))</f>
        <v>8</v>
      </c>
      <c r="AO161" s="168">
        <f t="shared" si="9"/>
        <v>170</v>
      </c>
      <c r="BA161" s="11"/>
      <c r="BB161" s="11"/>
      <c r="BC161" s="11"/>
      <c r="BD161" s="11"/>
    </row>
    <row r="162" spans="36:56" x14ac:dyDescent="0.25">
      <c r="AJ162" s="167">
        <f t="shared" si="10"/>
        <v>159</v>
      </c>
      <c r="AK162" s="168">
        <f>IF(AC_Chart_Background_Data[[#This Row],[X]] &lt; EFC_70P-EFC_50P, EFC_50P, MAX(EFC_70P-AC_Chart_Background_Data[[#This Row],[X]],0))</f>
        <v>0</v>
      </c>
      <c r="AL162" s="168">
        <f>IF(AC_Chart_Background_Data[[#This Row],[X]] &lt; EFC_85P-EFC_70P, EFC_70P, MAX(EFC_85P-AC_Chart_Background_Data[[#This Row],[X]],0))</f>
        <v>0</v>
      </c>
      <c r="AM162" s="168">
        <f>IF(AC_Chart_Background_Data[[#This Row],[X]] &lt; EFC_95P-EFC_85P, EFC_85P, MAX(EFC_95P-AC_Chart_Background_Data[[#This Row],[X]],0))</f>
        <v>0</v>
      </c>
      <c r="AN162" s="168">
        <f>IF(AC_Chart_Background_Data[[#This Row],[X]] &lt; EFC_99P-EFC_95P, EFC_95P, MAX(EFC_99P-AC_Chart_Background_Data[[#This Row],[X]],0))</f>
        <v>7</v>
      </c>
      <c r="AO162" s="168">
        <f t="shared" si="9"/>
        <v>170</v>
      </c>
      <c r="BA162" s="11"/>
      <c r="BB162" s="11"/>
      <c r="BC162" s="11"/>
      <c r="BD162" s="11"/>
    </row>
    <row r="163" spans="36:56" x14ac:dyDescent="0.25">
      <c r="AJ163" s="167">
        <f t="shared" si="10"/>
        <v>160</v>
      </c>
      <c r="AK163" s="168">
        <f>IF(AC_Chart_Background_Data[[#This Row],[X]] &lt; EFC_70P-EFC_50P, EFC_50P, MAX(EFC_70P-AC_Chart_Background_Data[[#This Row],[X]],0))</f>
        <v>0</v>
      </c>
      <c r="AL163" s="168">
        <f>IF(AC_Chart_Background_Data[[#This Row],[X]] &lt; EFC_85P-EFC_70P, EFC_70P, MAX(EFC_85P-AC_Chart_Background_Data[[#This Row],[X]],0))</f>
        <v>0</v>
      </c>
      <c r="AM163" s="168">
        <f>IF(AC_Chart_Background_Data[[#This Row],[X]] &lt; EFC_95P-EFC_85P, EFC_85P, MAX(EFC_95P-AC_Chart_Background_Data[[#This Row],[X]],0))</f>
        <v>0</v>
      </c>
      <c r="AN163" s="168">
        <f>IF(AC_Chart_Background_Data[[#This Row],[X]] &lt; EFC_99P-EFC_95P, EFC_95P, MAX(EFC_99P-AC_Chart_Background_Data[[#This Row],[X]],0))</f>
        <v>6</v>
      </c>
      <c r="AO163" s="168">
        <f t="shared" si="9"/>
        <v>170</v>
      </c>
      <c r="BA163" s="11"/>
      <c r="BB163" s="11"/>
      <c r="BC163" s="11"/>
      <c r="BD163" s="11"/>
    </row>
    <row r="164" spans="36:56" x14ac:dyDescent="0.25">
      <c r="AJ164" s="167">
        <f t="shared" si="10"/>
        <v>161</v>
      </c>
      <c r="AK164" s="168">
        <f>IF(AC_Chart_Background_Data[[#This Row],[X]] &lt; EFC_70P-EFC_50P, EFC_50P, MAX(EFC_70P-AC_Chart_Background_Data[[#This Row],[X]],0))</f>
        <v>0</v>
      </c>
      <c r="AL164" s="168">
        <f>IF(AC_Chart_Background_Data[[#This Row],[X]] &lt; EFC_85P-EFC_70P, EFC_70P, MAX(EFC_85P-AC_Chart_Background_Data[[#This Row],[X]],0))</f>
        <v>0</v>
      </c>
      <c r="AM164" s="168">
        <f>IF(AC_Chart_Background_Data[[#This Row],[X]] &lt; EFC_95P-EFC_85P, EFC_85P, MAX(EFC_95P-AC_Chart_Background_Data[[#This Row],[X]],0))</f>
        <v>0</v>
      </c>
      <c r="AN164" s="168">
        <f>IF(AC_Chart_Background_Data[[#This Row],[X]] &lt; EFC_99P-EFC_95P, EFC_95P, MAX(EFC_99P-AC_Chart_Background_Data[[#This Row],[X]],0))</f>
        <v>5</v>
      </c>
      <c r="AO164" s="168">
        <f t="shared" si="9"/>
        <v>170</v>
      </c>
      <c r="BA164" s="11"/>
      <c r="BB164" s="11"/>
      <c r="BC164" s="11"/>
      <c r="BD164" s="11"/>
    </row>
    <row r="165" spans="36:56" x14ac:dyDescent="0.25">
      <c r="AJ165" s="167">
        <f t="shared" si="10"/>
        <v>162</v>
      </c>
      <c r="AK165" s="168">
        <f>IF(AC_Chart_Background_Data[[#This Row],[X]] &lt; EFC_70P-EFC_50P, EFC_50P, MAX(EFC_70P-AC_Chart_Background_Data[[#This Row],[X]],0))</f>
        <v>0</v>
      </c>
      <c r="AL165" s="168">
        <f>IF(AC_Chart_Background_Data[[#This Row],[X]] &lt; EFC_85P-EFC_70P, EFC_70P, MAX(EFC_85P-AC_Chart_Background_Data[[#This Row],[X]],0))</f>
        <v>0</v>
      </c>
      <c r="AM165" s="168">
        <f>IF(AC_Chart_Background_Data[[#This Row],[X]] &lt; EFC_95P-EFC_85P, EFC_85P, MAX(EFC_95P-AC_Chart_Background_Data[[#This Row],[X]],0))</f>
        <v>0</v>
      </c>
      <c r="AN165" s="168">
        <f>IF(AC_Chart_Background_Data[[#This Row],[X]] &lt; EFC_99P-EFC_95P, EFC_95P, MAX(EFC_99P-AC_Chart_Background_Data[[#This Row],[X]],0))</f>
        <v>4</v>
      </c>
      <c r="AO165" s="168">
        <f t="shared" si="9"/>
        <v>170</v>
      </c>
      <c r="BA165" s="11"/>
      <c r="BB165" s="11"/>
      <c r="BC165" s="11"/>
      <c r="BD165" s="11"/>
    </row>
    <row r="166" spans="36:56" x14ac:dyDescent="0.25">
      <c r="AJ166" s="167">
        <f t="shared" si="10"/>
        <v>163</v>
      </c>
      <c r="AK166" s="168">
        <f>IF(AC_Chart_Background_Data[[#This Row],[X]] &lt; EFC_70P-EFC_50P, EFC_50P, MAX(EFC_70P-AC_Chart_Background_Data[[#This Row],[X]],0))</f>
        <v>0</v>
      </c>
      <c r="AL166" s="168">
        <f>IF(AC_Chart_Background_Data[[#This Row],[X]] &lt; EFC_85P-EFC_70P, EFC_70P, MAX(EFC_85P-AC_Chart_Background_Data[[#This Row],[X]],0))</f>
        <v>0</v>
      </c>
      <c r="AM166" s="168">
        <f>IF(AC_Chart_Background_Data[[#This Row],[X]] &lt; EFC_95P-EFC_85P, EFC_85P, MAX(EFC_95P-AC_Chart_Background_Data[[#This Row],[X]],0))</f>
        <v>0</v>
      </c>
      <c r="AN166" s="168">
        <f>IF(AC_Chart_Background_Data[[#This Row],[X]] &lt; EFC_99P-EFC_95P, EFC_95P, MAX(EFC_99P-AC_Chart_Background_Data[[#This Row],[X]],0))</f>
        <v>3</v>
      </c>
      <c r="AO166" s="168">
        <f t="shared" si="9"/>
        <v>170</v>
      </c>
      <c r="BA166" s="11"/>
      <c r="BB166" s="11"/>
      <c r="BC166" s="11"/>
      <c r="BD166" s="11"/>
    </row>
    <row r="167" spans="36:56" x14ac:dyDescent="0.25">
      <c r="AJ167" s="167">
        <f t="shared" si="10"/>
        <v>164</v>
      </c>
      <c r="AK167" s="168">
        <f>IF(AC_Chart_Background_Data[[#This Row],[X]] &lt; EFC_70P-EFC_50P, EFC_50P, MAX(EFC_70P-AC_Chart_Background_Data[[#This Row],[X]],0))</f>
        <v>0</v>
      </c>
      <c r="AL167" s="168">
        <f>IF(AC_Chart_Background_Data[[#This Row],[X]] &lt; EFC_85P-EFC_70P, EFC_70P, MAX(EFC_85P-AC_Chart_Background_Data[[#This Row],[X]],0))</f>
        <v>0</v>
      </c>
      <c r="AM167" s="168">
        <f>IF(AC_Chart_Background_Data[[#This Row],[X]] &lt; EFC_95P-EFC_85P, EFC_85P, MAX(EFC_95P-AC_Chart_Background_Data[[#This Row],[X]],0))</f>
        <v>0</v>
      </c>
      <c r="AN167" s="168">
        <f>IF(AC_Chart_Background_Data[[#This Row],[X]] &lt; EFC_99P-EFC_95P, EFC_95P, MAX(EFC_99P-AC_Chart_Background_Data[[#This Row],[X]],0))</f>
        <v>2</v>
      </c>
      <c r="AO167" s="168">
        <f t="shared" si="9"/>
        <v>170</v>
      </c>
      <c r="BA167" s="11"/>
      <c r="BB167" s="11"/>
      <c r="BC167" s="11"/>
      <c r="BD167" s="11"/>
    </row>
    <row r="168" spans="36:56" x14ac:dyDescent="0.25">
      <c r="AJ168" s="167">
        <f t="shared" si="10"/>
        <v>165</v>
      </c>
      <c r="AK168" s="168">
        <f>IF(AC_Chart_Background_Data[[#This Row],[X]] &lt; EFC_70P-EFC_50P, EFC_50P, MAX(EFC_70P-AC_Chart_Background_Data[[#This Row],[X]],0))</f>
        <v>0</v>
      </c>
      <c r="AL168" s="168">
        <f>IF(AC_Chart_Background_Data[[#This Row],[X]] &lt; EFC_85P-EFC_70P, EFC_70P, MAX(EFC_85P-AC_Chart_Background_Data[[#This Row],[X]],0))</f>
        <v>0</v>
      </c>
      <c r="AM168" s="168">
        <f>IF(AC_Chart_Background_Data[[#This Row],[X]] &lt; EFC_95P-EFC_85P, EFC_85P, MAX(EFC_95P-AC_Chart_Background_Data[[#This Row],[X]],0))</f>
        <v>0</v>
      </c>
      <c r="AN168" s="168">
        <f>IF(AC_Chart_Background_Data[[#This Row],[X]] &lt; EFC_99P-EFC_95P, EFC_95P, MAX(EFC_99P-AC_Chart_Background_Data[[#This Row],[X]],0))</f>
        <v>1</v>
      </c>
      <c r="AO168" s="168">
        <f t="shared" si="9"/>
        <v>170</v>
      </c>
      <c r="BA168" s="11"/>
      <c r="BB168" s="11"/>
      <c r="BC168" s="11"/>
      <c r="BD168" s="11"/>
    </row>
    <row r="169" spans="36:56" x14ac:dyDescent="0.25">
      <c r="AJ169" s="167">
        <f t="shared" si="10"/>
        <v>166</v>
      </c>
      <c r="AK169" s="168">
        <f>IF(AC_Chart_Background_Data[[#This Row],[X]] &lt; EFC_70P-EFC_50P, EFC_50P, MAX(EFC_70P-AC_Chart_Background_Data[[#This Row],[X]],0))</f>
        <v>0</v>
      </c>
      <c r="AL169" s="168">
        <f>IF(AC_Chart_Background_Data[[#This Row],[X]] &lt; EFC_85P-EFC_70P, EFC_70P, MAX(EFC_85P-AC_Chart_Background_Data[[#This Row],[X]],0))</f>
        <v>0</v>
      </c>
      <c r="AM169" s="168">
        <f>IF(AC_Chart_Background_Data[[#This Row],[X]] &lt; EFC_95P-EFC_85P, EFC_85P, MAX(EFC_95P-AC_Chart_Background_Data[[#This Row],[X]],0))</f>
        <v>0</v>
      </c>
      <c r="AN169" s="168">
        <f>IF(AC_Chart_Background_Data[[#This Row],[X]] &lt; EFC_99P-EFC_95P, EFC_95P, MAX(EFC_99P-AC_Chart_Background_Data[[#This Row],[X]],0))</f>
        <v>0</v>
      </c>
      <c r="AO169" s="168">
        <f t="shared" si="9"/>
        <v>170</v>
      </c>
      <c r="BA169" s="11"/>
      <c r="BB169" s="11"/>
      <c r="BC169" s="11"/>
      <c r="BD169" s="11"/>
    </row>
    <row r="170" spans="36:56" x14ac:dyDescent="0.25">
      <c r="AJ170" s="167">
        <f t="shared" si="10"/>
        <v>167</v>
      </c>
      <c r="AK170" s="168">
        <f>IF(AC_Chart_Background_Data[[#This Row],[X]] &lt; EFC_70P-EFC_50P, EFC_50P, MAX(EFC_70P-AC_Chart_Background_Data[[#This Row],[X]],0))</f>
        <v>0</v>
      </c>
      <c r="AL170" s="168">
        <f>IF(AC_Chart_Background_Data[[#This Row],[X]] &lt; EFC_85P-EFC_70P, EFC_70P, MAX(EFC_85P-AC_Chart_Background_Data[[#This Row],[X]],0))</f>
        <v>0</v>
      </c>
      <c r="AM170" s="168">
        <f>IF(AC_Chart_Background_Data[[#This Row],[X]] &lt; EFC_95P-EFC_85P, EFC_85P, MAX(EFC_95P-AC_Chart_Background_Data[[#This Row],[X]],0))</f>
        <v>0</v>
      </c>
      <c r="AN170" s="168">
        <f>IF(AC_Chart_Background_Data[[#This Row],[X]] &lt; EFC_99P-EFC_95P, EFC_95P, MAX(EFC_99P-AC_Chart_Background_Data[[#This Row],[X]],0))</f>
        <v>0</v>
      </c>
      <c r="AO170" s="168">
        <f t="shared" si="9"/>
        <v>170</v>
      </c>
      <c r="BA170" s="11"/>
      <c r="BB170" s="11"/>
      <c r="BC170" s="11"/>
      <c r="BD170" s="11"/>
    </row>
    <row r="171" spans="36:56" x14ac:dyDescent="0.25">
      <c r="AJ171" s="167">
        <f t="shared" si="10"/>
        <v>168</v>
      </c>
      <c r="AK171" s="168">
        <f>IF(AC_Chart_Background_Data[[#This Row],[X]] &lt; EFC_70P-EFC_50P, EFC_50P, MAX(EFC_70P-AC_Chart_Background_Data[[#This Row],[X]],0))</f>
        <v>0</v>
      </c>
      <c r="AL171" s="168">
        <f>IF(AC_Chart_Background_Data[[#This Row],[X]] &lt; EFC_85P-EFC_70P, EFC_70P, MAX(EFC_85P-AC_Chart_Background_Data[[#This Row],[X]],0))</f>
        <v>0</v>
      </c>
      <c r="AM171" s="168">
        <f>IF(AC_Chart_Background_Data[[#This Row],[X]] &lt; EFC_95P-EFC_85P, EFC_85P, MAX(EFC_95P-AC_Chart_Background_Data[[#This Row],[X]],0))</f>
        <v>0</v>
      </c>
      <c r="AN171" s="168">
        <f>IF(AC_Chart_Background_Data[[#This Row],[X]] &lt; EFC_99P-EFC_95P, EFC_95P, MAX(EFC_99P-AC_Chart_Background_Data[[#This Row],[X]],0))</f>
        <v>0</v>
      </c>
      <c r="AO171" s="168">
        <f t="shared" si="9"/>
        <v>170</v>
      </c>
      <c r="BA171" s="11"/>
      <c r="BB171" s="11"/>
      <c r="BC171" s="11"/>
      <c r="BD171" s="11"/>
    </row>
    <row r="172" spans="36:56" x14ac:dyDescent="0.25">
      <c r="AJ172" s="167">
        <f t="shared" si="10"/>
        <v>169</v>
      </c>
      <c r="AK172" s="168">
        <f>IF(AC_Chart_Background_Data[[#This Row],[X]] &lt; EFC_70P-EFC_50P, EFC_50P, MAX(EFC_70P-AC_Chart_Background_Data[[#This Row],[X]],0))</f>
        <v>0</v>
      </c>
      <c r="AL172" s="168">
        <f>IF(AC_Chart_Background_Data[[#This Row],[X]] &lt; EFC_85P-EFC_70P, EFC_70P, MAX(EFC_85P-AC_Chart_Background_Data[[#This Row],[X]],0))</f>
        <v>0</v>
      </c>
      <c r="AM172" s="168">
        <f>IF(AC_Chart_Background_Data[[#This Row],[X]] &lt; EFC_95P-EFC_85P, EFC_85P, MAX(EFC_95P-AC_Chart_Background_Data[[#This Row],[X]],0))</f>
        <v>0</v>
      </c>
      <c r="AN172" s="168">
        <f>IF(AC_Chart_Background_Data[[#This Row],[X]] &lt; EFC_99P-EFC_95P, EFC_95P, MAX(EFC_99P-AC_Chart_Background_Data[[#This Row],[X]],0))</f>
        <v>0</v>
      </c>
      <c r="AO172" s="168">
        <f t="shared" si="9"/>
        <v>170</v>
      </c>
      <c r="BA172" s="11"/>
      <c r="BB172" s="11"/>
      <c r="BC172" s="11"/>
      <c r="BD172" s="11"/>
    </row>
    <row r="173" spans="36:56" x14ac:dyDescent="0.25">
      <c r="AJ173" s="167">
        <f t="shared" si="10"/>
        <v>170</v>
      </c>
      <c r="AK173" s="168">
        <f>IF(AC_Chart_Background_Data[[#This Row],[X]] &lt; EFC_70P-EFC_50P, EFC_50P, MAX(EFC_70P-AC_Chart_Background_Data[[#This Row],[X]],0))</f>
        <v>0</v>
      </c>
      <c r="AL173" s="168">
        <f>IF(AC_Chart_Background_Data[[#This Row],[X]] &lt; EFC_85P-EFC_70P, EFC_70P, MAX(EFC_85P-AC_Chart_Background_Data[[#This Row],[X]],0))</f>
        <v>0</v>
      </c>
      <c r="AM173" s="168">
        <f>IF(AC_Chart_Background_Data[[#This Row],[X]] &lt; EFC_95P-EFC_85P, EFC_85P, MAX(EFC_95P-AC_Chart_Background_Data[[#This Row],[X]],0))</f>
        <v>0</v>
      </c>
      <c r="AN173" s="168">
        <f>IF(AC_Chart_Background_Data[[#This Row],[X]] &lt; EFC_99P-EFC_95P, EFC_95P, MAX(EFC_99P-AC_Chart_Background_Data[[#This Row],[X]],0))</f>
        <v>0</v>
      </c>
      <c r="AO173" s="168">
        <f t="shared" si="9"/>
        <v>170</v>
      </c>
      <c r="BA173" s="11"/>
      <c r="BB173" s="11"/>
      <c r="BC173" s="11"/>
      <c r="BD173" s="11"/>
    </row>
    <row r="174" spans="36:56" x14ac:dyDescent="0.25">
      <c r="AJ174" s="167">
        <f t="shared" si="10"/>
        <v>171</v>
      </c>
      <c r="AK174" s="168">
        <f>IF(AC_Chart_Background_Data[[#This Row],[X]] &lt; EFC_70P-EFC_50P, EFC_50P, MAX(EFC_70P-AC_Chart_Background_Data[[#This Row],[X]],0))</f>
        <v>0</v>
      </c>
      <c r="AL174" s="168">
        <f>IF(AC_Chart_Background_Data[[#This Row],[X]] &lt; EFC_85P-EFC_70P, EFC_70P, MAX(EFC_85P-AC_Chart_Background_Data[[#This Row],[X]],0))</f>
        <v>0</v>
      </c>
      <c r="AM174" s="168">
        <f>IF(AC_Chart_Background_Data[[#This Row],[X]] &lt; EFC_95P-EFC_85P, EFC_85P, MAX(EFC_95P-AC_Chart_Background_Data[[#This Row],[X]],0))</f>
        <v>0</v>
      </c>
      <c r="AN174" s="168">
        <f>IF(AC_Chart_Background_Data[[#This Row],[X]] &lt; EFC_99P-EFC_95P, EFC_95P, MAX(EFC_99P-AC_Chart_Background_Data[[#This Row],[X]],0))</f>
        <v>0</v>
      </c>
      <c r="AO174" s="168">
        <f t="shared" si="9"/>
        <v>170</v>
      </c>
      <c r="BA174" s="11"/>
      <c r="BB174" s="11"/>
      <c r="BC174" s="11"/>
      <c r="BD174" s="11"/>
    </row>
    <row r="175" spans="36:56" x14ac:dyDescent="0.25">
      <c r="AJ175" s="167">
        <f t="shared" si="10"/>
        <v>172</v>
      </c>
      <c r="AK175" s="168">
        <f>IF(AC_Chart_Background_Data[[#This Row],[X]] &lt; EFC_70P-EFC_50P, EFC_50P, MAX(EFC_70P-AC_Chart_Background_Data[[#This Row],[X]],0))</f>
        <v>0</v>
      </c>
      <c r="AL175" s="168">
        <f>IF(AC_Chart_Background_Data[[#This Row],[X]] &lt; EFC_85P-EFC_70P, EFC_70P, MAX(EFC_85P-AC_Chart_Background_Data[[#This Row],[X]],0))</f>
        <v>0</v>
      </c>
      <c r="AM175" s="168">
        <f>IF(AC_Chart_Background_Data[[#This Row],[X]] &lt; EFC_95P-EFC_85P, EFC_85P, MAX(EFC_95P-AC_Chart_Background_Data[[#This Row],[X]],0))</f>
        <v>0</v>
      </c>
      <c r="AN175" s="168">
        <f>IF(AC_Chart_Background_Data[[#This Row],[X]] &lt; EFC_99P-EFC_95P, EFC_95P, MAX(EFC_99P-AC_Chart_Background_Data[[#This Row],[X]],0))</f>
        <v>0</v>
      </c>
      <c r="AO175" s="168">
        <f t="shared" si="9"/>
        <v>170</v>
      </c>
      <c r="BA175" s="11"/>
      <c r="BB175" s="11"/>
      <c r="BC175" s="11"/>
      <c r="BD175" s="11"/>
    </row>
    <row r="176" spans="36:56" x14ac:dyDescent="0.25">
      <c r="AJ176" s="167">
        <f t="shared" si="10"/>
        <v>173</v>
      </c>
      <c r="AK176" s="168">
        <f>IF(AC_Chart_Background_Data[[#This Row],[X]] &lt; EFC_70P-EFC_50P, EFC_50P, MAX(EFC_70P-AC_Chart_Background_Data[[#This Row],[X]],0))</f>
        <v>0</v>
      </c>
      <c r="AL176" s="168">
        <f>IF(AC_Chart_Background_Data[[#This Row],[X]] &lt; EFC_85P-EFC_70P, EFC_70P, MAX(EFC_85P-AC_Chart_Background_Data[[#This Row],[X]],0))</f>
        <v>0</v>
      </c>
      <c r="AM176" s="168">
        <f>IF(AC_Chart_Background_Data[[#This Row],[X]] &lt; EFC_95P-EFC_85P, EFC_85P, MAX(EFC_95P-AC_Chart_Background_Data[[#This Row],[X]],0))</f>
        <v>0</v>
      </c>
      <c r="AN176" s="168">
        <f>IF(AC_Chart_Background_Data[[#This Row],[X]] &lt; EFC_99P-EFC_95P, EFC_95P, MAX(EFC_99P-AC_Chart_Background_Data[[#This Row],[X]],0))</f>
        <v>0</v>
      </c>
      <c r="AO176" s="168">
        <f t="shared" si="9"/>
        <v>170</v>
      </c>
      <c r="BA176" s="11"/>
      <c r="BB176" s="11"/>
      <c r="BC176" s="11"/>
      <c r="BD176" s="11"/>
    </row>
    <row r="177" spans="36:56" x14ac:dyDescent="0.25">
      <c r="AJ177" s="167">
        <f t="shared" si="10"/>
        <v>174</v>
      </c>
      <c r="AK177" s="168">
        <f>IF(AC_Chart_Background_Data[[#This Row],[X]] &lt; EFC_70P-EFC_50P, EFC_50P, MAX(EFC_70P-AC_Chart_Background_Data[[#This Row],[X]],0))</f>
        <v>0</v>
      </c>
      <c r="AL177" s="168">
        <f>IF(AC_Chart_Background_Data[[#This Row],[X]] &lt; EFC_85P-EFC_70P, EFC_70P, MAX(EFC_85P-AC_Chart_Background_Data[[#This Row],[X]],0))</f>
        <v>0</v>
      </c>
      <c r="AM177" s="168">
        <f>IF(AC_Chart_Background_Data[[#This Row],[X]] &lt; EFC_95P-EFC_85P, EFC_85P, MAX(EFC_95P-AC_Chart_Background_Data[[#This Row],[X]],0))</f>
        <v>0</v>
      </c>
      <c r="AN177" s="168">
        <f>IF(AC_Chart_Background_Data[[#This Row],[X]] &lt; EFC_99P-EFC_95P, EFC_95P, MAX(EFC_99P-AC_Chart_Background_Data[[#This Row],[X]],0))</f>
        <v>0</v>
      </c>
      <c r="AO177" s="168">
        <f t="shared" si="9"/>
        <v>170</v>
      </c>
      <c r="BA177" s="11"/>
      <c r="BB177" s="11"/>
      <c r="BC177" s="11"/>
      <c r="BD177" s="11"/>
    </row>
    <row r="178" spans="36:56" x14ac:dyDescent="0.25">
      <c r="AJ178" s="167">
        <f t="shared" si="10"/>
        <v>175</v>
      </c>
      <c r="AK178" s="168">
        <f>IF(AC_Chart_Background_Data[[#This Row],[X]] &lt; EFC_70P-EFC_50P, EFC_50P, MAX(EFC_70P-AC_Chart_Background_Data[[#This Row],[X]],0))</f>
        <v>0</v>
      </c>
      <c r="AL178" s="168">
        <f>IF(AC_Chart_Background_Data[[#This Row],[X]] &lt; EFC_85P-EFC_70P, EFC_70P, MAX(EFC_85P-AC_Chart_Background_Data[[#This Row],[X]],0))</f>
        <v>0</v>
      </c>
      <c r="AM178" s="168">
        <f>IF(AC_Chart_Background_Data[[#This Row],[X]] &lt; EFC_95P-EFC_85P, EFC_85P, MAX(EFC_95P-AC_Chart_Background_Data[[#This Row],[X]],0))</f>
        <v>0</v>
      </c>
      <c r="AN178" s="168">
        <f>IF(AC_Chart_Background_Data[[#This Row],[X]] &lt; EFC_99P-EFC_95P, EFC_95P, MAX(EFC_99P-AC_Chart_Background_Data[[#This Row],[X]],0))</f>
        <v>0</v>
      </c>
      <c r="AO178" s="168">
        <f t="shared" si="9"/>
        <v>170</v>
      </c>
      <c r="BA178" s="11"/>
      <c r="BB178" s="11"/>
      <c r="BC178" s="11"/>
      <c r="BD178" s="11"/>
    </row>
    <row r="179" spans="36:56" x14ac:dyDescent="0.25">
      <c r="AJ179" s="167">
        <f t="shared" si="10"/>
        <v>176</v>
      </c>
      <c r="AK179" s="168">
        <f>IF(AC_Chart_Background_Data[[#This Row],[X]] &lt; EFC_70P-EFC_50P, EFC_50P, MAX(EFC_70P-AC_Chart_Background_Data[[#This Row],[X]],0))</f>
        <v>0</v>
      </c>
      <c r="AL179" s="168">
        <f>IF(AC_Chart_Background_Data[[#This Row],[X]] &lt; EFC_85P-EFC_70P, EFC_70P, MAX(EFC_85P-AC_Chart_Background_Data[[#This Row],[X]],0))</f>
        <v>0</v>
      </c>
      <c r="AM179" s="168">
        <f>IF(AC_Chart_Background_Data[[#This Row],[X]] &lt; EFC_95P-EFC_85P, EFC_85P, MAX(EFC_95P-AC_Chart_Background_Data[[#This Row],[X]],0))</f>
        <v>0</v>
      </c>
      <c r="AN179" s="168">
        <f>IF(AC_Chart_Background_Data[[#This Row],[X]] &lt; EFC_99P-EFC_95P, EFC_95P, MAX(EFC_99P-AC_Chart_Background_Data[[#This Row],[X]],0))</f>
        <v>0</v>
      </c>
      <c r="AO179" s="168">
        <f t="shared" si="9"/>
        <v>170</v>
      </c>
      <c r="BA179" s="11"/>
      <c r="BB179" s="11"/>
      <c r="BC179" s="11"/>
      <c r="BD179" s="11"/>
    </row>
    <row r="180" spans="36:56" x14ac:dyDescent="0.25">
      <c r="AJ180" s="167">
        <f t="shared" si="10"/>
        <v>177</v>
      </c>
      <c r="AK180" s="168">
        <f>IF(AC_Chart_Background_Data[[#This Row],[X]] &lt; EFC_70P-EFC_50P, EFC_50P, MAX(EFC_70P-AC_Chart_Background_Data[[#This Row],[X]],0))</f>
        <v>0</v>
      </c>
      <c r="AL180" s="168">
        <f>IF(AC_Chart_Background_Data[[#This Row],[X]] &lt; EFC_85P-EFC_70P, EFC_70P, MAX(EFC_85P-AC_Chart_Background_Data[[#This Row],[X]],0))</f>
        <v>0</v>
      </c>
      <c r="AM180" s="168">
        <f>IF(AC_Chart_Background_Data[[#This Row],[X]] &lt; EFC_95P-EFC_85P, EFC_85P, MAX(EFC_95P-AC_Chart_Background_Data[[#This Row],[X]],0))</f>
        <v>0</v>
      </c>
      <c r="AN180" s="168">
        <f>IF(AC_Chart_Background_Data[[#This Row],[X]] &lt; EFC_99P-EFC_95P, EFC_95P, MAX(EFC_99P-AC_Chart_Background_Data[[#This Row],[X]],0))</f>
        <v>0</v>
      </c>
      <c r="AO180" s="168">
        <f t="shared" si="9"/>
        <v>170</v>
      </c>
      <c r="BA180" s="11"/>
      <c r="BB180" s="11"/>
      <c r="BC180" s="11"/>
      <c r="BD180" s="11"/>
    </row>
    <row r="181" spans="36:56" x14ac:dyDescent="0.25">
      <c r="AJ181" s="167">
        <f t="shared" si="10"/>
        <v>178</v>
      </c>
      <c r="AK181" s="168">
        <f>IF(AC_Chart_Background_Data[[#This Row],[X]] &lt; EFC_70P-EFC_50P, EFC_50P, MAX(EFC_70P-AC_Chart_Background_Data[[#This Row],[X]],0))</f>
        <v>0</v>
      </c>
      <c r="AL181" s="168">
        <f>IF(AC_Chart_Background_Data[[#This Row],[X]] &lt; EFC_85P-EFC_70P, EFC_70P, MAX(EFC_85P-AC_Chart_Background_Data[[#This Row],[X]],0))</f>
        <v>0</v>
      </c>
      <c r="AM181" s="168">
        <f>IF(AC_Chart_Background_Data[[#This Row],[X]] &lt; EFC_95P-EFC_85P, EFC_85P, MAX(EFC_95P-AC_Chart_Background_Data[[#This Row],[X]],0))</f>
        <v>0</v>
      </c>
      <c r="AN181" s="168">
        <f>IF(AC_Chart_Background_Data[[#This Row],[X]] &lt; EFC_99P-EFC_95P, EFC_95P, MAX(EFC_99P-AC_Chart_Background_Data[[#This Row],[X]],0))</f>
        <v>0</v>
      </c>
      <c r="AO181" s="168">
        <f t="shared" si="9"/>
        <v>170</v>
      </c>
      <c r="BA181" s="11"/>
      <c r="BB181" s="11"/>
      <c r="BC181" s="11"/>
      <c r="BD181" s="11"/>
    </row>
    <row r="182" spans="36:56" x14ac:dyDescent="0.25">
      <c r="AJ182" s="167">
        <f t="shared" si="10"/>
        <v>179</v>
      </c>
      <c r="AK182" s="168">
        <f>IF(AC_Chart_Background_Data[[#This Row],[X]] &lt; EFC_70P-EFC_50P, EFC_50P, MAX(EFC_70P-AC_Chart_Background_Data[[#This Row],[X]],0))</f>
        <v>0</v>
      </c>
      <c r="AL182" s="168">
        <f>IF(AC_Chart_Background_Data[[#This Row],[X]] &lt; EFC_85P-EFC_70P, EFC_70P, MAX(EFC_85P-AC_Chart_Background_Data[[#This Row],[X]],0))</f>
        <v>0</v>
      </c>
      <c r="AM182" s="168">
        <f>IF(AC_Chart_Background_Data[[#This Row],[X]] &lt; EFC_95P-EFC_85P, EFC_85P, MAX(EFC_95P-AC_Chart_Background_Data[[#This Row],[X]],0))</f>
        <v>0</v>
      </c>
      <c r="AN182" s="168">
        <f>IF(AC_Chart_Background_Data[[#This Row],[X]] &lt; EFC_99P-EFC_95P, EFC_95P, MAX(EFC_99P-AC_Chart_Background_Data[[#This Row],[X]],0))</f>
        <v>0</v>
      </c>
      <c r="AO182" s="168">
        <f t="shared" si="9"/>
        <v>170</v>
      </c>
      <c r="BA182" s="11"/>
      <c r="BB182" s="11"/>
      <c r="BC182" s="11"/>
      <c r="BD182" s="11"/>
    </row>
    <row r="183" spans="36:56" x14ac:dyDescent="0.25">
      <c r="AJ183" s="167">
        <f t="shared" si="10"/>
        <v>180</v>
      </c>
      <c r="AK183" s="168">
        <f>IF(AC_Chart_Background_Data[[#This Row],[X]] &lt; EFC_70P-EFC_50P, EFC_50P, MAX(EFC_70P-AC_Chart_Background_Data[[#This Row],[X]],0))</f>
        <v>0</v>
      </c>
      <c r="AL183" s="168">
        <f>IF(AC_Chart_Background_Data[[#This Row],[X]] &lt; EFC_85P-EFC_70P, EFC_70P, MAX(EFC_85P-AC_Chart_Background_Data[[#This Row],[X]],0))</f>
        <v>0</v>
      </c>
      <c r="AM183" s="168">
        <f>IF(AC_Chart_Background_Data[[#This Row],[X]] &lt; EFC_95P-EFC_85P, EFC_85P, MAX(EFC_95P-AC_Chart_Background_Data[[#This Row],[X]],0))</f>
        <v>0</v>
      </c>
      <c r="AN183" s="168">
        <f>IF(AC_Chart_Background_Data[[#This Row],[X]] &lt; EFC_99P-EFC_95P, EFC_95P, MAX(EFC_99P-AC_Chart_Background_Data[[#This Row],[X]],0))</f>
        <v>0</v>
      </c>
      <c r="AO183" s="168">
        <f t="shared" si="9"/>
        <v>170</v>
      </c>
      <c r="BA183" s="11"/>
    </row>
    <row r="184" spans="36:56" x14ac:dyDescent="0.25">
      <c r="AJ184" s="167">
        <f t="shared" si="10"/>
        <v>181</v>
      </c>
      <c r="AK184" s="168">
        <f>IF(AC_Chart_Background_Data[[#This Row],[X]] &lt; EFC_70P-EFC_50P, EFC_50P, MAX(EFC_70P-AC_Chart_Background_Data[[#This Row],[X]],0))</f>
        <v>0</v>
      </c>
      <c r="AL184" s="168">
        <f>IF(AC_Chart_Background_Data[[#This Row],[X]] &lt; EFC_85P-EFC_70P, EFC_70P, MAX(EFC_85P-AC_Chart_Background_Data[[#This Row],[X]],0))</f>
        <v>0</v>
      </c>
      <c r="AM184" s="168">
        <f>IF(AC_Chart_Background_Data[[#This Row],[X]] &lt; EFC_95P-EFC_85P, EFC_85P, MAX(EFC_95P-AC_Chart_Background_Data[[#This Row],[X]],0))</f>
        <v>0</v>
      </c>
      <c r="AN184" s="168">
        <f>IF(AC_Chart_Background_Data[[#This Row],[X]] &lt; EFC_99P-EFC_95P, EFC_95P, MAX(EFC_99P-AC_Chart_Background_Data[[#This Row],[X]],0))</f>
        <v>0</v>
      </c>
      <c r="AO184" s="168">
        <f t="shared" si="9"/>
        <v>170</v>
      </c>
      <c r="BA184" s="11"/>
    </row>
    <row r="185" spans="36:56" x14ac:dyDescent="0.25">
      <c r="AJ185" s="167">
        <f t="shared" si="10"/>
        <v>182</v>
      </c>
      <c r="AK185" s="168">
        <f>IF(AC_Chart_Background_Data[[#This Row],[X]] &lt; EFC_70P-EFC_50P, EFC_50P, MAX(EFC_70P-AC_Chart_Background_Data[[#This Row],[X]],0))</f>
        <v>0</v>
      </c>
      <c r="AL185" s="168">
        <f>IF(AC_Chart_Background_Data[[#This Row],[X]] &lt; EFC_85P-EFC_70P, EFC_70P, MAX(EFC_85P-AC_Chart_Background_Data[[#This Row],[X]],0))</f>
        <v>0</v>
      </c>
      <c r="AM185" s="168">
        <f>IF(AC_Chart_Background_Data[[#This Row],[X]] &lt; EFC_95P-EFC_85P, EFC_85P, MAX(EFC_95P-AC_Chart_Background_Data[[#This Row],[X]],0))</f>
        <v>0</v>
      </c>
      <c r="AN185" s="168">
        <f>IF(AC_Chart_Background_Data[[#This Row],[X]] &lt; EFC_99P-EFC_95P, EFC_95P, MAX(EFC_99P-AC_Chart_Background_Data[[#This Row],[X]],0))</f>
        <v>0</v>
      </c>
      <c r="AO185" s="168">
        <f t="shared" si="9"/>
        <v>170</v>
      </c>
      <c r="BA185" s="11"/>
    </row>
    <row r="186" spans="36:56" x14ac:dyDescent="0.25">
      <c r="AJ186" s="167">
        <f t="shared" si="10"/>
        <v>183</v>
      </c>
      <c r="AK186" s="168">
        <f>IF(AC_Chart_Background_Data[[#This Row],[X]] &lt; EFC_70P-EFC_50P, EFC_50P, MAX(EFC_70P-AC_Chart_Background_Data[[#This Row],[X]],0))</f>
        <v>0</v>
      </c>
      <c r="AL186" s="168">
        <f>IF(AC_Chart_Background_Data[[#This Row],[X]] &lt; EFC_85P-EFC_70P, EFC_70P, MAX(EFC_85P-AC_Chart_Background_Data[[#This Row],[X]],0))</f>
        <v>0</v>
      </c>
      <c r="AM186" s="168">
        <f>IF(AC_Chart_Background_Data[[#This Row],[X]] &lt; EFC_95P-EFC_85P, EFC_85P, MAX(EFC_95P-AC_Chart_Background_Data[[#This Row],[X]],0))</f>
        <v>0</v>
      </c>
      <c r="AN186" s="168">
        <f>IF(AC_Chart_Background_Data[[#This Row],[X]] &lt; EFC_99P-EFC_95P, EFC_95P, MAX(EFC_99P-AC_Chart_Background_Data[[#This Row],[X]],0))</f>
        <v>0</v>
      </c>
      <c r="AO186" s="168">
        <f t="shared" si="9"/>
        <v>170</v>
      </c>
      <c r="BA186" s="11"/>
    </row>
    <row r="187" spans="36:56" x14ac:dyDescent="0.25">
      <c r="AJ187" s="167">
        <f t="shared" si="10"/>
        <v>184</v>
      </c>
      <c r="AK187" s="168">
        <f>IF(AC_Chart_Background_Data[[#This Row],[X]] &lt; EFC_70P-EFC_50P, EFC_50P, MAX(EFC_70P-AC_Chart_Background_Data[[#This Row],[X]],0))</f>
        <v>0</v>
      </c>
      <c r="AL187" s="168">
        <f>IF(AC_Chart_Background_Data[[#This Row],[X]] &lt; EFC_85P-EFC_70P, EFC_70P, MAX(EFC_85P-AC_Chart_Background_Data[[#This Row],[X]],0))</f>
        <v>0</v>
      </c>
      <c r="AM187" s="168">
        <f>IF(AC_Chart_Background_Data[[#This Row],[X]] &lt; EFC_95P-EFC_85P, EFC_85P, MAX(EFC_95P-AC_Chart_Background_Data[[#This Row],[X]],0))</f>
        <v>0</v>
      </c>
      <c r="AN187" s="168">
        <f>IF(AC_Chart_Background_Data[[#This Row],[X]] &lt; EFC_99P-EFC_95P, EFC_95P, MAX(EFC_99P-AC_Chart_Background_Data[[#This Row],[X]],0))</f>
        <v>0</v>
      </c>
      <c r="AO187" s="168">
        <f t="shared" si="9"/>
        <v>170</v>
      </c>
      <c r="BA187" s="11"/>
    </row>
    <row r="188" spans="36:56" x14ac:dyDescent="0.25">
      <c r="AJ188" s="167">
        <f t="shared" si="10"/>
        <v>185</v>
      </c>
      <c r="AK188" s="168">
        <f>IF(AC_Chart_Background_Data[[#This Row],[X]] &lt; EFC_70P-EFC_50P, EFC_50P, MAX(EFC_70P-AC_Chart_Background_Data[[#This Row],[X]],0))</f>
        <v>0</v>
      </c>
      <c r="AL188" s="168">
        <f>IF(AC_Chart_Background_Data[[#This Row],[X]] &lt; EFC_85P-EFC_70P, EFC_70P, MAX(EFC_85P-AC_Chart_Background_Data[[#This Row],[X]],0))</f>
        <v>0</v>
      </c>
      <c r="AM188" s="168">
        <f>IF(AC_Chart_Background_Data[[#This Row],[X]] &lt; EFC_95P-EFC_85P, EFC_85P, MAX(EFC_95P-AC_Chart_Background_Data[[#This Row],[X]],0))</f>
        <v>0</v>
      </c>
      <c r="AN188" s="168">
        <f>IF(AC_Chart_Background_Data[[#This Row],[X]] &lt; EFC_99P-EFC_95P, EFC_95P, MAX(EFC_99P-AC_Chart_Background_Data[[#This Row],[X]],0))</f>
        <v>0</v>
      </c>
      <c r="AO188" s="168">
        <f t="shared" si="9"/>
        <v>170</v>
      </c>
      <c r="BA188" s="11"/>
    </row>
    <row r="189" spans="36:56" x14ac:dyDescent="0.25">
      <c r="AJ189" s="167">
        <f t="shared" si="10"/>
        <v>186</v>
      </c>
      <c r="AK189" s="168">
        <f>IF(AC_Chart_Background_Data[[#This Row],[X]] &lt; EFC_70P-EFC_50P, EFC_50P, MAX(EFC_70P-AC_Chart_Background_Data[[#This Row],[X]],0))</f>
        <v>0</v>
      </c>
      <c r="AL189" s="168">
        <f>IF(AC_Chart_Background_Data[[#This Row],[X]] &lt; EFC_85P-EFC_70P, EFC_70P, MAX(EFC_85P-AC_Chart_Background_Data[[#This Row],[X]],0))</f>
        <v>0</v>
      </c>
      <c r="AM189" s="168">
        <f>IF(AC_Chart_Background_Data[[#This Row],[X]] &lt; EFC_95P-EFC_85P, EFC_85P, MAX(EFC_95P-AC_Chart_Background_Data[[#This Row],[X]],0))</f>
        <v>0</v>
      </c>
      <c r="AN189" s="168">
        <f>IF(AC_Chart_Background_Data[[#This Row],[X]] &lt; EFC_99P-EFC_95P, EFC_95P, MAX(EFC_99P-AC_Chart_Background_Data[[#This Row],[X]],0))</f>
        <v>0</v>
      </c>
      <c r="AO189" s="168">
        <f t="shared" si="9"/>
        <v>170</v>
      </c>
      <c r="BA189" s="11"/>
    </row>
    <row r="190" spans="36:56" x14ac:dyDescent="0.25">
      <c r="AJ190" s="167">
        <f t="shared" si="10"/>
        <v>187</v>
      </c>
      <c r="AK190" s="168">
        <f>IF(AC_Chart_Background_Data[[#This Row],[X]] &lt; EFC_70P-EFC_50P, EFC_50P, MAX(EFC_70P-AC_Chart_Background_Data[[#This Row],[X]],0))</f>
        <v>0</v>
      </c>
      <c r="AL190" s="168">
        <f>IF(AC_Chart_Background_Data[[#This Row],[X]] &lt; EFC_85P-EFC_70P, EFC_70P, MAX(EFC_85P-AC_Chart_Background_Data[[#This Row],[X]],0))</f>
        <v>0</v>
      </c>
      <c r="AM190" s="168">
        <f>IF(AC_Chart_Background_Data[[#This Row],[X]] &lt; EFC_95P-EFC_85P, EFC_85P, MAX(EFC_95P-AC_Chart_Background_Data[[#This Row],[X]],0))</f>
        <v>0</v>
      </c>
      <c r="AN190" s="168">
        <f>IF(AC_Chart_Background_Data[[#This Row],[X]] &lt; EFC_99P-EFC_95P, EFC_95P, MAX(EFC_99P-AC_Chart_Background_Data[[#This Row],[X]],0))</f>
        <v>0</v>
      </c>
      <c r="AO190" s="168">
        <f t="shared" si="9"/>
        <v>170</v>
      </c>
      <c r="BA190" s="11"/>
    </row>
    <row r="191" spans="36:56" x14ac:dyDescent="0.25">
      <c r="AJ191" s="167">
        <f t="shared" si="10"/>
        <v>188</v>
      </c>
      <c r="AK191" s="168">
        <f>IF(AC_Chart_Background_Data[[#This Row],[X]] &lt; EFC_70P-EFC_50P, EFC_50P, MAX(EFC_70P-AC_Chart_Background_Data[[#This Row],[X]],0))</f>
        <v>0</v>
      </c>
      <c r="AL191" s="168">
        <f>IF(AC_Chart_Background_Data[[#This Row],[X]] &lt; EFC_85P-EFC_70P, EFC_70P, MAX(EFC_85P-AC_Chart_Background_Data[[#This Row],[X]],0))</f>
        <v>0</v>
      </c>
      <c r="AM191" s="168">
        <f>IF(AC_Chart_Background_Data[[#This Row],[X]] &lt; EFC_95P-EFC_85P, EFC_85P, MAX(EFC_95P-AC_Chart_Background_Data[[#This Row],[X]],0))</f>
        <v>0</v>
      </c>
      <c r="AN191" s="168">
        <f>IF(AC_Chart_Background_Data[[#This Row],[X]] &lt; EFC_99P-EFC_95P, EFC_95P, MAX(EFC_99P-AC_Chart_Background_Data[[#This Row],[X]],0))</f>
        <v>0</v>
      </c>
      <c r="AO191" s="168">
        <f t="shared" si="9"/>
        <v>170</v>
      </c>
      <c r="BA191" s="11"/>
    </row>
    <row r="192" spans="36:56" x14ac:dyDescent="0.25">
      <c r="AJ192" s="167">
        <f t="shared" si="10"/>
        <v>189</v>
      </c>
      <c r="AK192" s="168">
        <f>IF(AC_Chart_Background_Data[[#This Row],[X]] &lt; EFC_70P-EFC_50P, EFC_50P, MAX(EFC_70P-AC_Chart_Background_Data[[#This Row],[X]],0))</f>
        <v>0</v>
      </c>
      <c r="AL192" s="168">
        <f>IF(AC_Chart_Background_Data[[#This Row],[X]] &lt; EFC_85P-EFC_70P, EFC_70P, MAX(EFC_85P-AC_Chart_Background_Data[[#This Row],[X]],0))</f>
        <v>0</v>
      </c>
      <c r="AM192" s="168">
        <f>IF(AC_Chart_Background_Data[[#This Row],[X]] &lt; EFC_95P-EFC_85P, EFC_85P, MAX(EFC_95P-AC_Chart_Background_Data[[#This Row],[X]],0))</f>
        <v>0</v>
      </c>
      <c r="AN192" s="168">
        <f>IF(AC_Chart_Background_Data[[#This Row],[X]] &lt; EFC_99P-EFC_95P, EFC_95P, MAX(EFC_99P-AC_Chart_Background_Data[[#This Row],[X]],0))</f>
        <v>0</v>
      </c>
      <c r="AO192" s="168">
        <f t="shared" si="9"/>
        <v>170</v>
      </c>
      <c r="BA192" s="11"/>
    </row>
    <row r="193" spans="36:53" x14ac:dyDescent="0.25">
      <c r="AJ193" s="167">
        <f t="shared" si="10"/>
        <v>190</v>
      </c>
      <c r="AK193" s="168">
        <f>IF(AC_Chart_Background_Data[[#This Row],[X]] &lt; EFC_70P-EFC_50P, EFC_50P, MAX(EFC_70P-AC_Chart_Background_Data[[#This Row],[X]],0))</f>
        <v>0</v>
      </c>
      <c r="AL193" s="168">
        <f>IF(AC_Chart_Background_Data[[#This Row],[X]] &lt; EFC_85P-EFC_70P, EFC_70P, MAX(EFC_85P-AC_Chart_Background_Data[[#This Row],[X]],0))</f>
        <v>0</v>
      </c>
      <c r="AM193" s="168">
        <f>IF(AC_Chart_Background_Data[[#This Row],[X]] &lt; EFC_95P-EFC_85P, EFC_85P, MAX(EFC_95P-AC_Chart_Background_Data[[#This Row],[X]],0))</f>
        <v>0</v>
      </c>
      <c r="AN193" s="168">
        <f>IF(AC_Chart_Background_Data[[#This Row],[X]] &lt; EFC_99P-EFC_95P, EFC_95P, MAX(EFC_99P-AC_Chart_Background_Data[[#This Row],[X]],0))</f>
        <v>0</v>
      </c>
      <c r="AO193" s="168">
        <f t="shared" si="9"/>
        <v>170</v>
      </c>
      <c r="BA193" s="11"/>
    </row>
    <row r="194" spans="36:53" x14ac:dyDescent="0.25">
      <c r="AJ194" s="167">
        <f t="shared" si="10"/>
        <v>191</v>
      </c>
      <c r="AK194" s="168">
        <f>IF(AC_Chart_Background_Data[[#This Row],[X]] &lt; EFC_70P-EFC_50P, EFC_50P, MAX(EFC_70P-AC_Chart_Background_Data[[#This Row],[X]],0))</f>
        <v>0</v>
      </c>
      <c r="AL194" s="168">
        <f>IF(AC_Chart_Background_Data[[#This Row],[X]] &lt; EFC_85P-EFC_70P, EFC_70P, MAX(EFC_85P-AC_Chart_Background_Data[[#This Row],[X]],0))</f>
        <v>0</v>
      </c>
      <c r="AM194" s="168">
        <f>IF(AC_Chart_Background_Data[[#This Row],[X]] &lt; EFC_95P-EFC_85P, EFC_85P, MAX(EFC_95P-AC_Chart_Background_Data[[#This Row],[X]],0))</f>
        <v>0</v>
      </c>
      <c r="AN194" s="168">
        <f>IF(AC_Chart_Background_Data[[#This Row],[X]] &lt; EFC_99P-EFC_95P, EFC_95P, MAX(EFC_99P-AC_Chart_Background_Data[[#This Row],[X]],0))</f>
        <v>0</v>
      </c>
      <c r="AO194" s="168">
        <f t="shared" si="9"/>
        <v>170</v>
      </c>
      <c r="BA194" s="11"/>
    </row>
    <row r="195" spans="36:53" x14ac:dyDescent="0.25">
      <c r="AJ195" s="167">
        <f t="shared" si="10"/>
        <v>192</v>
      </c>
      <c r="AK195" s="168">
        <f>IF(AC_Chart_Background_Data[[#This Row],[X]] &lt; EFC_70P-EFC_50P, EFC_50P, MAX(EFC_70P-AC_Chart_Background_Data[[#This Row],[X]],0))</f>
        <v>0</v>
      </c>
      <c r="AL195" s="168">
        <f>IF(AC_Chart_Background_Data[[#This Row],[X]] &lt; EFC_85P-EFC_70P, EFC_70P, MAX(EFC_85P-AC_Chart_Background_Data[[#This Row],[X]],0))</f>
        <v>0</v>
      </c>
      <c r="AM195" s="168">
        <f>IF(AC_Chart_Background_Data[[#This Row],[X]] &lt; EFC_95P-EFC_85P, EFC_85P, MAX(EFC_95P-AC_Chart_Background_Data[[#This Row],[X]],0))</f>
        <v>0</v>
      </c>
      <c r="AN195" s="168">
        <f>IF(AC_Chart_Background_Data[[#This Row],[X]] &lt; EFC_99P-EFC_95P, EFC_95P, MAX(EFC_99P-AC_Chart_Background_Data[[#This Row],[X]],0))</f>
        <v>0</v>
      </c>
      <c r="AO195" s="168">
        <f t="shared" ref="AO195:AO258" si="11">AC_Ymax</f>
        <v>170</v>
      </c>
      <c r="BA195" s="11"/>
    </row>
    <row r="196" spans="36:53" x14ac:dyDescent="0.25">
      <c r="AJ196" s="167">
        <f t="shared" si="10"/>
        <v>193</v>
      </c>
      <c r="AK196" s="168">
        <f>IF(AC_Chart_Background_Data[[#This Row],[X]] &lt; EFC_70P-EFC_50P, EFC_50P, MAX(EFC_70P-AC_Chart_Background_Data[[#This Row],[X]],0))</f>
        <v>0</v>
      </c>
      <c r="AL196" s="168">
        <f>IF(AC_Chart_Background_Data[[#This Row],[X]] &lt; EFC_85P-EFC_70P, EFC_70P, MAX(EFC_85P-AC_Chart_Background_Data[[#This Row],[X]],0))</f>
        <v>0</v>
      </c>
      <c r="AM196" s="168">
        <f>IF(AC_Chart_Background_Data[[#This Row],[X]] &lt; EFC_95P-EFC_85P, EFC_85P, MAX(EFC_95P-AC_Chart_Background_Data[[#This Row],[X]],0))</f>
        <v>0</v>
      </c>
      <c r="AN196" s="168">
        <f>IF(AC_Chart_Background_Data[[#This Row],[X]] &lt; EFC_99P-EFC_95P, EFC_95P, MAX(EFC_99P-AC_Chart_Background_Data[[#This Row],[X]],0))</f>
        <v>0</v>
      </c>
      <c r="AO196" s="168">
        <f t="shared" si="11"/>
        <v>170</v>
      </c>
      <c r="BA196" s="11"/>
    </row>
    <row r="197" spans="36:53" x14ac:dyDescent="0.25">
      <c r="AJ197" s="167">
        <f t="shared" si="10"/>
        <v>194</v>
      </c>
      <c r="AK197" s="168">
        <f>IF(AC_Chart_Background_Data[[#This Row],[X]] &lt; EFC_70P-EFC_50P, EFC_50P, MAX(EFC_70P-AC_Chart_Background_Data[[#This Row],[X]],0))</f>
        <v>0</v>
      </c>
      <c r="AL197" s="168">
        <f>IF(AC_Chart_Background_Data[[#This Row],[X]] &lt; EFC_85P-EFC_70P, EFC_70P, MAX(EFC_85P-AC_Chart_Background_Data[[#This Row],[X]],0))</f>
        <v>0</v>
      </c>
      <c r="AM197" s="168">
        <f>IF(AC_Chart_Background_Data[[#This Row],[X]] &lt; EFC_95P-EFC_85P, EFC_85P, MAX(EFC_95P-AC_Chart_Background_Data[[#This Row],[X]],0))</f>
        <v>0</v>
      </c>
      <c r="AN197" s="168">
        <f>IF(AC_Chart_Background_Data[[#This Row],[X]] &lt; EFC_99P-EFC_95P, EFC_95P, MAX(EFC_99P-AC_Chart_Background_Data[[#This Row],[X]],0))</f>
        <v>0</v>
      </c>
      <c r="AO197" s="168">
        <f t="shared" si="11"/>
        <v>170</v>
      </c>
      <c r="BA197" s="11"/>
    </row>
    <row r="198" spans="36:53" x14ac:dyDescent="0.25">
      <c r="AJ198" s="167">
        <f t="shared" ref="AJ198:AJ261" si="12">AJ197+1</f>
        <v>195</v>
      </c>
      <c r="AK198" s="168">
        <f>IF(AC_Chart_Background_Data[[#This Row],[X]] &lt; EFC_70P-EFC_50P, EFC_50P, MAX(EFC_70P-AC_Chart_Background_Data[[#This Row],[X]],0))</f>
        <v>0</v>
      </c>
      <c r="AL198" s="168">
        <f>IF(AC_Chart_Background_Data[[#This Row],[X]] &lt; EFC_85P-EFC_70P, EFC_70P, MAX(EFC_85P-AC_Chart_Background_Data[[#This Row],[X]],0))</f>
        <v>0</v>
      </c>
      <c r="AM198" s="168">
        <f>IF(AC_Chart_Background_Data[[#This Row],[X]] &lt; EFC_95P-EFC_85P, EFC_85P, MAX(EFC_95P-AC_Chart_Background_Data[[#This Row],[X]],0))</f>
        <v>0</v>
      </c>
      <c r="AN198" s="168">
        <f>IF(AC_Chart_Background_Data[[#This Row],[X]] &lt; EFC_99P-EFC_95P, EFC_95P, MAX(EFC_99P-AC_Chart_Background_Data[[#This Row],[X]],0))</f>
        <v>0</v>
      </c>
      <c r="AO198" s="168">
        <f t="shared" si="11"/>
        <v>170</v>
      </c>
      <c r="BA198" s="11"/>
    </row>
    <row r="199" spans="36:53" x14ac:dyDescent="0.25">
      <c r="AJ199" s="167">
        <f t="shared" si="12"/>
        <v>196</v>
      </c>
      <c r="AK199" s="168">
        <f>IF(AC_Chart_Background_Data[[#This Row],[X]] &lt; EFC_70P-EFC_50P, EFC_50P, MAX(EFC_70P-AC_Chart_Background_Data[[#This Row],[X]],0))</f>
        <v>0</v>
      </c>
      <c r="AL199" s="168">
        <f>IF(AC_Chart_Background_Data[[#This Row],[X]] &lt; EFC_85P-EFC_70P, EFC_70P, MAX(EFC_85P-AC_Chart_Background_Data[[#This Row],[X]],0))</f>
        <v>0</v>
      </c>
      <c r="AM199" s="168">
        <f>IF(AC_Chart_Background_Data[[#This Row],[X]] &lt; EFC_95P-EFC_85P, EFC_85P, MAX(EFC_95P-AC_Chart_Background_Data[[#This Row],[X]],0))</f>
        <v>0</v>
      </c>
      <c r="AN199" s="168">
        <f>IF(AC_Chart_Background_Data[[#This Row],[X]] &lt; EFC_99P-EFC_95P, EFC_95P, MAX(EFC_99P-AC_Chart_Background_Data[[#This Row],[X]],0))</f>
        <v>0</v>
      </c>
      <c r="AO199" s="168">
        <f t="shared" si="11"/>
        <v>170</v>
      </c>
      <c r="BA199" s="11"/>
    </row>
    <row r="200" spans="36:53" x14ac:dyDescent="0.25">
      <c r="AJ200" s="167">
        <f t="shared" si="12"/>
        <v>197</v>
      </c>
      <c r="AK200" s="168">
        <f>IF(AC_Chart_Background_Data[[#This Row],[X]] &lt; EFC_70P-EFC_50P, EFC_50P, MAX(EFC_70P-AC_Chart_Background_Data[[#This Row],[X]],0))</f>
        <v>0</v>
      </c>
      <c r="AL200" s="168">
        <f>IF(AC_Chart_Background_Data[[#This Row],[X]] &lt; EFC_85P-EFC_70P, EFC_70P, MAX(EFC_85P-AC_Chart_Background_Data[[#This Row],[X]],0))</f>
        <v>0</v>
      </c>
      <c r="AM200" s="168">
        <f>IF(AC_Chart_Background_Data[[#This Row],[X]] &lt; EFC_95P-EFC_85P, EFC_85P, MAX(EFC_95P-AC_Chart_Background_Data[[#This Row],[X]],0))</f>
        <v>0</v>
      </c>
      <c r="AN200" s="168">
        <f>IF(AC_Chart_Background_Data[[#This Row],[X]] &lt; EFC_99P-EFC_95P, EFC_95P, MAX(EFC_99P-AC_Chart_Background_Data[[#This Row],[X]],0))</f>
        <v>0</v>
      </c>
      <c r="AO200" s="168">
        <f t="shared" si="11"/>
        <v>170</v>
      </c>
      <c r="BA200" s="11"/>
    </row>
    <row r="201" spans="36:53" x14ac:dyDescent="0.25">
      <c r="AJ201" s="167">
        <f t="shared" si="12"/>
        <v>198</v>
      </c>
      <c r="AK201" s="168">
        <f>IF(AC_Chart_Background_Data[[#This Row],[X]] &lt; EFC_70P-EFC_50P, EFC_50P, MAX(EFC_70P-AC_Chart_Background_Data[[#This Row],[X]],0))</f>
        <v>0</v>
      </c>
      <c r="AL201" s="168">
        <f>IF(AC_Chart_Background_Data[[#This Row],[X]] &lt; EFC_85P-EFC_70P, EFC_70P, MAX(EFC_85P-AC_Chart_Background_Data[[#This Row],[X]],0))</f>
        <v>0</v>
      </c>
      <c r="AM201" s="168">
        <f>IF(AC_Chart_Background_Data[[#This Row],[X]] &lt; EFC_95P-EFC_85P, EFC_85P, MAX(EFC_95P-AC_Chart_Background_Data[[#This Row],[X]],0))</f>
        <v>0</v>
      </c>
      <c r="AN201" s="168">
        <f>IF(AC_Chart_Background_Data[[#This Row],[X]] &lt; EFC_99P-EFC_95P, EFC_95P, MAX(EFC_99P-AC_Chart_Background_Data[[#This Row],[X]],0))</f>
        <v>0</v>
      </c>
      <c r="AO201" s="168">
        <f t="shared" si="11"/>
        <v>170</v>
      </c>
      <c r="BA201" s="11"/>
    </row>
    <row r="202" spans="36:53" x14ac:dyDescent="0.25">
      <c r="AJ202" s="167">
        <f t="shared" si="12"/>
        <v>199</v>
      </c>
      <c r="AK202" s="168">
        <f>IF(AC_Chart_Background_Data[[#This Row],[X]] &lt; EFC_70P-EFC_50P, EFC_50P, MAX(EFC_70P-AC_Chart_Background_Data[[#This Row],[X]],0))</f>
        <v>0</v>
      </c>
      <c r="AL202" s="168">
        <f>IF(AC_Chart_Background_Data[[#This Row],[X]] &lt; EFC_85P-EFC_70P, EFC_70P, MAX(EFC_85P-AC_Chart_Background_Data[[#This Row],[X]],0))</f>
        <v>0</v>
      </c>
      <c r="AM202" s="168">
        <f>IF(AC_Chart_Background_Data[[#This Row],[X]] &lt; EFC_95P-EFC_85P, EFC_85P, MAX(EFC_95P-AC_Chart_Background_Data[[#This Row],[X]],0))</f>
        <v>0</v>
      </c>
      <c r="AN202" s="168">
        <f>IF(AC_Chart_Background_Data[[#This Row],[X]] &lt; EFC_99P-EFC_95P, EFC_95P, MAX(EFC_99P-AC_Chart_Background_Data[[#This Row],[X]],0))</f>
        <v>0</v>
      </c>
      <c r="AO202" s="168">
        <f t="shared" si="11"/>
        <v>170</v>
      </c>
      <c r="BA202" s="11"/>
    </row>
    <row r="203" spans="36:53" x14ac:dyDescent="0.25">
      <c r="AJ203" s="167">
        <f t="shared" si="12"/>
        <v>200</v>
      </c>
      <c r="AK203" s="168">
        <f>IF(AC_Chart_Background_Data[[#This Row],[X]] &lt; EFC_70P-EFC_50P, EFC_50P, MAX(EFC_70P-AC_Chart_Background_Data[[#This Row],[X]],0))</f>
        <v>0</v>
      </c>
      <c r="AL203" s="168">
        <f>IF(AC_Chart_Background_Data[[#This Row],[X]] &lt; EFC_85P-EFC_70P, EFC_70P, MAX(EFC_85P-AC_Chart_Background_Data[[#This Row],[X]],0))</f>
        <v>0</v>
      </c>
      <c r="AM203" s="168">
        <f>IF(AC_Chart_Background_Data[[#This Row],[X]] &lt; EFC_95P-EFC_85P, EFC_85P, MAX(EFC_95P-AC_Chart_Background_Data[[#This Row],[X]],0))</f>
        <v>0</v>
      </c>
      <c r="AN203" s="168">
        <f>IF(AC_Chart_Background_Data[[#This Row],[X]] &lt; EFC_99P-EFC_95P, EFC_95P, MAX(EFC_99P-AC_Chart_Background_Data[[#This Row],[X]],0))</f>
        <v>0</v>
      </c>
      <c r="AO203" s="168">
        <f t="shared" si="11"/>
        <v>170</v>
      </c>
      <c r="BA203" s="11"/>
    </row>
    <row r="204" spans="36:53" x14ac:dyDescent="0.25">
      <c r="AJ204" s="167">
        <f t="shared" si="12"/>
        <v>201</v>
      </c>
      <c r="AK204" s="168">
        <f>IF(AC_Chart_Background_Data[[#This Row],[X]] &lt; EFC_70P-EFC_50P, EFC_50P, MAX(EFC_70P-AC_Chart_Background_Data[[#This Row],[X]],0))</f>
        <v>0</v>
      </c>
      <c r="AL204" s="168">
        <f>IF(AC_Chart_Background_Data[[#This Row],[X]] &lt; EFC_85P-EFC_70P, EFC_70P, MAX(EFC_85P-AC_Chart_Background_Data[[#This Row],[X]],0))</f>
        <v>0</v>
      </c>
      <c r="AM204" s="168">
        <f>IF(AC_Chart_Background_Data[[#This Row],[X]] &lt; EFC_95P-EFC_85P, EFC_85P, MAX(EFC_95P-AC_Chart_Background_Data[[#This Row],[X]],0))</f>
        <v>0</v>
      </c>
      <c r="AN204" s="168">
        <f>IF(AC_Chart_Background_Data[[#This Row],[X]] &lt; EFC_99P-EFC_95P, EFC_95P, MAX(EFC_99P-AC_Chart_Background_Data[[#This Row],[X]],0))</f>
        <v>0</v>
      </c>
      <c r="AO204" s="168">
        <f t="shared" si="11"/>
        <v>170</v>
      </c>
      <c r="BA204" s="11"/>
    </row>
    <row r="205" spans="36:53" x14ac:dyDescent="0.25">
      <c r="AJ205" s="167">
        <f t="shared" si="12"/>
        <v>202</v>
      </c>
      <c r="AK205" s="168">
        <f>IF(AC_Chart_Background_Data[[#This Row],[X]] &lt; EFC_70P-EFC_50P, EFC_50P, MAX(EFC_70P-AC_Chart_Background_Data[[#This Row],[X]],0))</f>
        <v>0</v>
      </c>
      <c r="AL205" s="168">
        <f>IF(AC_Chart_Background_Data[[#This Row],[X]] &lt; EFC_85P-EFC_70P, EFC_70P, MAX(EFC_85P-AC_Chart_Background_Data[[#This Row],[X]],0))</f>
        <v>0</v>
      </c>
      <c r="AM205" s="168">
        <f>IF(AC_Chart_Background_Data[[#This Row],[X]] &lt; EFC_95P-EFC_85P, EFC_85P, MAX(EFC_95P-AC_Chart_Background_Data[[#This Row],[X]],0))</f>
        <v>0</v>
      </c>
      <c r="AN205" s="168">
        <f>IF(AC_Chart_Background_Data[[#This Row],[X]] &lt; EFC_99P-EFC_95P, EFC_95P, MAX(EFC_99P-AC_Chart_Background_Data[[#This Row],[X]],0))</f>
        <v>0</v>
      </c>
      <c r="AO205" s="168">
        <f t="shared" si="11"/>
        <v>170</v>
      </c>
      <c r="BA205" s="11"/>
    </row>
    <row r="206" spans="36:53" x14ac:dyDescent="0.25">
      <c r="AJ206" s="167">
        <f t="shared" si="12"/>
        <v>203</v>
      </c>
      <c r="AK206" s="168">
        <f>IF(AC_Chart_Background_Data[[#This Row],[X]] &lt; EFC_70P-EFC_50P, EFC_50P, MAX(EFC_70P-AC_Chart_Background_Data[[#This Row],[X]],0))</f>
        <v>0</v>
      </c>
      <c r="AL206" s="168">
        <f>IF(AC_Chart_Background_Data[[#This Row],[X]] &lt; EFC_85P-EFC_70P, EFC_70P, MAX(EFC_85P-AC_Chart_Background_Data[[#This Row],[X]],0))</f>
        <v>0</v>
      </c>
      <c r="AM206" s="168">
        <f>IF(AC_Chart_Background_Data[[#This Row],[X]] &lt; EFC_95P-EFC_85P, EFC_85P, MAX(EFC_95P-AC_Chart_Background_Data[[#This Row],[X]],0))</f>
        <v>0</v>
      </c>
      <c r="AN206" s="168">
        <f>IF(AC_Chart_Background_Data[[#This Row],[X]] &lt; EFC_99P-EFC_95P, EFC_95P, MAX(EFC_99P-AC_Chart_Background_Data[[#This Row],[X]],0))</f>
        <v>0</v>
      </c>
      <c r="AO206" s="168">
        <f t="shared" si="11"/>
        <v>170</v>
      </c>
      <c r="BA206" s="11"/>
    </row>
    <row r="207" spans="36:53" x14ac:dyDescent="0.25">
      <c r="AJ207" s="167">
        <f t="shared" si="12"/>
        <v>204</v>
      </c>
      <c r="AK207" s="168">
        <f>IF(AC_Chart_Background_Data[[#This Row],[X]] &lt; EFC_70P-EFC_50P, EFC_50P, MAX(EFC_70P-AC_Chart_Background_Data[[#This Row],[X]],0))</f>
        <v>0</v>
      </c>
      <c r="AL207" s="168">
        <f>IF(AC_Chart_Background_Data[[#This Row],[X]] &lt; EFC_85P-EFC_70P, EFC_70P, MAX(EFC_85P-AC_Chart_Background_Data[[#This Row],[X]],0))</f>
        <v>0</v>
      </c>
      <c r="AM207" s="168">
        <f>IF(AC_Chart_Background_Data[[#This Row],[X]] &lt; EFC_95P-EFC_85P, EFC_85P, MAX(EFC_95P-AC_Chart_Background_Data[[#This Row],[X]],0))</f>
        <v>0</v>
      </c>
      <c r="AN207" s="168">
        <f>IF(AC_Chart_Background_Data[[#This Row],[X]] &lt; EFC_99P-EFC_95P, EFC_95P, MAX(EFC_99P-AC_Chart_Background_Data[[#This Row],[X]],0))</f>
        <v>0</v>
      </c>
      <c r="AO207" s="168">
        <f t="shared" si="11"/>
        <v>170</v>
      </c>
      <c r="BA207" s="11"/>
    </row>
    <row r="208" spans="36:53" x14ac:dyDescent="0.25">
      <c r="AJ208" s="167">
        <f t="shared" si="12"/>
        <v>205</v>
      </c>
      <c r="AK208" s="168">
        <f>IF(AC_Chart_Background_Data[[#This Row],[X]] &lt; EFC_70P-EFC_50P, EFC_50P, MAX(EFC_70P-AC_Chart_Background_Data[[#This Row],[X]],0))</f>
        <v>0</v>
      </c>
      <c r="AL208" s="168">
        <f>IF(AC_Chart_Background_Data[[#This Row],[X]] &lt; EFC_85P-EFC_70P, EFC_70P, MAX(EFC_85P-AC_Chart_Background_Data[[#This Row],[X]],0))</f>
        <v>0</v>
      </c>
      <c r="AM208" s="168">
        <f>IF(AC_Chart_Background_Data[[#This Row],[X]] &lt; EFC_95P-EFC_85P, EFC_85P, MAX(EFC_95P-AC_Chart_Background_Data[[#This Row],[X]],0))</f>
        <v>0</v>
      </c>
      <c r="AN208" s="168">
        <f>IF(AC_Chart_Background_Data[[#This Row],[X]] &lt; EFC_99P-EFC_95P, EFC_95P, MAX(EFC_99P-AC_Chart_Background_Data[[#This Row],[X]],0))</f>
        <v>0</v>
      </c>
      <c r="AO208" s="168">
        <f t="shared" si="11"/>
        <v>170</v>
      </c>
      <c r="BA208" s="11"/>
    </row>
    <row r="209" spans="36:53" x14ac:dyDescent="0.25">
      <c r="AJ209" s="167">
        <f t="shared" si="12"/>
        <v>206</v>
      </c>
      <c r="AK209" s="168">
        <f>IF(AC_Chart_Background_Data[[#This Row],[X]] &lt; EFC_70P-EFC_50P, EFC_50P, MAX(EFC_70P-AC_Chart_Background_Data[[#This Row],[X]],0))</f>
        <v>0</v>
      </c>
      <c r="AL209" s="168">
        <f>IF(AC_Chart_Background_Data[[#This Row],[X]] &lt; EFC_85P-EFC_70P, EFC_70P, MAX(EFC_85P-AC_Chart_Background_Data[[#This Row],[X]],0))</f>
        <v>0</v>
      </c>
      <c r="AM209" s="168">
        <f>IF(AC_Chart_Background_Data[[#This Row],[X]] &lt; EFC_95P-EFC_85P, EFC_85P, MAX(EFC_95P-AC_Chart_Background_Data[[#This Row],[X]],0))</f>
        <v>0</v>
      </c>
      <c r="AN209" s="168">
        <f>IF(AC_Chart_Background_Data[[#This Row],[X]] &lt; EFC_99P-EFC_95P, EFC_95P, MAX(EFC_99P-AC_Chart_Background_Data[[#This Row],[X]],0))</f>
        <v>0</v>
      </c>
      <c r="AO209" s="168">
        <f t="shared" si="11"/>
        <v>170</v>
      </c>
      <c r="BA209" s="11"/>
    </row>
    <row r="210" spans="36:53" x14ac:dyDescent="0.25">
      <c r="AJ210" s="167">
        <f t="shared" si="12"/>
        <v>207</v>
      </c>
      <c r="AK210" s="168">
        <f>IF(AC_Chart_Background_Data[[#This Row],[X]] &lt; EFC_70P-EFC_50P, EFC_50P, MAX(EFC_70P-AC_Chart_Background_Data[[#This Row],[X]],0))</f>
        <v>0</v>
      </c>
      <c r="AL210" s="168">
        <f>IF(AC_Chart_Background_Data[[#This Row],[X]] &lt; EFC_85P-EFC_70P, EFC_70P, MAX(EFC_85P-AC_Chart_Background_Data[[#This Row],[X]],0))</f>
        <v>0</v>
      </c>
      <c r="AM210" s="168">
        <f>IF(AC_Chart_Background_Data[[#This Row],[X]] &lt; EFC_95P-EFC_85P, EFC_85P, MAX(EFC_95P-AC_Chart_Background_Data[[#This Row],[X]],0))</f>
        <v>0</v>
      </c>
      <c r="AN210" s="168">
        <f>IF(AC_Chart_Background_Data[[#This Row],[X]] &lt; EFC_99P-EFC_95P, EFC_95P, MAX(EFC_99P-AC_Chart_Background_Data[[#This Row],[X]],0))</f>
        <v>0</v>
      </c>
      <c r="AO210" s="168">
        <f t="shared" si="11"/>
        <v>170</v>
      </c>
      <c r="BA210" s="11"/>
    </row>
    <row r="211" spans="36:53" x14ac:dyDescent="0.25">
      <c r="AJ211" s="167">
        <f t="shared" si="12"/>
        <v>208</v>
      </c>
      <c r="AK211" s="168">
        <f>IF(AC_Chart_Background_Data[[#This Row],[X]] &lt; EFC_70P-EFC_50P, EFC_50P, MAX(EFC_70P-AC_Chart_Background_Data[[#This Row],[X]],0))</f>
        <v>0</v>
      </c>
      <c r="AL211" s="168">
        <f>IF(AC_Chart_Background_Data[[#This Row],[X]] &lt; EFC_85P-EFC_70P, EFC_70P, MAX(EFC_85P-AC_Chart_Background_Data[[#This Row],[X]],0))</f>
        <v>0</v>
      </c>
      <c r="AM211" s="168">
        <f>IF(AC_Chart_Background_Data[[#This Row],[X]] &lt; EFC_95P-EFC_85P, EFC_85P, MAX(EFC_95P-AC_Chart_Background_Data[[#This Row],[X]],0))</f>
        <v>0</v>
      </c>
      <c r="AN211" s="168">
        <f>IF(AC_Chart_Background_Data[[#This Row],[X]] &lt; EFC_99P-EFC_95P, EFC_95P, MAX(EFC_99P-AC_Chart_Background_Data[[#This Row],[X]],0))</f>
        <v>0</v>
      </c>
      <c r="AO211" s="168">
        <f t="shared" si="11"/>
        <v>170</v>
      </c>
      <c r="BA211" s="11"/>
    </row>
    <row r="212" spans="36:53" x14ac:dyDescent="0.25">
      <c r="AJ212" s="167">
        <f t="shared" si="12"/>
        <v>209</v>
      </c>
      <c r="AK212" s="168">
        <f>IF(AC_Chart_Background_Data[[#This Row],[X]] &lt; EFC_70P-EFC_50P, EFC_50P, MAX(EFC_70P-AC_Chart_Background_Data[[#This Row],[X]],0))</f>
        <v>0</v>
      </c>
      <c r="AL212" s="168">
        <f>IF(AC_Chart_Background_Data[[#This Row],[X]] &lt; EFC_85P-EFC_70P, EFC_70P, MAX(EFC_85P-AC_Chart_Background_Data[[#This Row],[X]],0))</f>
        <v>0</v>
      </c>
      <c r="AM212" s="168">
        <f>IF(AC_Chart_Background_Data[[#This Row],[X]] &lt; EFC_95P-EFC_85P, EFC_85P, MAX(EFC_95P-AC_Chart_Background_Data[[#This Row],[X]],0))</f>
        <v>0</v>
      </c>
      <c r="AN212" s="168">
        <f>IF(AC_Chart_Background_Data[[#This Row],[X]] &lt; EFC_99P-EFC_95P, EFC_95P, MAX(EFC_99P-AC_Chart_Background_Data[[#This Row],[X]],0))</f>
        <v>0</v>
      </c>
      <c r="AO212" s="168">
        <f t="shared" si="11"/>
        <v>170</v>
      </c>
      <c r="BA212" s="11"/>
    </row>
    <row r="213" spans="36:53" x14ac:dyDescent="0.25">
      <c r="AJ213" s="167">
        <f t="shared" si="12"/>
        <v>210</v>
      </c>
      <c r="AK213" s="168">
        <f>IF(AC_Chart_Background_Data[[#This Row],[X]] &lt; EFC_70P-EFC_50P, EFC_50P, MAX(EFC_70P-AC_Chart_Background_Data[[#This Row],[X]],0))</f>
        <v>0</v>
      </c>
      <c r="AL213" s="168">
        <f>IF(AC_Chart_Background_Data[[#This Row],[X]] &lt; EFC_85P-EFC_70P, EFC_70P, MAX(EFC_85P-AC_Chart_Background_Data[[#This Row],[X]],0))</f>
        <v>0</v>
      </c>
      <c r="AM213" s="168">
        <f>IF(AC_Chart_Background_Data[[#This Row],[X]] &lt; EFC_95P-EFC_85P, EFC_85P, MAX(EFC_95P-AC_Chart_Background_Data[[#This Row],[X]],0))</f>
        <v>0</v>
      </c>
      <c r="AN213" s="168">
        <f>IF(AC_Chart_Background_Data[[#This Row],[X]] &lt; EFC_99P-EFC_95P, EFC_95P, MAX(EFC_99P-AC_Chart_Background_Data[[#This Row],[X]],0))</f>
        <v>0</v>
      </c>
      <c r="AO213" s="168">
        <f t="shared" si="11"/>
        <v>170</v>
      </c>
      <c r="BA213" s="11"/>
    </row>
    <row r="214" spans="36:53" x14ac:dyDescent="0.25">
      <c r="AJ214" s="167">
        <f t="shared" si="12"/>
        <v>211</v>
      </c>
      <c r="AK214" s="168">
        <f>IF(AC_Chart_Background_Data[[#This Row],[X]] &lt; EFC_70P-EFC_50P, EFC_50P, MAX(EFC_70P-AC_Chart_Background_Data[[#This Row],[X]],0))</f>
        <v>0</v>
      </c>
      <c r="AL214" s="168">
        <f>IF(AC_Chart_Background_Data[[#This Row],[X]] &lt; EFC_85P-EFC_70P, EFC_70P, MAX(EFC_85P-AC_Chart_Background_Data[[#This Row],[X]],0))</f>
        <v>0</v>
      </c>
      <c r="AM214" s="168">
        <f>IF(AC_Chart_Background_Data[[#This Row],[X]] &lt; EFC_95P-EFC_85P, EFC_85P, MAX(EFC_95P-AC_Chart_Background_Data[[#This Row],[X]],0))</f>
        <v>0</v>
      </c>
      <c r="AN214" s="168">
        <f>IF(AC_Chart_Background_Data[[#This Row],[X]] &lt; EFC_99P-EFC_95P, EFC_95P, MAX(EFC_99P-AC_Chart_Background_Data[[#This Row],[X]],0))</f>
        <v>0</v>
      </c>
      <c r="AO214" s="168">
        <f t="shared" si="11"/>
        <v>170</v>
      </c>
      <c r="BA214" s="11"/>
    </row>
    <row r="215" spans="36:53" x14ac:dyDescent="0.25">
      <c r="AJ215" s="167">
        <f t="shared" si="12"/>
        <v>212</v>
      </c>
      <c r="AK215" s="168">
        <f>IF(AC_Chart_Background_Data[[#This Row],[X]] &lt; EFC_70P-EFC_50P, EFC_50P, MAX(EFC_70P-AC_Chart_Background_Data[[#This Row],[X]],0))</f>
        <v>0</v>
      </c>
      <c r="AL215" s="168">
        <f>IF(AC_Chart_Background_Data[[#This Row],[X]] &lt; EFC_85P-EFC_70P, EFC_70P, MAX(EFC_85P-AC_Chart_Background_Data[[#This Row],[X]],0))</f>
        <v>0</v>
      </c>
      <c r="AM215" s="168">
        <f>IF(AC_Chart_Background_Data[[#This Row],[X]] &lt; EFC_95P-EFC_85P, EFC_85P, MAX(EFC_95P-AC_Chart_Background_Data[[#This Row],[X]],0))</f>
        <v>0</v>
      </c>
      <c r="AN215" s="168">
        <f>IF(AC_Chart_Background_Data[[#This Row],[X]] &lt; EFC_99P-EFC_95P, EFC_95P, MAX(EFC_99P-AC_Chart_Background_Data[[#This Row],[X]],0))</f>
        <v>0</v>
      </c>
      <c r="AO215" s="168">
        <f t="shared" si="11"/>
        <v>170</v>
      </c>
      <c r="BA215" s="11"/>
    </row>
    <row r="216" spans="36:53" x14ac:dyDescent="0.25">
      <c r="AJ216" s="167">
        <f t="shared" si="12"/>
        <v>213</v>
      </c>
      <c r="AK216" s="168">
        <f>IF(AC_Chart_Background_Data[[#This Row],[X]] &lt; EFC_70P-EFC_50P, EFC_50P, MAX(EFC_70P-AC_Chart_Background_Data[[#This Row],[X]],0))</f>
        <v>0</v>
      </c>
      <c r="AL216" s="168">
        <f>IF(AC_Chart_Background_Data[[#This Row],[X]] &lt; EFC_85P-EFC_70P, EFC_70P, MAX(EFC_85P-AC_Chart_Background_Data[[#This Row],[X]],0))</f>
        <v>0</v>
      </c>
      <c r="AM216" s="168">
        <f>IF(AC_Chart_Background_Data[[#This Row],[X]] &lt; EFC_95P-EFC_85P, EFC_85P, MAX(EFC_95P-AC_Chart_Background_Data[[#This Row],[X]],0))</f>
        <v>0</v>
      </c>
      <c r="AN216" s="168">
        <f>IF(AC_Chart_Background_Data[[#This Row],[X]] &lt; EFC_99P-EFC_95P, EFC_95P, MAX(EFC_99P-AC_Chart_Background_Data[[#This Row],[X]],0))</f>
        <v>0</v>
      </c>
      <c r="AO216" s="168">
        <f t="shared" si="11"/>
        <v>170</v>
      </c>
      <c r="BA216" s="11"/>
    </row>
    <row r="217" spans="36:53" x14ac:dyDescent="0.25">
      <c r="AJ217" s="167">
        <f t="shared" si="12"/>
        <v>214</v>
      </c>
      <c r="AK217" s="168">
        <f>IF(AC_Chart_Background_Data[[#This Row],[X]] &lt; EFC_70P-EFC_50P, EFC_50P, MAX(EFC_70P-AC_Chart_Background_Data[[#This Row],[X]],0))</f>
        <v>0</v>
      </c>
      <c r="AL217" s="168">
        <f>IF(AC_Chart_Background_Data[[#This Row],[X]] &lt; EFC_85P-EFC_70P, EFC_70P, MAX(EFC_85P-AC_Chart_Background_Data[[#This Row],[X]],0))</f>
        <v>0</v>
      </c>
      <c r="AM217" s="168">
        <f>IF(AC_Chart_Background_Data[[#This Row],[X]] &lt; EFC_95P-EFC_85P, EFC_85P, MAX(EFC_95P-AC_Chart_Background_Data[[#This Row],[X]],0))</f>
        <v>0</v>
      </c>
      <c r="AN217" s="168">
        <f>IF(AC_Chart_Background_Data[[#This Row],[X]] &lt; EFC_99P-EFC_95P, EFC_95P, MAX(EFC_99P-AC_Chart_Background_Data[[#This Row],[X]],0))</f>
        <v>0</v>
      </c>
      <c r="AO217" s="168">
        <f t="shared" si="11"/>
        <v>170</v>
      </c>
      <c r="BA217" s="11"/>
    </row>
    <row r="218" spans="36:53" x14ac:dyDescent="0.25">
      <c r="AJ218" s="167">
        <f t="shared" si="12"/>
        <v>215</v>
      </c>
      <c r="AK218" s="168">
        <f>IF(AC_Chart_Background_Data[[#This Row],[X]] &lt; EFC_70P-EFC_50P, EFC_50P, MAX(EFC_70P-AC_Chart_Background_Data[[#This Row],[X]],0))</f>
        <v>0</v>
      </c>
      <c r="AL218" s="168">
        <f>IF(AC_Chart_Background_Data[[#This Row],[X]] &lt; EFC_85P-EFC_70P, EFC_70P, MAX(EFC_85P-AC_Chart_Background_Data[[#This Row],[X]],0))</f>
        <v>0</v>
      </c>
      <c r="AM218" s="168">
        <f>IF(AC_Chart_Background_Data[[#This Row],[X]] &lt; EFC_95P-EFC_85P, EFC_85P, MAX(EFC_95P-AC_Chart_Background_Data[[#This Row],[X]],0))</f>
        <v>0</v>
      </c>
      <c r="AN218" s="168">
        <f>IF(AC_Chart_Background_Data[[#This Row],[X]] &lt; EFC_99P-EFC_95P, EFC_95P, MAX(EFC_99P-AC_Chart_Background_Data[[#This Row],[X]],0))</f>
        <v>0</v>
      </c>
      <c r="AO218" s="168">
        <f t="shared" si="11"/>
        <v>170</v>
      </c>
      <c r="BA218" s="11"/>
    </row>
    <row r="219" spans="36:53" x14ac:dyDescent="0.25">
      <c r="AJ219" s="167">
        <f t="shared" si="12"/>
        <v>216</v>
      </c>
      <c r="AK219" s="168">
        <f>IF(AC_Chart_Background_Data[[#This Row],[X]] &lt; EFC_70P-EFC_50P, EFC_50P, MAX(EFC_70P-AC_Chart_Background_Data[[#This Row],[X]],0))</f>
        <v>0</v>
      </c>
      <c r="AL219" s="168">
        <f>IF(AC_Chart_Background_Data[[#This Row],[X]] &lt; EFC_85P-EFC_70P, EFC_70P, MAX(EFC_85P-AC_Chart_Background_Data[[#This Row],[X]],0))</f>
        <v>0</v>
      </c>
      <c r="AM219" s="168">
        <f>IF(AC_Chart_Background_Data[[#This Row],[X]] &lt; EFC_95P-EFC_85P, EFC_85P, MAX(EFC_95P-AC_Chart_Background_Data[[#This Row],[X]],0))</f>
        <v>0</v>
      </c>
      <c r="AN219" s="168">
        <f>IF(AC_Chart_Background_Data[[#This Row],[X]] &lt; EFC_99P-EFC_95P, EFC_95P, MAX(EFC_99P-AC_Chart_Background_Data[[#This Row],[X]],0))</f>
        <v>0</v>
      </c>
      <c r="AO219" s="168">
        <f t="shared" si="11"/>
        <v>170</v>
      </c>
      <c r="BA219" s="11"/>
    </row>
    <row r="220" spans="36:53" x14ac:dyDescent="0.25">
      <c r="AJ220" s="167">
        <f t="shared" si="12"/>
        <v>217</v>
      </c>
      <c r="AK220" s="168">
        <f>IF(AC_Chart_Background_Data[[#This Row],[X]] &lt; EFC_70P-EFC_50P, EFC_50P, MAX(EFC_70P-AC_Chart_Background_Data[[#This Row],[X]],0))</f>
        <v>0</v>
      </c>
      <c r="AL220" s="168">
        <f>IF(AC_Chart_Background_Data[[#This Row],[X]] &lt; EFC_85P-EFC_70P, EFC_70P, MAX(EFC_85P-AC_Chart_Background_Data[[#This Row],[X]],0))</f>
        <v>0</v>
      </c>
      <c r="AM220" s="168">
        <f>IF(AC_Chart_Background_Data[[#This Row],[X]] &lt; EFC_95P-EFC_85P, EFC_85P, MAX(EFC_95P-AC_Chart_Background_Data[[#This Row],[X]],0))</f>
        <v>0</v>
      </c>
      <c r="AN220" s="168">
        <f>IF(AC_Chart_Background_Data[[#This Row],[X]] &lt; EFC_99P-EFC_95P, EFC_95P, MAX(EFC_99P-AC_Chart_Background_Data[[#This Row],[X]],0))</f>
        <v>0</v>
      </c>
      <c r="AO220" s="168">
        <f t="shared" si="11"/>
        <v>170</v>
      </c>
      <c r="BA220" s="11"/>
    </row>
    <row r="221" spans="36:53" x14ac:dyDescent="0.25">
      <c r="AJ221" s="167">
        <f t="shared" si="12"/>
        <v>218</v>
      </c>
      <c r="AK221" s="168">
        <f>IF(AC_Chart_Background_Data[[#This Row],[X]] &lt; EFC_70P-EFC_50P, EFC_50P, MAX(EFC_70P-AC_Chart_Background_Data[[#This Row],[X]],0))</f>
        <v>0</v>
      </c>
      <c r="AL221" s="168">
        <f>IF(AC_Chart_Background_Data[[#This Row],[X]] &lt; EFC_85P-EFC_70P, EFC_70P, MAX(EFC_85P-AC_Chart_Background_Data[[#This Row],[X]],0))</f>
        <v>0</v>
      </c>
      <c r="AM221" s="168">
        <f>IF(AC_Chart_Background_Data[[#This Row],[X]] &lt; EFC_95P-EFC_85P, EFC_85P, MAX(EFC_95P-AC_Chart_Background_Data[[#This Row],[X]],0))</f>
        <v>0</v>
      </c>
      <c r="AN221" s="168">
        <f>IF(AC_Chart_Background_Data[[#This Row],[X]] &lt; EFC_99P-EFC_95P, EFC_95P, MAX(EFC_99P-AC_Chart_Background_Data[[#This Row],[X]],0))</f>
        <v>0</v>
      </c>
      <c r="AO221" s="168">
        <f t="shared" si="11"/>
        <v>170</v>
      </c>
      <c r="BA221" s="11"/>
    </row>
    <row r="222" spans="36:53" x14ac:dyDescent="0.25">
      <c r="AJ222" s="167">
        <f t="shared" si="12"/>
        <v>219</v>
      </c>
      <c r="AK222" s="168">
        <f>IF(AC_Chart_Background_Data[[#This Row],[X]] &lt; EFC_70P-EFC_50P, EFC_50P, MAX(EFC_70P-AC_Chart_Background_Data[[#This Row],[X]],0))</f>
        <v>0</v>
      </c>
      <c r="AL222" s="168">
        <f>IF(AC_Chart_Background_Data[[#This Row],[X]] &lt; EFC_85P-EFC_70P, EFC_70P, MAX(EFC_85P-AC_Chart_Background_Data[[#This Row],[X]],0))</f>
        <v>0</v>
      </c>
      <c r="AM222" s="168">
        <f>IF(AC_Chart_Background_Data[[#This Row],[X]] &lt; EFC_95P-EFC_85P, EFC_85P, MAX(EFC_95P-AC_Chart_Background_Data[[#This Row],[X]],0))</f>
        <v>0</v>
      </c>
      <c r="AN222" s="168">
        <f>IF(AC_Chart_Background_Data[[#This Row],[X]] &lt; EFC_99P-EFC_95P, EFC_95P, MAX(EFC_99P-AC_Chart_Background_Data[[#This Row],[X]],0))</f>
        <v>0</v>
      </c>
      <c r="AO222" s="168">
        <f t="shared" si="11"/>
        <v>170</v>
      </c>
      <c r="BA222" s="11"/>
    </row>
    <row r="223" spans="36:53" x14ac:dyDescent="0.25">
      <c r="AJ223" s="167">
        <f t="shared" si="12"/>
        <v>220</v>
      </c>
      <c r="AK223" s="168">
        <f>IF(AC_Chart_Background_Data[[#This Row],[X]] &lt; EFC_70P-EFC_50P, EFC_50P, MAX(EFC_70P-AC_Chart_Background_Data[[#This Row],[X]],0))</f>
        <v>0</v>
      </c>
      <c r="AL223" s="168">
        <f>IF(AC_Chart_Background_Data[[#This Row],[X]] &lt; EFC_85P-EFC_70P, EFC_70P, MAX(EFC_85P-AC_Chart_Background_Data[[#This Row],[X]],0))</f>
        <v>0</v>
      </c>
      <c r="AM223" s="168">
        <f>IF(AC_Chart_Background_Data[[#This Row],[X]] &lt; EFC_95P-EFC_85P, EFC_85P, MAX(EFC_95P-AC_Chart_Background_Data[[#This Row],[X]],0))</f>
        <v>0</v>
      </c>
      <c r="AN223" s="168">
        <f>IF(AC_Chart_Background_Data[[#This Row],[X]] &lt; EFC_99P-EFC_95P, EFC_95P, MAX(EFC_99P-AC_Chart_Background_Data[[#This Row],[X]],0))</f>
        <v>0</v>
      </c>
      <c r="AO223" s="168">
        <f t="shared" si="11"/>
        <v>170</v>
      </c>
      <c r="BA223" s="11"/>
    </row>
    <row r="224" spans="36:53" x14ac:dyDescent="0.25">
      <c r="AJ224" s="167">
        <f t="shared" si="12"/>
        <v>221</v>
      </c>
      <c r="AK224" s="168">
        <f>IF(AC_Chart_Background_Data[[#This Row],[X]] &lt; EFC_70P-EFC_50P, EFC_50P, MAX(EFC_70P-AC_Chart_Background_Data[[#This Row],[X]],0))</f>
        <v>0</v>
      </c>
      <c r="AL224" s="168">
        <f>IF(AC_Chart_Background_Data[[#This Row],[X]] &lt; EFC_85P-EFC_70P, EFC_70P, MAX(EFC_85P-AC_Chart_Background_Data[[#This Row],[X]],0))</f>
        <v>0</v>
      </c>
      <c r="AM224" s="168">
        <f>IF(AC_Chart_Background_Data[[#This Row],[X]] &lt; EFC_95P-EFC_85P, EFC_85P, MAX(EFC_95P-AC_Chart_Background_Data[[#This Row],[X]],0))</f>
        <v>0</v>
      </c>
      <c r="AN224" s="168">
        <f>IF(AC_Chart_Background_Data[[#This Row],[X]] &lt; EFC_99P-EFC_95P, EFC_95P, MAX(EFC_99P-AC_Chart_Background_Data[[#This Row],[X]],0))</f>
        <v>0</v>
      </c>
      <c r="AO224" s="168">
        <f t="shared" si="11"/>
        <v>170</v>
      </c>
      <c r="BA224" s="11"/>
    </row>
    <row r="225" spans="36:53" x14ac:dyDescent="0.25">
      <c r="AJ225" s="167">
        <f t="shared" si="12"/>
        <v>222</v>
      </c>
      <c r="AK225" s="168">
        <f>IF(AC_Chart_Background_Data[[#This Row],[X]] &lt; EFC_70P-EFC_50P, EFC_50P, MAX(EFC_70P-AC_Chart_Background_Data[[#This Row],[X]],0))</f>
        <v>0</v>
      </c>
      <c r="AL225" s="168">
        <f>IF(AC_Chart_Background_Data[[#This Row],[X]] &lt; EFC_85P-EFC_70P, EFC_70P, MAX(EFC_85P-AC_Chart_Background_Data[[#This Row],[X]],0))</f>
        <v>0</v>
      </c>
      <c r="AM225" s="168">
        <f>IF(AC_Chart_Background_Data[[#This Row],[X]] &lt; EFC_95P-EFC_85P, EFC_85P, MAX(EFC_95P-AC_Chart_Background_Data[[#This Row],[X]],0))</f>
        <v>0</v>
      </c>
      <c r="AN225" s="168">
        <f>IF(AC_Chart_Background_Data[[#This Row],[X]] &lt; EFC_99P-EFC_95P, EFC_95P, MAX(EFC_99P-AC_Chart_Background_Data[[#This Row],[X]],0))</f>
        <v>0</v>
      </c>
      <c r="AO225" s="168">
        <f t="shared" si="11"/>
        <v>170</v>
      </c>
      <c r="BA225" s="11"/>
    </row>
    <row r="226" spans="36:53" x14ac:dyDescent="0.25">
      <c r="AJ226" s="167">
        <f t="shared" si="12"/>
        <v>223</v>
      </c>
      <c r="AK226" s="168">
        <f>IF(AC_Chart_Background_Data[[#This Row],[X]] &lt; EFC_70P-EFC_50P, EFC_50P, MAX(EFC_70P-AC_Chart_Background_Data[[#This Row],[X]],0))</f>
        <v>0</v>
      </c>
      <c r="AL226" s="168">
        <f>IF(AC_Chart_Background_Data[[#This Row],[X]] &lt; EFC_85P-EFC_70P, EFC_70P, MAX(EFC_85P-AC_Chart_Background_Data[[#This Row],[X]],0))</f>
        <v>0</v>
      </c>
      <c r="AM226" s="168">
        <f>IF(AC_Chart_Background_Data[[#This Row],[X]] &lt; EFC_95P-EFC_85P, EFC_85P, MAX(EFC_95P-AC_Chart_Background_Data[[#This Row],[X]],0))</f>
        <v>0</v>
      </c>
      <c r="AN226" s="168">
        <f>IF(AC_Chart_Background_Data[[#This Row],[X]] &lt; EFC_99P-EFC_95P, EFC_95P, MAX(EFC_99P-AC_Chart_Background_Data[[#This Row],[X]],0))</f>
        <v>0</v>
      </c>
      <c r="AO226" s="168">
        <f t="shared" si="11"/>
        <v>170</v>
      </c>
      <c r="BA226" s="11"/>
    </row>
    <row r="227" spans="36:53" x14ac:dyDescent="0.25">
      <c r="AJ227" s="167">
        <f t="shared" si="12"/>
        <v>224</v>
      </c>
      <c r="AK227" s="168">
        <f>IF(AC_Chart_Background_Data[[#This Row],[X]] &lt; EFC_70P-EFC_50P, EFC_50P, MAX(EFC_70P-AC_Chart_Background_Data[[#This Row],[X]],0))</f>
        <v>0</v>
      </c>
      <c r="AL227" s="168">
        <f>IF(AC_Chart_Background_Data[[#This Row],[X]] &lt; EFC_85P-EFC_70P, EFC_70P, MAX(EFC_85P-AC_Chart_Background_Data[[#This Row],[X]],0))</f>
        <v>0</v>
      </c>
      <c r="AM227" s="168">
        <f>IF(AC_Chart_Background_Data[[#This Row],[X]] &lt; EFC_95P-EFC_85P, EFC_85P, MAX(EFC_95P-AC_Chart_Background_Data[[#This Row],[X]],0))</f>
        <v>0</v>
      </c>
      <c r="AN227" s="168">
        <f>IF(AC_Chart_Background_Data[[#This Row],[X]] &lt; EFC_99P-EFC_95P, EFC_95P, MAX(EFC_99P-AC_Chart_Background_Data[[#This Row],[X]],0))</f>
        <v>0</v>
      </c>
      <c r="AO227" s="168">
        <f t="shared" si="11"/>
        <v>170</v>
      </c>
      <c r="BA227" s="11"/>
    </row>
    <row r="228" spans="36:53" x14ac:dyDescent="0.25">
      <c r="AJ228" s="167">
        <f t="shared" si="12"/>
        <v>225</v>
      </c>
      <c r="AK228" s="168">
        <f>IF(AC_Chart_Background_Data[[#This Row],[X]] &lt; EFC_70P-EFC_50P, EFC_50P, MAX(EFC_70P-AC_Chart_Background_Data[[#This Row],[X]],0))</f>
        <v>0</v>
      </c>
      <c r="AL228" s="168">
        <f>IF(AC_Chart_Background_Data[[#This Row],[X]] &lt; EFC_85P-EFC_70P, EFC_70P, MAX(EFC_85P-AC_Chart_Background_Data[[#This Row],[X]],0))</f>
        <v>0</v>
      </c>
      <c r="AM228" s="168">
        <f>IF(AC_Chart_Background_Data[[#This Row],[X]] &lt; EFC_95P-EFC_85P, EFC_85P, MAX(EFC_95P-AC_Chart_Background_Data[[#This Row],[X]],0))</f>
        <v>0</v>
      </c>
      <c r="AN228" s="168">
        <f>IF(AC_Chart_Background_Data[[#This Row],[X]] &lt; EFC_99P-EFC_95P, EFC_95P, MAX(EFC_99P-AC_Chart_Background_Data[[#This Row],[X]],0))</f>
        <v>0</v>
      </c>
      <c r="AO228" s="168">
        <f t="shared" si="11"/>
        <v>170</v>
      </c>
      <c r="BA228" s="11"/>
    </row>
    <row r="229" spans="36:53" x14ac:dyDescent="0.25">
      <c r="AJ229" s="167">
        <f t="shared" si="12"/>
        <v>226</v>
      </c>
      <c r="AK229" s="168">
        <f>IF(AC_Chart_Background_Data[[#This Row],[X]] &lt; EFC_70P-EFC_50P, EFC_50P, MAX(EFC_70P-AC_Chart_Background_Data[[#This Row],[X]],0))</f>
        <v>0</v>
      </c>
      <c r="AL229" s="168">
        <f>IF(AC_Chart_Background_Data[[#This Row],[X]] &lt; EFC_85P-EFC_70P, EFC_70P, MAX(EFC_85P-AC_Chart_Background_Data[[#This Row],[X]],0))</f>
        <v>0</v>
      </c>
      <c r="AM229" s="168">
        <f>IF(AC_Chart_Background_Data[[#This Row],[X]] &lt; EFC_95P-EFC_85P, EFC_85P, MAX(EFC_95P-AC_Chart_Background_Data[[#This Row],[X]],0))</f>
        <v>0</v>
      </c>
      <c r="AN229" s="168">
        <f>IF(AC_Chart_Background_Data[[#This Row],[X]] &lt; EFC_99P-EFC_95P, EFC_95P, MAX(EFC_99P-AC_Chart_Background_Data[[#This Row],[X]],0))</f>
        <v>0</v>
      </c>
      <c r="AO229" s="168">
        <f t="shared" si="11"/>
        <v>170</v>
      </c>
      <c r="BA229" s="11"/>
    </row>
    <row r="230" spans="36:53" x14ac:dyDescent="0.25">
      <c r="AJ230" s="167">
        <f t="shared" si="12"/>
        <v>227</v>
      </c>
      <c r="AK230" s="168">
        <f>IF(AC_Chart_Background_Data[[#This Row],[X]] &lt; EFC_70P-EFC_50P, EFC_50P, MAX(EFC_70P-AC_Chart_Background_Data[[#This Row],[X]],0))</f>
        <v>0</v>
      </c>
      <c r="AL230" s="168">
        <f>IF(AC_Chart_Background_Data[[#This Row],[X]] &lt; EFC_85P-EFC_70P, EFC_70P, MAX(EFC_85P-AC_Chart_Background_Data[[#This Row],[X]],0))</f>
        <v>0</v>
      </c>
      <c r="AM230" s="168">
        <f>IF(AC_Chart_Background_Data[[#This Row],[X]] &lt; EFC_95P-EFC_85P, EFC_85P, MAX(EFC_95P-AC_Chart_Background_Data[[#This Row],[X]],0))</f>
        <v>0</v>
      </c>
      <c r="AN230" s="168">
        <f>IF(AC_Chart_Background_Data[[#This Row],[X]] &lt; EFC_99P-EFC_95P, EFC_95P, MAX(EFC_99P-AC_Chart_Background_Data[[#This Row],[X]],0))</f>
        <v>0</v>
      </c>
      <c r="AO230" s="168">
        <f t="shared" si="11"/>
        <v>170</v>
      </c>
      <c r="BA230" s="11"/>
    </row>
    <row r="231" spans="36:53" x14ac:dyDescent="0.25">
      <c r="AJ231" s="167">
        <f t="shared" si="12"/>
        <v>228</v>
      </c>
      <c r="AK231" s="168">
        <f>IF(AC_Chart_Background_Data[[#This Row],[X]] &lt; EFC_70P-EFC_50P, EFC_50P, MAX(EFC_70P-AC_Chart_Background_Data[[#This Row],[X]],0))</f>
        <v>0</v>
      </c>
      <c r="AL231" s="168">
        <f>IF(AC_Chart_Background_Data[[#This Row],[X]] &lt; EFC_85P-EFC_70P, EFC_70P, MAX(EFC_85P-AC_Chart_Background_Data[[#This Row],[X]],0))</f>
        <v>0</v>
      </c>
      <c r="AM231" s="168">
        <f>IF(AC_Chart_Background_Data[[#This Row],[X]] &lt; EFC_95P-EFC_85P, EFC_85P, MAX(EFC_95P-AC_Chart_Background_Data[[#This Row],[X]],0))</f>
        <v>0</v>
      </c>
      <c r="AN231" s="168">
        <f>IF(AC_Chart_Background_Data[[#This Row],[X]] &lt; EFC_99P-EFC_95P, EFC_95P, MAX(EFC_99P-AC_Chart_Background_Data[[#This Row],[X]],0))</f>
        <v>0</v>
      </c>
      <c r="AO231" s="168">
        <f t="shared" si="11"/>
        <v>170</v>
      </c>
      <c r="BA231" s="11"/>
    </row>
    <row r="232" spans="36:53" x14ac:dyDescent="0.25">
      <c r="AJ232" s="167">
        <f t="shared" si="12"/>
        <v>229</v>
      </c>
      <c r="AK232" s="168">
        <f>IF(AC_Chart_Background_Data[[#This Row],[X]] &lt; EFC_70P-EFC_50P, EFC_50P, MAX(EFC_70P-AC_Chart_Background_Data[[#This Row],[X]],0))</f>
        <v>0</v>
      </c>
      <c r="AL232" s="168">
        <f>IF(AC_Chart_Background_Data[[#This Row],[X]] &lt; EFC_85P-EFC_70P, EFC_70P, MAX(EFC_85P-AC_Chart_Background_Data[[#This Row],[X]],0))</f>
        <v>0</v>
      </c>
      <c r="AM232" s="168">
        <f>IF(AC_Chart_Background_Data[[#This Row],[X]] &lt; EFC_95P-EFC_85P, EFC_85P, MAX(EFC_95P-AC_Chart_Background_Data[[#This Row],[X]],0))</f>
        <v>0</v>
      </c>
      <c r="AN232" s="168">
        <f>IF(AC_Chart_Background_Data[[#This Row],[X]] &lt; EFC_99P-EFC_95P, EFC_95P, MAX(EFC_99P-AC_Chart_Background_Data[[#This Row],[X]],0))</f>
        <v>0</v>
      </c>
      <c r="AO232" s="168">
        <f t="shared" si="11"/>
        <v>170</v>
      </c>
      <c r="BA232" s="11"/>
    </row>
    <row r="233" spans="36:53" x14ac:dyDescent="0.25">
      <c r="AJ233" s="167">
        <f t="shared" si="12"/>
        <v>230</v>
      </c>
      <c r="AK233" s="168">
        <f>IF(AC_Chart_Background_Data[[#This Row],[X]] &lt; EFC_70P-EFC_50P, EFC_50P, MAX(EFC_70P-AC_Chart_Background_Data[[#This Row],[X]],0))</f>
        <v>0</v>
      </c>
      <c r="AL233" s="168">
        <f>IF(AC_Chart_Background_Data[[#This Row],[X]] &lt; EFC_85P-EFC_70P, EFC_70P, MAX(EFC_85P-AC_Chart_Background_Data[[#This Row],[X]],0))</f>
        <v>0</v>
      </c>
      <c r="AM233" s="168">
        <f>IF(AC_Chart_Background_Data[[#This Row],[X]] &lt; EFC_95P-EFC_85P, EFC_85P, MAX(EFC_95P-AC_Chart_Background_Data[[#This Row],[X]],0))</f>
        <v>0</v>
      </c>
      <c r="AN233" s="168">
        <f>IF(AC_Chart_Background_Data[[#This Row],[X]] &lt; EFC_99P-EFC_95P, EFC_95P, MAX(EFC_99P-AC_Chart_Background_Data[[#This Row],[X]],0))</f>
        <v>0</v>
      </c>
      <c r="AO233" s="168">
        <f t="shared" si="11"/>
        <v>170</v>
      </c>
      <c r="BA233" s="11"/>
    </row>
    <row r="234" spans="36:53" x14ac:dyDescent="0.25">
      <c r="AJ234" s="167">
        <f t="shared" si="12"/>
        <v>231</v>
      </c>
      <c r="AK234" s="168">
        <f>IF(AC_Chart_Background_Data[[#This Row],[X]] &lt; EFC_70P-EFC_50P, EFC_50P, MAX(EFC_70P-AC_Chart_Background_Data[[#This Row],[X]],0))</f>
        <v>0</v>
      </c>
      <c r="AL234" s="168">
        <f>IF(AC_Chart_Background_Data[[#This Row],[X]] &lt; EFC_85P-EFC_70P, EFC_70P, MAX(EFC_85P-AC_Chart_Background_Data[[#This Row],[X]],0))</f>
        <v>0</v>
      </c>
      <c r="AM234" s="168">
        <f>IF(AC_Chart_Background_Data[[#This Row],[X]] &lt; EFC_95P-EFC_85P, EFC_85P, MAX(EFC_95P-AC_Chart_Background_Data[[#This Row],[X]],0))</f>
        <v>0</v>
      </c>
      <c r="AN234" s="168">
        <f>IF(AC_Chart_Background_Data[[#This Row],[X]] &lt; EFC_99P-EFC_95P, EFC_95P, MAX(EFC_99P-AC_Chart_Background_Data[[#This Row],[X]],0))</f>
        <v>0</v>
      </c>
      <c r="AO234" s="168">
        <f t="shared" si="11"/>
        <v>170</v>
      </c>
      <c r="BA234" s="11"/>
    </row>
    <row r="235" spans="36:53" x14ac:dyDescent="0.25">
      <c r="AJ235" s="167">
        <f t="shared" si="12"/>
        <v>232</v>
      </c>
      <c r="AK235" s="168">
        <f>IF(AC_Chart_Background_Data[[#This Row],[X]] &lt; EFC_70P-EFC_50P, EFC_50P, MAX(EFC_70P-AC_Chart_Background_Data[[#This Row],[X]],0))</f>
        <v>0</v>
      </c>
      <c r="AL235" s="168">
        <f>IF(AC_Chart_Background_Data[[#This Row],[X]] &lt; EFC_85P-EFC_70P, EFC_70P, MAX(EFC_85P-AC_Chart_Background_Data[[#This Row],[X]],0))</f>
        <v>0</v>
      </c>
      <c r="AM235" s="168">
        <f>IF(AC_Chart_Background_Data[[#This Row],[X]] &lt; EFC_95P-EFC_85P, EFC_85P, MAX(EFC_95P-AC_Chart_Background_Data[[#This Row],[X]],0))</f>
        <v>0</v>
      </c>
      <c r="AN235" s="168">
        <f>IF(AC_Chart_Background_Data[[#This Row],[X]] &lt; EFC_99P-EFC_95P, EFC_95P, MAX(EFC_99P-AC_Chart_Background_Data[[#This Row],[X]],0))</f>
        <v>0</v>
      </c>
      <c r="AO235" s="168">
        <f t="shared" si="11"/>
        <v>170</v>
      </c>
      <c r="BA235" s="11"/>
    </row>
    <row r="236" spans="36:53" x14ac:dyDescent="0.25">
      <c r="AJ236" s="167">
        <f t="shared" si="12"/>
        <v>233</v>
      </c>
      <c r="AK236" s="168">
        <f>IF(AC_Chart_Background_Data[[#This Row],[X]] &lt; EFC_70P-EFC_50P, EFC_50P, MAX(EFC_70P-AC_Chart_Background_Data[[#This Row],[X]],0))</f>
        <v>0</v>
      </c>
      <c r="AL236" s="168">
        <f>IF(AC_Chart_Background_Data[[#This Row],[X]] &lt; EFC_85P-EFC_70P, EFC_70P, MAX(EFC_85P-AC_Chart_Background_Data[[#This Row],[X]],0))</f>
        <v>0</v>
      </c>
      <c r="AM236" s="168">
        <f>IF(AC_Chart_Background_Data[[#This Row],[X]] &lt; EFC_95P-EFC_85P, EFC_85P, MAX(EFC_95P-AC_Chart_Background_Data[[#This Row],[X]],0))</f>
        <v>0</v>
      </c>
      <c r="AN236" s="168">
        <f>IF(AC_Chart_Background_Data[[#This Row],[X]] &lt; EFC_99P-EFC_95P, EFC_95P, MAX(EFC_99P-AC_Chart_Background_Data[[#This Row],[X]],0))</f>
        <v>0</v>
      </c>
      <c r="AO236" s="168">
        <f t="shared" si="11"/>
        <v>170</v>
      </c>
      <c r="BA236" s="11"/>
    </row>
    <row r="237" spans="36:53" x14ac:dyDescent="0.25">
      <c r="AJ237" s="167">
        <f t="shared" si="12"/>
        <v>234</v>
      </c>
      <c r="AK237" s="168">
        <f>IF(AC_Chart_Background_Data[[#This Row],[X]] &lt; EFC_70P-EFC_50P, EFC_50P, MAX(EFC_70P-AC_Chart_Background_Data[[#This Row],[X]],0))</f>
        <v>0</v>
      </c>
      <c r="AL237" s="168">
        <f>IF(AC_Chart_Background_Data[[#This Row],[X]] &lt; EFC_85P-EFC_70P, EFC_70P, MAX(EFC_85P-AC_Chart_Background_Data[[#This Row],[X]],0))</f>
        <v>0</v>
      </c>
      <c r="AM237" s="168">
        <f>IF(AC_Chart_Background_Data[[#This Row],[X]] &lt; EFC_95P-EFC_85P, EFC_85P, MAX(EFC_95P-AC_Chart_Background_Data[[#This Row],[X]],0))</f>
        <v>0</v>
      </c>
      <c r="AN237" s="168">
        <f>IF(AC_Chart_Background_Data[[#This Row],[X]] &lt; EFC_99P-EFC_95P, EFC_95P, MAX(EFC_99P-AC_Chart_Background_Data[[#This Row],[X]],0))</f>
        <v>0</v>
      </c>
      <c r="AO237" s="168">
        <f t="shared" si="11"/>
        <v>170</v>
      </c>
      <c r="BA237" s="11"/>
    </row>
    <row r="238" spans="36:53" x14ac:dyDescent="0.25">
      <c r="AJ238" s="167">
        <f t="shared" si="12"/>
        <v>235</v>
      </c>
      <c r="AK238" s="168">
        <f>IF(AC_Chart_Background_Data[[#This Row],[X]] &lt; EFC_70P-EFC_50P, EFC_50P, MAX(EFC_70P-AC_Chart_Background_Data[[#This Row],[X]],0))</f>
        <v>0</v>
      </c>
      <c r="AL238" s="168">
        <f>IF(AC_Chart_Background_Data[[#This Row],[X]] &lt; EFC_85P-EFC_70P, EFC_70P, MAX(EFC_85P-AC_Chart_Background_Data[[#This Row],[X]],0))</f>
        <v>0</v>
      </c>
      <c r="AM238" s="168">
        <f>IF(AC_Chart_Background_Data[[#This Row],[X]] &lt; EFC_95P-EFC_85P, EFC_85P, MAX(EFC_95P-AC_Chart_Background_Data[[#This Row],[X]],0))</f>
        <v>0</v>
      </c>
      <c r="AN238" s="168">
        <f>IF(AC_Chart_Background_Data[[#This Row],[X]] &lt; EFC_99P-EFC_95P, EFC_95P, MAX(EFC_99P-AC_Chart_Background_Data[[#This Row],[X]],0))</f>
        <v>0</v>
      </c>
      <c r="AO238" s="168">
        <f t="shared" si="11"/>
        <v>170</v>
      </c>
      <c r="BA238" s="11"/>
    </row>
    <row r="239" spans="36:53" x14ac:dyDescent="0.25">
      <c r="AJ239" s="167">
        <f t="shared" si="12"/>
        <v>236</v>
      </c>
      <c r="AK239" s="168">
        <f>IF(AC_Chart_Background_Data[[#This Row],[X]] &lt; EFC_70P-EFC_50P, EFC_50P, MAX(EFC_70P-AC_Chart_Background_Data[[#This Row],[X]],0))</f>
        <v>0</v>
      </c>
      <c r="AL239" s="168">
        <f>IF(AC_Chart_Background_Data[[#This Row],[X]] &lt; EFC_85P-EFC_70P, EFC_70P, MAX(EFC_85P-AC_Chart_Background_Data[[#This Row],[X]],0))</f>
        <v>0</v>
      </c>
      <c r="AM239" s="168">
        <f>IF(AC_Chart_Background_Data[[#This Row],[X]] &lt; EFC_95P-EFC_85P, EFC_85P, MAX(EFC_95P-AC_Chart_Background_Data[[#This Row],[X]],0))</f>
        <v>0</v>
      </c>
      <c r="AN239" s="168">
        <f>IF(AC_Chart_Background_Data[[#This Row],[X]] &lt; EFC_99P-EFC_95P, EFC_95P, MAX(EFC_99P-AC_Chart_Background_Data[[#This Row],[X]],0))</f>
        <v>0</v>
      </c>
      <c r="AO239" s="168">
        <f t="shared" si="11"/>
        <v>170</v>
      </c>
      <c r="BA239" s="11"/>
    </row>
    <row r="240" spans="36:53" x14ac:dyDescent="0.25">
      <c r="AJ240" s="167">
        <f t="shared" si="12"/>
        <v>237</v>
      </c>
      <c r="AK240" s="168">
        <f>IF(AC_Chart_Background_Data[[#This Row],[X]] &lt; EFC_70P-EFC_50P, EFC_50P, MAX(EFC_70P-AC_Chart_Background_Data[[#This Row],[X]],0))</f>
        <v>0</v>
      </c>
      <c r="AL240" s="168">
        <f>IF(AC_Chart_Background_Data[[#This Row],[X]] &lt; EFC_85P-EFC_70P, EFC_70P, MAX(EFC_85P-AC_Chart_Background_Data[[#This Row],[X]],0))</f>
        <v>0</v>
      </c>
      <c r="AM240" s="168">
        <f>IF(AC_Chart_Background_Data[[#This Row],[X]] &lt; EFC_95P-EFC_85P, EFC_85P, MAX(EFC_95P-AC_Chart_Background_Data[[#This Row],[X]],0))</f>
        <v>0</v>
      </c>
      <c r="AN240" s="168">
        <f>IF(AC_Chart_Background_Data[[#This Row],[X]] &lt; EFC_99P-EFC_95P, EFC_95P, MAX(EFC_99P-AC_Chart_Background_Data[[#This Row],[X]],0))</f>
        <v>0</v>
      </c>
      <c r="AO240" s="168">
        <f t="shared" si="11"/>
        <v>170</v>
      </c>
      <c r="BA240" s="11"/>
    </row>
    <row r="241" spans="36:53" x14ac:dyDescent="0.25">
      <c r="AJ241" s="167">
        <f t="shared" si="12"/>
        <v>238</v>
      </c>
      <c r="AK241" s="168">
        <f>IF(AC_Chart_Background_Data[[#This Row],[X]] &lt; EFC_70P-EFC_50P, EFC_50P, MAX(EFC_70P-AC_Chart_Background_Data[[#This Row],[X]],0))</f>
        <v>0</v>
      </c>
      <c r="AL241" s="168">
        <f>IF(AC_Chart_Background_Data[[#This Row],[X]] &lt; EFC_85P-EFC_70P, EFC_70P, MAX(EFC_85P-AC_Chart_Background_Data[[#This Row],[X]],0))</f>
        <v>0</v>
      </c>
      <c r="AM241" s="168">
        <f>IF(AC_Chart_Background_Data[[#This Row],[X]] &lt; EFC_95P-EFC_85P, EFC_85P, MAX(EFC_95P-AC_Chart_Background_Data[[#This Row],[X]],0))</f>
        <v>0</v>
      </c>
      <c r="AN241" s="168">
        <f>IF(AC_Chart_Background_Data[[#This Row],[X]] &lt; EFC_99P-EFC_95P, EFC_95P, MAX(EFC_99P-AC_Chart_Background_Data[[#This Row],[X]],0))</f>
        <v>0</v>
      </c>
      <c r="AO241" s="168">
        <f t="shared" si="11"/>
        <v>170</v>
      </c>
      <c r="BA241" s="11"/>
    </row>
    <row r="242" spans="36:53" x14ac:dyDescent="0.25">
      <c r="AJ242" s="167">
        <f t="shared" si="12"/>
        <v>239</v>
      </c>
      <c r="AK242" s="168">
        <f>IF(AC_Chart_Background_Data[[#This Row],[X]] &lt; EFC_70P-EFC_50P, EFC_50P, MAX(EFC_70P-AC_Chart_Background_Data[[#This Row],[X]],0))</f>
        <v>0</v>
      </c>
      <c r="AL242" s="168">
        <f>IF(AC_Chart_Background_Data[[#This Row],[X]] &lt; EFC_85P-EFC_70P, EFC_70P, MAX(EFC_85P-AC_Chart_Background_Data[[#This Row],[X]],0))</f>
        <v>0</v>
      </c>
      <c r="AM242" s="168">
        <f>IF(AC_Chart_Background_Data[[#This Row],[X]] &lt; EFC_95P-EFC_85P, EFC_85P, MAX(EFC_95P-AC_Chart_Background_Data[[#This Row],[X]],0))</f>
        <v>0</v>
      </c>
      <c r="AN242" s="168">
        <f>IF(AC_Chart_Background_Data[[#This Row],[X]] &lt; EFC_99P-EFC_95P, EFC_95P, MAX(EFC_99P-AC_Chart_Background_Data[[#This Row],[X]],0))</f>
        <v>0</v>
      </c>
      <c r="AO242" s="168">
        <f t="shared" si="11"/>
        <v>170</v>
      </c>
      <c r="BA242" s="11"/>
    </row>
    <row r="243" spans="36:53" x14ac:dyDescent="0.25">
      <c r="AJ243" s="167">
        <f t="shared" si="12"/>
        <v>240</v>
      </c>
      <c r="AK243" s="168">
        <f>IF(AC_Chart_Background_Data[[#This Row],[X]] &lt; EFC_70P-EFC_50P, EFC_50P, MAX(EFC_70P-AC_Chart_Background_Data[[#This Row],[X]],0))</f>
        <v>0</v>
      </c>
      <c r="AL243" s="168">
        <f>IF(AC_Chart_Background_Data[[#This Row],[X]] &lt; EFC_85P-EFC_70P, EFC_70P, MAX(EFC_85P-AC_Chart_Background_Data[[#This Row],[X]],0))</f>
        <v>0</v>
      </c>
      <c r="AM243" s="168">
        <f>IF(AC_Chart_Background_Data[[#This Row],[X]] &lt; EFC_95P-EFC_85P, EFC_85P, MAX(EFC_95P-AC_Chart_Background_Data[[#This Row],[X]],0))</f>
        <v>0</v>
      </c>
      <c r="AN243" s="168">
        <f>IF(AC_Chart_Background_Data[[#This Row],[X]] &lt; EFC_99P-EFC_95P, EFC_95P, MAX(EFC_99P-AC_Chart_Background_Data[[#This Row],[X]],0))</f>
        <v>0</v>
      </c>
      <c r="AO243" s="168">
        <f t="shared" si="11"/>
        <v>170</v>
      </c>
      <c r="BA243" s="11"/>
    </row>
    <row r="244" spans="36:53" x14ac:dyDescent="0.25">
      <c r="AJ244" s="167">
        <f t="shared" si="12"/>
        <v>241</v>
      </c>
      <c r="AK244" s="168">
        <f>IF(AC_Chart_Background_Data[[#This Row],[X]] &lt; EFC_70P-EFC_50P, EFC_50P, MAX(EFC_70P-AC_Chart_Background_Data[[#This Row],[X]],0))</f>
        <v>0</v>
      </c>
      <c r="AL244" s="168">
        <f>IF(AC_Chart_Background_Data[[#This Row],[X]] &lt; EFC_85P-EFC_70P, EFC_70P, MAX(EFC_85P-AC_Chart_Background_Data[[#This Row],[X]],0))</f>
        <v>0</v>
      </c>
      <c r="AM244" s="168">
        <f>IF(AC_Chart_Background_Data[[#This Row],[X]] &lt; EFC_95P-EFC_85P, EFC_85P, MAX(EFC_95P-AC_Chart_Background_Data[[#This Row],[X]],0))</f>
        <v>0</v>
      </c>
      <c r="AN244" s="168">
        <f>IF(AC_Chart_Background_Data[[#This Row],[X]] &lt; EFC_99P-EFC_95P, EFC_95P, MAX(EFC_99P-AC_Chart_Background_Data[[#This Row],[X]],0))</f>
        <v>0</v>
      </c>
      <c r="AO244" s="168">
        <f t="shared" si="11"/>
        <v>170</v>
      </c>
      <c r="BA244" s="11"/>
    </row>
    <row r="245" spans="36:53" x14ac:dyDescent="0.25">
      <c r="AJ245" s="167">
        <f t="shared" si="12"/>
        <v>242</v>
      </c>
      <c r="AK245" s="168">
        <f>IF(AC_Chart_Background_Data[[#This Row],[X]] &lt; EFC_70P-EFC_50P, EFC_50P, MAX(EFC_70P-AC_Chart_Background_Data[[#This Row],[X]],0))</f>
        <v>0</v>
      </c>
      <c r="AL245" s="168">
        <f>IF(AC_Chart_Background_Data[[#This Row],[X]] &lt; EFC_85P-EFC_70P, EFC_70P, MAX(EFC_85P-AC_Chart_Background_Data[[#This Row],[X]],0))</f>
        <v>0</v>
      </c>
      <c r="AM245" s="168">
        <f>IF(AC_Chart_Background_Data[[#This Row],[X]] &lt; EFC_95P-EFC_85P, EFC_85P, MAX(EFC_95P-AC_Chart_Background_Data[[#This Row],[X]],0))</f>
        <v>0</v>
      </c>
      <c r="AN245" s="168">
        <f>IF(AC_Chart_Background_Data[[#This Row],[X]] &lt; EFC_99P-EFC_95P, EFC_95P, MAX(EFC_99P-AC_Chart_Background_Data[[#This Row],[X]],0))</f>
        <v>0</v>
      </c>
      <c r="AO245" s="168">
        <f t="shared" si="11"/>
        <v>170</v>
      </c>
      <c r="BA245" s="11"/>
    </row>
    <row r="246" spans="36:53" x14ac:dyDescent="0.25">
      <c r="AJ246" s="167">
        <f t="shared" si="12"/>
        <v>243</v>
      </c>
      <c r="AK246" s="168">
        <f>IF(AC_Chart_Background_Data[[#This Row],[X]] &lt; EFC_70P-EFC_50P, EFC_50P, MAX(EFC_70P-AC_Chart_Background_Data[[#This Row],[X]],0))</f>
        <v>0</v>
      </c>
      <c r="AL246" s="168">
        <f>IF(AC_Chart_Background_Data[[#This Row],[X]] &lt; EFC_85P-EFC_70P, EFC_70P, MAX(EFC_85P-AC_Chart_Background_Data[[#This Row],[X]],0))</f>
        <v>0</v>
      </c>
      <c r="AM246" s="168">
        <f>IF(AC_Chart_Background_Data[[#This Row],[X]] &lt; EFC_95P-EFC_85P, EFC_85P, MAX(EFC_95P-AC_Chart_Background_Data[[#This Row],[X]],0))</f>
        <v>0</v>
      </c>
      <c r="AN246" s="168">
        <f>IF(AC_Chart_Background_Data[[#This Row],[X]] &lt; EFC_99P-EFC_95P, EFC_95P, MAX(EFC_99P-AC_Chart_Background_Data[[#This Row],[X]],0))</f>
        <v>0</v>
      </c>
      <c r="AO246" s="168">
        <f t="shared" si="11"/>
        <v>170</v>
      </c>
      <c r="BA246" s="11"/>
    </row>
    <row r="247" spans="36:53" x14ac:dyDescent="0.25">
      <c r="AJ247" s="167">
        <f t="shared" si="12"/>
        <v>244</v>
      </c>
      <c r="AK247" s="168">
        <f>IF(AC_Chart_Background_Data[[#This Row],[X]] &lt; EFC_70P-EFC_50P, EFC_50P, MAX(EFC_70P-AC_Chart_Background_Data[[#This Row],[X]],0))</f>
        <v>0</v>
      </c>
      <c r="AL247" s="168">
        <f>IF(AC_Chart_Background_Data[[#This Row],[X]] &lt; EFC_85P-EFC_70P, EFC_70P, MAX(EFC_85P-AC_Chart_Background_Data[[#This Row],[X]],0))</f>
        <v>0</v>
      </c>
      <c r="AM247" s="168">
        <f>IF(AC_Chart_Background_Data[[#This Row],[X]] &lt; EFC_95P-EFC_85P, EFC_85P, MAX(EFC_95P-AC_Chart_Background_Data[[#This Row],[X]],0))</f>
        <v>0</v>
      </c>
      <c r="AN247" s="168">
        <f>IF(AC_Chart_Background_Data[[#This Row],[X]] &lt; EFC_99P-EFC_95P, EFC_95P, MAX(EFC_99P-AC_Chart_Background_Data[[#This Row],[X]],0))</f>
        <v>0</v>
      </c>
      <c r="AO247" s="168">
        <f t="shared" si="11"/>
        <v>170</v>
      </c>
      <c r="BA247" s="11"/>
    </row>
    <row r="248" spans="36:53" x14ac:dyDescent="0.25">
      <c r="AJ248" s="167">
        <f t="shared" si="12"/>
        <v>245</v>
      </c>
      <c r="AK248" s="168">
        <f>IF(AC_Chart_Background_Data[[#This Row],[X]] &lt; EFC_70P-EFC_50P, EFC_50P, MAX(EFC_70P-AC_Chart_Background_Data[[#This Row],[X]],0))</f>
        <v>0</v>
      </c>
      <c r="AL248" s="168">
        <f>IF(AC_Chart_Background_Data[[#This Row],[X]] &lt; EFC_85P-EFC_70P, EFC_70P, MAX(EFC_85P-AC_Chart_Background_Data[[#This Row],[X]],0))</f>
        <v>0</v>
      </c>
      <c r="AM248" s="168">
        <f>IF(AC_Chart_Background_Data[[#This Row],[X]] &lt; EFC_95P-EFC_85P, EFC_85P, MAX(EFC_95P-AC_Chart_Background_Data[[#This Row],[X]],0))</f>
        <v>0</v>
      </c>
      <c r="AN248" s="168">
        <f>IF(AC_Chart_Background_Data[[#This Row],[X]] &lt; EFC_99P-EFC_95P, EFC_95P, MAX(EFC_99P-AC_Chart_Background_Data[[#This Row],[X]],0))</f>
        <v>0</v>
      </c>
      <c r="AO248" s="168">
        <f t="shared" si="11"/>
        <v>170</v>
      </c>
      <c r="BA248" s="11"/>
    </row>
    <row r="249" spans="36:53" x14ac:dyDescent="0.25">
      <c r="AJ249" s="167">
        <f t="shared" si="12"/>
        <v>246</v>
      </c>
      <c r="AK249" s="168">
        <f>IF(AC_Chart_Background_Data[[#This Row],[X]] &lt; EFC_70P-EFC_50P, EFC_50P, MAX(EFC_70P-AC_Chart_Background_Data[[#This Row],[X]],0))</f>
        <v>0</v>
      </c>
      <c r="AL249" s="168">
        <f>IF(AC_Chart_Background_Data[[#This Row],[X]] &lt; EFC_85P-EFC_70P, EFC_70P, MAX(EFC_85P-AC_Chart_Background_Data[[#This Row],[X]],0))</f>
        <v>0</v>
      </c>
      <c r="AM249" s="168">
        <f>IF(AC_Chart_Background_Data[[#This Row],[X]] &lt; EFC_95P-EFC_85P, EFC_85P, MAX(EFC_95P-AC_Chart_Background_Data[[#This Row],[X]],0))</f>
        <v>0</v>
      </c>
      <c r="AN249" s="168">
        <f>IF(AC_Chart_Background_Data[[#This Row],[X]] &lt; EFC_99P-EFC_95P, EFC_95P, MAX(EFC_99P-AC_Chart_Background_Data[[#This Row],[X]],0))</f>
        <v>0</v>
      </c>
      <c r="AO249" s="168">
        <f t="shared" si="11"/>
        <v>170</v>
      </c>
      <c r="BA249" s="11"/>
    </row>
    <row r="250" spans="36:53" x14ac:dyDescent="0.25">
      <c r="AJ250" s="167">
        <f t="shared" si="12"/>
        <v>247</v>
      </c>
      <c r="AK250" s="168">
        <f>IF(AC_Chart_Background_Data[[#This Row],[X]] &lt; EFC_70P-EFC_50P, EFC_50P, MAX(EFC_70P-AC_Chart_Background_Data[[#This Row],[X]],0))</f>
        <v>0</v>
      </c>
      <c r="AL250" s="168">
        <f>IF(AC_Chart_Background_Data[[#This Row],[X]] &lt; EFC_85P-EFC_70P, EFC_70P, MAX(EFC_85P-AC_Chart_Background_Data[[#This Row],[X]],0))</f>
        <v>0</v>
      </c>
      <c r="AM250" s="168">
        <f>IF(AC_Chart_Background_Data[[#This Row],[X]] &lt; EFC_95P-EFC_85P, EFC_85P, MAX(EFC_95P-AC_Chart_Background_Data[[#This Row],[X]],0))</f>
        <v>0</v>
      </c>
      <c r="AN250" s="168">
        <f>IF(AC_Chart_Background_Data[[#This Row],[X]] &lt; EFC_99P-EFC_95P, EFC_95P, MAX(EFC_99P-AC_Chart_Background_Data[[#This Row],[X]],0))</f>
        <v>0</v>
      </c>
      <c r="AO250" s="168">
        <f t="shared" si="11"/>
        <v>170</v>
      </c>
      <c r="BA250" s="11"/>
    </row>
    <row r="251" spans="36:53" x14ac:dyDescent="0.25">
      <c r="AJ251" s="167">
        <f t="shared" si="12"/>
        <v>248</v>
      </c>
      <c r="AK251" s="168">
        <f>IF(AC_Chart_Background_Data[[#This Row],[X]] &lt; EFC_70P-EFC_50P, EFC_50P, MAX(EFC_70P-AC_Chart_Background_Data[[#This Row],[X]],0))</f>
        <v>0</v>
      </c>
      <c r="AL251" s="168">
        <f>IF(AC_Chart_Background_Data[[#This Row],[X]] &lt; EFC_85P-EFC_70P, EFC_70P, MAX(EFC_85P-AC_Chart_Background_Data[[#This Row],[X]],0))</f>
        <v>0</v>
      </c>
      <c r="AM251" s="168">
        <f>IF(AC_Chart_Background_Data[[#This Row],[X]] &lt; EFC_95P-EFC_85P, EFC_85P, MAX(EFC_95P-AC_Chart_Background_Data[[#This Row],[X]],0))</f>
        <v>0</v>
      </c>
      <c r="AN251" s="168">
        <f>IF(AC_Chart_Background_Data[[#This Row],[X]] &lt; EFC_99P-EFC_95P, EFC_95P, MAX(EFC_99P-AC_Chart_Background_Data[[#This Row],[X]],0))</f>
        <v>0</v>
      </c>
      <c r="AO251" s="168">
        <f t="shared" si="11"/>
        <v>170</v>
      </c>
      <c r="BA251" s="11"/>
    </row>
    <row r="252" spans="36:53" x14ac:dyDescent="0.25">
      <c r="AJ252" s="167">
        <f t="shared" si="12"/>
        <v>249</v>
      </c>
      <c r="AK252" s="168">
        <f>IF(AC_Chart_Background_Data[[#This Row],[X]] &lt; EFC_70P-EFC_50P, EFC_50P, MAX(EFC_70P-AC_Chart_Background_Data[[#This Row],[X]],0))</f>
        <v>0</v>
      </c>
      <c r="AL252" s="168">
        <f>IF(AC_Chart_Background_Data[[#This Row],[X]] &lt; EFC_85P-EFC_70P, EFC_70P, MAX(EFC_85P-AC_Chart_Background_Data[[#This Row],[X]],0))</f>
        <v>0</v>
      </c>
      <c r="AM252" s="168">
        <f>IF(AC_Chart_Background_Data[[#This Row],[X]] &lt; EFC_95P-EFC_85P, EFC_85P, MAX(EFC_95P-AC_Chart_Background_Data[[#This Row],[X]],0))</f>
        <v>0</v>
      </c>
      <c r="AN252" s="168">
        <f>IF(AC_Chart_Background_Data[[#This Row],[X]] &lt; EFC_99P-EFC_95P, EFC_95P, MAX(EFC_99P-AC_Chart_Background_Data[[#This Row],[X]],0))</f>
        <v>0</v>
      </c>
      <c r="AO252" s="168">
        <f t="shared" si="11"/>
        <v>170</v>
      </c>
      <c r="BA252" s="11"/>
    </row>
    <row r="253" spans="36:53" x14ac:dyDescent="0.25">
      <c r="AJ253" s="167">
        <f t="shared" si="12"/>
        <v>250</v>
      </c>
      <c r="AK253" s="168">
        <f>IF(AC_Chart_Background_Data[[#This Row],[X]] &lt; EFC_70P-EFC_50P, EFC_50P, MAX(EFC_70P-AC_Chart_Background_Data[[#This Row],[X]],0))</f>
        <v>0</v>
      </c>
      <c r="AL253" s="168">
        <f>IF(AC_Chart_Background_Data[[#This Row],[X]] &lt; EFC_85P-EFC_70P, EFC_70P, MAX(EFC_85P-AC_Chart_Background_Data[[#This Row],[X]],0))</f>
        <v>0</v>
      </c>
      <c r="AM253" s="168">
        <f>IF(AC_Chart_Background_Data[[#This Row],[X]] &lt; EFC_95P-EFC_85P, EFC_85P, MAX(EFC_95P-AC_Chart_Background_Data[[#This Row],[X]],0))</f>
        <v>0</v>
      </c>
      <c r="AN253" s="168">
        <f>IF(AC_Chart_Background_Data[[#This Row],[X]] &lt; EFC_99P-EFC_95P, EFC_95P, MAX(EFC_99P-AC_Chart_Background_Data[[#This Row],[X]],0))</f>
        <v>0</v>
      </c>
      <c r="AO253" s="168">
        <f t="shared" si="11"/>
        <v>170</v>
      </c>
      <c r="BA253" s="11"/>
    </row>
    <row r="254" spans="36:53" x14ac:dyDescent="0.25">
      <c r="AJ254" s="167">
        <f t="shared" si="12"/>
        <v>251</v>
      </c>
      <c r="AK254" s="168">
        <f>IF(AC_Chart_Background_Data[[#This Row],[X]] &lt; EFC_70P-EFC_50P, EFC_50P, MAX(EFC_70P-AC_Chart_Background_Data[[#This Row],[X]],0))</f>
        <v>0</v>
      </c>
      <c r="AL254" s="168">
        <f>IF(AC_Chart_Background_Data[[#This Row],[X]] &lt; EFC_85P-EFC_70P, EFC_70P, MAX(EFC_85P-AC_Chart_Background_Data[[#This Row],[X]],0))</f>
        <v>0</v>
      </c>
      <c r="AM254" s="168">
        <f>IF(AC_Chart_Background_Data[[#This Row],[X]] &lt; EFC_95P-EFC_85P, EFC_85P, MAX(EFC_95P-AC_Chart_Background_Data[[#This Row],[X]],0))</f>
        <v>0</v>
      </c>
      <c r="AN254" s="168">
        <f>IF(AC_Chart_Background_Data[[#This Row],[X]] &lt; EFC_99P-EFC_95P, EFC_95P, MAX(EFC_99P-AC_Chart_Background_Data[[#This Row],[X]],0))</f>
        <v>0</v>
      </c>
      <c r="AO254" s="168">
        <f t="shared" si="11"/>
        <v>170</v>
      </c>
      <c r="BA254" s="11"/>
    </row>
    <row r="255" spans="36:53" x14ac:dyDescent="0.25">
      <c r="AJ255" s="167">
        <f t="shared" si="12"/>
        <v>252</v>
      </c>
      <c r="AK255" s="168">
        <f>IF(AC_Chart_Background_Data[[#This Row],[X]] &lt; EFC_70P-EFC_50P, EFC_50P, MAX(EFC_70P-AC_Chart_Background_Data[[#This Row],[X]],0))</f>
        <v>0</v>
      </c>
      <c r="AL255" s="168">
        <f>IF(AC_Chart_Background_Data[[#This Row],[X]] &lt; EFC_85P-EFC_70P, EFC_70P, MAX(EFC_85P-AC_Chart_Background_Data[[#This Row],[X]],0))</f>
        <v>0</v>
      </c>
      <c r="AM255" s="168">
        <f>IF(AC_Chart_Background_Data[[#This Row],[X]] &lt; EFC_95P-EFC_85P, EFC_85P, MAX(EFC_95P-AC_Chart_Background_Data[[#This Row],[X]],0))</f>
        <v>0</v>
      </c>
      <c r="AN255" s="168">
        <f>IF(AC_Chart_Background_Data[[#This Row],[X]] &lt; EFC_99P-EFC_95P, EFC_95P, MAX(EFC_99P-AC_Chart_Background_Data[[#This Row],[X]],0))</f>
        <v>0</v>
      </c>
      <c r="AO255" s="168">
        <f t="shared" si="11"/>
        <v>170</v>
      </c>
      <c r="BA255" s="11"/>
    </row>
    <row r="256" spans="36:53" x14ac:dyDescent="0.25">
      <c r="AJ256" s="167">
        <f t="shared" si="12"/>
        <v>253</v>
      </c>
      <c r="AK256" s="168">
        <f>IF(AC_Chart_Background_Data[[#This Row],[X]] &lt; EFC_70P-EFC_50P, EFC_50P, MAX(EFC_70P-AC_Chart_Background_Data[[#This Row],[X]],0))</f>
        <v>0</v>
      </c>
      <c r="AL256" s="168">
        <f>IF(AC_Chart_Background_Data[[#This Row],[X]] &lt; EFC_85P-EFC_70P, EFC_70P, MAX(EFC_85P-AC_Chart_Background_Data[[#This Row],[X]],0))</f>
        <v>0</v>
      </c>
      <c r="AM256" s="168">
        <f>IF(AC_Chart_Background_Data[[#This Row],[X]] &lt; EFC_95P-EFC_85P, EFC_85P, MAX(EFC_95P-AC_Chart_Background_Data[[#This Row],[X]],0))</f>
        <v>0</v>
      </c>
      <c r="AN256" s="168">
        <f>IF(AC_Chart_Background_Data[[#This Row],[X]] &lt; EFC_99P-EFC_95P, EFC_95P, MAX(EFC_99P-AC_Chart_Background_Data[[#This Row],[X]],0))</f>
        <v>0</v>
      </c>
      <c r="AO256" s="168">
        <f t="shared" si="11"/>
        <v>170</v>
      </c>
      <c r="BA256" s="11"/>
    </row>
    <row r="257" spans="36:53" x14ac:dyDescent="0.25">
      <c r="AJ257" s="167">
        <f t="shared" si="12"/>
        <v>254</v>
      </c>
      <c r="AK257" s="168">
        <f>IF(AC_Chart_Background_Data[[#This Row],[X]] &lt; EFC_70P-EFC_50P, EFC_50P, MAX(EFC_70P-AC_Chart_Background_Data[[#This Row],[X]],0))</f>
        <v>0</v>
      </c>
      <c r="AL257" s="168">
        <f>IF(AC_Chart_Background_Data[[#This Row],[X]] &lt; EFC_85P-EFC_70P, EFC_70P, MAX(EFC_85P-AC_Chart_Background_Data[[#This Row],[X]],0))</f>
        <v>0</v>
      </c>
      <c r="AM257" s="168">
        <f>IF(AC_Chart_Background_Data[[#This Row],[X]] &lt; EFC_95P-EFC_85P, EFC_85P, MAX(EFC_95P-AC_Chart_Background_Data[[#This Row],[X]],0))</f>
        <v>0</v>
      </c>
      <c r="AN257" s="168">
        <f>IF(AC_Chart_Background_Data[[#This Row],[X]] &lt; EFC_99P-EFC_95P, EFC_95P, MAX(EFC_99P-AC_Chart_Background_Data[[#This Row],[X]],0))</f>
        <v>0</v>
      </c>
      <c r="AO257" s="168">
        <f t="shared" si="11"/>
        <v>170</v>
      </c>
      <c r="BA257" s="11"/>
    </row>
    <row r="258" spans="36:53" x14ac:dyDescent="0.25">
      <c r="AJ258" s="167">
        <f t="shared" si="12"/>
        <v>255</v>
      </c>
      <c r="AK258" s="168">
        <f>IF(AC_Chart_Background_Data[[#This Row],[X]] &lt; EFC_70P-EFC_50P, EFC_50P, MAX(EFC_70P-AC_Chart_Background_Data[[#This Row],[X]],0))</f>
        <v>0</v>
      </c>
      <c r="AL258" s="168">
        <f>IF(AC_Chart_Background_Data[[#This Row],[X]] &lt; EFC_85P-EFC_70P, EFC_70P, MAX(EFC_85P-AC_Chart_Background_Data[[#This Row],[X]],0))</f>
        <v>0</v>
      </c>
      <c r="AM258" s="168">
        <f>IF(AC_Chart_Background_Data[[#This Row],[X]] &lt; EFC_95P-EFC_85P, EFC_85P, MAX(EFC_95P-AC_Chart_Background_Data[[#This Row],[X]],0))</f>
        <v>0</v>
      </c>
      <c r="AN258" s="168">
        <f>IF(AC_Chart_Background_Data[[#This Row],[X]] &lt; EFC_99P-EFC_95P, EFC_95P, MAX(EFC_99P-AC_Chart_Background_Data[[#This Row],[X]],0))</f>
        <v>0</v>
      </c>
      <c r="AO258" s="168">
        <f t="shared" si="11"/>
        <v>170</v>
      </c>
      <c r="BA258" s="11"/>
    </row>
    <row r="259" spans="36:53" x14ac:dyDescent="0.25">
      <c r="AJ259" s="167">
        <f t="shared" si="12"/>
        <v>256</v>
      </c>
      <c r="AK259" s="168">
        <f>IF(AC_Chart_Background_Data[[#This Row],[X]] &lt; EFC_70P-EFC_50P, EFC_50P, MAX(EFC_70P-AC_Chart_Background_Data[[#This Row],[X]],0))</f>
        <v>0</v>
      </c>
      <c r="AL259" s="168">
        <f>IF(AC_Chart_Background_Data[[#This Row],[X]] &lt; EFC_85P-EFC_70P, EFC_70P, MAX(EFC_85P-AC_Chart_Background_Data[[#This Row],[X]],0))</f>
        <v>0</v>
      </c>
      <c r="AM259" s="168">
        <f>IF(AC_Chart_Background_Data[[#This Row],[X]] &lt; EFC_95P-EFC_85P, EFC_85P, MAX(EFC_95P-AC_Chart_Background_Data[[#This Row],[X]],0))</f>
        <v>0</v>
      </c>
      <c r="AN259" s="168">
        <f>IF(AC_Chart_Background_Data[[#This Row],[X]] &lt; EFC_99P-EFC_95P, EFC_95P, MAX(EFC_99P-AC_Chart_Background_Data[[#This Row],[X]],0))</f>
        <v>0</v>
      </c>
      <c r="AO259" s="168">
        <f t="shared" ref="AO259:AO303" si="13">AC_Ymax</f>
        <v>170</v>
      </c>
      <c r="BA259" s="11"/>
    </row>
    <row r="260" spans="36:53" x14ac:dyDescent="0.25">
      <c r="AJ260" s="167">
        <f t="shared" si="12"/>
        <v>257</v>
      </c>
      <c r="AK260" s="168">
        <f>IF(AC_Chart_Background_Data[[#This Row],[X]] &lt; EFC_70P-EFC_50P, EFC_50P, MAX(EFC_70P-AC_Chart_Background_Data[[#This Row],[X]],0))</f>
        <v>0</v>
      </c>
      <c r="AL260" s="168">
        <f>IF(AC_Chart_Background_Data[[#This Row],[X]] &lt; EFC_85P-EFC_70P, EFC_70P, MAX(EFC_85P-AC_Chart_Background_Data[[#This Row],[X]],0))</f>
        <v>0</v>
      </c>
      <c r="AM260" s="168">
        <f>IF(AC_Chart_Background_Data[[#This Row],[X]] &lt; EFC_95P-EFC_85P, EFC_85P, MAX(EFC_95P-AC_Chart_Background_Data[[#This Row],[X]],0))</f>
        <v>0</v>
      </c>
      <c r="AN260" s="168">
        <f>IF(AC_Chart_Background_Data[[#This Row],[X]] &lt; EFC_99P-EFC_95P, EFC_95P, MAX(EFC_99P-AC_Chart_Background_Data[[#This Row],[X]],0))</f>
        <v>0</v>
      </c>
      <c r="AO260" s="168">
        <f t="shared" si="13"/>
        <v>170</v>
      </c>
      <c r="BA260" s="11"/>
    </row>
    <row r="261" spans="36:53" x14ac:dyDescent="0.25">
      <c r="AJ261" s="167">
        <f t="shared" si="12"/>
        <v>258</v>
      </c>
      <c r="AK261" s="168">
        <f>IF(AC_Chart_Background_Data[[#This Row],[X]] &lt; EFC_70P-EFC_50P, EFC_50P, MAX(EFC_70P-AC_Chart_Background_Data[[#This Row],[X]],0))</f>
        <v>0</v>
      </c>
      <c r="AL261" s="168">
        <f>IF(AC_Chart_Background_Data[[#This Row],[X]] &lt; EFC_85P-EFC_70P, EFC_70P, MAX(EFC_85P-AC_Chart_Background_Data[[#This Row],[X]],0))</f>
        <v>0</v>
      </c>
      <c r="AM261" s="168">
        <f>IF(AC_Chart_Background_Data[[#This Row],[X]] &lt; EFC_95P-EFC_85P, EFC_85P, MAX(EFC_95P-AC_Chart_Background_Data[[#This Row],[X]],0))</f>
        <v>0</v>
      </c>
      <c r="AN261" s="168">
        <f>IF(AC_Chart_Background_Data[[#This Row],[X]] &lt; EFC_99P-EFC_95P, EFC_95P, MAX(EFC_99P-AC_Chart_Background_Data[[#This Row],[X]],0))</f>
        <v>0</v>
      </c>
      <c r="AO261" s="168">
        <f t="shared" si="13"/>
        <v>170</v>
      </c>
      <c r="BA261" s="11"/>
    </row>
    <row r="262" spans="36:53" x14ac:dyDescent="0.25">
      <c r="AJ262" s="167">
        <f t="shared" ref="AJ262:AJ303" si="14">AJ261+1</f>
        <v>259</v>
      </c>
      <c r="AK262" s="168">
        <f>IF(AC_Chart_Background_Data[[#This Row],[X]] &lt; EFC_70P-EFC_50P, EFC_50P, MAX(EFC_70P-AC_Chart_Background_Data[[#This Row],[X]],0))</f>
        <v>0</v>
      </c>
      <c r="AL262" s="168">
        <f>IF(AC_Chart_Background_Data[[#This Row],[X]] &lt; EFC_85P-EFC_70P, EFC_70P, MAX(EFC_85P-AC_Chart_Background_Data[[#This Row],[X]],0))</f>
        <v>0</v>
      </c>
      <c r="AM262" s="168">
        <f>IF(AC_Chart_Background_Data[[#This Row],[X]] &lt; EFC_95P-EFC_85P, EFC_85P, MAX(EFC_95P-AC_Chart_Background_Data[[#This Row],[X]],0))</f>
        <v>0</v>
      </c>
      <c r="AN262" s="168">
        <f>IF(AC_Chart_Background_Data[[#This Row],[X]] &lt; EFC_99P-EFC_95P, EFC_95P, MAX(EFC_99P-AC_Chart_Background_Data[[#This Row],[X]],0))</f>
        <v>0</v>
      </c>
      <c r="AO262" s="168">
        <f t="shared" si="13"/>
        <v>170</v>
      </c>
      <c r="BA262" s="11"/>
    </row>
    <row r="263" spans="36:53" x14ac:dyDescent="0.25">
      <c r="AJ263" s="167">
        <f t="shared" si="14"/>
        <v>260</v>
      </c>
      <c r="AK263" s="168">
        <f>IF(AC_Chart_Background_Data[[#This Row],[X]] &lt; EFC_70P-EFC_50P, EFC_50P, MAX(EFC_70P-AC_Chart_Background_Data[[#This Row],[X]],0))</f>
        <v>0</v>
      </c>
      <c r="AL263" s="168">
        <f>IF(AC_Chart_Background_Data[[#This Row],[X]] &lt; EFC_85P-EFC_70P, EFC_70P, MAX(EFC_85P-AC_Chart_Background_Data[[#This Row],[X]],0))</f>
        <v>0</v>
      </c>
      <c r="AM263" s="168">
        <f>IF(AC_Chart_Background_Data[[#This Row],[X]] &lt; EFC_95P-EFC_85P, EFC_85P, MAX(EFC_95P-AC_Chart_Background_Data[[#This Row],[X]],0))</f>
        <v>0</v>
      </c>
      <c r="AN263" s="168">
        <f>IF(AC_Chart_Background_Data[[#This Row],[X]] &lt; EFC_99P-EFC_95P, EFC_95P, MAX(EFC_99P-AC_Chart_Background_Data[[#This Row],[X]],0))</f>
        <v>0</v>
      </c>
      <c r="AO263" s="168">
        <f t="shared" si="13"/>
        <v>170</v>
      </c>
      <c r="BA263" s="11"/>
    </row>
    <row r="264" spans="36:53" x14ac:dyDescent="0.25">
      <c r="AJ264" s="167">
        <f t="shared" si="14"/>
        <v>261</v>
      </c>
      <c r="AK264" s="168">
        <f>IF(AC_Chart_Background_Data[[#This Row],[X]] &lt; EFC_70P-EFC_50P, EFC_50P, MAX(EFC_70P-AC_Chart_Background_Data[[#This Row],[X]],0))</f>
        <v>0</v>
      </c>
      <c r="AL264" s="168">
        <f>IF(AC_Chart_Background_Data[[#This Row],[X]] &lt; EFC_85P-EFC_70P, EFC_70P, MAX(EFC_85P-AC_Chart_Background_Data[[#This Row],[X]],0))</f>
        <v>0</v>
      </c>
      <c r="AM264" s="168">
        <f>IF(AC_Chart_Background_Data[[#This Row],[X]] &lt; EFC_95P-EFC_85P, EFC_85P, MAX(EFC_95P-AC_Chart_Background_Data[[#This Row],[X]],0))</f>
        <v>0</v>
      </c>
      <c r="AN264" s="168">
        <f>IF(AC_Chart_Background_Data[[#This Row],[X]] &lt; EFC_99P-EFC_95P, EFC_95P, MAX(EFC_99P-AC_Chart_Background_Data[[#This Row],[X]],0))</f>
        <v>0</v>
      </c>
      <c r="AO264" s="168">
        <f t="shared" si="13"/>
        <v>170</v>
      </c>
      <c r="BA264" s="11"/>
    </row>
    <row r="265" spans="36:53" x14ac:dyDescent="0.25">
      <c r="AJ265" s="167">
        <f t="shared" si="14"/>
        <v>262</v>
      </c>
      <c r="AK265" s="168">
        <f>IF(AC_Chart_Background_Data[[#This Row],[X]] &lt; EFC_70P-EFC_50P, EFC_50P, MAX(EFC_70P-AC_Chart_Background_Data[[#This Row],[X]],0))</f>
        <v>0</v>
      </c>
      <c r="AL265" s="168">
        <f>IF(AC_Chart_Background_Data[[#This Row],[X]] &lt; EFC_85P-EFC_70P, EFC_70P, MAX(EFC_85P-AC_Chart_Background_Data[[#This Row],[X]],0))</f>
        <v>0</v>
      </c>
      <c r="AM265" s="168">
        <f>IF(AC_Chart_Background_Data[[#This Row],[X]] &lt; EFC_95P-EFC_85P, EFC_85P, MAX(EFC_95P-AC_Chart_Background_Data[[#This Row],[X]],0))</f>
        <v>0</v>
      </c>
      <c r="AN265" s="168">
        <f>IF(AC_Chart_Background_Data[[#This Row],[X]] &lt; EFC_99P-EFC_95P, EFC_95P, MAX(EFC_99P-AC_Chart_Background_Data[[#This Row],[X]],0))</f>
        <v>0</v>
      </c>
      <c r="AO265" s="168">
        <f t="shared" si="13"/>
        <v>170</v>
      </c>
      <c r="BA265" s="11"/>
    </row>
    <row r="266" spans="36:53" x14ac:dyDescent="0.25">
      <c r="AJ266" s="167">
        <f t="shared" si="14"/>
        <v>263</v>
      </c>
      <c r="AK266" s="168">
        <f>IF(AC_Chart_Background_Data[[#This Row],[X]] &lt; EFC_70P-EFC_50P, EFC_50P, MAX(EFC_70P-AC_Chart_Background_Data[[#This Row],[X]],0))</f>
        <v>0</v>
      </c>
      <c r="AL266" s="168">
        <f>IF(AC_Chart_Background_Data[[#This Row],[X]] &lt; EFC_85P-EFC_70P, EFC_70P, MAX(EFC_85P-AC_Chart_Background_Data[[#This Row],[X]],0))</f>
        <v>0</v>
      </c>
      <c r="AM266" s="168">
        <f>IF(AC_Chart_Background_Data[[#This Row],[X]] &lt; EFC_95P-EFC_85P, EFC_85P, MAX(EFC_95P-AC_Chart_Background_Data[[#This Row],[X]],0))</f>
        <v>0</v>
      </c>
      <c r="AN266" s="168">
        <f>IF(AC_Chart_Background_Data[[#This Row],[X]] &lt; EFC_99P-EFC_95P, EFC_95P, MAX(EFC_99P-AC_Chart_Background_Data[[#This Row],[X]],0))</f>
        <v>0</v>
      </c>
      <c r="AO266" s="168">
        <f t="shared" si="13"/>
        <v>170</v>
      </c>
      <c r="BA266" s="11"/>
    </row>
    <row r="267" spans="36:53" x14ac:dyDescent="0.25">
      <c r="AJ267" s="167">
        <f t="shared" si="14"/>
        <v>264</v>
      </c>
      <c r="AK267" s="168">
        <f>IF(AC_Chart_Background_Data[[#This Row],[X]] &lt; EFC_70P-EFC_50P, EFC_50P, MAX(EFC_70P-AC_Chart_Background_Data[[#This Row],[X]],0))</f>
        <v>0</v>
      </c>
      <c r="AL267" s="168">
        <f>IF(AC_Chart_Background_Data[[#This Row],[X]] &lt; EFC_85P-EFC_70P, EFC_70P, MAX(EFC_85P-AC_Chart_Background_Data[[#This Row],[X]],0))</f>
        <v>0</v>
      </c>
      <c r="AM267" s="168">
        <f>IF(AC_Chart_Background_Data[[#This Row],[X]] &lt; EFC_95P-EFC_85P, EFC_85P, MAX(EFC_95P-AC_Chart_Background_Data[[#This Row],[X]],0))</f>
        <v>0</v>
      </c>
      <c r="AN267" s="168">
        <f>IF(AC_Chart_Background_Data[[#This Row],[X]] &lt; EFC_99P-EFC_95P, EFC_95P, MAX(EFC_99P-AC_Chart_Background_Data[[#This Row],[X]],0))</f>
        <v>0</v>
      </c>
      <c r="AO267" s="168">
        <f t="shared" si="13"/>
        <v>170</v>
      </c>
      <c r="BA267" s="11"/>
    </row>
    <row r="268" spans="36:53" x14ac:dyDescent="0.25">
      <c r="AJ268" s="167">
        <f t="shared" si="14"/>
        <v>265</v>
      </c>
      <c r="AK268" s="168">
        <f>IF(AC_Chart_Background_Data[[#This Row],[X]] &lt; EFC_70P-EFC_50P, EFC_50P, MAX(EFC_70P-AC_Chart_Background_Data[[#This Row],[X]],0))</f>
        <v>0</v>
      </c>
      <c r="AL268" s="168">
        <f>IF(AC_Chart_Background_Data[[#This Row],[X]] &lt; EFC_85P-EFC_70P, EFC_70P, MAX(EFC_85P-AC_Chart_Background_Data[[#This Row],[X]],0))</f>
        <v>0</v>
      </c>
      <c r="AM268" s="168">
        <f>IF(AC_Chart_Background_Data[[#This Row],[X]] &lt; EFC_95P-EFC_85P, EFC_85P, MAX(EFC_95P-AC_Chart_Background_Data[[#This Row],[X]],0))</f>
        <v>0</v>
      </c>
      <c r="AN268" s="168">
        <f>IF(AC_Chart_Background_Data[[#This Row],[X]] &lt; EFC_99P-EFC_95P, EFC_95P, MAX(EFC_99P-AC_Chart_Background_Data[[#This Row],[X]],0))</f>
        <v>0</v>
      </c>
      <c r="AO268" s="168">
        <f t="shared" si="13"/>
        <v>170</v>
      </c>
      <c r="BA268" s="11"/>
    </row>
    <row r="269" spans="36:53" x14ac:dyDescent="0.25">
      <c r="AJ269" s="167">
        <f t="shared" si="14"/>
        <v>266</v>
      </c>
      <c r="AK269" s="168">
        <f>IF(AC_Chart_Background_Data[[#This Row],[X]] &lt; EFC_70P-EFC_50P, EFC_50P, MAX(EFC_70P-AC_Chart_Background_Data[[#This Row],[X]],0))</f>
        <v>0</v>
      </c>
      <c r="AL269" s="168">
        <f>IF(AC_Chart_Background_Data[[#This Row],[X]] &lt; EFC_85P-EFC_70P, EFC_70P, MAX(EFC_85P-AC_Chart_Background_Data[[#This Row],[X]],0))</f>
        <v>0</v>
      </c>
      <c r="AM269" s="168">
        <f>IF(AC_Chart_Background_Data[[#This Row],[X]] &lt; EFC_95P-EFC_85P, EFC_85P, MAX(EFC_95P-AC_Chart_Background_Data[[#This Row],[X]],0))</f>
        <v>0</v>
      </c>
      <c r="AN269" s="168">
        <f>IF(AC_Chart_Background_Data[[#This Row],[X]] &lt; EFC_99P-EFC_95P, EFC_95P, MAX(EFC_99P-AC_Chart_Background_Data[[#This Row],[X]],0))</f>
        <v>0</v>
      </c>
      <c r="AO269" s="168">
        <f t="shared" si="13"/>
        <v>170</v>
      </c>
      <c r="BA269" s="11"/>
    </row>
    <row r="270" spans="36:53" x14ac:dyDescent="0.25">
      <c r="AJ270" s="167">
        <f t="shared" si="14"/>
        <v>267</v>
      </c>
      <c r="AK270" s="168">
        <f>IF(AC_Chart_Background_Data[[#This Row],[X]] &lt; EFC_70P-EFC_50P, EFC_50P, MAX(EFC_70P-AC_Chart_Background_Data[[#This Row],[X]],0))</f>
        <v>0</v>
      </c>
      <c r="AL270" s="168">
        <f>IF(AC_Chart_Background_Data[[#This Row],[X]] &lt; EFC_85P-EFC_70P, EFC_70P, MAX(EFC_85P-AC_Chart_Background_Data[[#This Row],[X]],0))</f>
        <v>0</v>
      </c>
      <c r="AM270" s="168">
        <f>IF(AC_Chart_Background_Data[[#This Row],[X]] &lt; EFC_95P-EFC_85P, EFC_85P, MAX(EFC_95P-AC_Chart_Background_Data[[#This Row],[X]],0))</f>
        <v>0</v>
      </c>
      <c r="AN270" s="168">
        <f>IF(AC_Chart_Background_Data[[#This Row],[X]] &lt; EFC_99P-EFC_95P, EFC_95P, MAX(EFC_99P-AC_Chart_Background_Data[[#This Row],[X]],0))</f>
        <v>0</v>
      </c>
      <c r="AO270" s="168">
        <f t="shared" si="13"/>
        <v>170</v>
      </c>
      <c r="BA270" s="11"/>
    </row>
    <row r="271" spans="36:53" x14ac:dyDescent="0.25">
      <c r="AJ271" s="167">
        <f t="shared" si="14"/>
        <v>268</v>
      </c>
      <c r="AK271" s="168">
        <f>IF(AC_Chart_Background_Data[[#This Row],[X]] &lt; EFC_70P-EFC_50P, EFC_50P, MAX(EFC_70P-AC_Chart_Background_Data[[#This Row],[X]],0))</f>
        <v>0</v>
      </c>
      <c r="AL271" s="168">
        <f>IF(AC_Chart_Background_Data[[#This Row],[X]] &lt; EFC_85P-EFC_70P, EFC_70P, MAX(EFC_85P-AC_Chart_Background_Data[[#This Row],[X]],0))</f>
        <v>0</v>
      </c>
      <c r="AM271" s="168">
        <f>IF(AC_Chart_Background_Data[[#This Row],[X]] &lt; EFC_95P-EFC_85P, EFC_85P, MAX(EFC_95P-AC_Chart_Background_Data[[#This Row],[X]],0))</f>
        <v>0</v>
      </c>
      <c r="AN271" s="168">
        <f>IF(AC_Chart_Background_Data[[#This Row],[X]] &lt; EFC_99P-EFC_95P, EFC_95P, MAX(EFC_99P-AC_Chart_Background_Data[[#This Row],[X]],0))</f>
        <v>0</v>
      </c>
      <c r="AO271" s="168">
        <f t="shared" si="13"/>
        <v>170</v>
      </c>
      <c r="BA271" s="11"/>
    </row>
    <row r="272" spans="36:53" x14ac:dyDescent="0.25">
      <c r="AJ272" s="167">
        <f t="shared" si="14"/>
        <v>269</v>
      </c>
      <c r="AK272" s="168">
        <f>IF(AC_Chart_Background_Data[[#This Row],[X]] &lt; EFC_70P-EFC_50P, EFC_50P, MAX(EFC_70P-AC_Chart_Background_Data[[#This Row],[X]],0))</f>
        <v>0</v>
      </c>
      <c r="AL272" s="168">
        <f>IF(AC_Chart_Background_Data[[#This Row],[X]] &lt; EFC_85P-EFC_70P, EFC_70P, MAX(EFC_85P-AC_Chart_Background_Data[[#This Row],[X]],0))</f>
        <v>0</v>
      </c>
      <c r="AM272" s="168">
        <f>IF(AC_Chart_Background_Data[[#This Row],[X]] &lt; EFC_95P-EFC_85P, EFC_85P, MAX(EFC_95P-AC_Chart_Background_Data[[#This Row],[X]],0))</f>
        <v>0</v>
      </c>
      <c r="AN272" s="168">
        <f>IF(AC_Chart_Background_Data[[#This Row],[X]] &lt; EFC_99P-EFC_95P, EFC_95P, MAX(EFC_99P-AC_Chart_Background_Data[[#This Row],[X]],0))</f>
        <v>0</v>
      </c>
      <c r="AO272" s="168">
        <f t="shared" si="13"/>
        <v>170</v>
      </c>
      <c r="BA272" s="11"/>
    </row>
    <row r="273" spans="36:53" x14ac:dyDescent="0.25">
      <c r="AJ273" s="167">
        <f t="shared" si="14"/>
        <v>270</v>
      </c>
      <c r="AK273" s="168">
        <f>IF(AC_Chart_Background_Data[[#This Row],[X]] &lt; EFC_70P-EFC_50P, EFC_50P, MAX(EFC_70P-AC_Chart_Background_Data[[#This Row],[X]],0))</f>
        <v>0</v>
      </c>
      <c r="AL273" s="168">
        <f>IF(AC_Chart_Background_Data[[#This Row],[X]] &lt; EFC_85P-EFC_70P, EFC_70P, MAX(EFC_85P-AC_Chart_Background_Data[[#This Row],[X]],0))</f>
        <v>0</v>
      </c>
      <c r="AM273" s="168">
        <f>IF(AC_Chart_Background_Data[[#This Row],[X]] &lt; EFC_95P-EFC_85P, EFC_85P, MAX(EFC_95P-AC_Chart_Background_Data[[#This Row],[X]],0))</f>
        <v>0</v>
      </c>
      <c r="AN273" s="168">
        <f>IF(AC_Chart_Background_Data[[#This Row],[X]] &lt; EFC_99P-EFC_95P, EFC_95P, MAX(EFC_99P-AC_Chart_Background_Data[[#This Row],[X]],0))</f>
        <v>0</v>
      </c>
      <c r="AO273" s="168">
        <f t="shared" si="13"/>
        <v>170</v>
      </c>
      <c r="BA273" s="11"/>
    </row>
    <row r="274" spans="36:53" x14ac:dyDescent="0.25">
      <c r="AJ274" s="167">
        <f t="shared" si="14"/>
        <v>271</v>
      </c>
      <c r="AK274" s="168">
        <f>IF(AC_Chart_Background_Data[[#This Row],[X]] &lt; EFC_70P-EFC_50P, EFC_50P, MAX(EFC_70P-AC_Chart_Background_Data[[#This Row],[X]],0))</f>
        <v>0</v>
      </c>
      <c r="AL274" s="168">
        <f>IF(AC_Chart_Background_Data[[#This Row],[X]] &lt; EFC_85P-EFC_70P, EFC_70P, MAX(EFC_85P-AC_Chart_Background_Data[[#This Row],[X]],0))</f>
        <v>0</v>
      </c>
      <c r="AM274" s="168">
        <f>IF(AC_Chart_Background_Data[[#This Row],[X]] &lt; EFC_95P-EFC_85P, EFC_85P, MAX(EFC_95P-AC_Chart_Background_Data[[#This Row],[X]],0))</f>
        <v>0</v>
      </c>
      <c r="AN274" s="168">
        <f>IF(AC_Chart_Background_Data[[#This Row],[X]] &lt; EFC_99P-EFC_95P, EFC_95P, MAX(EFC_99P-AC_Chart_Background_Data[[#This Row],[X]],0))</f>
        <v>0</v>
      </c>
      <c r="AO274" s="168">
        <f t="shared" si="13"/>
        <v>170</v>
      </c>
      <c r="BA274" s="11"/>
    </row>
    <row r="275" spans="36:53" x14ac:dyDescent="0.25">
      <c r="AJ275" s="167">
        <f t="shared" si="14"/>
        <v>272</v>
      </c>
      <c r="AK275" s="168">
        <f>IF(AC_Chart_Background_Data[[#This Row],[X]] &lt; EFC_70P-EFC_50P, EFC_50P, MAX(EFC_70P-AC_Chart_Background_Data[[#This Row],[X]],0))</f>
        <v>0</v>
      </c>
      <c r="AL275" s="168">
        <f>IF(AC_Chart_Background_Data[[#This Row],[X]] &lt; EFC_85P-EFC_70P, EFC_70P, MAX(EFC_85P-AC_Chart_Background_Data[[#This Row],[X]],0))</f>
        <v>0</v>
      </c>
      <c r="AM275" s="168">
        <f>IF(AC_Chart_Background_Data[[#This Row],[X]] &lt; EFC_95P-EFC_85P, EFC_85P, MAX(EFC_95P-AC_Chart_Background_Data[[#This Row],[X]],0))</f>
        <v>0</v>
      </c>
      <c r="AN275" s="168">
        <f>IF(AC_Chart_Background_Data[[#This Row],[X]] &lt; EFC_99P-EFC_95P, EFC_95P, MAX(EFC_99P-AC_Chart_Background_Data[[#This Row],[X]],0))</f>
        <v>0</v>
      </c>
      <c r="AO275" s="168">
        <f t="shared" si="13"/>
        <v>170</v>
      </c>
      <c r="BA275" s="11"/>
    </row>
    <row r="276" spans="36:53" x14ac:dyDescent="0.25">
      <c r="AJ276" s="167">
        <f t="shared" si="14"/>
        <v>273</v>
      </c>
      <c r="AK276" s="168">
        <f>IF(AC_Chart_Background_Data[[#This Row],[X]] &lt; EFC_70P-EFC_50P, EFC_50P, MAX(EFC_70P-AC_Chart_Background_Data[[#This Row],[X]],0))</f>
        <v>0</v>
      </c>
      <c r="AL276" s="168">
        <f>IF(AC_Chart_Background_Data[[#This Row],[X]] &lt; EFC_85P-EFC_70P, EFC_70P, MAX(EFC_85P-AC_Chart_Background_Data[[#This Row],[X]],0))</f>
        <v>0</v>
      </c>
      <c r="AM276" s="168">
        <f>IF(AC_Chart_Background_Data[[#This Row],[X]] &lt; EFC_95P-EFC_85P, EFC_85P, MAX(EFC_95P-AC_Chart_Background_Data[[#This Row],[X]],0))</f>
        <v>0</v>
      </c>
      <c r="AN276" s="168">
        <f>IF(AC_Chart_Background_Data[[#This Row],[X]] &lt; EFC_99P-EFC_95P, EFC_95P, MAX(EFC_99P-AC_Chart_Background_Data[[#This Row],[X]],0))</f>
        <v>0</v>
      </c>
      <c r="AO276" s="168">
        <f t="shared" si="13"/>
        <v>170</v>
      </c>
      <c r="BA276" s="11"/>
    </row>
    <row r="277" spans="36:53" x14ac:dyDescent="0.25">
      <c r="AJ277" s="167">
        <f t="shared" si="14"/>
        <v>274</v>
      </c>
      <c r="AK277" s="168">
        <f>IF(AC_Chart_Background_Data[[#This Row],[X]] &lt; EFC_70P-EFC_50P, EFC_50P, MAX(EFC_70P-AC_Chart_Background_Data[[#This Row],[X]],0))</f>
        <v>0</v>
      </c>
      <c r="AL277" s="168">
        <f>IF(AC_Chart_Background_Data[[#This Row],[X]] &lt; EFC_85P-EFC_70P, EFC_70P, MAX(EFC_85P-AC_Chart_Background_Data[[#This Row],[X]],0))</f>
        <v>0</v>
      </c>
      <c r="AM277" s="168">
        <f>IF(AC_Chart_Background_Data[[#This Row],[X]] &lt; EFC_95P-EFC_85P, EFC_85P, MAX(EFC_95P-AC_Chart_Background_Data[[#This Row],[X]],0))</f>
        <v>0</v>
      </c>
      <c r="AN277" s="168">
        <f>IF(AC_Chart_Background_Data[[#This Row],[X]] &lt; EFC_99P-EFC_95P, EFC_95P, MAX(EFC_99P-AC_Chart_Background_Data[[#This Row],[X]],0))</f>
        <v>0</v>
      </c>
      <c r="AO277" s="168">
        <f t="shared" si="13"/>
        <v>170</v>
      </c>
      <c r="BA277" s="11"/>
    </row>
    <row r="278" spans="36:53" x14ac:dyDescent="0.25">
      <c r="AJ278" s="167">
        <f t="shared" si="14"/>
        <v>275</v>
      </c>
      <c r="AK278" s="168">
        <f>IF(AC_Chart_Background_Data[[#This Row],[X]] &lt; EFC_70P-EFC_50P, EFC_50P, MAX(EFC_70P-AC_Chart_Background_Data[[#This Row],[X]],0))</f>
        <v>0</v>
      </c>
      <c r="AL278" s="168">
        <f>IF(AC_Chart_Background_Data[[#This Row],[X]] &lt; EFC_85P-EFC_70P, EFC_70P, MAX(EFC_85P-AC_Chart_Background_Data[[#This Row],[X]],0))</f>
        <v>0</v>
      </c>
      <c r="AM278" s="168">
        <f>IF(AC_Chart_Background_Data[[#This Row],[X]] &lt; EFC_95P-EFC_85P, EFC_85P, MAX(EFC_95P-AC_Chart_Background_Data[[#This Row],[X]],0))</f>
        <v>0</v>
      </c>
      <c r="AN278" s="168">
        <f>IF(AC_Chart_Background_Data[[#This Row],[X]] &lt; EFC_99P-EFC_95P, EFC_95P, MAX(EFC_99P-AC_Chart_Background_Data[[#This Row],[X]],0))</f>
        <v>0</v>
      </c>
      <c r="AO278" s="168">
        <f t="shared" si="13"/>
        <v>170</v>
      </c>
      <c r="BA278" s="11"/>
    </row>
    <row r="279" spans="36:53" x14ac:dyDescent="0.25">
      <c r="AJ279" s="167">
        <f t="shared" si="14"/>
        <v>276</v>
      </c>
      <c r="AK279" s="168">
        <f>IF(AC_Chart_Background_Data[[#This Row],[X]] &lt; EFC_70P-EFC_50P, EFC_50P, MAX(EFC_70P-AC_Chart_Background_Data[[#This Row],[X]],0))</f>
        <v>0</v>
      </c>
      <c r="AL279" s="168">
        <f>IF(AC_Chart_Background_Data[[#This Row],[X]] &lt; EFC_85P-EFC_70P, EFC_70P, MAX(EFC_85P-AC_Chart_Background_Data[[#This Row],[X]],0))</f>
        <v>0</v>
      </c>
      <c r="AM279" s="168">
        <f>IF(AC_Chart_Background_Data[[#This Row],[X]] &lt; EFC_95P-EFC_85P, EFC_85P, MAX(EFC_95P-AC_Chart_Background_Data[[#This Row],[X]],0))</f>
        <v>0</v>
      </c>
      <c r="AN279" s="168">
        <f>IF(AC_Chart_Background_Data[[#This Row],[X]] &lt; EFC_99P-EFC_95P, EFC_95P, MAX(EFC_99P-AC_Chart_Background_Data[[#This Row],[X]],0))</f>
        <v>0</v>
      </c>
      <c r="AO279" s="168">
        <f t="shared" si="13"/>
        <v>170</v>
      </c>
      <c r="BA279" s="11"/>
    </row>
    <row r="280" spans="36:53" x14ac:dyDescent="0.25">
      <c r="AJ280" s="167">
        <f t="shared" si="14"/>
        <v>277</v>
      </c>
      <c r="AK280" s="168">
        <f>IF(AC_Chart_Background_Data[[#This Row],[X]] &lt; EFC_70P-EFC_50P, EFC_50P, MAX(EFC_70P-AC_Chart_Background_Data[[#This Row],[X]],0))</f>
        <v>0</v>
      </c>
      <c r="AL280" s="168">
        <f>IF(AC_Chart_Background_Data[[#This Row],[X]] &lt; EFC_85P-EFC_70P, EFC_70P, MAX(EFC_85P-AC_Chart_Background_Data[[#This Row],[X]],0))</f>
        <v>0</v>
      </c>
      <c r="AM280" s="168">
        <f>IF(AC_Chart_Background_Data[[#This Row],[X]] &lt; EFC_95P-EFC_85P, EFC_85P, MAX(EFC_95P-AC_Chart_Background_Data[[#This Row],[X]],0))</f>
        <v>0</v>
      </c>
      <c r="AN280" s="168">
        <f>IF(AC_Chart_Background_Data[[#This Row],[X]] &lt; EFC_99P-EFC_95P, EFC_95P, MAX(EFC_99P-AC_Chart_Background_Data[[#This Row],[X]],0))</f>
        <v>0</v>
      </c>
      <c r="AO280" s="168">
        <f t="shared" si="13"/>
        <v>170</v>
      </c>
      <c r="BA280" s="11"/>
    </row>
    <row r="281" spans="36:53" x14ac:dyDescent="0.25">
      <c r="AJ281" s="167">
        <f t="shared" si="14"/>
        <v>278</v>
      </c>
      <c r="AK281" s="168">
        <f>IF(AC_Chart_Background_Data[[#This Row],[X]] &lt; EFC_70P-EFC_50P, EFC_50P, MAX(EFC_70P-AC_Chart_Background_Data[[#This Row],[X]],0))</f>
        <v>0</v>
      </c>
      <c r="AL281" s="168">
        <f>IF(AC_Chart_Background_Data[[#This Row],[X]] &lt; EFC_85P-EFC_70P, EFC_70P, MAX(EFC_85P-AC_Chart_Background_Data[[#This Row],[X]],0))</f>
        <v>0</v>
      </c>
      <c r="AM281" s="168">
        <f>IF(AC_Chart_Background_Data[[#This Row],[X]] &lt; EFC_95P-EFC_85P, EFC_85P, MAX(EFC_95P-AC_Chart_Background_Data[[#This Row],[X]],0))</f>
        <v>0</v>
      </c>
      <c r="AN281" s="168">
        <f>IF(AC_Chart_Background_Data[[#This Row],[X]] &lt; EFC_99P-EFC_95P, EFC_95P, MAX(EFC_99P-AC_Chart_Background_Data[[#This Row],[X]],0))</f>
        <v>0</v>
      </c>
      <c r="AO281" s="168">
        <f t="shared" si="13"/>
        <v>170</v>
      </c>
      <c r="BA281" s="11"/>
    </row>
    <row r="282" spans="36:53" x14ac:dyDescent="0.25">
      <c r="AJ282" s="167">
        <f t="shared" si="14"/>
        <v>279</v>
      </c>
      <c r="AK282" s="168">
        <f>IF(AC_Chart_Background_Data[[#This Row],[X]] &lt; EFC_70P-EFC_50P, EFC_50P, MAX(EFC_70P-AC_Chart_Background_Data[[#This Row],[X]],0))</f>
        <v>0</v>
      </c>
      <c r="AL282" s="168">
        <f>IF(AC_Chart_Background_Data[[#This Row],[X]] &lt; EFC_85P-EFC_70P, EFC_70P, MAX(EFC_85P-AC_Chart_Background_Data[[#This Row],[X]],0))</f>
        <v>0</v>
      </c>
      <c r="AM282" s="168">
        <f>IF(AC_Chart_Background_Data[[#This Row],[X]] &lt; EFC_95P-EFC_85P, EFC_85P, MAX(EFC_95P-AC_Chart_Background_Data[[#This Row],[X]],0))</f>
        <v>0</v>
      </c>
      <c r="AN282" s="168">
        <f>IF(AC_Chart_Background_Data[[#This Row],[X]] &lt; EFC_99P-EFC_95P, EFC_95P, MAX(EFC_99P-AC_Chart_Background_Data[[#This Row],[X]],0))</f>
        <v>0</v>
      </c>
      <c r="AO282" s="168">
        <f t="shared" si="13"/>
        <v>170</v>
      </c>
      <c r="BA282" s="11"/>
    </row>
    <row r="283" spans="36:53" x14ac:dyDescent="0.25">
      <c r="AJ283" s="167">
        <f t="shared" si="14"/>
        <v>280</v>
      </c>
      <c r="AK283" s="168">
        <f>IF(AC_Chart_Background_Data[[#This Row],[X]] &lt; EFC_70P-EFC_50P, EFC_50P, MAX(EFC_70P-AC_Chart_Background_Data[[#This Row],[X]],0))</f>
        <v>0</v>
      </c>
      <c r="AL283" s="168">
        <f>IF(AC_Chart_Background_Data[[#This Row],[X]] &lt; EFC_85P-EFC_70P, EFC_70P, MAX(EFC_85P-AC_Chart_Background_Data[[#This Row],[X]],0))</f>
        <v>0</v>
      </c>
      <c r="AM283" s="168">
        <f>IF(AC_Chart_Background_Data[[#This Row],[X]] &lt; EFC_95P-EFC_85P, EFC_85P, MAX(EFC_95P-AC_Chart_Background_Data[[#This Row],[X]],0))</f>
        <v>0</v>
      </c>
      <c r="AN283" s="168">
        <f>IF(AC_Chart_Background_Data[[#This Row],[X]] &lt; EFC_99P-EFC_95P, EFC_95P, MAX(EFC_99P-AC_Chart_Background_Data[[#This Row],[X]],0))</f>
        <v>0</v>
      </c>
      <c r="AO283" s="168">
        <f t="shared" si="13"/>
        <v>170</v>
      </c>
      <c r="BA283" s="11"/>
    </row>
    <row r="284" spans="36:53" x14ac:dyDescent="0.25">
      <c r="AJ284" s="167">
        <f t="shared" si="14"/>
        <v>281</v>
      </c>
      <c r="AK284" s="168">
        <f>IF(AC_Chart_Background_Data[[#This Row],[X]] &lt; EFC_70P-EFC_50P, EFC_50P, MAX(EFC_70P-AC_Chart_Background_Data[[#This Row],[X]],0))</f>
        <v>0</v>
      </c>
      <c r="AL284" s="168">
        <f>IF(AC_Chart_Background_Data[[#This Row],[X]] &lt; EFC_85P-EFC_70P, EFC_70P, MAX(EFC_85P-AC_Chart_Background_Data[[#This Row],[X]],0))</f>
        <v>0</v>
      </c>
      <c r="AM284" s="168">
        <f>IF(AC_Chart_Background_Data[[#This Row],[X]] &lt; EFC_95P-EFC_85P, EFC_85P, MAX(EFC_95P-AC_Chart_Background_Data[[#This Row],[X]],0))</f>
        <v>0</v>
      </c>
      <c r="AN284" s="168">
        <f>IF(AC_Chart_Background_Data[[#This Row],[X]] &lt; EFC_99P-EFC_95P, EFC_95P, MAX(EFC_99P-AC_Chart_Background_Data[[#This Row],[X]],0))</f>
        <v>0</v>
      </c>
      <c r="AO284" s="168">
        <f t="shared" si="13"/>
        <v>170</v>
      </c>
      <c r="BA284" s="11"/>
    </row>
    <row r="285" spans="36:53" x14ac:dyDescent="0.25">
      <c r="AJ285" s="167">
        <f t="shared" si="14"/>
        <v>282</v>
      </c>
      <c r="AK285" s="168">
        <f>IF(AC_Chart_Background_Data[[#This Row],[X]] &lt; EFC_70P-EFC_50P, EFC_50P, MAX(EFC_70P-AC_Chart_Background_Data[[#This Row],[X]],0))</f>
        <v>0</v>
      </c>
      <c r="AL285" s="168">
        <f>IF(AC_Chart_Background_Data[[#This Row],[X]] &lt; EFC_85P-EFC_70P, EFC_70P, MAX(EFC_85P-AC_Chart_Background_Data[[#This Row],[X]],0))</f>
        <v>0</v>
      </c>
      <c r="AM285" s="168">
        <f>IF(AC_Chart_Background_Data[[#This Row],[X]] &lt; EFC_95P-EFC_85P, EFC_85P, MAX(EFC_95P-AC_Chart_Background_Data[[#This Row],[X]],0))</f>
        <v>0</v>
      </c>
      <c r="AN285" s="168">
        <f>IF(AC_Chart_Background_Data[[#This Row],[X]] &lt; EFC_99P-EFC_95P, EFC_95P, MAX(EFC_99P-AC_Chart_Background_Data[[#This Row],[X]],0))</f>
        <v>0</v>
      </c>
      <c r="AO285" s="168">
        <f t="shared" si="13"/>
        <v>170</v>
      </c>
      <c r="BA285" s="11"/>
    </row>
    <row r="286" spans="36:53" x14ac:dyDescent="0.25">
      <c r="AJ286" s="167">
        <f t="shared" si="14"/>
        <v>283</v>
      </c>
      <c r="AK286" s="168">
        <f>IF(AC_Chart_Background_Data[[#This Row],[X]] &lt; EFC_70P-EFC_50P, EFC_50P, MAX(EFC_70P-AC_Chart_Background_Data[[#This Row],[X]],0))</f>
        <v>0</v>
      </c>
      <c r="AL286" s="168">
        <f>IF(AC_Chart_Background_Data[[#This Row],[X]] &lt; EFC_85P-EFC_70P, EFC_70P, MAX(EFC_85P-AC_Chart_Background_Data[[#This Row],[X]],0))</f>
        <v>0</v>
      </c>
      <c r="AM286" s="168">
        <f>IF(AC_Chart_Background_Data[[#This Row],[X]] &lt; EFC_95P-EFC_85P, EFC_85P, MAX(EFC_95P-AC_Chart_Background_Data[[#This Row],[X]],0))</f>
        <v>0</v>
      </c>
      <c r="AN286" s="168">
        <f>IF(AC_Chart_Background_Data[[#This Row],[X]] &lt; EFC_99P-EFC_95P, EFC_95P, MAX(EFC_99P-AC_Chart_Background_Data[[#This Row],[X]],0))</f>
        <v>0</v>
      </c>
      <c r="AO286" s="168">
        <f t="shared" si="13"/>
        <v>170</v>
      </c>
      <c r="BA286" s="11"/>
    </row>
    <row r="287" spans="36:53" x14ac:dyDescent="0.25">
      <c r="AJ287" s="167">
        <f t="shared" si="14"/>
        <v>284</v>
      </c>
      <c r="AK287" s="168">
        <f>IF(AC_Chart_Background_Data[[#This Row],[X]] &lt; EFC_70P-EFC_50P, EFC_50P, MAX(EFC_70P-AC_Chart_Background_Data[[#This Row],[X]],0))</f>
        <v>0</v>
      </c>
      <c r="AL287" s="168">
        <f>IF(AC_Chart_Background_Data[[#This Row],[X]] &lt; EFC_85P-EFC_70P, EFC_70P, MAX(EFC_85P-AC_Chart_Background_Data[[#This Row],[X]],0))</f>
        <v>0</v>
      </c>
      <c r="AM287" s="168">
        <f>IF(AC_Chart_Background_Data[[#This Row],[X]] &lt; EFC_95P-EFC_85P, EFC_85P, MAX(EFC_95P-AC_Chart_Background_Data[[#This Row],[X]],0))</f>
        <v>0</v>
      </c>
      <c r="AN287" s="168">
        <f>IF(AC_Chart_Background_Data[[#This Row],[X]] &lt; EFC_99P-EFC_95P, EFC_95P, MAX(EFC_99P-AC_Chart_Background_Data[[#This Row],[X]],0))</f>
        <v>0</v>
      </c>
      <c r="AO287" s="168">
        <f t="shared" si="13"/>
        <v>170</v>
      </c>
      <c r="BA287" s="11"/>
    </row>
    <row r="288" spans="36:53" x14ac:dyDescent="0.25">
      <c r="AJ288" s="167">
        <f t="shared" si="14"/>
        <v>285</v>
      </c>
      <c r="AK288" s="168">
        <f>IF(AC_Chart_Background_Data[[#This Row],[X]] &lt; EFC_70P-EFC_50P, EFC_50P, MAX(EFC_70P-AC_Chart_Background_Data[[#This Row],[X]],0))</f>
        <v>0</v>
      </c>
      <c r="AL288" s="168">
        <f>IF(AC_Chart_Background_Data[[#This Row],[X]] &lt; EFC_85P-EFC_70P, EFC_70P, MAX(EFC_85P-AC_Chart_Background_Data[[#This Row],[X]],0))</f>
        <v>0</v>
      </c>
      <c r="AM288" s="168">
        <f>IF(AC_Chart_Background_Data[[#This Row],[X]] &lt; EFC_95P-EFC_85P, EFC_85P, MAX(EFC_95P-AC_Chart_Background_Data[[#This Row],[X]],0))</f>
        <v>0</v>
      </c>
      <c r="AN288" s="168">
        <f>IF(AC_Chart_Background_Data[[#This Row],[X]] &lt; EFC_99P-EFC_95P, EFC_95P, MAX(EFC_99P-AC_Chart_Background_Data[[#This Row],[X]],0))</f>
        <v>0</v>
      </c>
      <c r="AO288" s="168">
        <f t="shared" si="13"/>
        <v>170</v>
      </c>
      <c r="BA288" s="11"/>
    </row>
    <row r="289" spans="36:53" x14ac:dyDescent="0.25">
      <c r="AJ289" s="167">
        <f t="shared" si="14"/>
        <v>286</v>
      </c>
      <c r="AK289" s="168">
        <f>IF(AC_Chart_Background_Data[[#This Row],[X]] &lt; EFC_70P-EFC_50P, EFC_50P, MAX(EFC_70P-AC_Chart_Background_Data[[#This Row],[X]],0))</f>
        <v>0</v>
      </c>
      <c r="AL289" s="168">
        <f>IF(AC_Chart_Background_Data[[#This Row],[X]] &lt; EFC_85P-EFC_70P, EFC_70P, MAX(EFC_85P-AC_Chart_Background_Data[[#This Row],[X]],0))</f>
        <v>0</v>
      </c>
      <c r="AM289" s="168">
        <f>IF(AC_Chart_Background_Data[[#This Row],[X]] &lt; EFC_95P-EFC_85P, EFC_85P, MAX(EFC_95P-AC_Chart_Background_Data[[#This Row],[X]],0))</f>
        <v>0</v>
      </c>
      <c r="AN289" s="168">
        <f>IF(AC_Chart_Background_Data[[#This Row],[X]] &lt; EFC_99P-EFC_95P, EFC_95P, MAX(EFC_99P-AC_Chart_Background_Data[[#This Row],[X]],0))</f>
        <v>0</v>
      </c>
      <c r="AO289" s="168">
        <f t="shared" si="13"/>
        <v>170</v>
      </c>
      <c r="BA289" s="11"/>
    </row>
    <row r="290" spans="36:53" x14ac:dyDescent="0.25">
      <c r="AJ290" s="167">
        <f t="shared" si="14"/>
        <v>287</v>
      </c>
      <c r="AK290" s="168">
        <f>IF(AC_Chart_Background_Data[[#This Row],[X]] &lt; EFC_70P-EFC_50P, EFC_50P, MAX(EFC_70P-AC_Chart_Background_Data[[#This Row],[X]],0))</f>
        <v>0</v>
      </c>
      <c r="AL290" s="168">
        <f>IF(AC_Chart_Background_Data[[#This Row],[X]] &lt; EFC_85P-EFC_70P, EFC_70P, MAX(EFC_85P-AC_Chart_Background_Data[[#This Row],[X]],0))</f>
        <v>0</v>
      </c>
      <c r="AM290" s="168">
        <f>IF(AC_Chart_Background_Data[[#This Row],[X]] &lt; EFC_95P-EFC_85P, EFC_85P, MAX(EFC_95P-AC_Chart_Background_Data[[#This Row],[X]],0))</f>
        <v>0</v>
      </c>
      <c r="AN290" s="168">
        <f>IF(AC_Chart_Background_Data[[#This Row],[X]] &lt; EFC_99P-EFC_95P, EFC_95P, MAX(EFC_99P-AC_Chart_Background_Data[[#This Row],[X]],0))</f>
        <v>0</v>
      </c>
      <c r="AO290" s="168">
        <f t="shared" si="13"/>
        <v>170</v>
      </c>
      <c r="BA290" s="11"/>
    </row>
    <row r="291" spans="36:53" x14ac:dyDescent="0.25">
      <c r="AJ291" s="167">
        <f t="shared" si="14"/>
        <v>288</v>
      </c>
      <c r="AK291" s="168">
        <f>IF(AC_Chart_Background_Data[[#This Row],[X]] &lt; EFC_70P-EFC_50P, EFC_50P, MAX(EFC_70P-AC_Chart_Background_Data[[#This Row],[X]],0))</f>
        <v>0</v>
      </c>
      <c r="AL291" s="168">
        <f>IF(AC_Chart_Background_Data[[#This Row],[X]] &lt; EFC_85P-EFC_70P, EFC_70P, MAX(EFC_85P-AC_Chart_Background_Data[[#This Row],[X]],0))</f>
        <v>0</v>
      </c>
      <c r="AM291" s="168">
        <f>IF(AC_Chart_Background_Data[[#This Row],[X]] &lt; EFC_95P-EFC_85P, EFC_85P, MAX(EFC_95P-AC_Chart_Background_Data[[#This Row],[X]],0))</f>
        <v>0</v>
      </c>
      <c r="AN291" s="168">
        <f>IF(AC_Chart_Background_Data[[#This Row],[X]] &lt; EFC_99P-EFC_95P, EFC_95P, MAX(EFC_99P-AC_Chart_Background_Data[[#This Row],[X]],0))</f>
        <v>0</v>
      </c>
      <c r="AO291" s="168">
        <f t="shared" si="13"/>
        <v>170</v>
      </c>
      <c r="BA291" s="11"/>
    </row>
    <row r="292" spans="36:53" x14ac:dyDescent="0.25">
      <c r="AJ292" s="167">
        <f t="shared" si="14"/>
        <v>289</v>
      </c>
      <c r="AK292" s="168">
        <f>IF(AC_Chart_Background_Data[[#This Row],[X]] &lt; EFC_70P-EFC_50P, EFC_50P, MAX(EFC_70P-AC_Chart_Background_Data[[#This Row],[X]],0))</f>
        <v>0</v>
      </c>
      <c r="AL292" s="168">
        <f>IF(AC_Chart_Background_Data[[#This Row],[X]] &lt; EFC_85P-EFC_70P, EFC_70P, MAX(EFC_85P-AC_Chart_Background_Data[[#This Row],[X]],0))</f>
        <v>0</v>
      </c>
      <c r="AM292" s="168">
        <f>IF(AC_Chart_Background_Data[[#This Row],[X]] &lt; EFC_95P-EFC_85P, EFC_85P, MAX(EFC_95P-AC_Chart_Background_Data[[#This Row],[X]],0))</f>
        <v>0</v>
      </c>
      <c r="AN292" s="168">
        <f>IF(AC_Chart_Background_Data[[#This Row],[X]] &lt; EFC_99P-EFC_95P, EFC_95P, MAX(EFC_99P-AC_Chart_Background_Data[[#This Row],[X]],0))</f>
        <v>0</v>
      </c>
      <c r="AO292" s="168">
        <f t="shared" si="13"/>
        <v>170</v>
      </c>
      <c r="BA292" s="11"/>
    </row>
    <row r="293" spans="36:53" x14ac:dyDescent="0.25">
      <c r="AJ293" s="167">
        <f t="shared" si="14"/>
        <v>290</v>
      </c>
      <c r="AK293" s="168">
        <f>IF(AC_Chart_Background_Data[[#This Row],[X]] &lt; EFC_70P-EFC_50P, EFC_50P, MAX(EFC_70P-AC_Chart_Background_Data[[#This Row],[X]],0))</f>
        <v>0</v>
      </c>
      <c r="AL293" s="168">
        <f>IF(AC_Chart_Background_Data[[#This Row],[X]] &lt; EFC_85P-EFC_70P, EFC_70P, MAX(EFC_85P-AC_Chart_Background_Data[[#This Row],[X]],0))</f>
        <v>0</v>
      </c>
      <c r="AM293" s="168">
        <f>IF(AC_Chart_Background_Data[[#This Row],[X]] &lt; EFC_95P-EFC_85P, EFC_85P, MAX(EFC_95P-AC_Chart_Background_Data[[#This Row],[X]],0))</f>
        <v>0</v>
      </c>
      <c r="AN293" s="168">
        <f>IF(AC_Chart_Background_Data[[#This Row],[X]] &lt; EFC_99P-EFC_95P, EFC_95P, MAX(EFC_99P-AC_Chart_Background_Data[[#This Row],[X]],0))</f>
        <v>0</v>
      </c>
      <c r="AO293" s="168">
        <f t="shared" si="13"/>
        <v>170</v>
      </c>
      <c r="BA293" s="11"/>
    </row>
    <row r="294" spans="36:53" x14ac:dyDescent="0.25">
      <c r="AJ294" s="167">
        <f t="shared" si="14"/>
        <v>291</v>
      </c>
      <c r="AK294" s="168">
        <f>IF(AC_Chart_Background_Data[[#This Row],[X]] &lt; EFC_70P-EFC_50P, EFC_50P, MAX(EFC_70P-AC_Chart_Background_Data[[#This Row],[X]],0))</f>
        <v>0</v>
      </c>
      <c r="AL294" s="168">
        <f>IF(AC_Chart_Background_Data[[#This Row],[X]] &lt; EFC_85P-EFC_70P, EFC_70P, MAX(EFC_85P-AC_Chart_Background_Data[[#This Row],[X]],0))</f>
        <v>0</v>
      </c>
      <c r="AM294" s="168">
        <f>IF(AC_Chart_Background_Data[[#This Row],[X]] &lt; EFC_95P-EFC_85P, EFC_85P, MAX(EFC_95P-AC_Chart_Background_Data[[#This Row],[X]],0))</f>
        <v>0</v>
      </c>
      <c r="AN294" s="168">
        <f>IF(AC_Chart_Background_Data[[#This Row],[X]] &lt; EFC_99P-EFC_95P, EFC_95P, MAX(EFC_99P-AC_Chart_Background_Data[[#This Row],[X]],0))</f>
        <v>0</v>
      </c>
      <c r="AO294" s="168">
        <f t="shared" si="13"/>
        <v>170</v>
      </c>
      <c r="BA294" s="11"/>
    </row>
    <row r="295" spans="36:53" x14ac:dyDescent="0.25">
      <c r="AJ295" s="167">
        <f t="shared" si="14"/>
        <v>292</v>
      </c>
      <c r="AK295" s="168">
        <f>IF(AC_Chart_Background_Data[[#This Row],[X]] &lt; EFC_70P-EFC_50P, EFC_50P, MAX(EFC_70P-AC_Chart_Background_Data[[#This Row],[X]],0))</f>
        <v>0</v>
      </c>
      <c r="AL295" s="168">
        <f>IF(AC_Chart_Background_Data[[#This Row],[X]] &lt; EFC_85P-EFC_70P, EFC_70P, MAX(EFC_85P-AC_Chart_Background_Data[[#This Row],[X]],0))</f>
        <v>0</v>
      </c>
      <c r="AM295" s="168">
        <f>IF(AC_Chart_Background_Data[[#This Row],[X]] &lt; EFC_95P-EFC_85P, EFC_85P, MAX(EFC_95P-AC_Chart_Background_Data[[#This Row],[X]],0))</f>
        <v>0</v>
      </c>
      <c r="AN295" s="168">
        <f>IF(AC_Chart_Background_Data[[#This Row],[X]] &lt; EFC_99P-EFC_95P, EFC_95P, MAX(EFC_99P-AC_Chart_Background_Data[[#This Row],[X]],0))</f>
        <v>0</v>
      </c>
      <c r="AO295" s="168">
        <f t="shared" si="13"/>
        <v>170</v>
      </c>
      <c r="BA295" s="11"/>
    </row>
    <row r="296" spans="36:53" x14ac:dyDescent="0.25">
      <c r="AJ296" s="167">
        <f t="shared" si="14"/>
        <v>293</v>
      </c>
      <c r="AK296" s="168">
        <f>IF(AC_Chart_Background_Data[[#This Row],[X]] &lt; EFC_70P-EFC_50P, EFC_50P, MAX(EFC_70P-AC_Chart_Background_Data[[#This Row],[X]],0))</f>
        <v>0</v>
      </c>
      <c r="AL296" s="168">
        <f>IF(AC_Chart_Background_Data[[#This Row],[X]] &lt; EFC_85P-EFC_70P, EFC_70P, MAX(EFC_85P-AC_Chart_Background_Data[[#This Row],[X]],0))</f>
        <v>0</v>
      </c>
      <c r="AM296" s="168">
        <f>IF(AC_Chart_Background_Data[[#This Row],[X]] &lt; EFC_95P-EFC_85P, EFC_85P, MAX(EFC_95P-AC_Chart_Background_Data[[#This Row],[X]],0))</f>
        <v>0</v>
      </c>
      <c r="AN296" s="168">
        <f>IF(AC_Chart_Background_Data[[#This Row],[X]] &lt; EFC_99P-EFC_95P, EFC_95P, MAX(EFC_99P-AC_Chart_Background_Data[[#This Row],[X]],0))</f>
        <v>0</v>
      </c>
      <c r="AO296" s="168">
        <f t="shared" si="13"/>
        <v>170</v>
      </c>
      <c r="BA296" s="11"/>
    </row>
    <row r="297" spans="36:53" x14ac:dyDescent="0.25">
      <c r="AJ297" s="167">
        <f t="shared" si="14"/>
        <v>294</v>
      </c>
      <c r="AK297" s="168">
        <f>IF(AC_Chart_Background_Data[[#This Row],[X]] &lt; EFC_70P-EFC_50P, EFC_50P, MAX(EFC_70P-AC_Chart_Background_Data[[#This Row],[X]],0))</f>
        <v>0</v>
      </c>
      <c r="AL297" s="168">
        <f>IF(AC_Chart_Background_Data[[#This Row],[X]] &lt; EFC_85P-EFC_70P, EFC_70P, MAX(EFC_85P-AC_Chart_Background_Data[[#This Row],[X]],0))</f>
        <v>0</v>
      </c>
      <c r="AM297" s="168">
        <f>IF(AC_Chart_Background_Data[[#This Row],[X]] &lt; EFC_95P-EFC_85P, EFC_85P, MAX(EFC_95P-AC_Chart_Background_Data[[#This Row],[X]],0))</f>
        <v>0</v>
      </c>
      <c r="AN297" s="168">
        <f>IF(AC_Chart_Background_Data[[#This Row],[X]] &lt; EFC_99P-EFC_95P, EFC_95P, MAX(EFC_99P-AC_Chart_Background_Data[[#This Row],[X]],0))</f>
        <v>0</v>
      </c>
      <c r="AO297" s="168">
        <f t="shared" si="13"/>
        <v>170</v>
      </c>
      <c r="BA297" s="11"/>
    </row>
    <row r="298" spans="36:53" x14ac:dyDescent="0.25">
      <c r="AJ298" s="167">
        <f t="shared" si="14"/>
        <v>295</v>
      </c>
      <c r="AK298" s="168">
        <f>IF(AC_Chart_Background_Data[[#This Row],[X]] &lt; EFC_70P-EFC_50P, EFC_50P, MAX(EFC_70P-AC_Chart_Background_Data[[#This Row],[X]],0))</f>
        <v>0</v>
      </c>
      <c r="AL298" s="168">
        <f>IF(AC_Chart_Background_Data[[#This Row],[X]] &lt; EFC_85P-EFC_70P, EFC_70P, MAX(EFC_85P-AC_Chart_Background_Data[[#This Row],[X]],0))</f>
        <v>0</v>
      </c>
      <c r="AM298" s="168">
        <f>IF(AC_Chart_Background_Data[[#This Row],[X]] &lt; EFC_95P-EFC_85P, EFC_85P, MAX(EFC_95P-AC_Chart_Background_Data[[#This Row],[X]],0))</f>
        <v>0</v>
      </c>
      <c r="AN298" s="168">
        <f>IF(AC_Chart_Background_Data[[#This Row],[X]] &lt; EFC_99P-EFC_95P, EFC_95P, MAX(EFC_99P-AC_Chart_Background_Data[[#This Row],[X]],0))</f>
        <v>0</v>
      </c>
      <c r="AO298" s="168">
        <f t="shared" si="13"/>
        <v>170</v>
      </c>
      <c r="BA298" s="11"/>
    </row>
    <row r="299" spans="36:53" x14ac:dyDescent="0.25">
      <c r="AJ299" s="167">
        <f t="shared" si="14"/>
        <v>296</v>
      </c>
      <c r="AK299" s="168">
        <f>IF(AC_Chart_Background_Data[[#This Row],[X]] &lt; EFC_70P-EFC_50P, EFC_50P, MAX(EFC_70P-AC_Chart_Background_Data[[#This Row],[X]],0))</f>
        <v>0</v>
      </c>
      <c r="AL299" s="168">
        <f>IF(AC_Chart_Background_Data[[#This Row],[X]] &lt; EFC_85P-EFC_70P, EFC_70P, MAX(EFC_85P-AC_Chart_Background_Data[[#This Row],[X]],0))</f>
        <v>0</v>
      </c>
      <c r="AM299" s="168">
        <f>IF(AC_Chart_Background_Data[[#This Row],[X]] &lt; EFC_95P-EFC_85P, EFC_85P, MAX(EFC_95P-AC_Chart_Background_Data[[#This Row],[X]],0))</f>
        <v>0</v>
      </c>
      <c r="AN299" s="168">
        <f>IF(AC_Chart_Background_Data[[#This Row],[X]] &lt; EFC_99P-EFC_95P, EFC_95P, MAX(EFC_99P-AC_Chart_Background_Data[[#This Row],[X]],0))</f>
        <v>0</v>
      </c>
      <c r="AO299" s="168">
        <f t="shared" si="13"/>
        <v>170</v>
      </c>
      <c r="BA299" s="11"/>
    </row>
    <row r="300" spans="36:53" x14ac:dyDescent="0.25">
      <c r="AJ300" s="167">
        <f t="shared" si="14"/>
        <v>297</v>
      </c>
      <c r="AK300" s="168">
        <f>IF(AC_Chart_Background_Data[[#This Row],[X]] &lt; EFC_70P-EFC_50P, EFC_50P, MAX(EFC_70P-AC_Chart_Background_Data[[#This Row],[X]],0))</f>
        <v>0</v>
      </c>
      <c r="AL300" s="168">
        <f>IF(AC_Chart_Background_Data[[#This Row],[X]] &lt; EFC_85P-EFC_70P, EFC_70P, MAX(EFC_85P-AC_Chart_Background_Data[[#This Row],[X]],0))</f>
        <v>0</v>
      </c>
      <c r="AM300" s="168">
        <f>IF(AC_Chart_Background_Data[[#This Row],[X]] &lt; EFC_95P-EFC_85P, EFC_85P, MAX(EFC_95P-AC_Chart_Background_Data[[#This Row],[X]],0))</f>
        <v>0</v>
      </c>
      <c r="AN300" s="168">
        <f>IF(AC_Chart_Background_Data[[#This Row],[X]] &lt; EFC_99P-EFC_95P, EFC_95P, MAX(EFC_99P-AC_Chart_Background_Data[[#This Row],[X]],0))</f>
        <v>0</v>
      </c>
      <c r="AO300" s="168">
        <f t="shared" si="13"/>
        <v>170</v>
      </c>
      <c r="BA300" s="11"/>
    </row>
    <row r="301" spans="36:53" x14ac:dyDescent="0.25">
      <c r="AJ301" s="167">
        <f t="shared" si="14"/>
        <v>298</v>
      </c>
      <c r="AK301" s="168">
        <f>IF(AC_Chart_Background_Data[[#This Row],[X]] &lt; EFC_70P-EFC_50P, EFC_50P, MAX(EFC_70P-AC_Chart_Background_Data[[#This Row],[X]],0))</f>
        <v>0</v>
      </c>
      <c r="AL301" s="168">
        <f>IF(AC_Chart_Background_Data[[#This Row],[X]] &lt; EFC_85P-EFC_70P, EFC_70P, MAX(EFC_85P-AC_Chart_Background_Data[[#This Row],[X]],0))</f>
        <v>0</v>
      </c>
      <c r="AM301" s="168">
        <f>IF(AC_Chart_Background_Data[[#This Row],[X]] &lt; EFC_95P-EFC_85P, EFC_85P, MAX(EFC_95P-AC_Chart_Background_Data[[#This Row],[X]],0))</f>
        <v>0</v>
      </c>
      <c r="AN301" s="168">
        <f>IF(AC_Chart_Background_Data[[#This Row],[X]] &lt; EFC_99P-EFC_95P, EFC_95P, MAX(EFC_99P-AC_Chart_Background_Data[[#This Row],[X]],0))</f>
        <v>0</v>
      </c>
      <c r="AO301" s="168">
        <f t="shared" si="13"/>
        <v>170</v>
      </c>
      <c r="BA301" s="11"/>
    </row>
    <row r="302" spans="36:53" x14ac:dyDescent="0.25">
      <c r="AJ302" s="167">
        <f t="shared" si="14"/>
        <v>299</v>
      </c>
      <c r="AK302" s="168">
        <f>IF(AC_Chart_Background_Data[[#This Row],[X]] &lt; EFC_70P-EFC_50P, EFC_50P, MAX(EFC_70P-AC_Chart_Background_Data[[#This Row],[X]],0))</f>
        <v>0</v>
      </c>
      <c r="AL302" s="168">
        <f>IF(AC_Chart_Background_Data[[#This Row],[X]] &lt; EFC_85P-EFC_70P, EFC_70P, MAX(EFC_85P-AC_Chart_Background_Data[[#This Row],[X]],0))</f>
        <v>0</v>
      </c>
      <c r="AM302" s="168">
        <f>IF(AC_Chart_Background_Data[[#This Row],[X]] &lt; EFC_95P-EFC_85P, EFC_85P, MAX(EFC_95P-AC_Chart_Background_Data[[#This Row],[X]],0))</f>
        <v>0</v>
      </c>
      <c r="AN302" s="168">
        <f>IF(AC_Chart_Background_Data[[#This Row],[X]] &lt; EFC_99P-EFC_95P, EFC_95P, MAX(EFC_99P-AC_Chart_Background_Data[[#This Row],[X]],0))</f>
        <v>0</v>
      </c>
      <c r="AO302" s="168">
        <f t="shared" si="13"/>
        <v>170</v>
      </c>
      <c r="BA302" s="11"/>
    </row>
    <row r="303" spans="36:53" x14ac:dyDescent="0.25">
      <c r="AJ303" s="167">
        <f t="shared" si="14"/>
        <v>300</v>
      </c>
      <c r="AK303" s="168">
        <f>IF(AC_Chart_Background_Data[[#This Row],[X]] &lt; EFC_70P-EFC_50P, EFC_50P, MAX(EFC_70P-AC_Chart_Background_Data[[#This Row],[X]],0))</f>
        <v>0</v>
      </c>
      <c r="AL303" s="168">
        <f>IF(AC_Chart_Background_Data[[#This Row],[X]] &lt; EFC_85P-EFC_70P, EFC_70P, MAX(EFC_85P-AC_Chart_Background_Data[[#This Row],[X]],0))</f>
        <v>0</v>
      </c>
      <c r="AM303" s="168">
        <f>IF(AC_Chart_Background_Data[[#This Row],[X]] &lt; EFC_95P-EFC_85P, EFC_85P, MAX(EFC_95P-AC_Chart_Background_Data[[#This Row],[X]],0))</f>
        <v>0</v>
      </c>
      <c r="AN303" s="168">
        <f>IF(AC_Chart_Background_Data[[#This Row],[X]] &lt; EFC_99P-EFC_95P, EFC_95P, MAX(EFC_99P-AC_Chart_Background_Data[[#This Row],[X]],0))</f>
        <v>0</v>
      </c>
      <c r="AO303" s="168">
        <f t="shared" si="13"/>
        <v>170</v>
      </c>
      <c r="BA303" s="11"/>
    </row>
    <row r="304" spans="36:53" x14ac:dyDescent="0.25">
      <c r="AJ304" s="164"/>
      <c r="AK304" s="164"/>
      <c r="AL304" s="164"/>
      <c r="AM304" s="164"/>
      <c r="AN304" s="164"/>
      <c r="AO304" s="164"/>
      <c r="BA304" s="11"/>
    </row>
    <row r="305" spans="36:53" x14ac:dyDescent="0.25">
      <c r="AJ305" s="164"/>
      <c r="AK305" s="164"/>
      <c r="AL305" s="164"/>
      <c r="AM305" s="164"/>
      <c r="AN305" s="164"/>
      <c r="AO305" s="164"/>
      <c r="BA305" s="11"/>
    </row>
    <row r="306" spans="36:53" x14ac:dyDescent="0.25">
      <c r="AJ306" s="164"/>
      <c r="AK306" s="164"/>
      <c r="AL306" s="164"/>
      <c r="AM306" s="164"/>
      <c r="AN306" s="164"/>
      <c r="AO306" s="164"/>
      <c r="BA306" s="11"/>
    </row>
    <row r="307" spans="36:53" x14ac:dyDescent="0.25">
      <c r="AJ307" s="164"/>
      <c r="AK307" s="164"/>
      <c r="AL307" s="164"/>
      <c r="AM307" s="164"/>
      <c r="AN307" s="164"/>
      <c r="AO307" s="164"/>
      <c r="BA307" s="11"/>
    </row>
    <row r="308" spans="36:53" x14ac:dyDescent="0.25">
      <c r="AJ308" s="164"/>
      <c r="AK308" s="164"/>
      <c r="AL308" s="164"/>
      <c r="AM308" s="164"/>
      <c r="AN308" s="164"/>
      <c r="AO308" s="164"/>
      <c r="BA308" s="11"/>
    </row>
    <row r="309" spans="36:53" x14ac:dyDescent="0.25">
      <c r="AJ309" s="164"/>
      <c r="AK309" s="164"/>
      <c r="AL309" s="164"/>
      <c r="AM309" s="164"/>
      <c r="AN309" s="164"/>
      <c r="AO309" s="164"/>
      <c r="BA309" s="11"/>
    </row>
    <row r="310" spans="36:53" x14ac:dyDescent="0.25">
      <c r="AJ310" s="165"/>
      <c r="AK310" s="165"/>
      <c r="AL310" s="165"/>
      <c r="AM310" s="165"/>
      <c r="AN310" s="165"/>
      <c r="AO310" s="165"/>
      <c r="BA310" s="11"/>
    </row>
    <row r="311" spans="36:53" x14ac:dyDescent="0.25">
      <c r="AJ311" s="166"/>
      <c r="AK311" s="166"/>
      <c r="AL311" s="166"/>
      <c r="AM311" s="166"/>
      <c r="AN311" s="166"/>
      <c r="AO311" s="166"/>
      <c r="BA311" s="11"/>
    </row>
    <row r="312" spans="36:53" x14ac:dyDescent="0.25">
      <c r="AJ312" s="11"/>
      <c r="AK312" s="11"/>
      <c r="AL312" s="11"/>
      <c r="AM312" s="11"/>
      <c r="AN312" s="11"/>
      <c r="AO312" s="11"/>
      <c r="BA312" s="11"/>
    </row>
    <row r="313" spans="36:53" x14ac:dyDescent="0.25">
      <c r="AJ313" s="11"/>
      <c r="AK313" s="11"/>
      <c r="AL313" s="11"/>
      <c r="AM313" s="11"/>
      <c r="AN313" s="11"/>
      <c r="AO313" s="11"/>
      <c r="BA313" s="11"/>
    </row>
    <row r="314" spans="36:53" x14ac:dyDescent="0.25">
      <c r="AJ314" s="11"/>
      <c r="AK314" s="11"/>
      <c r="AL314" s="11"/>
      <c r="AM314" s="11"/>
      <c r="AN314" s="11"/>
      <c r="AO314" s="11"/>
      <c r="BA314" s="11"/>
    </row>
    <row r="315" spans="36:53" x14ac:dyDescent="0.25">
      <c r="AJ315" s="11"/>
      <c r="AK315" s="11"/>
      <c r="AL315" s="11"/>
      <c r="AM315" s="11"/>
      <c r="AN315" s="11"/>
      <c r="AO315" s="11"/>
      <c r="BA315" s="11"/>
    </row>
    <row r="316" spans="36:53" x14ac:dyDescent="0.25">
      <c r="AJ316" s="11"/>
      <c r="AK316" s="11"/>
      <c r="AL316" s="11"/>
      <c r="AM316" s="11"/>
      <c r="AN316" s="11"/>
      <c r="AO316" s="11"/>
      <c r="BA316" s="11"/>
    </row>
    <row r="317" spans="36:53" x14ac:dyDescent="0.25">
      <c r="AJ317" s="11"/>
      <c r="AK317" s="11"/>
      <c r="AL317" s="11"/>
      <c r="AM317" s="11"/>
      <c r="AN317" s="11"/>
      <c r="AO317" s="11"/>
      <c r="BA317" s="11"/>
    </row>
    <row r="318" spans="36:53" x14ac:dyDescent="0.25">
      <c r="AJ318" s="11"/>
      <c r="AK318" s="11"/>
      <c r="AL318" s="11"/>
      <c r="AM318" s="11"/>
      <c r="AN318" s="11"/>
      <c r="AO318" s="11"/>
      <c r="BA318" s="11"/>
    </row>
    <row r="319" spans="36:53" x14ac:dyDescent="0.25">
      <c r="AJ319" s="11"/>
      <c r="AK319" s="11"/>
      <c r="AL319" s="11"/>
      <c r="AM319" s="11"/>
      <c r="AN319" s="11"/>
      <c r="AO319" s="11"/>
      <c r="BA319" s="11"/>
    </row>
    <row r="320" spans="36:53" x14ac:dyDescent="0.25">
      <c r="AJ320" s="11"/>
      <c r="AK320" s="11"/>
      <c r="AL320" s="11"/>
      <c r="AM320" s="11"/>
      <c r="AN320" s="11"/>
      <c r="AO320" s="11"/>
      <c r="BA320" s="11"/>
    </row>
    <row r="321" spans="36:53" x14ac:dyDescent="0.25">
      <c r="AJ321" s="11"/>
      <c r="AK321" s="11"/>
      <c r="AL321" s="11"/>
      <c r="AM321" s="11"/>
      <c r="AN321" s="11"/>
      <c r="AO321" s="11"/>
      <c r="BA321" s="11"/>
    </row>
    <row r="322" spans="36:53" x14ac:dyDescent="0.25">
      <c r="AJ322" s="11"/>
      <c r="AK322" s="11"/>
      <c r="AL322" s="11"/>
      <c r="AM322" s="11"/>
      <c r="AN322" s="11"/>
      <c r="AO322" s="11"/>
      <c r="BA322" s="11"/>
    </row>
    <row r="323" spans="36:53" x14ac:dyDescent="0.25">
      <c r="BA323" s="11"/>
    </row>
    <row r="324" spans="36:53" x14ac:dyDescent="0.25">
      <c r="BA324" s="11"/>
    </row>
    <row r="325" spans="36:53" x14ac:dyDescent="0.25">
      <c r="BA325" s="11"/>
    </row>
    <row r="326" spans="36:53" x14ac:dyDescent="0.25">
      <c r="BA326" s="11"/>
    </row>
    <row r="327" spans="36:53" x14ac:dyDescent="0.25">
      <c r="BA327" s="11"/>
    </row>
    <row r="328" spans="36:53" x14ac:dyDescent="0.25">
      <c r="BA328" s="11"/>
    </row>
    <row r="329" spans="36:53" x14ac:dyDescent="0.25">
      <c r="BA329" s="11"/>
    </row>
    <row r="330" spans="36:53" x14ac:dyDescent="0.25">
      <c r="BA330" s="11"/>
    </row>
    <row r="331" spans="36:53" x14ac:dyDescent="0.25">
      <c r="BA331" s="11"/>
    </row>
    <row r="332" spans="36:53" x14ac:dyDescent="0.25">
      <c r="BA332" s="11"/>
    </row>
    <row r="333" spans="36:53" x14ac:dyDescent="0.25">
      <c r="BA333" s="11"/>
    </row>
    <row r="334" spans="36:53" x14ac:dyDescent="0.25">
      <c r="BA334" s="11"/>
    </row>
    <row r="335" spans="36:53" x14ac:dyDescent="0.25">
      <c r="BA335" s="11"/>
    </row>
    <row r="336" spans="36:53" x14ac:dyDescent="0.25">
      <c r="AJ336" s="82"/>
      <c r="AK336" s="82"/>
      <c r="AL336" s="82"/>
      <c r="AM336" s="82"/>
      <c r="AN336" s="82"/>
      <c r="AO336" s="82"/>
      <c r="BA336" s="11"/>
    </row>
    <row r="337" spans="36:53" x14ac:dyDescent="0.25">
      <c r="AJ337" s="11"/>
      <c r="AK337" s="11"/>
      <c r="AL337" s="11"/>
      <c r="AM337" s="11"/>
      <c r="AN337" s="11"/>
      <c r="AO337" s="11"/>
      <c r="BA337" s="11"/>
    </row>
    <row r="338" spans="36:53" x14ac:dyDescent="0.25">
      <c r="AJ338" s="82"/>
      <c r="AK338" s="82"/>
      <c r="AL338" s="82"/>
      <c r="AM338" s="82"/>
      <c r="AN338" s="82"/>
      <c r="AO338" s="82"/>
      <c r="BA338" s="11"/>
    </row>
    <row r="339" spans="36:53" x14ac:dyDescent="0.25">
      <c r="AJ339" s="82"/>
      <c r="AK339" s="82"/>
      <c r="AL339" s="82"/>
      <c r="AM339" s="82"/>
      <c r="AN339" s="82"/>
      <c r="AO339" s="82"/>
      <c r="BA339" s="11"/>
    </row>
    <row r="340" spans="36:53" x14ac:dyDescent="0.25">
      <c r="AJ340" s="82"/>
      <c r="AK340" s="82"/>
      <c r="AL340" s="82"/>
      <c r="AM340" s="82"/>
      <c r="AN340" s="82"/>
      <c r="AO340" s="82"/>
      <c r="BA340" s="11"/>
    </row>
    <row r="341" spans="36:53" x14ac:dyDescent="0.25">
      <c r="AJ341" s="82"/>
      <c r="AK341" s="82"/>
      <c r="AL341" s="82"/>
      <c r="AM341" s="82"/>
      <c r="AN341" s="82"/>
      <c r="AO341" s="82"/>
      <c r="BA341" s="11"/>
    </row>
    <row r="342" spans="36:53" x14ac:dyDescent="0.25">
      <c r="AJ342" s="11"/>
      <c r="AK342" s="11"/>
      <c r="AL342" s="11"/>
      <c r="AM342" s="11"/>
      <c r="AN342" s="11"/>
      <c r="AO342" s="11"/>
      <c r="BA342" s="11"/>
    </row>
    <row r="343" spans="36:53" x14ac:dyDescent="0.25">
      <c r="AJ343" s="11"/>
      <c r="AK343" s="11"/>
      <c r="AL343" s="11"/>
      <c r="AM343" s="11"/>
      <c r="AN343" s="11"/>
      <c r="AO343" s="11"/>
      <c r="BA343" s="11"/>
    </row>
    <row r="344" spans="36:53" x14ac:dyDescent="0.25">
      <c r="AJ344" s="11"/>
      <c r="AK344" s="11"/>
      <c r="AL344" s="11"/>
      <c r="AM344" s="11"/>
      <c r="AN344" s="11"/>
      <c r="AO344" s="11"/>
      <c r="BA344" s="11"/>
    </row>
    <row r="345" spans="36:53" x14ac:dyDescent="0.25">
      <c r="AJ345" s="11"/>
      <c r="AK345" s="11"/>
      <c r="AL345" s="11"/>
      <c r="AM345" s="11"/>
      <c r="AN345" s="11"/>
      <c r="AO345" s="11"/>
      <c r="BA345" s="11"/>
    </row>
    <row r="346" spans="36:53" x14ac:dyDescent="0.25">
      <c r="BA346" s="11"/>
    </row>
    <row r="347" spans="36:53" x14ac:dyDescent="0.25">
      <c r="BA347" s="11"/>
    </row>
    <row r="348" spans="36:53" x14ac:dyDescent="0.25">
      <c r="BA348" s="11"/>
    </row>
    <row r="349" spans="36:53" x14ac:dyDescent="0.25">
      <c r="BA349" s="11"/>
    </row>
    <row r="350" spans="36:53" x14ac:dyDescent="0.25">
      <c r="BA350" s="11"/>
    </row>
    <row r="351" spans="36:53" x14ac:dyDescent="0.25">
      <c r="BA351" s="11"/>
    </row>
    <row r="352" spans="36:53" x14ac:dyDescent="0.25">
      <c r="BA352" s="11"/>
    </row>
    <row r="353" spans="53:53" x14ac:dyDescent="0.25">
      <c r="BA353" s="11"/>
    </row>
    <row r="354" spans="53:53" x14ac:dyDescent="0.25">
      <c r="BA354" s="11"/>
    </row>
    <row r="355" spans="53:53" x14ac:dyDescent="0.25">
      <c r="BA355" s="11"/>
    </row>
    <row r="356" spans="53:53" x14ac:dyDescent="0.25">
      <c r="BA356" s="11"/>
    </row>
    <row r="357" spans="53:53" x14ac:dyDescent="0.25">
      <c r="BA357" s="11"/>
    </row>
    <row r="358" spans="53:53" x14ac:dyDescent="0.25">
      <c r="BA358" s="11"/>
    </row>
    <row r="359" spans="53:53" x14ac:dyDescent="0.25">
      <c r="BA359" s="11"/>
    </row>
    <row r="360" spans="53:53" x14ac:dyDescent="0.25">
      <c r="BA360" s="11"/>
    </row>
    <row r="361" spans="53:53" x14ac:dyDescent="0.25">
      <c r="BA361" s="11"/>
    </row>
    <row r="362" spans="53:53" x14ac:dyDescent="0.25">
      <c r="BA362" s="11"/>
    </row>
    <row r="363" spans="53:53" x14ac:dyDescent="0.25">
      <c r="BA363" s="11"/>
    </row>
    <row r="364" spans="53:53" x14ac:dyDescent="0.25">
      <c r="BA364" s="11"/>
    </row>
    <row r="365" spans="53:53" x14ac:dyDescent="0.25">
      <c r="BA365" s="11"/>
    </row>
    <row r="366" spans="53:53" x14ac:dyDescent="0.25">
      <c r="BA366" s="11"/>
    </row>
    <row r="367" spans="53:53" x14ac:dyDescent="0.25">
      <c r="BA367" s="11"/>
    </row>
    <row r="368" spans="53:53" x14ac:dyDescent="0.25">
      <c r="BA368" s="11"/>
    </row>
    <row r="369" spans="53:53" x14ac:dyDescent="0.25">
      <c r="BA369" s="11"/>
    </row>
    <row r="370" spans="53:53" x14ac:dyDescent="0.25">
      <c r="BA370" s="11"/>
    </row>
    <row r="371" spans="53:53" x14ac:dyDescent="0.25">
      <c r="BA371" s="11"/>
    </row>
    <row r="372" spans="53:53" x14ac:dyDescent="0.25">
      <c r="BA372" s="11"/>
    </row>
    <row r="373" spans="53:53" x14ac:dyDescent="0.25">
      <c r="BA373" s="11"/>
    </row>
    <row r="374" spans="53:53" x14ac:dyDescent="0.25">
      <c r="BA374" s="11"/>
    </row>
    <row r="375" spans="53:53" x14ac:dyDescent="0.25">
      <c r="BA375" s="11"/>
    </row>
    <row r="376" spans="53:53" x14ac:dyDescent="0.25">
      <c r="BA376" s="11"/>
    </row>
    <row r="377" spans="53:53" x14ac:dyDescent="0.25">
      <c r="BA377" s="11"/>
    </row>
    <row r="378" spans="53:53" x14ac:dyDescent="0.25">
      <c r="BA378" s="11"/>
    </row>
    <row r="379" spans="53:53" x14ac:dyDescent="0.25">
      <c r="BA379" s="11"/>
    </row>
    <row r="380" spans="53:53" x14ac:dyDescent="0.25">
      <c r="BA380" s="11"/>
    </row>
    <row r="381" spans="53:53" x14ac:dyDescent="0.25">
      <c r="BA381" s="11"/>
    </row>
    <row r="382" spans="53:53" x14ac:dyDescent="0.25">
      <c r="BA382" s="11"/>
    </row>
    <row r="383" spans="53:53" x14ac:dyDescent="0.25">
      <c r="BA383" s="11"/>
    </row>
    <row r="384" spans="53:53" x14ac:dyDescent="0.25">
      <c r="BA384" s="11"/>
    </row>
    <row r="385" spans="53:53" x14ac:dyDescent="0.25">
      <c r="BA385" s="11"/>
    </row>
    <row r="386" spans="53:53" x14ac:dyDescent="0.25">
      <c r="BA386" s="11"/>
    </row>
    <row r="387" spans="53:53" x14ac:dyDescent="0.25">
      <c r="BA387" s="11"/>
    </row>
    <row r="388" spans="53:53" x14ac:dyDescent="0.25">
      <c r="BA388" s="11"/>
    </row>
    <row r="389" spans="53:53" x14ac:dyDescent="0.25">
      <c r="BA389" s="11"/>
    </row>
    <row r="390" spans="53:53" x14ac:dyDescent="0.25">
      <c r="BA390" s="11"/>
    </row>
  </sheetData>
  <sheetProtection algorithmName="SHA-512" hashValue="nHZuqyE9fsFyemGykOwjyxPXAsb4/3j1zjdepeATdoUIAkuwcgBYdwUGNFu+9Y2xjXUOyUu92+tGbCAm382niA==" saltValue="Q8xJ6BgD3jyo42niSa6HGQ==" spinCount="100000" sheet="1" objects="1" scenarios="1" formatRows="0" insertHyperlinks="0"/>
  <mergeCells count="45">
    <mergeCell ref="A47:B47"/>
    <mergeCell ref="A71:B71"/>
    <mergeCell ref="A72:B76"/>
    <mergeCell ref="B80:F80"/>
    <mergeCell ref="A58:A60"/>
    <mergeCell ref="A69:B70"/>
    <mergeCell ref="A61:A68"/>
    <mergeCell ref="A48:B48"/>
    <mergeCell ref="A49:B49"/>
    <mergeCell ref="A50:B50"/>
    <mergeCell ref="A51:B51"/>
    <mergeCell ref="BB1:BD1"/>
    <mergeCell ref="B4:C4"/>
    <mergeCell ref="A6:C6"/>
    <mergeCell ref="B10:C10"/>
    <mergeCell ref="A30:E30"/>
    <mergeCell ref="AX1:AZ1"/>
    <mergeCell ref="AD21:AD25"/>
    <mergeCell ref="AF21:AF25"/>
    <mergeCell ref="AC1:AG1"/>
    <mergeCell ref="AH21:AH25"/>
    <mergeCell ref="AJ1:AO1"/>
    <mergeCell ref="AQ1:AV1"/>
    <mergeCell ref="I21:I23"/>
    <mergeCell ref="F30:H30"/>
    <mergeCell ref="B7:C7"/>
    <mergeCell ref="D7:I8"/>
    <mergeCell ref="A46:B46"/>
    <mergeCell ref="C46:D46"/>
    <mergeCell ref="A12:C12"/>
    <mergeCell ref="AE21:AE25"/>
    <mergeCell ref="AG21:AG25"/>
    <mergeCell ref="AF35:AG35"/>
    <mergeCell ref="AE33:AH33"/>
    <mergeCell ref="AE32:AF32"/>
    <mergeCell ref="AG32:AH32"/>
    <mergeCell ref="A40:B42"/>
    <mergeCell ref="B8:C8"/>
    <mergeCell ref="A45:B45"/>
    <mergeCell ref="C45:D45"/>
    <mergeCell ref="B9:C9"/>
    <mergeCell ref="H21:H23"/>
    <mergeCell ref="F15:I16"/>
    <mergeCell ref="A16:E16"/>
    <mergeCell ref="B11:C11"/>
  </mergeCells>
  <phoneticPr fontId="37" type="noConversion"/>
  <conditionalFormatting sqref="A61">
    <cfRule type="expression" dxfId="6" priority="2">
      <formula>LEFT($A$61,8)="Complete"</formula>
    </cfRule>
  </conditionalFormatting>
  <conditionalFormatting sqref="C47">
    <cfRule type="expression" dxfId="5" priority="8">
      <formula>RIGHT($C$47,1)="."</formula>
    </cfRule>
  </conditionalFormatting>
  <conditionalFormatting sqref="C52">
    <cfRule type="expression" dxfId="4" priority="7">
      <formula>RIGHT($C$52,1)="."</formula>
    </cfRule>
  </conditionalFormatting>
  <conditionalFormatting sqref="E45:E46">
    <cfRule type="expression" dxfId="3" priority="5">
      <formula>AND($C$46="Wastewater",LEFT($C$45,3)="Sin")</formula>
    </cfRule>
  </conditionalFormatting>
  <conditionalFormatting sqref="F22">
    <cfRule type="cellIs" dxfId="2" priority="10" operator="equal">
      <formula>"Error: Total must equal 100%."</formula>
    </cfRule>
  </conditionalFormatting>
  <conditionalFormatting sqref="F45:F46">
    <cfRule type="expression" dxfId="1" priority="6">
      <formula>AND(LEFT($C$45,3)="Sin",$C$46="Water")</formula>
    </cfRule>
  </conditionalFormatting>
  <conditionalFormatting sqref="I24:I29">
    <cfRule type="cellIs" dxfId="0" priority="9" operator="equal">
      <formula>"Yes"</formula>
    </cfRule>
  </conditionalFormatting>
  <conditionalFormatting sqref="AF26:AF31 AH26:AH31 AE32 AG32">
    <cfRule type="colorScale" priority="1">
      <colorScale>
        <cfvo type="percentile" val="0"/>
        <cfvo type="percentile" val="50"/>
        <cfvo type="percentile" val="100"/>
        <color theme="0"/>
        <color theme="7"/>
        <color rgb="FF00B050"/>
      </colorScale>
    </cfRule>
  </conditionalFormatting>
  <dataValidations count="6">
    <dataValidation type="list" allowBlank="1" showInputMessage="1" promptTitle="Select or Type" prompt="Select from the list or type applicant name if not listed." sqref="B7:C7" xr:uid="{24AF32AC-EBF7-44EA-BDE3-D92CC3A232A4}">
      <formula1>VU_Unit_Names</formula1>
    </dataValidation>
    <dataValidation type="list" allowBlank="1" showInputMessage="1" promptTitle="Select or Type" prompt="Select from the list or type applicant name if not listed." sqref="B4:C4" xr:uid="{F794A74F-A123-4D1A-A631-1FAE70CCE1AA}">
      <formula1>Economic_Unit_Names</formula1>
    </dataValidation>
    <dataValidation type="list" allowBlank="1" showInputMessage="1" showErrorMessage="1" sqref="C45:D45" xr:uid="{1279A45F-6C33-42A4-ABF2-C1B5071EB34D}">
      <formula1>$AA$16:$AA$18</formula1>
    </dataValidation>
    <dataValidation type="list" allowBlank="1" showInputMessage="1" showErrorMessage="1" sqref="C46:D46" xr:uid="{B8AFDBA9-9507-4EB9-AA12-0249FD77377C}">
      <formula1>$AA$21:$AA$23</formula1>
    </dataValidation>
    <dataValidation type="list" showInputMessage="1" showErrorMessage="1" promptTitle="Select" prompt="Select from the list." sqref="B10:C11" xr:uid="{8E3444DB-E3F1-445E-8869-6D2316D2C26C}">
      <formula1>$AA$2:$AA$4</formula1>
    </dataValidation>
    <dataValidation type="list" allowBlank="1" showInputMessage="1" sqref="B21:E21" xr:uid="{DD036FDA-0057-41D1-991F-3F60AD618EF9}">
      <formula1>Economic_Unit_Names</formula1>
    </dataValidation>
  </dataValidations>
  <printOptions horizontalCentered="1" verticalCentered="1"/>
  <pageMargins left="0.5" right="0.5" top="0.5" bottom="0.5" header="0" footer="0.3"/>
  <pageSetup scale="55" orientation="portrait" horizontalDpi="1200" verticalDpi="1200" r:id="rId1"/>
  <headerFooter>
    <oddFooter>&amp;L&amp;F&amp;R&amp;D&amp;T</oddFooter>
  </headerFooter>
  <ignoredErrors>
    <ignoredError sqref="B21 B7 B8:C11 F24:F27 B23:E28" unlockedFormula="1"/>
  </ignoredErrors>
  <drawing r:id="rId2"/>
  <tableParts count="3">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3738-3487-4029-969E-5BD24A1C637C}">
  <sheetPr codeName="Units_Data_Table"/>
  <dimension ref="A1:N654"/>
  <sheetViews>
    <sheetView workbookViewId="0"/>
  </sheetViews>
  <sheetFormatPr defaultRowHeight="15" x14ac:dyDescent="0.25"/>
  <cols>
    <col min="1" max="1" width="27.28515625" bestFit="1" customWidth="1"/>
    <col min="2" max="2" width="15.28515625" bestFit="1" customWidth="1"/>
    <col min="3" max="3" width="15.7109375" bestFit="1" customWidth="1"/>
    <col min="4" max="4" width="12.42578125" bestFit="1" customWidth="1"/>
    <col min="5" max="5" width="13.28515625" customWidth="1"/>
    <col min="6" max="6" width="15.140625" customWidth="1"/>
    <col min="7" max="7" width="17.7109375" customWidth="1"/>
    <col min="8" max="8" width="5" customWidth="1"/>
    <col min="9" max="9" width="33.42578125" style="140" customWidth="1"/>
    <col min="10" max="10" width="14.28515625" customWidth="1"/>
    <col min="11" max="14" width="9.140625" customWidth="1"/>
  </cols>
  <sheetData>
    <row r="1" spans="1:14" ht="75" x14ac:dyDescent="0.25">
      <c r="A1" s="130" t="s">
        <v>714</v>
      </c>
      <c r="B1" s="131" t="s">
        <v>831</v>
      </c>
      <c r="C1" s="130" t="s">
        <v>842</v>
      </c>
      <c r="D1" s="130" t="s">
        <v>840</v>
      </c>
      <c r="E1" s="130" t="s">
        <v>832</v>
      </c>
      <c r="F1" s="130" t="s">
        <v>841</v>
      </c>
      <c r="G1" s="130" t="s">
        <v>833</v>
      </c>
      <c r="I1" s="132" t="s">
        <v>691</v>
      </c>
      <c r="J1" s="133" t="s">
        <v>695</v>
      </c>
      <c r="K1" s="133" t="s">
        <v>834</v>
      </c>
      <c r="L1" s="133" t="s">
        <v>692</v>
      </c>
      <c r="M1" s="133" t="s">
        <v>837</v>
      </c>
      <c r="N1" s="133"/>
    </row>
    <row r="2" spans="1:14" x14ac:dyDescent="0.25">
      <c r="A2" t="s">
        <v>0</v>
      </c>
      <c r="B2" s="122">
        <v>8674</v>
      </c>
      <c r="C2" s="152">
        <v>16.920000000000002</v>
      </c>
      <c r="D2">
        <v>8.1</v>
      </c>
      <c r="E2" s="134">
        <v>69758</v>
      </c>
      <c r="F2" s="1">
        <v>3.7</v>
      </c>
      <c r="G2" s="135">
        <v>1168446590</v>
      </c>
      <c r="I2" s="136" t="s">
        <v>0</v>
      </c>
      <c r="J2" s="137" t="s">
        <v>693</v>
      </c>
      <c r="K2" s="138">
        <v>1</v>
      </c>
      <c r="L2" s="137" t="s">
        <v>693</v>
      </c>
      <c r="M2" s="143" t="s">
        <v>693</v>
      </c>
      <c r="N2" s="138"/>
    </row>
    <row r="3" spans="1:14" x14ac:dyDescent="0.25">
      <c r="A3" t="s">
        <v>1</v>
      </c>
      <c r="B3" s="122">
        <v>4841</v>
      </c>
      <c r="C3" s="152">
        <v>-0.84</v>
      </c>
      <c r="D3">
        <v>23.9</v>
      </c>
      <c r="E3" s="134">
        <v>38063</v>
      </c>
      <c r="F3" s="2">
        <v>5.2</v>
      </c>
      <c r="G3" s="135">
        <v>328254115</v>
      </c>
      <c r="I3" s="136" t="s">
        <v>1</v>
      </c>
      <c r="J3" s="137" t="s">
        <v>693</v>
      </c>
      <c r="K3" s="138">
        <v>3</v>
      </c>
      <c r="L3" s="137" t="s">
        <v>693</v>
      </c>
      <c r="M3" s="143" t="s">
        <v>693</v>
      </c>
      <c r="N3" s="138"/>
    </row>
    <row r="4" spans="1:14" x14ac:dyDescent="0.25">
      <c r="A4" t="s">
        <v>2</v>
      </c>
      <c r="B4" s="122">
        <v>171779</v>
      </c>
      <c r="C4" s="152">
        <v>6.98</v>
      </c>
      <c r="D4">
        <v>14.2</v>
      </c>
      <c r="E4" s="134">
        <v>60866</v>
      </c>
      <c r="F4" s="2">
        <v>3.7</v>
      </c>
      <c r="G4" s="135">
        <v>16085477370</v>
      </c>
      <c r="I4" s="136" t="s">
        <v>3</v>
      </c>
      <c r="J4" s="137" t="s">
        <v>693</v>
      </c>
      <c r="K4" s="138">
        <v>5</v>
      </c>
      <c r="L4" s="137" t="s">
        <v>693</v>
      </c>
      <c r="M4" s="143" t="s">
        <v>693</v>
      </c>
      <c r="N4" s="138"/>
    </row>
    <row r="5" spans="1:14" x14ac:dyDescent="0.25">
      <c r="A5" t="s">
        <v>3</v>
      </c>
      <c r="B5" s="122">
        <v>1287</v>
      </c>
      <c r="C5" s="152">
        <v>20.39</v>
      </c>
      <c r="D5">
        <v>8.6999999999999993</v>
      </c>
      <c r="E5" s="134">
        <v>93309</v>
      </c>
      <c r="F5" s="2">
        <v>3.7</v>
      </c>
      <c r="G5" s="135">
        <v>123775868</v>
      </c>
      <c r="I5" s="136" t="s">
        <v>4</v>
      </c>
      <c r="J5" s="137" t="s">
        <v>694</v>
      </c>
      <c r="K5" s="138">
        <v>7</v>
      </c>
      <c r="L5" s="137" t="s">
        <v>693</v>
      </c>
      <c r="M5" s="143" t="s">
        <v>693</v>
      </c>
      <c r="N5" s="138"/>
    </row>
    <row r="6" spans="1:14" x14ac:dyDescent="0.25">
      <c r="A6" t="s">
        <v>4</v>
      </c>
      <c r="B6" s="122">
        <v>16444</v>
      </c>
      <c r="C6" s="152">
        <v>3.49</v>
      </c>
      <c r="D6">
        <v>21.6</v>
      </c>
      <c r="E6" s="134">
        <v>51673</v>
      </c>
      <c r="F6" s="2">
        <v>3.3</v>
      </c>
      <c r="G6" s="135">
        <v>1333617518</v>
      </c>
      <c r="I6" s="136" t="s">
        <v>5</v>
      </c>
      <c r="J6" s="144" t="s">
        <v>693</v>
      </c>
      <c r="K6" s="138">
        <v>1</v>
      </c>
      <c r="L6" s="137" t="s">
        <v>693</v>
      </c>
      <c r="M6" s="143" t="s">
        <v>693</v>
      </c>
      <c r="N6" s="138"/>
    </row>
    <row r="7" spans="1:14" x14ac:dyDescent="0.25">
      <c r="A7" t="s">
        <v>5</v>
      </c>
      <c r="B7" s="122">
        <v>36505</v>
      </c>
      <c r="C7" s="152">
        <v>-1.65</v>
      </c>
      <c r="D7">
        <v>12.2</v>
      </c>
      <c r="E7" s="134">
        <v>62764</v>
      </c>
      <c r="F7" s="2">
        <v>3.3</v>
      </c>
      <c r="G7" s="135">
        <v>2853211366</v>
      </c>
      <c r="I7" s="136" t="s">
        <v>8</v>
      </c>
      <c r="J7" s="137" t="s">
        <v>694</v>
      </c>
      <c r="K7" s="138">
        <v>4</v>
      </c>
      <c r="L7" s="137" t="s">
        <v>693</v>
      </c>
      <c r="M7" s="143" t="s">
        <v>693</v>
      </c>
      <c r="N7" s="138"/>
    </row>
    <row r="8" spans="1:14" x14ac:dyDescent="0.25">
      <c r="A8" t="s">
        <v>6</v>
      </c>
      <c r="B8" s="122">
        <v>10989</v>
      </c>
      <c r="C8" s="152">
        <v>0.15</v>
      </c>
      <c r="D8">
        <v>19.5</v>
      </c>
      <c r="E8" s="134">
        <v>42115</v>
      </c>
      <c r="F8" s="2">
        <v>4</v>
      </c>
      <c r="G8" s="135">
        <v>2012803669</v>
      </c>
      <c r="I8" s="136" t="s">
        <v>9</v>
      </c>
      <c r="J8" s="137" t="s">
        <v>693</v>
      </c>
      <c r="K8" s="138">
        <v>1</v>
      </c>
      <c r="L8" s="137" t="s">
        <v>693</v>
      </c>
      <c r="M8" s="143" t="s">
        <v>693</v>
      </c>
      <c r="N8" s="138"/>
    </row>
    <row r="9" spans="1:14" x14ac:dyDescent="0.25">
      <c r="A9" t="s">
        <v>7</v>
      </c>
      <c r="B9" s="122">
        <v>842</v>
      </c>
      <c r="C9" s="152">
        <v>14.71</v>
      </c>
      <c r="D9">
        <v>20.5</v>
      </c>
      <c r="E9" s="134">
        <v>39432</v>
      </c>
      <c r="F9" s="2">
        <v>3.7</v>
      </c>
      <c r="G9" s="135">
        <v>65609377</v>
      </c>
      <c r="I9" s="136" t="s">
        <v>10</v>
      </c>
      <c r="J9" s="137" t="s">
        <v>693</v>
      </c>
      <c r="K9" s="138">
        <v>2</v>
      </c>
      <c r="L9" s="137" t="s">
        <v>693</v>
      </c>
      <c r="M9" s="143" t="s">
        <v>693</v>
      </c>
      <c r="N9" s="138"/>
    </row>
    <row r="10" spans="1:14" x14ac:dyDescent="0.25">
      <c r="A10" t="s">
        <v>8</v>
      </c>
      <c r="B10" s="122">
        <v>2086</v>
      </c>
      <c r="C10" s="152">
        <v>13.99</v>
      </c>
      <c r="D10">
        <v>26.6</v>
      </c>
      <c r="E10" s="134">
        <v>34939</v>
      </c>
      <c r="F10" s="2">
        <v>4.0999999999999996</v>
      </c>
      <c r="G10" s="135">
        <v>122081884</v>
      </c>
      <c r="I10" s="136" t="s">
        <v>11</v>
      </c>
      <c r="J10" s="137" t="s">
        <v>693</v>
      </c>
      <c r="K10" s="138">
        <v>2</v>
      </c>
      <c r="L10" s="137" t="s">
        <v>693</v>
      </c>
      <c r="M10" s="143" t="s">
        <v>693</v>
      </c>
      <c r="N10" s="138"/>
    </row>
    <row r="11" spans="1:14" x14ac:dyDescent="0.25">
      <c r="A11" t="s">
        <v>9</v>
      </c>
      <c r="B11" s="122">
        <v>5348</v>
      </c>
      <c r="C11" s="152">
        <v>-0.52</v>
      </c>
      <c r="D11">
        <v>9.3000000000000007</v>
      </c>
      <c r="E11" s="134">
        <v>54936</v>
      </c>
      <c r="F11" s="2">
        <v>3.5999999999999996</v>
      </c>
      <c r="G11" s="135">
        <v>644748487</v>
      </c>
      <c r="I11" s="136" t="s">
        <v>12</v>
      </c>
      <c r="J11" s="137" t="s">
        <v>693</v>
      </c>
      <c r="K11" s="138">
        <v>1</v>
      </c>
      <c r="L11" s="137" t="s">
        <v>693</v>
      </c>
      <c r="M11" s="143" t="s">
        <v>693</v>
      </c>
      <c r="N11" s="138"/>
    </row>
    <row r="12" spans="1:14" x14ac:dyDescent="0.25">
      <c r="A12" t="s">
        <v>10</v>
      </c>
      <c r="B12" s="122">
        <v>22200</v>
      </c>
      <c r="C12" s="152">
        <v>-12.27</v>
      </c>
      <c r="D12">
        <v>19.3</v>
      </c>
      <c r="E12" s="134">
        <v>42000</v>
      </c>
      <c r="F12" s="2">
        <v>4.4000000000000004</v>
      </c>
      <c r="G12" s="135">
        <v>2151278479</v>
      </c>
      <c r="I12" s="136" t="s">
        <v>14</v>
      </c>
      <c r="J12" s="137" t="s">
        <v>693</v>
      </c>
      <c r="K12" s="138">
        <v>0</v>
      </c>
      <c r="L12" s="137" t="s">
        <v>693</v>
      </c>
      <c r="M12" s="143" t="s">
        <v>693</v>
      </c>
      <c r="N12" s="138"/>
    </row>
    <row r="13" spans="1:14" x14ac:dyDescent="0.25">
      <c r="A13" t="s">
        <v>11</v>
      </c>
      <c r="B13" s="122">
        <v>671</v>
      </c>
      <c r="C13" s="152">
        <v>-8.7100000000000009</v>
      </c>
      <c r="D13">
        <v>27.6</v>
      </c>
      <c r="E13" s="134">
        <v>48500</v>
      </c>
      <c r="F13" s="2">
        <v>4.4000000000000004</v>
      </c>
      <c r="G13" s="135">
        <v>26521989</v>
      </c>
      <c r="I13" s="136" t="s">
        <v>17</v>
      </c>
      <c r="J13" s="137" t="s">
        <v>693</v>
      </c>
      <c r="K13" s="138">
        <v>3</v>
      </c>
      <c r="L13" s="137" t="s">
        <v>693</v>
      </c>
      <c r="M13" s="143" t="s">
        <v>693</v>
      </c>
      <c r="N13" s="138"/>
    </row>
    <row r="14" spans="1:14" x14ac:dyDescent="0.25">
      <c r="A14" t="s">
        <v>12</v>
      </c>
      <c r="B14" s="122">
        <v>65541</v>
      </c>
      <c r="C14" s="152">
        <v>35.83</v>
      </c>
      <c r="D14">
        <v>2.9</v>
      </c>
      <c r="E14" s="134">
        <v>129688</v>
      </c>
      <c r="F14" s="2">
        <v>3.1</v>
      </c>
      <c r="G14" s="135">
        <v>11815981502</v>
      </c>
      <c r="I14" s="136" t="s">
        <v>18</v>
      </c>
      <c r="J14" s="137" t="s">
        <v>693</v>
      </c>
      <c r="K14" s="138">
        <v>1</v>
      </c>
      <c r="L14" s="137" t="s">
        <v>693</v>
      </c>
      <c r="M14" s="143" t="s">
        <v>693</v>
      </c>
      <c r="N14" s="138"/>
    </row>
    <row r="15" spans="1:14" x14ac:dyDescent="0.25">
      <c r="A15" t="s">
        <v>13</v>
      </c>
      <c r="B15" s="122">
        <v>364</v>
      </c>
      <c r="C15" s="152">
        <v>-30.53</v>
      </c>
      <c r="D15">
        <v>15.9</v>
      </c>
      <c r="E15" s="134">
        <v>80625</v>
      </c>
      <c r="F15" s="2">
        <v>3.7</v>
      </c>
      <c r="G15" s="134" t="e">
        <f>NA()</f>
        <v>#N/A</v>
      </c>
      <c r="I15" s="136" t="s">
        <v>19</v>
      </c>
      <c r="J15" s="137" t="s">
        <v>694</v>
      </c>
      <c r="K15" s="138">
        <v>6</v>
      </c>
      <c r="L15" s="137" t="s">
        <v>693</v>
      </c>
      <c r="M15" s="143" t="s">
        <v>693</v>
      </c>
      <c r="N15" s="138"/>
    </row>
    <row r="16" spans="1:14" x14ac:dyDescent="0.25">
      <c r="A16" t="s">
        <v>14</v>
      </c>
      <c r="B16" s="122">
        <v>11873</v>
      </c>
      <c r="C16" s="152">
        <v>2.9</v>
      </c>
      <c r="D16">
        <v>7.4</v>
      </c>
      <c r="E16" s="134">
        <v>63627</v>
      </c>
      <c r="F16" s="2">
        <v>3.9</v>
      </c>
      <c r="G16" s="135">
        <v>1137106721</v>
      </c>
      <c r="I16" s="136" t="s">
        <v>20</v>
      </c>
      <c r="J16" s="137" t="s">
        <v>693</v>
      </c>
      <c r="K16" s="138">
        <v>5</v>
      </c>
      <c r="L16" s="137" t="s">
        <v>693</v>
      </c>
      <c r="M16" s="143" t="s">
        <v>693</v>
      </c>
      <c r="N16" s="138"/>
    </row>
    <row r="17" spans="1:14" x14ac:dyDescent="0.25">
      <c r="A17" t="s">
        <v>15</v>
      </c>
      <c r="B17" s="122">
        <v>4894</v>
      </c>
      <c r="C17" s="152">
        <v>2.58</v>
      </c>
      <c r="D17">
        <v>12.1</v>
      </c>
      <c r="E17" s="134">
        <v>73750</v>
      </c>
      <c r="F17" s="2">
        <v>3.3</v>
      </c>
      <c r="G17" s="135">
        <v>421604117</v>
      </c>
      <c r="I17" s="136" t="s">
        <v>21</v>
      </c>
      <c r="J17" s="137" t="s">
        <v>693</v>
      </c>
      <c r="K17" s="138">
        <v>2</v>
      </c>
      <c r="L17" s="137" t="s">
        <v>693</v>
      </c>
      <c r="M17" s="143" t="s">
        <v>693</v>
      </c>
      <c r="N17" s="138"/>
    </row>
    <row r="18" spans="1:14" x14ac:dyDescent="0.25">
      <c r="A18" t="s">
        <v>16</v>
      </c>
      <c r="B18" s="122">
        <v>26759</v>
      </c>
      <c r="C18" s="152">
        <v>-0.1</v>
      </c>
      <c r="D18">
        <v>14.1</v>
      </c>
      <c r="E18" s="134">
        <v>49176</v>
      </c>
      <c r="F18" s="2">
        <v>3.4</v>
      </c>
      <c r="G18" s="135">
        <v>4298546476</v>
      </c>
      <c r="I18" s="136" t="s">
        <v>22</v>
      </c>
      <c r="J18" s="137" t="s">
        <v>693</v>
      </c>
      <c r="K18" s="138">
        <v>2</v>
      </c>
      <c r="L18" s="137" t="s">
        <v>693</v>
      </c>
      <c r="M18" s="143" t="s">
        <v>693</v>
      </c>
      <c r="N18" s="138"/>
    </row>
    <row r="19" spans="1:14" x14ac:dyDescent="0.25">
      <c r="A19" t="s">
        <v>17</v>
      </c>
      <c r="B19" s="122">
        <v>27117</v>
      </c>
      <c r="C19" s="152">
        <v>4.8600000000000003</v>
      </c>
      <c r="D19">
        <v>21.6</v>
      </c>
      <c r="E19" s="134">
        <v>44405</v>
      </c>
      <c r="F19" s="2">
        <v>3.7</v>
      </c>
      <c r="G19" s="135">
        <v>2787039472</v>
      </c>
      <c r="I19" s="136" t="s">
        <v>23</v>
      </c>
      <c r="J19" s="137" t="s">
        <v>693</v>
      </c>
      <c r="K19" s="138">
        <v>2</v>
      </c>
      <c r="L19" s="137" t="s">
        <v>693</v>
      </c>
      <c r="M19" s="143" t="s">
        <v>693</v>
      </c>
      <c r="N19" s="138"/>
    </row>
    <row r="20" spans="1:14" x14ac:dyDescent="0.25">
      <c r="A20" t="s">
        <v>18</v>
      </c>
      <c r="B20" s="122">
        <v>93695</v>
      </c>
      <c r="C20" s="152">
        <v>3.49</v>
      </c>
      <c r="D20">
        <v>13.3</v>
      </c>
      <c r="E20" s="134">
        <v>63810</v>
      </c>
      <c r="F20" s="2">
        <v>3</v>
      </c>
      <c r="G20" s="135">
        <v>19944827160</v>
      </c>
      <c r="I20" s="136" t="s">
        <v>24</v>
      </c>
      <c r="J20" s="137" t="s">
        <v>694</v>
      </c>
      <c r="K20" s="138">
        <v>1</v>
      </c>
      <c r="L20" s="137" t="s">
        <v>693</v>
      </c>
      <c r="M20" s="143" t="s">
        <v>693</v>
      </c>
      <c r="N20" s="138"/>
    </row>
    <row r="21" spans="1:14" x14ac:dyDescent="0.25">
      <c r="A21" t="s">
        <v>19</v>
      </c>
      <c r="B21" s="122">
        <v>184</v>
      </c>
      <c r="C21" s="152">
        <v>-7.54</v>
      </c>
      <c r="D21">
        <v>15.8</v>
      </c>
      <c r="E21" s="134">
        <v>48750</v>
      </c>
      <c r="F21" s="2">
        <v>4.9000000000000004</v>
      </c>
      <c r="G21" s="135">
        <v>15341072</v>
      </c>
      <c r="I21" s="136" t="s">
        <v>26</v>
      </c>
      <c r="J21" s="137" t="s">
        <v>694</v>
      </c>
      <c r="K21" s="138">
        <v>10</v>
      </c>
      <c r="L21" s="137" t="s">
        <v>693</v>
      </c>
      <c r="M21" s="143" t="s">
        <v>693</v>
      </c>
      <c r="N21" s="138"/>
    </row>
    <row r="22" spans="1:14" x14ac:dyDescent="0.25">
      <c r="A22" t="s">
        <v>20</v>
      </c>
      <c r="B22" s="122">
        <v>410</v>
      </c>
      <c r="C22" s="152">
        <v>21.3</v>
      </c>
      <c r="D22">
        <v>15.1</v>
      </c>
      <c r="E22" s="134">
        <v>46250</v>
      </c>
      <c r="F22" s="2">
        <v>3.5</v>
      </c>
      <c r="G22" s="135">
        <v>16075985</v>
      </c>
      <c r="I22" s="136" t="s">
        <v>28</v>
      </c>
      <c r="J22" s="137" t="s">
        <v>694</v>
      </c>
      <c r="K22" s="138">
        <v>7</v>
      </c>
      <c r="L22" s="137" t="s">
        <v>693</v>
      </c>
      <c r="M22" s="143" t="s">
        <v>693</v>
      </c>
      <c r="N22" s="138"/>
    </row>
    <row r="23" spans="1:14" x14ac:dyDescent="0.25">
      <c r="A23" t="s">
        <v>21</v>
      </c>
      <c r="B23" s="122">
        <v>1736</v>
      </c>
      <c r="C23" s="152">
        <v>0</v>
      </c>
      <c r="D23">
        <v>17.2</v>
      </c>
      <c r="E23" s="134">
        <v>49583</v>
      </c>
      <c r="F23" s="2">
        <v>3.5</v>
      </c>
      <c r="G23" s="135">
        <v>1910194328</v>
      </c>
      <c r="I23" s="136" t="s">
        <v>29</v>
      </c>
      <c r="J23" s="137" t="s">
        <v>693</v>
      </c>
      <c r="K23" s="138">
        <v>3</v>
      </c>
      <c r="L23" s="137" t="s">
        <v>693</v>
      </c>
      <c r="M23" s="143" t="s">
        <v>693</v>
      </c>
      <c r="N23" s="138"/>
    </row>
    <row r="24" spans="1:14" x14ac:dyDescent="0.25">
      <c r="A24" t="s">
        <v>22</v>
      </c>
      <c r="B24" s="122">
        <v>704</v>
      </c>
      <c r="C24" s="152">
        <v>-15.28</v>
      </c>
      <c r="D24">
        <v>12.6</v>
      </c>
      <c r="E24" s="134">
        <v>33250</v>
      </c>
      <c r="F24" s="2">
        <v>4.9000000000000004</v>
      </c>
      <c r="G24" s="135">
        <v>31093058</v>
      </c>
      <c r="I24" s="136" t="s">
        <v>30</v>
      </c>
      <c r="J24" s="137" t="s">
        <v>693</v>
      </c>
      <c r="K24" s="138">
        <v>6</v>
      </c>
      <c r="L24" s="137" t="s">
        <v>693</v>
      </c>
      <c r="M24" s="143" t="s">
        <v>693</v>
      </c>
      <c r="N24" s="138"/>
    </row>
    <row r="25" spans="1:14" x14ac:dyDescent="0.25">
      <c r="A25" t="s">
        <v>23</v>
      </c>
      <c r="B25" s="122">
        <v>522</v>
      </c>
      <c r="C25" s="152">
        <v>-5.78</v>
      </c>
      <c r="D25">
        <v>22.8</v>
      </c>
      <c r="E25" s="134">
        <v>43897</v>
      </c>
      <c r="F25" s="2">
        <v>4</v>
      </c>
      <c r="G25" s="135">
        <v>25316624</v>
      </c>
      <c r="I25" s="136" t="s">
        <v>31</v>
      </c>
      <c r="J25" s="137" t="s">
        <v>693</v>
      </c>
      <c r="K25" s="138">
        <v>2</v>
      </c>
      <c r="L25" s="137" t="s">
        <v>693</v>
      </c>
      <c r="M25" s="143" t="s">
        <v>693</v>
      </c>
      <c r="N25" s="138"/>
    </row>
    <row r="26" spans="1:14" x14ac:dyDescent="0.25">
      <c r="A26" t="s">
        <v>24</v>
      </c>
      <c r="B26" s="122">
        <v>134</v>
      </c>
      <c r="C26" s="152">
        <v>-35.270000000000003</v>
      </c>
      <c r="D26">
        <v>14.9</v>
      </c>
      <c r="E26" s="134">
        <v>42250</v>
      </c>
      <c r="F26" s="2">
        <v>3.8</v>
      </c>
      <c r="G26" s="135">
        <v>12669532</v>
      </c>
      <c r="I26" s="136" t="s">
        <v>32</v>
      </c>
      <c r="J26" s="137" t="s">
        <v>694</v>
      </c>
      <c r="K26" s="138">
        <v>10</v>
      </c>
      <c r="L26" s="137" t="s">
        <v>693</v>
      </c>
      <c r="M26" s="143" t="s">
        <v>693</v>
      </c>
      <c r="N26" s="138"/>
    </row>
    <row r="27" spans="1:14" x14ac:dyDescent="0.25">
      <c r="A27" t="s">
        <v>25</v>
      </c>
      <c r="B27" s="122">
        <v>17679</v>
      </c>
      <c r="C27" s="152">
        <v>1.02</v>
      </c>
      <c r="D27">
        <v>11.2</v>
      </c>
      <c r="E27" s="134">
        <v>53513</v>
      </c>
      <c r="F27" s="2">
        <v>3.3</v>
      </c>
      <c r="G27" s="135">
        <v>5909777627</v>
      </c>
      <c r="I27" s="136" t="s">
        <v>33</v>
      </c>
      <c r="J27" s="137" t="s">
        <v>694</v>
      </c>
      <c r="K27" s="138">
        <v>8</v>
      </c>
      <c r="L27" s="137" t="s">
        <v>693</v>
      </c>
      <c r="M27" s="143" t="s">
        <v>693</v>
      </c>
      <c r="N27" s="138"/>
    </row>
    <row r="28" spans="1:14" x14ac:dyDescent="0.25">
      <c r="A28" t="s">
        <v>26</v>
      </c>
      <c r="B28" s="122">
        <v>5002</v>
      </c>
      <c r="C28" s="152">
        <v>-2.15</v>
      </c>
      <c r="D28">
        <v>20.9</v>
      </c>
      <c r="E28" s="134">
        <v>53000</v>
      </c>
      <c r="F28" s="2">
        <v>4.0999999999999996</v>
      </c>
      <c r="G28" s="135">
        <v>306911095</v>
      </c>
      <c r="I28" s="136" t="s">
        <v>36</v>
      </c>
      <c r="J28" s="137" t="s">
        <v>693</v>
      </c>
      <c r="K28" s="138">
        <v>1</v>
      </c>
      <c r="L28" s="137" t="s">
        <v>693</v>
      </c>
      <c r="M28" s="143" t="s">
        <v>693</v>
      </c>
      <c r="N28" s="138"/>
    </row>
    <row r="29" spans="1:14" x14ac:dyDescent="0.25">
      <c r="A29" t="s">
        <v>27</v>
      </c>
      <c r="B29" s="122">
        <v>2075</v>
      </c>
      <c r="C29" s="152">
        <v>1.92</v>
      </c>
      <c r="D29">
        <v>24</v>
      </c>
      <c r="E29" s="134">
        <v>42708</v>
      </c>
      <c r="F29" s="2">
        <v>3.3</v>
      </c>
      <c r="G29" s="135">
        <v>65235996</v>
      </c>
      <c r="I29" s="136" t="s">
        <v>37</v>
      </c>
      <c r="J29" s="137" t="s">
        <v>693</v>
      </c>
      <c r="K29" s="138">
        <v>4</v>
      </c>
      <c r="L29" s="137" t="s">
        <v>693</v>
      </c>
      <c r="M29" s="143" t="s">
        <v>693</v>
      </c>
      <c r="N29" s="138"/>
    </row>
    <row r="30" spans="1:14" x14ac:dyDescent="0.25">
      <c r="A30" t="s">
        <v>28</v>
      </c>
      <c r="B30" s="122">
        <v>459</v>
      </c>
      <c r="C30" s="152">
        <v>2</v>
      </c>
      <c r="D30">
        <v>16.8</v>
      </c>
      <c r="E30" s="134">
        <v>57829</v>
      </c>
      <c r="F30" s="2">
        <v>5.0999999999999996</v>
      </c>
      <c r="G30" s="135">
        <v>37779451</v>
      </c>
      <c r="I30" s="136" t="s">
        <v>38</v>
      </c>
      <c r="J30" s="137" t="s">
        <v>693</v>
      </c>
      <c r="K30" s="138">
        <v>3</v>
      </c>
      <c r="L30" s="137" t="s">
        <v>693</v>
      </c>
      <c r="M30" s="143" t="s">
        <v>693</v>
      </c>
      <c r="N30" s="138"/>
    </row>
    <row r="31" spans="1:14" x14ac:dyDescent="0.25">
      <c r="A31" t="s">
        <v>29</v>
      </c>
      <c r="B31" s="122">
        <v>728</v>
      </c>
      <c r="C31" s="152">
        <v>55.56</v>
      </c>
      <c r="D31">
        <v>21.8</v>
      </c>
      <c r="E31" s="134">
        <v>39896</v>
      </c>
      <c r="F31" s="2">
        <v>4.2</v>
      </c>
      <c r="G31" s="135">
        <v>40461352</v>
      </c>
      <c r="I31" s="136" t="s">
        <v>39</v>
      </c>
      <c r="J31" s="137" t="s">
        <v>693</v>
      </c>
      <c r="K31" s="138">
        <v>0</v>
      </c>
      <c r="L31" s="137" t="s">
        <v>693</v>
      </c>
      <c r="M31" s="143" t="s">
        <v>693</v>
      </c>
      <c r="N31" s="138"/>
    </row>
    <row r="32" spans="1:14" x14ac:dyDescent="0.25">
      <c r="A32" t="s">
        <v>30</v>
      </c>
      <c r="B32" s="122">
        <v>138</v>
      </c>
      <c r="C32" s="152">
        <v>-41.03</v>
      </c>
      <c r="D32">
        <v>2.9</v>
      </c>
      <c r="E32" s="134">
        <v>158750</v>
      </c>
      <c r="F32" s="2">
        <v>4.7</v>
      </c>
      <c r="G32" s="135">
        <v>1191997555</v>
      </c>
      <c r="I32" s="136" t="s">
        <v>40</v>
      </c>
      <c r="J32" s="137" t="s">
        <v>694</v>
      </c>
      <c r="K32" s="138">
        <v>7</v>
      </c>
      <c r="L32" s="137" t="s">
        <v>693</v>
      </c>
      <c r="M32" s="143" t="s">
        <v>693</v>
      </c>
      <c r="N32" s="138"/>
    </row>
    <row r="33" spans="1:14" x14ac:dyDescent="0.25">
      <c r="A33" t="s">
        <v>31</v>
      </c>
      <c r="B33" s="122">
        <v>1234</v>
      </c>
      <c r="C33" s="152">
        <v>-14.6</v>
      </c>
      <c r="D33">
        <v>12.5</v>
      </c>
      <c r="E33" s="134">
        <v>66607</v>
      </c>
      <c r="F33" s="2">
        <v>3.3</v>
      </c>
      <c r="G33" s="135">
        <v>360382551</v>
      </c>
      <c r="I33" s="136" t="s">
        <v>41</v>
      </c>
      <c r="J33" s="137" t="s">
        <v>694</v>
      </c>
      <c r="K33" s="138">
        <v>6</v>
      </c>
      <c r="L33" s="137" t="s">
        <v>693</v>
      </c>
      <c r="M33" s="143" t="s">
        <v>693</v>
      </c>
      <c r="N33" s="138"/>
    </row>
    <row r="34" spans="1:14" x14ac:dyDescent="0.25">
      <c r="A34" t="s">
        <v>32</v>
      </c>
      <c r="B34" s="122">
        <v>236</v>
      </c>
      <c r="C34" s="152">
        <v>8.26</v>
      </c>
      <c r="D34">
        <v>11.9</v>
      </c>
      <c r="E34" s="134">
        <v>59688</v>
      </c>
      <c r="F34" s="2">
        <v>4</v>
      </c>
      <c r="G34" s="135">
        <v>50681855</v>
      </c>
      <c r="I34" s="136" t="s">
        <v>44</v>
      </c>
      <c r="J34" s="137" t="s">
        <v>694</v>
      </c>
      <c r="K34" s="138">
        <v>6</v>
      </c>
      <c r="L34" s="137" t="s">
        <v>693</v>
      </c>
      <c r="M34" s="143" t="s">
        <v>693</v>
      </c>
      <c r="N34" s="138"/>
    </row>
    <row r="35" spans="1:14" x14ac:dyDescent="0.25">
      <c r="A35" t="s">
        <v>34</v>
      </c>
      <c r="B35" s="122">
        <v>1209</v>
      </c>
      <c r="C35" s="152">
        <v>-0.33</v>
      </c>
      <c r="D35">
        <v>29.2</v>
      </c>
      <c r="E35" s="134">
        <v>28393</v>
      </c>
      <c r="F35" s="2">
        <v>3.7</v>
      </c>
      <c r="G35" s="135">
        <v>43376152</v>
      </c>
      <c r="I35" s="136" t="s">
        <v>45</v>
      </c>
      <c r="J35" s="137" t="s">
        <v>693</v>
      </c>
      <c r="K35" s="138">
        <v>1</v>
      </c>
      <c r="L35" s="137" t="s">
        <v>693</v>
      </c>
      <c r="M35" s="143" t="s">
        <v>693</v>
      </c>
      <c r="N35" s="138"/>
    </row>
    <row r="36" spans="1:14" x14ac:dyDescent="0.25">
      <c r="A36" t="s">
        <v>35</v>
      </c>
      <c r="B36" s="122">
        <v>129</v>
      </c>
      <c r="C36" s="152">
        <v>50</v>
      </c>
      <c r="D36">
        <v>24.8</v>
      </c>
      <c r="E36" s="134">
        <v>54821</v>
      </c>
      <c r="F36" s="2">
        <v>4.5</v>
      </c>
      <c r="G36" s="135">
        <v>6322241</v>
      </c>
      <c r="I36" s="136" t="s">
        <v>46</v>
      </c>
      <c r="J36" s="137" t="s">
        <v>694</v>
      </c>
      <c r="K36" s="138">
        <v>2</v>
      </c>
      <c r="L36" s="137" t="s">
        <v>693</v>
      </c>
      <c r="M36" s="143" t="s">
        <v>693</v>
      </c>
      <c r="N36" s="138"/>
    </row>
    <row r="37" spans="1:14" x14ac:dyDescent="0.25">
      <c r="A37" t="s">
        <v>36</v>
      </c>
      <c r="B37" s="122">
        <v>44711</v>
      </c>
      <c r="C37" s="152">
        <v>-5.36</v>
      </c>
      <c r="D37">
        <v>17.100000000000001</v>
      </c>
      <c r="E37" s="134">
        <v>56081</v>
      </c>
      <c r="F37" s="2">
        <v>4</v>
      </c>
      <c r="G37" s="135">
        <v>6292696858</v>
      </c>
      <c r="I37" s="136" t="s">
        <v>47</v>
      </c>
      <c r="J37" s="137" t="s">
        <v>693</v>
      </c>
      <c r="K37" s="138">
        <v>9</v>
      </c>
      <c r="L37" s="137" t="s">
        <v>693</v>
      </c>
      <c r="M37" s="143" t="s">
        <v>693</v>
      </c>
      <c r="N37" s="138"/>
    </row>
    <row r="38" spans="1:14" x14ac:dyDescent="0.25">
      <c r="A38" t="s">
        <v>37</v>
      </c>
      <c r="B38" s="122">
        <v>4534</v>
      </c>
      <c r="C38" s="152">
        <v>5.0999999999999996</v>
      </c>
      <c r="D38">
        <v>14.6</v>
      </c>
      <c r="E38" s="134">
        <v>41890</v>
      </c>
      <c r="F38" s="2">
        <v>3.5</v>
      </c>
      <c r="G38" s="135">
        <v>1188202171</v>
      </c>
      <c r="I38" s="136" t="s">
        <v>50</v>
      </c>
      <c r="J38" s="137" t="s">
        <v>694</v>
      </c>
      <c r="K38" s="138">
        <v>3</v>
      </c>
      <c r="L38" s="137" t="s">
        <v>693</v>
      </c>
      <c r="M38" s="143" t="s">
        <v>693</v>
      </c>
      <c r="N38" s="138"/>
    </row>
    <row r="39" spans="1:14" x14ac:dyDescent="0.25">
      <c r="A39" t="s">
        <v>38</v>
      </c>
      <c r="B39" s="122">
        <v>798</v>
      </c>
      <c r="C39" s="152">
        <v>37.35</v>
      </c>
      <c r="D39">
        <v>6.6</v>
      </c>
      <c r="E39" s="134">
        <v>85250</v>
      </c>
      <c r="F39" s="2">
        <v>3.3</v>
      </c>
      <c r="G39" s="135">
        <v>1018042917</v>
      </c>
      <c r="I39" s="136" t="s">
        <v>51</v>
      </c>
      <c r="J39" s="137" t="s">
        <v>693</v>
      </c>
      <c r="K39" s="138">
        <v>3</v>
      </c>
      <c r="L39" s="137" t="s">
        <v>693</v>
      </c>
      <c r="M39" s="143" t="s">
        <v>693</v>
      </c>
      <c r="N39" s="138"/>
    </row>
    <row r="40" spans="1:14" x14ac:dyDescent="0.25">
      <c r="A40" t="s">
        <v>40</v>
      </c>
      <c r="B40" s="122">
        <v>1378</v>
      </c>
      <c r="C40" s="152">
        <v>-26.66</v>
      </c>
      <c r="D40">
        <v>37.799999999999997</v>
      </c>
      <c r="E40" s="134">
        <v>30147</v>
      </c>
      <c r="F40" s="2">
        <v>4</v>
      </c>
      <c r="G40" s="135">
        <v>110426934</v>
      </c>
      <c r="I40" s="136" t="s">
        <v>52</v>
      </c>
      <c r="J40" s="137" t="s">
        <v>693</v>
      </c>
      <c r="K40" s="138">
        <v>6</v>
      </c>
      <c r="L40" s="137" t="s">
        <v>693</v>
      </c>
      <c r="M40" s="143" t="s">
        <v>693</v>
      </c>
      <c r="N40" s="138"/>
    </row>
    <row r="41" spans="1:14" x14ac:dyDescent="0.25">
      <c r="A41" t="s">
        <v>41</v>
      </c>
      <c r="B41" s="122">
        <v>14842</v>
      </c>
      <c r="C41" s="152">
        <v>26.12</v>
      </c>
      <c r="D41">
        <v>10.3</v>
      </c>
      <c r="E41" s="134">
        <v>84274</v>
      </c>
      <c r="F41" s="2">
        <v>3.7</v>
      </c>
      <c r="G41" s="135">
        <v>2197286965</v>
      </c>
      <c r="I41" s="136" t="s">
        <v>53</v>
      </c>
      <c r="J41" s="137" t="s">
        <v>694</v>
      </c>
      <c r="K41" s="138">
        <v>1</v>
      </c>
      <c r="L41" s="137" t="s">
        <v>693</v>
      </c>
      <c r="M41" s="143" t="s">
        <v>693</v>
      </c>
      <c r="N41" s="138"/>
    </row>
    <row r="42" spans="1:14" x14ac:dyDescent="0.25">
      <c r="A42" t="s">
        <v>42</v>
      </c>
      <c r="B42" s="122">
        <v>3380</v>
      </c>
      <c r="C42" s="152">
        <v>45.19</v>
      </c>
      <c r="D42">
        <v>8.8000000000000007</v>
      </c>
      <c r="E42" s="134">
        <v>79875</v>
      </c>
      <c r="F42" s="2">
        <v>4.7</v>
      </c>
      <c r="G42" s="135">
        <v>243530975</v>
      </c>
      <c r="I42" s="136" t="s">
        <v>54</v>
      </c>
      <c r="J42" s="137" t="s">
        <v>693</v>
      </c>
      <c r="K42" s="138">
        <v>5</v>
      </c>
      <c r="L42" s="137" t="s">
        <v>693</v>
      </c>
      <c r="M42" s="143" t="s">
        <v>693</v>
      </c>
      <c r="N42" s="138"/>
    </row>
    <row r="43" spans="1:14" x14ac:dyDescent="0.25">
      <c r="A43" t="s">
        <v>43</v>
      </c>
      <c r="B43" s="122">
        <v>1103</v>
      </c>
      <c r="C43" s="152">
        <v>14.18</v>
      </c>
      <c r="D43">
        <v>24</v>
      </c>
      <c r="E43" s="134">
        <v>46355</v>
      </c>
      <c r="F43" s="2">
        <v>3.9</v>
      </c>
      <c r="G43" s="135">
        <v>70033855</v>
      </c>
      <c r="I43" s="136" t="s">
        <v>55</v>
      </c>
      <c r="J43" s="137" t="s">
        <v>693</v>
      </c>
      <c r="K43" s="138">
        <v>3</v>
      </c>
      <c r="L43" s="137" t="s">
        <v>693</v>
      </c>
      <c r="M43" s="143" t="s">
        <v>693</v>
      </c>
      <c r="N43" s="138"/>
    </row>
    <row r="44" spans="1:14" x14ac:dyDescent="0.25">
      <c r="A44" t="s">
        <v>44</v>
      </c>
      <c r="B44" s="122">
        <v>4004</v>
      </c>
      <c r="C44" s="152">
        <v>9.67</v>
      </c>
      <c r="D44">
        <v>37.700000000000003</v>
      </c>
      <c r="E44" s="134">
        <v>56054</v>
      </c>
      <c r="F44" s="2">
        <v>3.3</v>
      </c>
      <c r="G44" s="135">
        <v>390974209</v>
      </c>
      <c r="I44" s="136" t="s">
        <v>56</v>
      </c>
      <c r="J44" s="137" t="s">
        <v>694</v>
      </c>
      <c r="K44" s="138">
        <v>3</v>
      </c>
      <c r="L44" s="137" t="s">
        <v>693</v>
      </c>
      <c r="M44" s="143" t="s">
        <v>693</v>
      </c>
      <c r="N44" s="138"/>
    </row>
    <row r="45" spans="1:14" x14ac:dyDescent="0.25">
      <c r="A45" t="s">
        <v>45</v>
      </c>
      <c r="B45" s="122">
        <v>3118</v>
      </c>
      <c r="C45" s="152">
        <v>21.42</v>
      </c>
      <c r="D45">
        <v>1.7</v>
      </c>
      <c r="E45" s="134">
        <v>71515</v>
      </c>
      <c r="F45" s="2">
        <v>3.4</v>
      </c>
      <c r="G45" s="135">
        <v>663491391</v>
      </c>
      <c r="I45" s="136" t="s">
        <v>57</v>
      </c>
      <c r="J45" s="137" t="s">
        <v>693</v>
      </c>
      <c r="K45" s="138">
        <v>2</v>
      </c>
      <c r="L45" s="137" t="s">
        <v>693</v>
      </c>
      <c r="M45" s="143" t="s">
        <v>693</v>
      </c>
      <c r="N45" s="138"/>
    </row>
    <row r="46" spans="1:14" x14ac:dyDescent="0.25">
      <c r="A46" t="s">
        <v>46</v>
      </c>
      <c r="B46" s="122">
        <v>17818</v>
      </c>
      <c r="C46" s="152">
        <v>-9.3000000000000007</v>
      </c>
      <c r="D46">
        <v>21.4</v>
      </c>
      <c r="E46" s="134">
        <v>41652</v>
      </c>
      <c r="F46" s="2">
        <v>4.9000000000000004</v>
      </c>
      <c r="G46" s="135">
        <v>1429356493</v>
      </c>
      <c r="I46" s="136" t="s">
        <v>58</v>
      </c>
      <c r="J46" s="137" t="s">
        <v>694</v>
      </c>
      <c r="K46" s="138">
        <v>1</v>
      </c>
      <c r="L46" s="137" t="s">
        <v>693</v>
      </c>
      <c r="M46" s="143" t="s">
        <v>693</v>
      </c>
      <c r="N46" s="138"/>
    </row>
    <row r="47" spans="1:14" x14ac:dyDescent="0.25">
      <c r="A47" t="s">
        <v>47</v>
      </c>
      <c r="B47" s="122">
        <v>5472</v>
      </c>
      <c r="C47" s="152">
        <v>0.63</v>
      </c>
      <c r="D47">
        <v>14.2</v>
      </c>
      <c r="E47" s="134">
        <v>44440</v>
      </c>
      <c r="F47" s="2">
        <v>3.7</v>
      </c>
      <c r="G47" s="135">
        <v>556145975</v>
      </c>
      <c r="I47" s="136" t="s">
        <v>61</v>
      </c>
      <c r="J47" s="137" t="s">
        <v>693</v>
      </c>
      <c r="K47" s="138">
        <v>2</v>
      </c>
      <c r="L47" s="137" t="s">
        <v>693</v>
      </c>
      <c r="M47" s="143" t="s">
        <v>693</v>
      </c>
      <c r="N47" s="138"/>
    </row>
    <row r="48" spans="1:14" x14ac:dyDescent="0.25">
      <c r="A48" t="s">
        <v>48</v>
      </c>
      <c r="B48" s="122">
        <v>335</v>
      </c>
      <c r="C48" s="152">
        <v>-14.54</v>
      </c>
      <c r="D48">
        <v>11</v>
      </c>
      <c r="E48" s="134">
        <v>80227</v>
      </c>
      <c r="F48" s="2">
        <v>3.8</v>
      </c>
      <c r="G48" s="135">
        <v>44092477</v>
      </c>
      <c r="I48" s="136" t="s">
        <v>63</v>
      </c>
      <c r="J48" s="137" t="s">
        <v>694</v>
      </c>
      <c r="K48" s="138">
        <v>6</v>
      </c>
      <c r="L48" s="137" t="s">
        <v>693</v>
      </c>
      <c r="M48" s="143" t="s">
        <v>693</v>
      </c>
      <c r="N48" s="138"/>
    </row>
    <row r="49" spans="1:14" x14ac:dyDescent="0.25">
      <c r="A49" t="s">
        <v>49</v>
      </c>
      <c r="B49" s="122">
        <v>1604</v>
      </c>
      <c r="C49" s="152">
        <v>-8.5</v>
      </c>
      <c r="D49">
        <v>15.8</v>
      </c>
      <c r="E49" s="134">
        <v>51107</v>
      </c>
      <c r="F49" s="2">
        <v>4.0999999999999996</v>
      </c>
      <c r="G49" s="135">
        <v>76777721</v>
      </c>
      <c r="I49" s="136" t="s">
        <v>64</v>
      </c>
      <c r="J49" s="137" t="s">
        <v>693</v>
      </c>
      <c r="K49" s="138">
        <v>1</v>
      </c>
      <c r="L49" s="137" t="s">
        <v>693</v>
      </c>
      <c r="M49" s="143" t="s">
        <v>693</v>
      </c>
      <c r="N49" s="138"/>
    </row>
    <row r="50" spans="1:14" x14ac:dyDescent="0.25">
      <c r="A50" t="s">
        <v>50</v>
      </c>
      <c r="B50" s="122">
        <v>1439</v>
      </c>
      <c r="C50" s="152">
        <v>-4.8899999999999997</v>
      </c>
      <c r="D50">
        <v>30</v>
      </c>
      <c r="E50" s="134">
        <v>34115</v>
      </c>
      <c r="F50" s="2">
        <v>3.7</v>
      </c>
      <c r="G50" s="135">
        <v>107347863</v>
      </c>
      <c r="I50" s="136" t="s">
        <v>65</v>
      </c>
      <c r="J50" s="137" t="s">
        <v>693</v>
      </c>
      <c r="K50" s="138">
        <v>5</v>
      </c>
      <c r="L50" s="137" t="s">
        <v>693</v>
      </c>
      <c r="M50" s="143" t="s">
        <v>693</v>
      </c>
      <c r="N50" s="138"/>
    </row>
    <row r="51" spans="1:14" x14ac:dyDescent="0.25">
      <c r="A51" t="s">
        <v>51</v>
      </c>
      <c r="B51" s="122">
        <v>1700</v>
      </c>
      <c r="C51" s="152">
        <v>10.68</v>
      </c>
      <c r="D51">
        <v>2.9</v>
      </c>
      <c r="E51" s="134">
        <v>174286</v>
      </c>
      <c r="F51" s="2">
        <v>3</v>
      </c>
      <c r="G51" s="135">
        <v>898031947</v>
      </c>
      <c r="I51" s="136" t="s">
        <v>66</v>
      </c>
      <c r="J51" s="137" t="s">
        <v>693</v>
      </c>
      <c r="K51" s="138">
        <v>4</v>
      </c>
      <c r="L51" s="137" t="s">
        <v>693</v>
      </c>
      <c r="M51" s="143" t="s">
        <v>693</v>
      </c>
      <c r="N51" s="138"/>
    </row>
    <row r="52" spans="1:14" x14ac:dyDescent="0.25">
      <c r="A52" t="s">
        <v>52</v>
      </c>
      <c r="B52" s="122">
        <v>2595</v>
      </c>
      <c r="C52" s="152">
        <v>4.22</v>
      </c>
      <c r="D52">
        <v>40.6</v>
      </c>
      <c r="E52" s="134">
        <v>44814</v>
      </c>
      <c r="F52" s="2">
        <v>3.7</v>
      </c>
      <c r="G52" s="135">
        <v>191641826</v>
      </c>
      <c r="I52" s="136" t="s">
        <v>67</v>
      </c>
      <c r="J52" s="137" t="s">
        <v>693</v>
      </c>
      <c r="K52" s="138">
        <v>3</v>
      </c>
      <c r="L52" s="137" t="s">
        <v>693</v>
      </c>
      <c r="M52" s="143" t="s">
        <v>693</v>
      </c>
      <c r="N52" s="138"/>
    </row>
    <row r="53" spans="1:14" x14ac:dyDescent="0.25">
      <c r="A53" t="s">
        <v>53</v>
      </c>
      <c r="B53" s="122">
        <v>758</v>
      </c>
      <c r="C53" s="152">
        <v>-12.37</v>
      </c>
      <c r="D53">
        <v>10.6</v>
      </c>
      <c r="E53" s="134">
        <v>53382</v>
      </c>
      <c r="F53" s="2">
        <v>5.2</v>
      </c>
      <c r="G53" s="135">
        <v>32333604</v>
      </c>
      <c r="I53" s="136" t="s">
        <v>68</v>
      </c>
      <c r="J53" s="137" t="s">
        <v>693</v>
      </c>
      <c r="K53" s="138">
        <v>4</v>
      </c>
      <c r="L53" s="137" t="s">
        <v>693</v>
      </c>
      <c r="M53" s="143" t="s">
        <v>693</v>
      </c>
      <c r="N53" s="138"/>
    </row>
    <row r="54" spans="1:14" x14ac:dyDescent="0.25">
      <c r="A54" t="s">
        <v>54</v>
      </c>
      <c r="B54" s="122">
        <v>8430</v>
      </c>
      <c r="C54" s="152">
        <v>3.6</v>
      </c>
      <c r="D54">
        <v>6.1</v>
      </c>
      <c r="E54" s="134">
        <v>75310</v>
      </c>
      <c r="F54" s="2">
        <v>3</v>
      </c>
      <c r="G54" s="135">
        <v>1637109324</v>
      </c>
      <c r="I54" s="136" t="s">
        <v>69</v>
      </c>
      <c r="J54" s="137" t="s">
        <v>693</v>
      </c>
      <c r="K54" s="138">
        <v>0</v>
      </c>
      <c r="L54" s="137" t="s">
        <v>693</v>
      </c>
      <c r="M54" s="143" t="s">
        <v>693</v>
      </c>
      <c r="N54" s="138"/>
    </row>
    <row r="55" spans="1:14" x14ac:dyDescent="0.25">
      <c r="A55" t="s">
        <v>55</v>
      </c>
      <c r="B55" s="122">
        <v>29807</v>
      </c>
      <c r="C55" s="152">
        <v>-11.76</v>
      </c>
      <c r="D55">
        <v>24.4</v>
      </c>
      <c r="E55" s="134">
        <v>40476</v>
      </c>
      <c r="F55" s="2">
        <v>4.4000000000000004</v>
      </c>
      <c r="G55" s="135">
        <v>3436108718</v>
      </c>
      <c r="I55" s="136" t="s">
        <v>70</v>
      </c>
      <c r="J55" s="137" t="s">
        <v>693</v>
      </c>
      <c r="K55" s="138">
        <v>5</v>
      </c>
      <c r="L55" s="137" t="s">
        <v>693</v>
      </c>
      <c r="M55" s="143" t="s">
        <v>693</v>
      </c>
      <c r="N55" s="138"/>
    </row>
    <row r="56" spans="1:14" x14ac:dyDescent="0.25">
      <c r="A56" t="s">
        <v>56</v>
      </c>
      <c r="B56" s="122">
        <v>2485</v>
      </c>
      <c r="C56" s="152">
        <v>28.49</v>
      </c>
      <c r="D56">
        <v>18.2</v>
      </c>
      <c r="E56" s="134">
        <v>54797</v>
      </c>
      <c r="F56" s="2">
        <v>4.4000000000000004</v>
      </c>
      <c r="G56" s="135">
        <v>105972696</v>
      </c>
      <c r="I56" s="136" t="s">
        <v>72</v>
      </c>
      <c r="J56" s="137" t="s">
        <v>693</v>
      </c>
      <c r="K56" s="138">
        <v>1</v>
      </c>
      <c r="L56" s="137" t="s">
        <v>693</v>
      </c>
      <c r="M56" s="143" t="s">
        <v>693</v>
      </c>
      <c r="N56" s="138"/>
    </row>
    <row r="57" spans="1:14" x14ac:dyDescent="0.25">
      <c r="A57" t="s">
        <v>57</v>
      </c>
      <c r="B57" s="122">
        <v>900</v>
      </c>
      <c r="C57" s="152">
        <v>-25.12</v>
      </c>
      <c r="D57">
        <v>1.9</v>
      </c>
      <c r="E57" s="134">
        <v>116731</v>
      </c>
      <c r="F57" s="2">
        <v>3.45</v>
      </c>
      <c r="G57" s="135">
        <v>1680410064</v>
      </c>
      <c r="I57" s="136" t="s">
        <v>73</v>
      </c>
      <c r="J57" s="137" t="s">
        <v>693</v>
      </c>
      <c r="K57" s="138">
        <v>0</v>
      </c>
      <c r="L57" s="137" t="s">
        <v>693</v>
      </c>
      <c r="M57" s="143" t="s">
        <v>693</v>
      </c>
      <c r="N57" s="138"/>
    </row>
    <row r="58" spans="1:14" x14ac:dyDescent="0.25">
      <c r="A58" t="s">
        <v>58</v>
      </c>
      <c r="B58" s="122">
        <v>238</v>
      </c>
      <c r="C58" s="152">
        <v>-12.82</v>
      </c>
      <c r="D58">
        <v>5</v>
      </c>
      <c r="E58" s="134">
        <v>55764</v>
      </c>
      <c r="F58" s="2">
        <v>4.3</v>
      </c>
      <c r="G58" s="135">
        <v>7656095</v>
      </c>
      <c r="I58" s="136" t="s">
        <v>74</v>
      </c>
      <c r="J58" s="137" t="s">
        <v>693</v>
      </c>
      <c r="K58" s="138">
        <v>4</v>
      </c>
      <c r="L58" s="137" t="s">
        <v>693</v>
      </c>
      <c r="M58" s="143" t="s">
        <v>693</v>
      </c>
      <c r="N58" s="138"/>
    </row>
    <row r="59" spans="1:14" x14ac:dyDescent="0.25">
      <c r="A59" t="s">
        <v>59</v>
      </c>
      <c r="B59" s="122">
        <v>815</v>
      </c>
      <c r="C59" s="152">
        <v>21.64</v>
      </c>
      <c r="D59">
        <v>3.2</v>
      </c>
      <c r="E59" s="134">
        <v>90625</v>
      </c>
      <c r="F59" s="2">
        <v>3.5</v>
      </c>
      <c r="G59" s="135">
        <v>89149728</v>
      </c>
      <c r="I59" s="136" t="s">
        <v>75</v>
      </c>
      <c r="J59" s="137" t="s">
        <v>694</v>
      </c>
      <c r="K59" s="138">
        <v>11</v>
      </c>
      <c r="L59" s="137" t="s">
        <v>693</v>
      </c>
      <c r="M59" s="143" t="s">
        <v>693</v>
      </c>
      <c r="N59" s="138"/>
    </row>
    <row r="60" spans="1:14" x14ac:dyDescent="0.25">
      <c r="A60" t="s">
        <v>60</v>
      </c>
      <c r="B60" s="122">
        <v>6032</v>
      </c>
      <c r="C60" s="152">
        <v>2.4500000000000002</v>
      </c>
      <c r="D60">
        <v>8.1</v>
      </c>
      <c r="E60" s="134">
        <v>57969</v>
      </c>
      <c r="F60" s="2">
        <v>4.7</v>
      </c>
      <c r="G60" s="135">
        <v>597681302</v>
      </c>
      <c r="I60" s="136" t="s">
        <v>77</v>
      </c>
      <c r="J60" s="137" t="s">
        <v>693</v>
      </c>
      <c r="K60" s="138">
        <v>0</v>
      </c>
      <c r="L60" s="137" t="s">
        <v>693</v>
      </c>
      <c r="M60" s="143" t="s">
        <v>693</v>
      </c>
      <c r="N60" s="138"/>
    </row>
    <row r="61" spans="1:14" x14ac:dyDescent="0.25">
      <c r="A61" t="s">
        <v>61</v>
      </c>
      <c r="B61" s="122">
        <v>4622</v>
      </c>
      <c r="C61" s="152">
        <v>0.52</v>
      </c>
      <c r="D61">
        <v>3.6</v>
      </c>
      <c r="E61" s="134">
        <v>90625</v>
      </c>
      <c r="F61" s="2">
        <v>3.9</v>
      </c>
      <c r="G61" s="135">
        <v>329522391</v>
      </c>
      <c r="I61" s="136" t="s">
        <v>78</v>
      </c>
      <c r="J61" s="137" t="s">
        <v>693</v>
      </c>
      <c r="K61" s="138">
        <v>6</v>
      </c>
      <c r="L61" s="137" t="s">
        <v>693</v>
      </c>
      <c r="M61" s="143" t="s">
        <v>693</v>
      </c>
      <c r="N61" s="138"/>
    </row>
    <row r="62" spans="1:14" x14ac:dyDescent="0.25">
      <c r="A62" t="s">
        <v>62</v>
      </c>
      <c r="B62" s="122">
        <v>197</v>
      </c>
      <c r="C62" s="152">
        <v>-23.35</v>
      </c>
      <c r="D62">
        <v>16.600000000000001</v>
      </c>
      <c r="E62" s="134">
        <v>50972</v>
      </c>
      <c r="F62" s="2">
        <v>4.7</v>
      </c>
      <c r="G62" s="135">
        <v>14704137</v>
      </c>
      <c r="I62" s="136" t="s">
        <v>79</v>
      </c>
      <c r="J62" s="137" t="s">
        <v>693</v>
      </c>
      <c r="K62" s="138">
        <v>2</v>
      </c>
      <c r="L62" s="137" t="s">
        <v>693</v>
      </c>
      <c r="M62" s="143" t="s">
        <v>693</v>
      </c>
      <c r="N62" s="138"/>
    </row>
    <row r="63" spans="1:14" x14ac:dyDescent="0.25">
      <c r="A63" t="s">
        <v>63</v>
      </c>
      <c r="B63" s="122">
        <v>581</v>
      </c>
      <c r="C63" s="152">
        <v>-13.15</v>
      </c>
      <c r="D63">
        <v>31.8</v>
      </c>
      <c r="E63" s="134" t="e">
        <f>NA()</f>
        <v>#N/A</v>
      </c>
      <c r="F63" s="2">
        <v>4.3</v>
      </c>
      <c r="G63" s="135">
        <v>19083753</v>
      </c>
      <c r="I63" s="136" t="s">
        <v>80</v>
      </c>
      <c r="J63" s="137" t="s">
        <v>693</v>
      </c>
      <c r="K63" s="138">
        <v>5</v>
      </c>
      <c r="L63" s="137" t="s">
        <v>693</v>
      </c>
      <c r="M63" s="143" t="s">
        <v>693</v>
      </c>
      <c r="N63" s="138"/>
    </row>
    <row r="64" spans="1:14" x14ac:dyDescent="0.25">
      <c r="A64" t="s">
        <v>64</v>
      </c>
      <c r="B64" s="122">
        <v>19368</v>
      </c>
      <c r="C64" s="152">
        <v>3.05</v>
      </c>
      <c r="D64">
        <v>55.9</v>
      </c>
      <c r="E64" s="134">
        <v>28242</v>
      </c>
      <c r="F64" s="2">
        <v>3.3</v>
      </c>
      <c r="G64" s="135">
        <v>2391680013</v>
      </c>
      <c r="I64" s="136" t="s">
        <v>81</v>
      </c>
      <c r="J64" s="137" t="s">
        <v>693</v>
      </c>
      <c r="K64" s="138">
        <v>3</v>
      </c>
      <c r="L64" s="137" t="s">
        <v>693</v>
      </c>
      <c r="M64" s="143" t="s">
        <v>693</v>
      </c>
      <c r="N64" s="138"/>
    </row>
    <row r="65" spans="1:14" x14ac:dyDescent="0.25">
      <c r="A65" t="s">
        <v>65</v>
      </c>
      <c r="B65" s="122">
        <v>1364</v>
      </c>
      <c r="C65" s="152">
        <v>16.18</v>
      </c>
      <c r="D65">
        <v>13.6</v>
      </c>
      <c r="E65" s="134">
        <v>59408</v>
      </c>
      <c r="F65" s="2">
        <v>3.4</v>
      </c>
      <c r="G65" s="135">
        <v>78057444</v>
      </c>
      <c r="I65" s="136" t="s">
        <v>82</v>
      </c>
      <c r="J65" s="137" t="s">
        <v>693</v>
      </c>
      <c r="K65" s="138">
        <v>5</v>
      </c>
      <c r="L65" s="137" t="s">
        <v>693</v>
      </c>
      <c r="M65" s="143" t="s">
        <v>693</v>
      </c>
      <c r="N65" s="138"/>
    </row>
    <row r="66" spans="1:14" x14ac:dyDescent="0.25">
      <c r="A66" t="s">
        <v>66</v>
      </c>
      <c r="B66" s="122">
        <v>304</v>
      </c>
      <c r="C66" s="152">
        <v>2.7</v>
      </c>
      <c r="D66">
        <v>16.399999999999999</v>
      </c>
      <c r="E66" s="134">
        <v>53438</v>
      </c>
      <c r="F66" s="2">
        <v>4.8</v>
      </c>
      <c r="G66" s="135">
        <v>21834929</v>
      </c>
      <c r="I66" s="136" t="s">
        <v>85</v>
      </c>
      <c r="J66" s="137" t="s">
        <v>693</v>
      </c>
      <c r="K66" s="138">
        <v>2</v>
      </c>
      <c r="L66" s="137" t="s">
        <v>694</v>
      </c>
      <c r="M66" s="143" t="s">
        <v>693</v>
      </c>
      <c r="N66" s="138"/>
    </row>
    <row r="67" spans="1:14" x14ac:dyDescent="0.25">
      <c r="A67" t="s">
        <v>67</v>
      </c>
      <c r="B67" s="122">
        <v>7777</v>
      </c>
      <c r="C67" s="152">
        <v>-0.1</v>
      </c>
      <c r="D67">
        <v>15.5</v>
      </c>
      <c r="E67" s="134">
        <v>42843</v>
      </c>
      <c r="F67" s="2">
        <v>3.5</v>
      </c>
      <c r="G67" s="135">
        <v>1326617776</v>
      </c>
      <c r="I67" s="136" t="s">
        <v>86</v>
      </c>
      <c r="J67" s="137" t="s">
        <v>693</v>
      </c>
      <c r="K67" s="138">
        <v>4</v>
      </c>
      <c r="L67" s="137" t="s">
        <v>693</v>
      </c>
      <c r="M67" s="143" t="s">
        <v>693</v>
      </c>
      <c r="N67" s="138"/>
    </row>
    <row r="68" spans="1:14" x14ac:dyDescent="0.25">
      <c r="A68" t="s">
        <v>68</v>
      </c>
      <c r="B68" s="122">
        <v>532</v>
      </c>
      <c r="C68" s="152">
        <v>93.45</v>
      </c>
      <c r="D68">
        <v>41.7</v>
      </c>
      <c r="E68" s="134">
        <v>48542</v>
      </c>
      <c r="F68" s="2">
        <v>3.7</v>
      </c>
      <c r="G68" s="135">
        <v>61195328</v>
      </c>
      <c r="I68" s="136" t="s">
        <v>88</v>
      </c>
      <c r="J68" s="137" t="s">
        <v>693</v>
      </c>
      <c r="K68" s="138">
        <v>3</v>
      </c>
      <c r="L68" s="137" t="s">
        <v>693</v>
      </c>
      <c r="M68" s="143" t="s">
        <v>693</v>
      </c>
      <c r="N68" s="138"/>
    </row>
    <row r="69" spans="1:14" x14ac:dyDescent="0.25">
      <c r="A69" t="s">
        <v>70</v>
      </c>
      <c r="B69" s="122">
        <v>1415</v>
      </c>
      <c r="C69" s="152">
        <v>-7.0000000000000007E-2</v>
      </c>
      <c r="D69">
        <v>17.100000000000001</v>
      </c>
      <c r="E69" s="134">
        <v>63333</v>
      </c>
      <c r="F69" s="2">
        <v>4.1999999999999993</v>
      </c>
      <c r="G69" s="135">
        <v>108281512</v>
      </c>
      <c r="I69" s="136" t="s">
        <v>89</v>
      </c>
      <c r="J69" s="137" t="s">
        <v>693</v>
      </c>
      <c r="K69" s="138">
        <v>2</v>
      </c>
      <c r="L69" s="137" t="s">
        <v>693</v>
      </c>
      <c r="M69" s="143" t="s">
        <v>693</v>
      </c>
      <c r="N69" s="138"/>
    </row>
    <row r="70" spans="1:14" x14ac:dyDescent="0.25">
      <c r="A70" t="s">
        <v>71</v>
      </c>
      <c r="B70" s="122">
        <v>435</v>
      </c>
      <c r="C70" s="152">
        <v>-9.94</v>
      </c>
      <c r="D70">
        <v>21.9</v>
      </c>
      <c r="E70" s="134">
        <v>54063</v>
      </c>
      <c r="F70" s="2">
        <v>3.5</v>
      </c>
      <c r="G70" s="135">
        <v>31640317</v>
      </c>
      <c r="I70" s="136" t="s">
        <v>90</v>
      </c>
      <c r="J70" s="137" t="s">
        <v>693</v>
      </c>
      <c r="K70" s="138">
        <v>1</v>
      </c>
      <c r="L70" s="137" t="s">
        <v>693</v>
      </c>
      <c r="M70" s="143" t="s">
        <v>693</v>
      </c>
      <c r="N70" s="138"/>
    </row>
    <row r="71" spans="1:14" x14ac:dyDescent="0.25">
      <c r="A71" t="s">
        <v>72</v>
      </c>
      <c r="B71" s="122">
        <v>139721</v>
      </c>
      <c r="C71" s="152">
        <v>10.14</v>
      </c>
      <c r="D71">
        <v>9.1</v>
      </c>
      <c r="E71" s="134">
        <v>71193</v>
      </c>
      <c r="F71" s="2">
        <v>4.7</v>
      </c>
      <c r="G71" s="135">
        <v>32768429648</v>
      </c>
      <c r="I71" s="136" t="s">
        <v>91</v>
      </c>
      <c r="J71" s="137" t="s">
        <v>693</v>
      </c>
      <c r="K71" s="138">
        <v>7</v>
      </c>
      <c r="L71" s="137" t="s">
        <v>693</v>
      </c>
      <c r="M71" s="143" t="s">
        <v>693</v>
      </c>
      <c r="N71" s="138"/>
    </row>
    <row r="72" spans="1:14" x14ac:dyDescent="0.25">
      <c r="A72" t="s">
        <v>74</v>
      </c>
      <c r="B72" s="122">
        <v>1233</v>
      </c>
      <c r="C72" s="152">
        <v>40.43</v>
      </c>
      <c r="D72">
        <v>64.2</v>
      </c>
      <c r="E72" s="134">
        <v>16643</v>
      </c>
      <c r="F72" s="2">
        <v>4.3</v>
      </c>
      <c r="G72" s="135">
        <v>26021796</v>
      </c>
      <c r="I72" s="136" t="s">
        <v>92</v>
      </c>
      <c r="J72" s="137" t="s">
        <v>693</v>
      </c>
      <c r="K72" s="138">
        <v>2</v>
      </c>
      <c r="L72" s="137" t="s">
        <v>693</v>
      </c>
      <c r="M72" s="143" t="s">
        <v>693</v>
      </c>
      <c r="N72" s="138"/>
    </row>
    <row r="73" spans="1:14" x14ac:dyDescent="0.25">
      <c r="A73" t="s">
        <v>75</v>
      </c>
      <c r="B73" s="122">
        <v>1638</v>
      </c>
      <c r="C73" s="152">
        <v>-4.1500000000000004</v>
      </c>
      <c r="D73">
        <v>16</v>
      </c>
      <c r="E73" s="134">
        <v>41542</v>
      </c>
      <c r="F73" s="2">
        <v>3.3</v>
      </c>
      <c r="G73" s="135">
        <v>238009905</v>
      </c>
      <c r="I73" s="136" t="s">
        <v>93</v>
      </c>
      <c r="J73" s="137" t="s">
        <v>693</v>
      </c>
      <c r="K73" s="138">
        <v>1</v>
      </c>
      <c r="L73" s="137" t="s">
        <v>693</v>
      </c>
      <c r="M73" s="143" t="s">
        <v>693</v>
      </c>
      <c r="N73" s="138"/>
    </row>
    <row r="74" spans="1:14" x14ac:dyDescent="0.25">
      <c r="A74" t="s">
        <v>76</v>
      </c>
      <c r="B74" s="122">
        <v>269449</v>
      </c>
      <c r="C74" s="152">
        <v>5.88</v>
      </c>
      <c r="D74">
        <v>11.2</v>
      </c>
      <c r="E74" s="134">
        <v>66531</v>
      </c>
      <c r="F74" s="2">
        <v>3</v>
      </c>
      <c r="G74" s="135">
        <v>49605523231</v>
      </c>
      <c r="I74" s="136" t="s">
        <v>95</v>
      </c>
      <c r="J74" s="137" t="s">
        <v>693</v>
      </c>
      <c r="K74" s="138">
        <v>0</v>
      </c>
      <c r="L74" s="137" t="s">
        <v>693</v>
      </c>
      <c r="M74" s="143" t="s">
        <v>693</v>
      </c>
      <c r="N74" s="138"/>
    </row>
    <row r="75" spans="1:14" x14ac:dyDescent="0.25">
      <c r="A75" t="s">
        <v>78</v>
      </c>
      <c r="B75" s="122">
        <v>478</v>
      </c>
      <c r="C75" s="152">
        <v>47.99</v>
      </c>
      <c r="D75">
        <v>4.8</v>
      </c>
      <c r="E75" s="134">
        <v>50536</v>
      </c>
      <c r="F75" s="2">
        <v>3.7</v>
      </c>
      <c r="G75" s="135">
        <v>29661593</v>
      </c>
      <c r="I75" s="136" t="s">
        <v>96</v>
      </c>
      <c r="J75" s="137" t="s">
        <v>693</v>
      </c>
      <c r="K75" s="138">
        <v>1</v>
      </c>
      <c r="L75" s="137" t="s">
        <v>693</v>
      </c>
      <c r="M75" s="143" t="s">
        <v>693</v>
      </c>
      <c r="N75" s="138"/>
    </row>
    <row r="76" spans="1:14" x14ac:dyDescent="0.25">
      <c r="A76" t="s">
        <v>79</v>
      </c>
      <c r="B76" s="122">
        <v>3207</v>
      </c>
      <c r="C76" s="152">
        <v>-20.95</v>
      </c>
      <c r="D76">
        <v>21.1</v>
      </c>
      <c r="E76" s="134">
        <v>63355</v>
      </c>
      <c r="F76" s="2">
        <v>3.5</v>
      </c>
      <c r="G76" s="135">
        <v>375303013</v>
      </c>
      <c r="I76" s="136" t="s">
        <v>100</v>
      </c>
      <c r="J76" s="137" t="s">
        <v>693</v>
      </c>
      <c r="K76" s="138">
        <v>1</v>
      </c>
      <c r="L76" s="137" t="s">
        <v>693</v>
      </c>
      <c r="M76" s="143" t="s">
        <v>693</v>
      </c>
      <c r="N76" s="138"/>
    </row>
    <row r="77" spans="1:14" x14ac:dyDescent="0.25">
      <c r="A77" t="s">
        <v>80</v>
      </c>
      <c r="B77" s="122">
        <v>87799</v>
      </c>
      <c r="C77" s="152">
        <v>-2.13</v>
      </c>
      <c r="D77">
        <v>17</v>
      </c>
      <c r="E77" s="134">
        <v>53732</v>
      </c>
      <c r="F77" s="2">
        <v>3.5</v>
      </c>
      <c r="G77" s="135">
        <v>7824306971</v>
      </c>
      <c r="I77" s="136" t="s">
        <v>101</v>
      </c>
      <c r="J77" s="137" t="s">
        <v>693</v>
      </c>
      <c r="K77" s="138">
        <v>1</v>
      </c>
      <c r="L77" s="137" t="s">
        <v>693</v>
      </c>
      <c r="M77" s="143" t="s">
        <v>693</v>
      </c>
      <c r="N77" s="138"/>
    </row>
    <row r="78" spans="1:14" x14ac:dyDescent="0.25">
      <c r="A78" t="s">
        <v>81</v>
      </c>
      <c r="B78" s="122">
        <v>56951</v>
      </c>
      <c r="C78" s="152">
        <v>8.43</v>
      </c>
      <c r="D78">
        <v>18.7</v>
      </c>
      <c r="E78" s="134">
        <v>52963</v>
      </c>
      <c r="F78" s="2">
        <v>3.9</v>
      </c>
      <c r="G78" s="135">
        <v>5578088285</v>
      </c>
      <c r="I78" s="136" t="s">
        <v>110</v>
      </c>
      <c r="J78" s="137" t="s">
        <v>694</v>
      </c>
      <c r="K78" s="138">
        <v>6</v>
      </c>
      <c r="L78" s="137" t="s">
        <v>693</v>
      </c>
      <c r="M78" s="143" t="s">
        <v>693</v>
      </c>
      <c r="N78" s="138"/>
    </row>
    <row r="79" spans="1:14" x14ac:dyDescent="0.25">
      <c r="A79" t="s">
        <v>82</v>
      </c>
      <c r="B79" s="122">
        <v>2380</v>
      </c>
      <c r="C79" s="152">
        <v>19.600000000000001</v>
      </c>
      <c r="D79">
        <v>29.3</v>
      </c>
      <c r="E79" s="134">
        <v>39018</v>
      </c>
      <c r="F79" s="2">
        <v>3.6</v>
      </c>
      <c r="G79" s="135">
        <v>179806317</v>
      </c>
      <c r="I79" s="136" t="s">
        <v>111</v>
      </c>
      <c r="J79" s="137" t="s">
        <v>693</v>
      </c>
      <c r="K79" s="138">
        <v>2</v>
      </c>
      <c r="L79" s="137" t="s">
        <v>693</v>
      </c>
      <c r="M79" s="143" t="s">
        <v>693</v>
      </c>
      <c r="N79" s="138"/>
    </row>
    <row r="80" spans="1:14" x14ac:dyDescent="0.25">
      <c r="A80" t="s">
        <v>83</v>
      </c>
      <c r="B80" s="122">
        <v>8374</v>
      </c>
      <c r="C80" s="152">
        <v>8.77</v>
      </c>
      <c r="D80">
        <v>15.4</v>
      </c>
      <c r="E80" s="134">
        <v>68604</v>
      </c>
      <c r="F80" s="2">
        <v>3.2</v>
      </c>
      <c r="G80" s="135">
        <v>728708770</v>
      </c>
      <c r="I80" s="136" t="s">
        <v>113</v>
      </c>
      <c r="J80" s="137" t="s">
        <v>693</v>
      </c>
      <c r="K80" s="138">
        <v>0</v>
      </c>
      <c r="L80" s="137" t="s">
        <v>693</v>
      </c>
      <c r="M80" s="143" t="s">
        <v>693</v>
      </c>
      <c r="N80" s="138"/>
    </row>
    <row r="81" spans="1:14" x14ac:dyDescent="0.25">
      <c r="A81" t="s">
        <v>84</v>
      </c>
      <c r="B81" s="122">
        <v>226396</v>
      </c>
      <c r="C81" s="152">
        <v>12.38</v>
      </c>
      <c r="D81">
        <v>8.4</v>
      </c>
      <c r="E81" s="134">
        <v>83828</v>
      </c>
      <c r="F81" s="2">
        <v>3.4</v>
      </c>
      <c r="G81" s="135">
        <v>30635907974</v>
      </c>
      <c r="I81" s="136" t="s">
        <v>114</v>
      </c>
      <c r="J81" s="137" t="s">
        <v>693</v>
      </c>
      <c r="K81" s="138">
        <v>3</v>
      </c>
      <c r="L81" s="137" t="s">
        <v>693</v>
      </c>
      <c r="M81" s="143" t="s">
        <v>693</v>
      </c>
      <c r="N81" s="138"/>
    </row>
    <row r="82" spans="1:14" x14ac:dyDescent="0.25">
      <c r="A82" t="s">
        <v>86</v>
      </c>
      <c r="B82" s="122">
        <v>2715</v>
      </c>
      <c r="C82" s="152">
        <v>-0.26</v>
      </c>
      <c r="D82">
        <v>11</v>
      </c>
      <c r="E82" s="134">
        <v>52133</v>
      </c>
      <c r="F82" s="2">
        <v>3.6</v>
      </c>
      <c r="G82" s="134" t="e">
        <f>NA()</f>
        <v>#N/A</v>
      </c>
      <c r="I82" s="136" t="s">
        <v>116</v>
      </c>
      <c r="J82" s="137" t="s">
        <v>693</v>
      </c>
      <c r="K82" s="138">
        <v>4</v>
      </c>
      <c r="L82" s="137" t="s">
        <v>693</v>
      </c>
      <c r="M82" s="143" t="s">
        <v>693</v>
      </c>
      <c r="N82" s="138"/>
    </row>
    <row r="83" spans="1:14" x14ac:dyDescent="0.25">
      <c r="A83" t="s">
        <v>87</v>
      </c>
      <c r="B83" s="122">
        <v>2570</v>
      </c>
      <c r="C83" s="152">
        <v>52.98</v>
      </c>
      <c r="D83">
        <v>27.3</v>
      </c>
      <c r="E83" s="134">
        <v>46607</v>
      </c>
      <c r="F83" s="2">
        <v>4.7</v>
      </c>
      <c r="G83" s="135">
        <v>360865560</v>
      </c>
      <c r="I83" s="136" t="s">
        <v>117</v>
      </c>
      <c r="J83" s="137" t="s">
        <v>694</v>
      </c>
      <c r="K83" s="138">
        <v>7</v>
      </c>
      <c r="L83" s="137" t="s">
        <v>693</v>
      </c>
      <c r="M83" s="143" t="s">
        <v>693</v>
      </c>
      <c r="N83" s="138"/>
    </row>
    <row r="84" spans="1:14" x14ac:dyDescent="0.25">
      <c r="A84" t="s">
        <v>88</v>
      </c>
      <c r="B84" s="122">
        <v>80716</v>
      </c>
      <c r="C84" s="152">
        <v>-1.3</v>
      </c>
      <c r="D84">
        <v>13.3</v>
      </c>
      <c r="E84" s="134">
        <v>52362</v>
      </c>
      <c r="F84" s="2">
        <v>3.6</v>
      </c>
      <c r="G84" s="135">
        <v>8515700516</v>
      </c>
      <c r="I84" s="136" t="s">
        <v>119</v>
      </c>
      <c r="J84" s="137" t="s">
        <v>693</v>
      </c>
      <c r="K84" s="138">
        <v>2</v>
      </c>
      <c r="L84" s="137" t="s">
        <v>693</v>
      </c>
      <c r="M84" s="143" t="s">
        <v>693</v>
      </c>
      <c r="N84" s="138"/>
    </row>
    <row r="85" spans="1:14" x14ac:dyDescent="0.25">
      <c r="A85" t="s">
        <v>89</v>
      </c>
      <c r="B85" s="122">
        <v>429</v>
      </c>
      <c r="C85" s="152">
        <v>-7.14</v>
      </c>
      <c r="D85">
        <v>15.6</v>
      </c>
      <c r="E85" s="134" t="e">
        <f>NA()</f>
        <v>#N/A</v>
      </c>
      <c r="F85" s="2">
        <v>3.7</v>
      </c>
      <c r="G85" s="135">
        <v>20515655</v>
      </c>
      <c r="I85" s="136" t="s">
        <v>120</v>
      </c>
      <c r="J85" s="137" t="s">
        <v>693</v>
      </c>
      <c r="K85" s="138">
        <v>3</v>
      </c>
      <c r="L85" s="137" t="s">
        <v>693</v>
      </c>
      <c r="M85" s="143" t="s">
        <v>693</v>
      </c>
      <c r="N85" s="138"/>
    </row>
    <row r="86" spans="1:14" x14ac:dyDescent="0.25">
      <c r="A86" t="s">
        <v>90</v>
      </c>
      <c r="B86" s="122">
        <v>10547</v>
      </c>
      <c r="C86" s="152">
        <v>0.96</v>
      </c>
      <c r="D86">
        <v>5.9</v>
      </c>
      <c r="E86" s="134">
        <v>79120</v>
      </c>
      <c r="F86" s="2">
        <v>3.8</v>
      </c>
      <c r="G86" s="135">
        <v>1256303812</v>
      </c>
      <c r="I86" s="136" t="s">
        <v>121</v>
      </c>
      <c r="J86" s="137" t="s">
        <v>693</v>
      </c>
      <c r="K86" s="138">
        <v>3</v>
      </c>
      <c r="L86" s="137" t="s">
        <v>693</v>
      </c>
      <c r="M86" s="143" t="s">
        <v>693</v>
      </c>
      <c r="N86" s="138"/>
    </row>
    <row r="87" spans="1:14" x14ac:dyDescent="0.25">
      <c r="A87" t="s">
        <v>91</v>
      </c>
      <c r="B87" s="122">
        <v>427</v>
      </c>
      <c r="C87" s="152">
        <v>9.49</v>
      </c>
      <c r="D87">
        <v>6.8</v>
      </c>
      <c r="E87" s="134">
        <v>71696</v>
      </c>
      <c r="F87" s="2">
        <v>3.7</v>
      </c>
      <c r="G87" s="135">
        <v>20196241</v>
      </c>
      <c r="I87" s="136" t="s">
        <v>122</v>
      </c>
      <c r="J87" s="137" t="s">
        <v>693</v>
      </c>
      <c r="K87" s="138">
        <v>2</v>
      </c>
      <c r="L87" s="137" t="s">
        <v>693</v>
      </c>
      <c r="M87" s="143" t="s">
        <v>693</v>
      </c>
      <c r="N87" s="138"/>
    </row>
    <row r="88" spans="1:14" x14ac:dyDescent="0.25">
      <c r="A88" t="s">
        <v>92</v>
      </c>
      <c r="B88" s="122">
        <v>1168</v>
      </c>
      <c r="C88" s="152">
        <v>6.47</v>
      </c>
      <c r="D88">
        <v>24.1</v>
      </c>
      <c r="E88" s="134">
        <v>45351</v>
      </c>
      <c r="F88" s="2">
        <v>3.7</v>
      </c>
      <c r="G88" s="135">
        <v>89390359</v>
      </c>
      <c r="I88" s="136" t="s">
        <v>123</v>
      </c>
      <c r="J88" s="137" t="s">
        <v>693</v>
      </c>
      <c r="K88" s="138">
        <v>7</v>
      </c>
      <c r="L88" s="137" t="s">
        <v>693</v>
      </c>
      <c r="M88" s="143" t="s">
        <v>693</v>
      </c>
      <c r="N88" s="138"/>
    </row>
    <row r="89" spans="1:14" x14ac:dyDescent="0.25">
      <c r="A89" t="s">
        <v>93</v>
      </c>
      <c r="B89" s="122">
        <v>4410</v>
      </c>
      <c r="C89" s="152">
        <v>4.01</v>
      </c>
      <c r="D89">
        <v>14.1</v>
      </c>
      <c r="E89" s="134">
        <v>54728</v>
      </c>
      <c r="F89" s="2">
        <v>3.2</v>
      </c>
      <c r="G89" s="135">
        <v>697015342</v>
      </c>
      <c r="I89" s="136" t="s">
        <v>124</v>
      </c>
      <c r="J89" s="137" t="s">
        <v>693</v>
      </c>
      <c r="K89" s="138">
        <v>1</v>
      </c>
      <c r="L89" s="137" t="s">
        <v>693</v>
      </c>
      <c r="M89" s="143" t="s">
        <v>693</v>
      </c>
      <c r="N89" s="138"/>
    </row>
    <row r="90" spans="1:14" x14ac:dyDescent="0.25">
      <c r="A90" t="s">
        <v>94</v>
      </c>
      <c r="B90" s="122">
        <v>2651</v>
      </c>
      <c r="C90" s="152">
        <v>11.57</v>
      </c>
      <c r="D90">
        <v>6.2</v>
      </c>
      <c r="E90" s="134">
        <v>76750</v>
      </c>
      <c r="F90" s="2">
        <v>3.5</v>
      </c>
      <c r="G90" s="135">
        <v>455957310</v>
      </c>
      <c r="I90" s="136" t="s">
        <v>127</v>
      </c>
      <c r="J90" s="137" t="s">
        <v>693</v>
      </c>
      <c r="K90" s="138">
        <v>1</v>
      </c>
      <c r="L90" s="137" t="s">
        <v>693</v>
      </c>
      <c r="M90" s="143" t="s">
        <v>693</v>
      </c>
      <c r="N90" s="138"/>
    </row>
    <row r="91" spans="1:14" x14ac:dyDescent="0.25">
      <c r="A91" t="s">
        <v>96</v>
      </c>
      <c r="B91" s="122">
        <v>6583</v>
      </c>
      <c r="C91" s="152">
        <v>6.28</v>
      </c>
      <c r="D91">
        <v>8.6999999999999993</v>
      </c>
      <c r="E91" s="134">
        <v>87159</v>
      </c>
      <c r="F91" s="2">
        <v>3.3</v>
      </c>
      <c r="G91" s="135">
        <v>3032842369</v>
      </c>
      <c r="I91" s="136" t="s">
        <v>128</v>
      </c>
      <c r="J91" s="137" t="s">
        <v>693</v>
      </c>
      <c r="K91" s="138">
        <v>3</v>
      </c>
      <c r="L91" s="137" t="s">
        <v>693</v>
      </c>
      <c r="M91" s="143" t="s">
        <v>693</v>
      </c>
      <c r="N91" s="138"/>
    </row>
    <row r="92" spans="1:14" x14ac:dyDescent="0.25">
      <c r="A92" t="s">
        <v>97</v>
      </c>
      <c r="B92" s="122">
        <v>4643</v>
      </c>
      <c r="C92" s="152">
        <v>17.72</v>
      </c>
      <c r="D92">
        <v>2.4</v>
      </c>
      <c r="E92" s="134">
        <v>77259</v>
      </c>
      <c r="F92" s="2">
        <v>4.7</v>
      </c>
      <c r="G92" s="135">
        <v>655761654</v>
      </c>
      <c r="I92" s="136" t="s">
        <v>129</v>
      </c>
      <c r="J92" s="137" t="s">
        <v>694</v>
      </c>
      <c r="K92" s="138">
        <v>0</v>
      </c>
      <c r="L92" s="137" t="s">
        <v>693</v>
      </c>
      <c r="M92" s="143" t="s">
        <v>694</v>
      </c>
      <c r="N92" s="138"/>
    </row>
    <row r="93" spans="1:14" x14ac:dyDescent="0.25">
      <c r="A93" t="s">
        <v>98</v>
      </c>
      <c r="B93" s="122">
        <v>21242</v>
      </c>
      <c r="C93" s="152">
        <v>0.12</v>
      </c>
      <c r="D93">
        <v>11.7</v>
      </c>
      <c r="E93" s="134">
        <v>76933</v>
      </c>
      <c r="F93" s="2">
        <v>3.1</v>
      </c>
      <c r="G93" s="135">
        <v>2848373576</v>
      </c>
      <c r="I93" s="136" t="s">
        <v>130</v>
      </c>
      <c r="J93" s="137" t="s">
        <v>693</v>
      </c>
      <c r="K93" s="138">
        <v>4</v>
      </c>
      <c r="L93" s="137" t="s">
        <v>693</v>
      </c>
      <c r="M93" s="143" t="s">
        <v>693</v>
      </c>
      <c r="N93" s="138"/>
    </row>
    <row r="94" spans="1:14" x14ac:dyDescent="0.25">
      <c r="A94" t="s">
        <v>99</v>
      </c>
      <c r="B94" s="122">
        <v>68353</v>
      </c>
      <c r="C94" s="152">
        <v>-0.82</v>
      </c>
      <c r="D94">
        <v>9.6999999999999993</v>
      </c>
      <c r="E94" s="134">
        <v>66965</v>
      </c>
      <c r="F94" s="2">
        <v>3.5</v>
      </c>
      <c r="G94" s="135">
        <v>17176054996</v>
      </c>
      <c r="I94" s="136" t="s">
        <v>131</v>
      </c>
      <c r="J94" s="137" t="s">
        <v>693</v>
      </c>
      <c r="K94" s="138">
        <v>2</v>
      </c>
      <c r="L94" s="137" t="s">
        <v>693</v>
      </c>
      <c r="M94" s="143" t="s">
        <v>693</v>
      </c>
      <c r="N94" s="138"/>
    </row>
    <row r="95" spans="1:14" x14ac:dyDescent="0.25">
      <c r="A95" t="s">
        <v>100</v>
      </c>
      <c r="B95" s="122">
        <v>2779</v>
      </c>
      <c r="C95" s="152">
        <v>-1.1399999999999999</v>
      </c>
      <c r="D95">
        <v>11.2</v>
      </c>
      <c r="E95" s="134">
        <v>55469</v>
      </c>
      <c r="F95" s="2">
        <v>3.7</v>
      </c>
      <c r="G95" s="135">
        <v>284143487</v>
      </c>
      <c r="I95" s="136" t="s">
        <v>132</v>
      </c>
      <c r="J95" s="137" t="s">
        <v>693</v>
      </c>
      <c r="K95" s="138">
        <v>3</v>
      </c>
      <c r="L95" s="137" t="s">
        <v>693</v>
      </c>
      <c r="M95" s="143" t="s">
        <v>693</v>
      </c>
      <c r="N95" s="138"/>
    </row>
    <row r="96" spans="1:14" x14ac:dyDescent="0.25">
      <c r="A96" t="s">
        <v>101</v>
      </c>
      <c r="B96" s="122">
        <v>174880</v>
      </c>
      <c r="C96" s="152">
        <v>7.11</v>
      </c>
      <c r="D96">
        <v>5.2</v>
      </c>
      <c r="E96" s="134">
        <v>125317</v>
      </c>
      <c r="F96" s="2">
        <v>3.1</v>
      </c>
      <c r="G96" s="135">
        <v>34720804968</v>
      </c>
      <c r="I96" s="136" t="s">
        <v>133</v>
      </c>
      <c r="J96" s="137" t="s">
        <v>693</v>
      </c>
      <c r="K96" s="138">
        <v>5</v>
      </c>
      <c r="L96" s="137" t="s">
        <v>693</v>
      </c>
      <c r="M96" s="143" t="s">
        <v>693</v>
      </c>
      <c r="N96" s="138"/>
    </row>
    <row r="97" spans="1:14" x14ac:dyDescent="0.25">
      <c r="A97" t="s">
        <v>102</v>
      </c>
      <c r="B97" s="122">
        <v>391</v>
      </c>
      <c r="C97" s="152">
        <v>53.33</v>
      </c>
      <c r="D97">
        <v>27.9</v>
      </c>
      <c r="E97" s="134">
        <v>52500</v>
      </c>
      <c r="F97" s="2">
        <v>3.9</v>
      </c>
      <c r="G97" s="135">
        <v>16180804</v>
      </c>
      <c r="I97" s="136" t="s">
        <v>134</v>
      </c>
      <c r="J97" s="137" t="s">
        <v>694</v>
      </c>
      <c r="K97" s="138">
        <v>1</v>
      </c>
      <c r="L97" s="137" t="s">
        <v>693</v>
      </c>
      <c r="M97" s="143" t="s">
        <v>693</v>
      </c>
      <c r="N97" s="138"/>
    </row>
    <row r="98" spans="1:14" x14ac:dyDescent="0.25">
      <c r="A98" t="s">
        <v>103</v>
      </c>
      <c r="B98" s="122">
        <v>257</v>
      </c>
      <c r="C98" s="152">
        <v>-38.520000000000003</v>
      </c>
      <c r="D98">
        <v>27.6</v>
      </c>
      <c r="E98" s="134">
        <v>30000</v>
      </c>
      <c r="F98" s="2">
        <v>5.0999999999999996</v>
      </c>
      <c r="G98" s="135">
        <v>11872153</v>
      </c>
      <c r="I98" s="136" t="s">
        <v>135</v>
      </c>
      <c r="J98" s="137" t="s">
        <v>694</v>
      </c>
      <c r="K98" s="138">
        <v>3</v>
      </c>
      <c r="L98" s="137" t="s">
        <v>693</v>
      </c>
      <c r="M98" s="143" t="s">
        <v>693</v>
      </c>
      <c r="N98" s="138"/>
    </row>
    <row r="99" spans="1:14" x14ac:dyDescent="0.25">
      <c r="A99" t="s">
        <v>104</v>
      </c>
      <c r="B99" s="122">
        <v>489</v>
      </c>
      <c r="C99" s="152">
        <v>13.72</v>
      </c>
      <c r="D99">
        <v>2.7</v>
      </c>
      <c r="E99" s="134">
        <v>121125</v>
      </c>
      <c r="F99" s="2">
        <v>4.7</v>
      </c>
      <c r="G99" s="135">
        <v>328813009</v>
      </c>
      <c r="I99" s="136" t="s">
        <v>136</v>
      </c>
      <c r="J99" s="137" t="s">
        <v>693</v>
      </c>
      <c r="K99" s="138">
        <v>2</v>
      </c>
      <c r="L99" s="137" t="s">
        <v>693</v>
      </c>
      <c r="M99" s="143" t="s">
        <v>693</v>
      </c>
      <c r="N99" s="138"/>
    </row>
    <row r="100" spans="1:14" x14ac:dyDescent="0.25">
      <c r="A100" t="s">
        <v>105</v>
      </c>
      <c r="B100" s="122">
        <v>22747</v>
      </c>
      <c r="C100" s="152">
        <v>0</v>
      </c>
      <c r="D100">
        <v>15.4</v>
      </c>
      <c r="E100" s="134">
        <v>56999</v>
      </c>
      <c r="F100" s="2">
        <v>4.0999999999999996</v>
      </c>
      <c r="G100" s="135">
        <v>1763348812</v>
      </c>
      <c r="I100" s="136" t="s">
        <v>137</v>
      </c>
      <c r="J100" s="137" t="s">
        <v>693</v>
      </c>
      <c r="K100" s="138">
        <v>2</v>
      </c>
      <c r="L100" s="137" t="s">
        <v>693</v>
      </c>
      <c r="M100" s="143" t="s">
        <v>693</v>
      </c>
      <c r="N100" s="138"/>
    </row>
    <row r="101" spans="1:14" x14ac:dyDescent="0.25">
      <c r="A101" t="s">
        <v>106</v>
      </c>
      <c r="B101" s="122">
        <v>161011</v>
      </c>
      <c r="C101" s="152">
        <v>2.73</v>
      </c>
      <c r="D101">
        <v>13</v>
      </c>
      <c r="E101" s="134">
        <v>62070</v>
      </c>
      <c r="F101" s="2">
        <v>3.5</v>
      </c>
      <c r="G101" s="135">
        <v>20270528454</v>
      </c>
      <c r="I101" s="136" t="s">
        <v>139</v>
      </c>
      <c r="J101" s="137" t="s">
        <v>693</v>
      </c>
      <c r="K101" s="138">
        <v>0</v>
      </c>
      <c r="L101" s="137" t="s">
        <v>693</v>
      </c>
      <c r="M101" s="143" t="s">
        <v>693</v>
      </c>
      <c r="N101" s="138"/>
    </row>
    <row r="102" spans="1:14" x14ac:dyDescent="0.25">
      <c r="A102" t="s">
        <v>107</v>
      </c>
      <c r="B102" s="122">
        <v>630</v>
      </c>
      <c r="C102" s="152">
        <v>23.05</v>
      </c>
      <c r="D102">
        <v>18.899999999999999</v>
      </c>
      <c r="E102" s="134">
        <v>44167</v>
      </c>
      <c r="F102" s="2">
        <v>3.5</v>
      </c>
      <c r="G102" s="135">
        <v>88663447</v>
      </c>
      <c r="I102" s="136" t="s">
        <v>141</v>
      </c>
      <c r="J102" s="137" t="s">
        <v>693</v>
      </c>
      <c r="K102" s="138">
        <v>6</v>
      </c>
      <c r="L102" s="137" t="s">
        <v>693</v>
      </c>
      <c r="M102" s="143" t="s">
        <v>693</v>
      </c>
      <c r="N102" s="138"/>
    </row>
    <row r="103" spans="1:14" x14ac:dyDescent="0.25">
      <c r="A103" t="s">
        <v>108</v>
      </c>
      <c r="B103" s="122">
        <v>2198</v>
      </c>
      <c r="C103" s="152">
        <v>15.75</v>
      </c>
      <c r="D103">
        <v>7.3</v>
      </c>
      <c r="E103" s="134">
        <v>87981</v>
      </c>
      <c r="F103" s="2">
        <v>3.5</v>
      </c>
      <c r="G103" s="135">
        <v>453784323</v>
      </c>
      <c r="I103" s="136" t="s">
        <v>142</v>
      </c>
      <c r="J103" s="137" t="s">
        <v>693</v>
      </c>
      <c r="K103" s="138">
        <v>3</v>
      </c>
      <c r="L103" s="137" t="s">
        <v>693</v>
      </c>
      <c r="M103" s="143" t="s">
        <v>693</v>
      </c>
      <c r="N103" s="138"/>
    </row>
    <row r="104" spans="1:14" x14ac:dyDescent="0.25">
      <c r="A104" t="s">
        <v>109</v>
      </c>
      <c r="B104" s="122">
        <v>409</v>
      </c>
      <c r="C104" s="152">
        <v>62.95</v>
      </c>
      <c r="D104">
        <v>4.4000000000000004</v>
      </c>
      <c r="E104" s="134">
        <v>77143</v>
      </c>
      <c r="F104" s="2">
        <v>3.6</v>
      </c>
      <c r="G104" s="135">
        <v>56586956</v>
      </c>
      <c r="I104" s="136" t="s">
        <v>143</v>
      </c>
      <c r="J104" s="137" t="s">
        <v>693</v>
      </c>
      <c r="K104" s="138">
        <v>0</v>
      </c>
      <c r="L104" s="137" t="s">
        <v>694</v>
      </c>
      <c r="M104" s="143" t="s">
        <v>693</v>
      </c>
      <c r="N104" s="138"/>
    </row>
    <row r="105" spans="1:14" x14ac:dyDescent="0.25">
      <c r="A105" t="s">
        <v>110</v>
      </c>
      <c r="B105" s="122">
        <v>352</v>
      </c>
      <c r="C105" s="152">
        <v>100</v>
      </c>
      <c r="D105">
        <v>24.4</v>
      </c>
      <c r="E105" s="134" t="e">
        <f>NA()</f>
        <v>#N/A</v>
      </c>
      <c r="F105" s="2">
        <v>4.3</v>
      </c>
      <c r="G105" s="135">
        <v>11253820</v>
      </c>
      <c r="I105" s="136" t="s">
        <v>144</v>
      </c>
      <c r="J105" s="137" t="s">
        <v>693</v>
      </c>
      <c r="K105" s="138">
        <v>3</v>
      </c>
      <c r="L105" s="137" t="s">
        <v>693</v>
      </c>
      <c r="M105" s="143" t="s">
        <v>693</v>
      </c>
      <c r="N105" s="138"/>
    </row>
    <row r="106" spans="1:14" x14ac:dyDescent="0.25">
      <c r="A106" t="s">
        <v>111</v>
      </c>
      <c r="B106" s="122">
        <v>1548</v>
      </c>
      <c r="C106" s="152">
        <v>-35.82</v>
      </c>
      <c r="D106">
        <v>43.5</v>
      </c>
      <c r="E106" s="134">
        <v>23477</v>
      </c>
      <c r="F106" s="2">
        <v>4.3</v>
      </c>
      <c r="G106" s="135">
        <v>91196700</v>
      </c>
      <c r="I106" s="136" t="s">
        <v>147</v>
      </c>
      <c r="J106" s="137" t="s">
        <v>693</v>
      </c>
      <c r="K106" s="138">
        <v>5</v>
      </c>
      <c r="L106" s="137" t="s">
        <v>693</v>
      </c>
      <c r="M106" s="143" t="s">
        <v>693</v>
      </c>
      <c r="N106" s="138"/>
    </row>
    <row r="107" spans="1:14" x14ac:dyDescent="0.25">
      <c r="A107" t="s">
        <v>112</v>
      </c>
      <c r="B107" s="122">
        <v>58919</v>
      </c>
      <c r="C107" s="152">
        <v>-1.08</v>
      </c>
      <c r="D107">
        <v>18.600000000000001</v>
      </c>
      <c r="E107" s="134">
        <v>85940</v>
      </c>
      <c r="F107" s="2">
        <v>3.1500000000000004</v>
      </c>
      <c r="G107" s="135">
        <v>9514586959</v>
      </c>
      <c r="I107" s="136" t="s">
        <v>149</v>
      </c>
      <c r="J107" s="137" t="s">
        <v>693</v>
      </c>
      <c r="K107" s="138">
        <v>3</v>
      </c>
      <c r="L107" s="137" t="s">
        <v>693</v>
      </c>
      <c r="M107" s="143" t="s">
        <v>693</v>
      </c>
      <c r="N107" s="138"/>
    </row>
    <row r="108" spans="1:14" x14ac:dyDescent="0.25">
      <c r="A108" t="s">
        <v>113</v>
      </c>
      <c r="B108" s="122">
        <v>875045</v>
      </c>
      <c r="C108" s="152">
        <v>3.97</v>
      </c>
      <c r="D108">
        <v>11.7</v>
      </c>
      <c r="E108" s="134">
        <v>74070</v>
      </c>
      <c r="F108" s="2">
        <v>3.5</v>
      </c>
      <c r="G108" s="135">
        <v>155353192481</v>
      </c>
      <c r="I108" s="136" t="s">
        <v>151</v>
      </c>
      <c r="J108" s="137" t="s">
        <v>694</v>
      </c>
      <c r="K108" s="138">
        <v>8</v>
      </c>
      <c r="L108" s="137" t="s">
        <v>693</v>
      </c>
      <c r="M108" s="143" t="s">
        <v>693</v>
      </c>
      <c r="N108" s="138"/>
    </row>
    <row r="109" spans="1:14" x14ac:dyDescent="0.25">
      <c r="A109" t="s">
        <v>114</v>
      </c>
      <c r="B109" s="122">
        <v>76754</v>
      </c>
      <c r="C109" s="152">
        <v>9.98</v>
      </c>
      <c r="D109">
        <v>10.4</v>
      </c>
      <c r="E109" s="134">
        <v>84222</v>
      </c>
      <c r="F109" s="2">
        <v>3.1</v>
      </c>
      <c r="G109" s="135">
        <v>14368626317</v>
      </c>
      <c r="I109" s="136" t="s">
        <v>152</v>
      </c>
      <c r="J109" s="137" t="s">
        <v>693</v>
      </c>
      <c r="K109" s="138">
        <v>5</v>
      </c>
      <c r="L109" s="137" t="s">
        <v>693</v>
      </c>
      <c r="M109" s="143" t="s">
        <v>693</v>
      </c>
      <c r="N109" s="138"/>
    </row>
    <row r="110" spans="1:14" x14ac:dyDescent="0.25">
      <c r="A110" t="s">
        <v>115</v>
      </c>
      <c r="B110" s="122">
        <v>28868</v>
      </c>
      <c r="C110" s="152">
        <v>4.34</v>
      </c>
      <c r="D110">
        <v>16.7</v>
      </c>
      <c r="E110" s="134">
        <v>49254</v>
      </c>
      <c r="F110" s="2">
        <v>4.0999999999999996</v>
      </c>
      <c r="G110" s="135">
        <v>4026616109</v>
      </c>
      <c r="I110" s="136" t="s">
        <v>153</v>
      </c>
      <c r="J110" s="137" t="s">
        <v>694</v>
      </c>
      <c r="K110" s="138">
        <v>3</v>
      </c>
      <c r="L110" s="137" t="s">
        <v>693</v>
      </c>
      <c r="M110" s="143" t="s">
        <v>693</v>
      </c>
      <c r="N110" s="138"/>
    </row>
    <row r="111" spans="1:14" x14ac:dyDescent="0.25">
      <c r="A111" t="s">
        <v>116</v>
      </c>
      <c r="B111" s="122">
        <v>6113</v>
      </c>
      <c r="C111" s="152">
        <v>3.8</v>
      </c>
      <c r="D111">
        <v>13.7</v>
      </c>
      <c r="E111" s="134">
        <v>57137</v>
      </c>
      <c r="F111" s="2">
        <v>3.7</v>
      </c>
      <c r="G111" s="135">
        <v>482855348</v>
      </c>
      <c r="I111" s="136" t="s">
        <v>154</v>
      </c>
      <c r="J111" s="137" t="s">
        <v>693</v>
      </c>
      <c r="K111" s="138">
        <v>2</v>
      </c>
      <c r="L111" s="137" t="s">
        <v>693</v>
      </c>
      <c r="M111" s="143" t="s">
        <v>693</v>
      </c>
      <c r="N111" s="138"/>
    </row>
    <row r="112" spans="1:14" x14ac:dyDescent="0.25">
      <c r="A112" t="s">
        <v>117</v>
      </c>
      <c r="B112" s="122">
        <v>220</v>
      </c>
      <c r="C112" s="152">
        <v>57.14</v>
      </c>
      <c r="D112">
        <v>8.1999999999999993</v>
      </c>
      <c r="E112" s="134">
        <v>66563</v>
      </c>
      <c r="F112" s="2">
        <v>4.8</v>
      </c>
      <c r="G112" s="135">
        <v>59204605</v>
      </c>
      <c r="I112" s="136" t="s">
        <v>155</v>
      </c>
      <c r="J112" s="137" t="s">
        <v>693</v>
      </c>
      <c r="K112" s="138">
        <v>2</v>
      </c>
      <c r="L112" s="137" t="s">
        <v>693</v>
      </c>
      <c r="M112" s="143" t="s">
        <v>693</v>
      </c>
      <c r="N112" s="138"/>
    </row>
    <row r="113" spans="1:14" x14ac:dyDescent="0.25">
      <c r="A113" t="s">
        <v>118</v>
      </c>
      <c r="B113" s="122">
        <v>4449</v>
      </c>
      <c r="C113" s="152">
        <v>6.51</v>
      </c>
      <c r="D113">
        <v>18.3</v>
      </c>
      <c r="E113" s="134">
        <v>44881</v>
      </c>
      <c r="F113" s="2">
        <v>3.7</v>
      </c>
      <c r="G113" s="135">
        <v>366134549</v>
      </c>
      <c r="I113" s="136" t="s">
        <v>157</v>
      </c>
      <c r="J113" s="137" t="s">
        <v>693</v>
      </c>
      <c r="K113" s="138">
        <v>1</v>
      </c>
      <c r="L113" s="137" t="s">
        <v>693</v>
      </c>
      <c r="M113" s="143" t="s">
        <v>693</v>
      </c>
      <c r="N113" s="138"/>
    </row>
    <row r="114" spans="1:14" x14ac:dyDescent="0.25">
      <c r="A114" t="s">
        <v>119</v>
      </c>
      <c r="B114" s="122">
        <v>1059</v>
      </c>
      <c r="C114" s="152">
        <v>17.28</v>
      </c>
      <c r="D114">
        <v>34.5</v>
      </c>
      <c r="E114" s="134">
        <v>35098</v>
      </c>
      <c r="F114" s="2">
        <v>4</v>
      </c>
      <c r="G114" s="135">
        <v>70676130</v>
      </c>
      <c r="I114" s="136" t="s">
        <v>158</v>
      </c>
      <c r="J114" s="137" t="s">
        <v>693</v>
      </c>
      <c r="K114" s="138">
        <v>7</v>
      </c>
      <c r="L114" s="137" t="s">
        <v>693</v>
      </c>
      <c r="M114" s="143" t="s">
        <v>693</v>
      </c>
      <c r="N114" s="138"/>
    </row>
    <row r="115" spans="1:14" x14ac:dyDescent="0.25">
      <c r="A115" t="s">
        <v>120</v>
      </c>
      <c r="B115" s="122">
        <v>13835</v>
      </c>
      <c r="C115" s="152">
        <v>-2.6</v>
      </c>
      <c r="D115">
        <v>20.9</v>
      </c>
      <c r="E115" s="134">
        <v>51188</v>
      </c>
      <c r="F115" s="2">
        <v>4.0999999999999996</v>
      </c>
      <c r="G115" s="135">
        <v>1907601843</v>
      </c>
      <c r="I115" s="136" t="s">
        <v>160</v>
      </c>
      <c r="J115" s="137" t="s">
        <v>693</v>
      </c>
      <c r="K115" s="138">
        <v>1</v>
      </c>
      <c r="L115" s="137" t="s">
        <v>693</v>
      </c>
      <c r="M115" s="143" t="s">
        <v>693</v>
      </c>
      <c r="N115" s="138"/>
    </row>
    <row r="116" spans="1:14" x14ac:dyDescent="0.25">
      <c r="A116" t="s">
        <v>121</v>
      </c>
      <c r="B116" s="122">
        <v>1902</v>
      </c>
      <c r="C116" s="152">
        <v>18.21</v>
      </c>
      <c r="D116">
        <v>11</v>
      </c>
      <c r="E116" s="134">
        <v>60735</v>
      </c>
      <c r="F116" s="2">
        <v>3.5</v>
      </c>
      <c r="G116" s="135">
        <v>576188680</v>
      </c>
      <c r="I116" s="136" t="s">
        <v>161</v>
      </c>
      <c r="J116" s="137" t="s">
        <v>694</v>
      </c>
      <c r="K116" s="138">
        <v>3</v>
      </c>
      <c r="L116" s="137" t="s">
        <v>693</v>
      </c>
      <c r="M116" s="143" t="s">
        <v>693</v>
      </c>
      <c r="N116" s="138"/>
    </row>
    <row r="117" spans="1:14" x14ac:dyDescent="0.25">
      <c r="A117" t="s">
        <v>122</v>
      </c>
      <c r="B117" s="122">
        <v>822</v>
      </c>
      <c r="C117" s="152">
        <v>11.23</v>
      </c>
      <c r="D117">
        <v>42.4</v>
      </c>
      <c r="E117" s="134">
        <v>23618</v>
      </c>
      <c r="F117" s="2">
        <v>4.4000000000000004</v>
      </c>
      <c r="G117" s="135">
        <v>71440930</v>
      </c>
      <c r="I117" s="136" t="s">
        <v>164</v>
      </c>
      <c r="J117" s="137" t="s">
        <v>693</v>
      </c>
      <c r="K117" s="138">
        <v>1</v>
      </c>
      <c r="L117" s="137" t="s">
        <v>693</v>
      </c>
      <c r="M117" s="143" t="s">
        <v>693</v>
      </c>
      <c r="N117" s="138"/>
    </row>
    <row r="118" spans="1:14" x14ac:dyDescent="0.25">
      <c r="A118" t="s">
        <v>123</v>
      </c>
      <c r="B118" s="122">
        <v>11186</v>
      </c>
      <c r="C118" s="152">
        <v>3.45</v>
      </c>
      <c r="D118">
        <v>13.5</v>
      </c>
      <c r="E118" s="134">
        <v>57065</v>
      </c>
      <c r="F118" s="2">
        <v>4</v>
      </c>
      <c r="G118" s="135">
        <v>2108575717</v>
      </c>
      <c r="I118" s="136" t="s">
        <v>166</v>
      </c>
      <c r="J118" s="137" t="s">
        <v>694</v>
      </c>
      <c r="K118" s="138">
        <v>1</v>
      </c>
      <c r="L118" s="137" t="s">
        <v>693</v>
      </c>
      <c r="M118" s="143" t="s">
        <v>693</v>
      </c>
      <c r="N118" s="138"/>
    </row>
    <row r="119" spans="1:14" x14ac:dyDescent="0.25">
      <c r="A119" t="s">
        <v>124</v>
      </c>
      <c r="B119" s="122">
        <v>26837</v>
      </c>
      <c r="C119" s="152">
        <v>32.049999999999997</v>
      </c>
      <c r="D119">
        <v>7.8</v>
      </c>
      <c r="E119" s="134">
        <v>71698</v>
      </c>
      <c r="F119" s="2">
        <v>3.3</v>
      </c>
      <c r="G119" s="135">
        <v>3146301215</v>
      </c>
      <c r="I119" s="136" t="s">
        <v>167</v>
      </c>
      <c r="J119" s="137" t="s">
        <v>693</v>
      </c>
      <c r="K119" s="138">
        <v>1</v>
      </c>
      <c r="L119" s="137" t="s">
        <v>693</v>
      </c>
      <c r="M119" s="143" t="s">
        <v>693</v>
      </c>
      <c r="N119" s="138"/>
    </row>
    <row r="120" spans="1:14" x14ac:dyDescent="0.25">
      <c r="A120" t="s">
        <v>125</v>
      </c>
      <c r="B120" s="122">
        <v>21281</v>
      </c>
      <c r="C120" s="152">
        <v>6.14</v>
      </c>
      <c r="D120">
        <v>6.8</v>
      </c>
      <c r="E120" s="134">
        <v>75667</v>
      </c>
      <c r="F120" s="2">
        <v>3.8</v>
      </c>
      <c r="G120" s="135">
        <v>2707241036</v>
      </c>
      <c r="I120" s="136" t="s">
        <v>168</v>
      </c>
      <c r="J120" s="137" t="s">
        <v>694</v>
      </c>
      <c r="K120" s="138">
        <v>2</v>
      </c>
      <c r="L120" s="137" t="s">
        <v>693</v>
      </c>
      <c r="M120" s="143" t="s">
        <v>693</v>
      </c>
      <c r="N120" s="138"/>
    </row>
    <row r="121" spans="1:14" x14ac:dyDescent="0.25">
      <c r="A121" t="s">
        <v>126</v>
      </c>
      <c r="B121" s="122">
        <v>99527</v>
      </c>
      <c r="C121" s="152">
        <v>2.44</v>
      </c>
      <c r="D121">
        <v>18.399999999999999</v>
      </c>
      <c r="E121" s="134">
        <v>50723</v>
      </c>
      <c r="F121" s="2">
        <v>3.9</v>
      </c>
      <c r="G121" s="135">
        <v>10925457388</v>
      </c>
      <c r="I121" s="136" t="s">
        <v>170</v>
      </c>
      <c r="J121" s="137" t="s">
        <v>693</v>
      </c>
      <c r="K121" s="138">
        <v>6</v>
      </c>
      <c r="L121" s="137" t="s">
        <v>693</v>
      </c>
      <c r="M121" s="143" t="s">
        <v>693</v>
      </c>
      <c r="N121" s="138"/>
    </row>
    <row r="122" spans="1:14" x14ac:dyDescent="0.25">
      <c r="A122" t="s">
        <v>128</v>
      </c>
      <c r="B122" s="122">
        <v>1244</v>
      </c>
      <c r="C122" s="152">
        <v>6.96</v>
      </c>
      <c r="D122">
        <v>18.8</v>
      </c>
      <c r="E122" s="134">
        <v>56250</v>
      </c>
      <c r="F122" s="2">
        <v>3.7</v>
      </c>
      <c r="G122" s="135">
        <v>221918409</v>
      </c>
      <c r="I122" s="136" t="s">
        <v>171</v>
      </c>
      <c r="J122" s="137" t="s">
        <v>693</v>
      </c>
      <c r="K122" s="138">
        <v>1</v>
      </c>
      <c r="L122" s="137" t="s">
        <v>693</v>
      </c>
      <c r="M122" s="143" t="s">
        <v>693</v>
      </c>
      <c r="N122" s="138"/>
    </row>
    <row r="123" spans="1:14" x14ac:dyDescent="0.25">
      <c r="A123" t="s">
        <v>130</v>
      </c>
      <c r="B123" s="122">
        <v>8362</v>
      </c>
      <c r="C123" s="152">
        <v>-2.2799999999999998</v>
      </c>
      <c r="D123">
        <v>25.5</v>
      </c>
      <c r="E123" s="134">
        <v>38880</v>
      </c>
      <c r="F123" s="2">
        <v>3.8</v>
      </c>
      <c r="G123" s="135">
        <v>880922375</v>
      </c>
      <c r="I123" s="136" t="s">
        <v>172</v>
      </c>
      <c r="J123" s="137" t="s">
        <v>693</v>
      </c>
      <c r="K123" s="138">
        <v>0</v>
      </c>
      <c r="L123" s="137" t="s">
        <v>693</v>
      </c>
      <c r="M123" s="143" t="s">
        <v>693</v>
      </c>
      <c r="N123" s="138"/>
    </row>
    <row r="124" spans="1:14" x14ac:dyDescent="0.25">
      <c r="A124" t="s">
        <v>131</v>
      </c>
      <c r="B124" s="122">
        <v>1424</v>
      </c>
      <c r="C124" s="152">
        <v>26.13</v>
      </c>
      <c r="D124">
        <v>10</v>
      </c>
      <c r="E124" s="134">
        <v>55943</v>
      </c>
      <c r="F124" s="2">
        <v>3.2</v>
      </c>
      <c r="G124" s="135">
        <v>109900974</v>
      </c>
      <c r="I124" s="136" t="s">
        <v>173</v>
      </c>
      <c r="J124" s="137" t="s">
        <v>693</v>
      </c>
      <c r="K124" s="138">
        <v>0</v>
      </c>
      <c r="L124" s="137" t="s">
        <v>693</v>
      </c>
      <c r="M124" s="143" t="s">
        <v>693</v>
      </c>
      <c r="N124" s="138"/>
    </row>
    <row r="125" spans="1:14" x14ac:dyDescent="0.25">
      <c r="A125" t="s">
        <v>132</v>
      </c>
      <c r="B125" s="122">
        <v>2324</v>
      </c>
      <c r="C125" s="152">
        <v>-1.86</v>
      </c>
      <c r="D125">
        <v>20.5</v>
      </c>
      <c r="E125" s="134">
        <v>42566</v>
      </c>
      <c r="F125" s="2">
        <v>4.0999999999999996</v>
      </c>
      <c r="G125" s="135">
        <v>155001738</v>
      </c>
      <c r="I125" s="136" t="s">
        <v>175</v>
      </c>
      <c r="J125" s="137" t="s">
        <v>694</v>
      </c>
      <c r="K125" s="138">
        <v>2</v>
      </c>
      <c r="L125" s="137" t="s">
        <v>693</v>
      </c>
      <c r="M125" s="143" t="s">
        <v>693</v>
      </c>
      <c r="N125" s="138"/>
    </row>
    <row r="126" spans="1:14" x14ac:dyDescent="0.25">
      <c r="A126" t="s">
        <v>133</v>
      </c>
      <c r="B126" s="122">
        <v>384</v>
      </c>
      <c r="C126" s="152">
        <v>2.4</v>
      </c>
      <c r="D126">
        <v>25.8</v>
      </c>
      <c r="E126" s="134">
        <v>60417</v>
      </c>
      <c r="F126" s="2">
        <v>5.2</v>
      </c>
      <c r="G126" s="135">
        <v>33769242</v>
      </c>
      <c r="I126" s="136" t="s">
        <v>176</v>
      </c>
      <c r="J126" s="137" t="s">
        <v>694</v>
      </c>
      <c r="K126" s="138">
        <v>5</v>
      </c>
      <c r="L126" s="137" t="s">
        <v>693</v>
      </c>
      <c r="M126" s="143" t="s">
        <v>693</v>
      </c>
      <c r="N126" s="138"/>
    </row>
    <row r="127" spans="1:14" x14ac:dyDescent="0.25">
      <c r="A127" t="s">
        <v>134</v>
      </c>
      <c r="B127" s="122">
        <v>257</v>
      </c>
      <c r="C127" s="152">
        <v>-4.0999999999999996</v>
      </c>
      <c r="D127">
        <v>11.9</v>
      </c>
      <c r="E127" s="134">
        <v>89265</v>
      </c>
      <c r="F127" s="2">
        <v>4.9000000000000004</v>
      </c>
      <c r="G127" s="135">
        <v>14636778</v>
      </c>
      <c r="I127" s="136" t="s">
        <v>178</v>
      </c>
      <c r="J127" s="137" t="s">
        <v>694</v>
      </c>
      <c r="K127" s="138">
        <v>7</v>
      </c>
      <c r="L127" s="137" t="s">
        <v>693</v>
      </c>
      <c r="M127" s="143" t="s">
        <v>693</v>
      </c>
      <c r="N127" s="138"/>
    </row>
    <row r="128" spans="1:14" x14ac:dyDescent="0.25">
      <c r="A128" t="s">
        <v>135</v>
      </c>
      <c r="B128" s="122">
        <v>560</v>
      </c>
      <c r="C128" s="152">
        <v>-37.64</v>
      </c>
      <c r="D128">
        <v>39.5</v>
      </c>
      <c r="E128" s="134">
        <v>19551</v>
      </c>
      <c r="F128" s="2">
        <v>5.3</v>
      </c>
      <c r="G128" s="135">
        <v>53511284</v>
      </c>
      <c r="I128" s="139" t="s">
        <v>814</v>
      </c>
      <c r="J128" s="137" t="s">
        <v>693</v>
      </c>
      <c r="K128" s="138">
        <v>0</v>
      </c>
      <c r="L128" s="137" t="s">
        <v>693</v>
      </c>
      <c r="M128" s="143" t="s">
        <v>693</v>
      </c>
      <c r="N128" s="138"/>
    </row>
    <row r="129" spans="1:14" x14ac:dyDescent="0.25">
      <c r="A129" t="s">
        <v>136</v>
      </c>
      <c r="B129" s="122">
        <v>50827</v>
      </c>
      <c r="C129" s="152">
        <v>-9.7100000000000009</v>
      </c>
      <c r="D129">
        <v>21.1</v>
      </c>
      <c r="E129" s="134">
        <v>43206</v>
      </c>
      <c r="F129" s="2">
        <v>4.3</v>
      </c>
      <c r="G129" s="135">
        <v>4295751919</v>
      </c>
      <c r="I129" s="136" t="s">
        <v>179</v>
      </c>
      <c r="J129" s="137" t="s">
        <v>693</v>
      </c>
      <c r="K129" s="138">
        <v>5</v>
      </c>
      <c r="L129" s="137" t="s">
        <v>693</v>
      </c>
      <c r="M129" s="143" t="s">
        <v>693</v>
      </c>
      <c r="N129" s="138"/>
    </row>
    <row r="130" spans="1:14" x14ac:dyDescent="0.25">
      <c r="A130" t="s">
        <v>137</v>
      </c>
      <c r="B130" s="122">
        <v>1087</v>
      </c>
      <c r="C130" s="152">
        <v>-0.64</v>
      </c>
      <c r="D130">
        <v>16.7</v>
      </c>
      <c r="E130" s="134">
        <v>53333</v>
      </c>
      <c r="F130" s="2">
        <v>3.8</v>
      </c>
      <c r="G130" s="135">
        <v>149297523</v>
      </c>
      <c r="I130" s="136" t="s">
        <v>180</v>
      </c>
      <c r="J130" s="137" t="s">
        <v>694</v>
      </c>
      <c r="K130" s="138">
        <v>12</v>
      </c>
      <c r="L130" s="137" t="s">
        <v>693</v>
      </c>
      <c r="M130" s="143" t="s">
        <v>693</v>
      </c>
      <c r="N130" s="138"/>
    </row>
    <row r="131" spans="1:14" x14ac:dyDescent="0.25">
      <c r="A131" t="s">
        <v>138</v>
      </c>
      <c r="B131" s="122">
        <v>85</v>
      </c>
      <c r="C131" s="152">
        <v>-23.42</v>
      </c>
      <c r="D131">
        <v>5.9</v>
      </c>
      <c r="E131" s="134">
        <v>63750</v>
      </c>
      <c r="F131" s="2">
        <v>5.2</v>
      </c>
      <c r="G131" s="135">
        <v>5744851</v>
      </c>
      <c r="I131" s="136" t="s">
        <v>181</v>
      </c>
      <c r="J131" s="137" t="s">
        <v>694</v>
      </c>
      <c r="K131" s="138">
        <v>6</v>
      </c>
      <c r="L131" s="137" t="s">
        <v>693</v>
      </c>
      <c r="M131" s="143" t="s">
        <v>693</v>
      </c>
      <c r="N131" s="138"/>
    </row>
    <row r="132" spans="1:14" x14ac:dyDescent="0.25">
      <c r="A132" t="s">
        <v>139</v>
      </c>
      <c r="B132" s="122">
        <v>105335</v>
      </c>
      <c r="C132" s="152">
        <v>17.39</v>
      </c>
      <c r="D132">
        <v>7.5</v>
      </c>
      <c r="E132" s="134">
        <v>83480</v>
      </c>
      <c r="F132" s="2">
        <v>3.4</v>
      </c>
      <c r="G132" s="135">
        <v>15291174319</v>
      </c>
      <c r="I132" s="136" t="s">
        <v>182</v>
      </c>
      <c r="J132" s="137" t="s">
        <v>693</v>
      </c>
      <c r="K132" s="138">
        <v>0</v>
      </c>
      <c r="L132" s="137" t="s">
        <v>693</v>
      </c>
      <c r="M132" s="143" t="s">
        <v>693</v>
      </c>
      <c r="N132" s="138"/>
    </row>
    <row r="133" spans="1:14" x14ac:dyDescent="0.25">
      <c r="A133" t="s">
        <v>140</v>
      </c>
      <c r="B133" s="122">
        <v>671</v>
      </c>
      <c r="C133" s="152">
        <v>128.22999999999999</v>
      </c>
      <c r="D133">
        <v>67.5</v>
      </c>
      <c r="E133" s="134">
        <v>36835</v>
      </c>
      <c r="F133" s="2">
        <v>6.6</v>
      </c>
      <c r="G133" s="135">
        <v>11891679</v>
      </c>
      <c r="I133" s="136" t="s">
        <v>183</v>
      </c>
      <c r="J133" s="137" t="s">
        <v>694</v>
      </c>
      <c r="K133" s="138">
        <v>4</v>
      </c>
      <c r="L133" s="137" t="s">
        <v>693</v>
      </c>
      <c r="M133" s="143" t="s">
        <v>693</v>
      </c>
      <c r="N133" s="138"/>
    </row>
    <row r="134" spans="1:14" x14ac:dyDescent="0.25">
      <c r="A134" t="s">
        <v>141</v>
      </c>
      <c r="B134" s="122">
        <v>2355</v>
      </c>
      <c r="C134" s="152">
        <v>48.3</v>
      </c>
      <c r="D134">
        <v>8.4</v>
      </c>
      <c r="E134" s="134">
        <v>63963</v>
      </c>
      <c r="F134" s="2">
        <v>3.5</v>
      </c>
      <c r="G134" s="135">
        <v>130256000</v>
      </c>
      <c r="I134" s="136" t="s">
        <v>184</v>
      </c>
      <c r="J134" s="137" t="s">
        <v>693</v>
      </c>
      <c r="K134" s="138">
        <v>5</v>
      </c>
      <c r="L134" s="137" t="s">
        <v>693</v>
      </c>
      <c r="M134" s="143" t="s">
        <v>693</v>
      </c>
      <c r="N134" s="138"/>
    </row>
    <row r="135" spans="1:14" x14ac:dyDescent="0.25">
      <c r="A135" t="s">
        <v>142</v>
      </c>
      <c r="B135" s="122">
        <v>8457</v>
      </c>
      <c r="C135" s="152">
        <v>1.89</v>
      </c>
      <c r="D135">
        <v>10.8</v>
      </c>
      <c r="E135" s="134">
        <v>49978</v>
      </c>
      <c r="F135" s="2">
        <v>3.5</v>
      </c>
      <c r="G135" s="135">
        <v>1339601234</v>
      </c>
      <c r="I135" s="136" t="s">
        <v>185</v>
      </c>
      <c r="J135" s="137" t="s">
        <v>693</v>
      </c>
      <c r="K135" s="138">
        <v>2</v>
      </c>
      <c r="L135" s="137" t="s">
        <v>693</v>
      </c>
      <c r="M135" s="143" t="s">
        <v>693</v>
      </c>
      <c r="N135" s="138"/>
    </row>
    <row r="136" spans="1:14" x14ac:dyDescent="0.25">
      <c r="A136" t="s">
        <v>144</v>
      </c>
      <c r="B136" s="122">
        <v>884</v>
      </c>
      <c r="C136" s="152">
        <v>36</v>
      </c>
      <c r="D136">
        <v>26.6</v>
      </c>
      <c r="E136" s="134">
        <v>43095</v>
      </c>
      <c r="F136" s="2">
        <v>4.9000000000000004</v>
      </c>
      <c r="G136" s="135">
        <v>54454644</v>
      </c>
      <c r="I136" s="136" t="s">
        <v>186</v>
      </c>
      <c r="J136" s="137" t="s">
        <v>693</v>
      </c>
      <c r="K136" s="138">
        <v>2</v>
      </c>
      <c r="L136" s="137" t="s">
        <v>693</v>
      </c>
      <c r="M136" s="143" t="s">
        <v>693</v>
      </c>
      <c r="N136" s="138"/>
    </row>
    <row r="137" spans="1:14" x14ac:dyDescent="0.25">
      <c r="A137" t="s">
        <v>145</v>
      </c>
      <c r="B137" s="122">
        <v>875</v>
      </c>
      <c r="C137" s="152">
        <v>-7.7</v>
      </c>
      <c r="D137">
        <v>12.6</v>
      </c>
      <c r="E137" s="134">
        <v>50250</v>
      </c>
      <c r="F137" s="2">
        <v>3.4</v>
      </c>
      <c r="G137" s="135">
        <v>40782394</v>
      </c>
      <c r="I137" s="136" t="s">
        <v>187</v>
      </c>
      <c r="J137" s="137" t="s">
        <v>694</v>
      </c>
      <c r="K137" s="138">
        <v>9</v>
      </c>
      <c r="L137" s="137" t="s">
        <v>693</v>
      </c>
      <c r="M137" s="143" t="s">
        <v>693</v>
      </c>
      <c r="N137" s="138"/>
    </row>
    <row r="138" spans="1:14" x14ac:dyDescent="0.25">
      <c r="A138" t="s">
        <v>146</v>
      </c>
      <c r="B138" s="122">
        <v>31396</v>
      </c>
      <c r="C138" s="152">
        <v>9.59</v>
      </c>
      <c r="D138">
        <v>5.2</v>
      </c>
      <c r="E138" s="134">
        <v>107969</v>
      </c>
      <c r="F138" s="2">
        <v>3.5</v>
      </c>
      <c r="G138" s="135">
        <v>7714117340</v>
      </c>
      <c r="I138" s="136" t="s">
        <v>188</v>
      </c>
      <c r="J138" s="137" t="s">
        <v>694</v>
      </c>
      <c r="K138" s="138">
        <v>7</v>
      </c>
      <c r="L138" s="137" t="s">
        <v>693</v>
      </c>
      <c r="M138" s="143" t="s">
        <v>693</v>
      </c>
      <c r="N138" s="138"/>
    </row>
    <row r="139" spans="1:14" x14ac:dyDescent="0.25">
      <c r="A139" t="s">
        <v>147</v>
      </c>
      <c r="B139" s="122">
        <v>633</v>
      </c>
      <c r="C139" s="152">
        <v>53.64</v>
      </c>
      <c r="D139">
        <v>10.3</v>
      </c>
      <c r="E139" s="134">
        <v>50833</v>
      </c>
      <c r="F139" s="2">
        <v>3.7</v>
      </c>
      <c r="G139" s="135">
        <v>20430765</v>
      </c>
      <c r="I139" s="136" t="s">
        <v>189</v>
      </c>
      <c r="J139" s="137" t="s">
        <v>693</v>
      </c>
      <c r="K139" s="138">
        <v>0</v>
      </c>
      <c r="L139" s="137" t="s">
        <v>693</v>
      </c>
      <c r="M139" s="143" t="s">
        <v>693</v>
      </c>
      <c r="N139" s="138"/>
    </row>
    <row r="140" spans="1:14" x14ac:dyDescent="0.25">
      <c r="A140" t="s">
        <v>148</v>
      </c>
      <c r="B140" s="122">
        <v>5294</v>
      </c>
      <c r="C140" s="152">
        <v>22.77</v>
      </c>
      <c r="D140">
        <v>3.2</v>
      </c>
      <c r="E140" s="134">
        <v>89313</v>
      </c>
      <c r="F140" s="2">
        <v>3.7</v>
      </c>
      <c r="G140" s="135">
        <v>772037788</v>
      </c>
      <c r="I140" s="136" t="s">
        <v>191</v>
      </c>
      <c r="J140" s="137" t="s">
        <v>694</v>
      </c>
      <c r="K140" s="138">
        <v>5</v>
      </c>
      <c r="L140" s="137" t="s">
        <v>693</v>
      </c>
      <c r="M140" s="143" t="s">
        <v>693</v>
      </c>
      <c r="N140" s="138"/>
    </row>
    <row r="141" spans="1:14" x14ac:dyDescent="0.25">
      <c r="A141" t="s">
        <v>149</v>
      </c>
      <c r="B141" s="122">
        <v>101098</v>
      </c>
      <c r="C141" s="152">
        <v>-1.92</v>
      </c>
      <c r="D141">
        <v>14</v>
      </c>
      <c r="E141" s="134">
        <v>61676</v>
      </c>
      <c r="F141" s="2">
        <v>3.7</v>
      </c>
      <c r="G141" s="135">
        <v>10431709302</v>
      </c>
      <c r="I141" s="136" t="s">
        <v>192</v>
      </c>
      <c r="J141" s="137" t="s">
        <v>694</v>
      </c>
      <c r="K141" s="138">
        <v>0</v>
      </c>
      <c r="L141" s="137" t="s">
        <v>693</v>
      </c>
      <c r="M141" s="143" t="s">
        <v>693</v>
      </c>
      <c r="N141" s="138"/>
    </row>
    <row r="142" spans="1:14" x14ac:dyDescent="0.25">
      <c r="A142" t="s">
        <v>150</v>
      </c>
      <c r="B142" s="122">
        <v>4871</v>
      </c>
      <c r="C142" s="152">
        <v>9.98</v>
      </c>
      <c r="D142">
        <v>11.4</v>
      </c>
      <c r="E142" s="134">
        <v>78750</v>
      </c>
      <c r="F142" s="2">
        <v>3.2</v>
      </c>
      <c r="G142" s="135">
        <v>379225361</v>
      </c>
      <c r="I142" s="136" t="s">
        <v>194</v>
      </c>
      <c r="J142" s="137" t="s">
        <v>694</v>
      </c>
      <c r="K142" s="138">
        <v>7</v>
      </c>
      <c r="L142" s="137" t="s">
        <v>693</v>
      </c>
      <c r="M142" s="143" t="s">
        <v>694</v>
      </c>
      <c r="N142" s="138"/>
    </row>
    <row r="143" spans="1:14" x14ac:dyDescent="0.25">
      <c r="A143" t="s">
        <v>151</v>
      </c>
      <c r="B143" s="122">
        <v>152</v>
      </c>
      <c r="C143" s="152">
        <v>-25.12</v>
      </c>
      <c r="D143">
        <v>25</v>
      </c>
      <c r="E143" s="134" t="e">
        <f>NA()</f>
        <v>#N/A</v>
      </c>
      <c r="F143" s="2">
        <v>5.0999999999999996</v>
      </c>
      <c r="G143" s="135">
        <v>23066196</v>
      </c>
      <c r="I143" s="136" t="s">
        <v>195</v>
      </c>
      <c r="J143" s="137" t="s">
        <v>694</v>
      </c>
      <c r="K143" s="138">
        <v>3</v>
      </c>
      <c r="L143" s="137" t="s">
        <v>693</v>
      </c>
      <c r="M143" s="143" t="s">
        <v>693</v>
      </c>
      <c r="N143" s="138"/>
    </row>
    <row r="144" spans="1:14" x14ac:dyDescent="0.25">
      <c r="A144" t="s">
        <v>152</v>
      </c>
      <c r="B144" s="122">
        <v>139</v>
      </c>
      <c r="C144" s="152">
        <v>-20.11</v>
      </c>
      <c r="D144">
        <v>0</v>
      </c>
      <c r="E144" s="134">
        <v>106000</v>
      </c>
      <c r="F144" s="2">
        <v>3.3</v>
      </c>
      <c r="G144" s="135">
        <v>13824192</v>
      </c>
      <c r="I144" s="136" t="s">
        <v>196</v>
      </c>
      <c r="J144" s="137" t="s">
        <v>694</v>
      </c>
      <c r="K144" s="138">
        <v>3</v>
      </c>
      <c r="L144" s="137" t="s">
        <v>693</v>
      </c>
      <c r="M144" s="143" t="s">
        <v>693</v>
      </c>
      <c r="N144" s="138"/>
    </row>
    <row r="145" spans="1:14" x14ac:dyDescent="0.25">
      <c r="A145" t="s">
        <v>153</v>
      </c>
      <c r="B145" s="122">
        <v>335207</v>
      </c>
      <c r="C145" s="152">
        <v>0.93</v>
      </c>
      <c r="D145">
        <v>17.600000000000001</v>
      </c>
      <c r="E145" s="134">
        <v>55551</v>
      </c>
      <c r="F145" s="2">
        <v>5.2</v>
      </c>
      <c r="G145" s="135">
        <v>24801067794</v>
      </c>
      <c r="I145" s="136" t="s">
        <v>197</v>
      </c>
      <c r="J145" s="137" t="s">
        <v>694</v>
      </c>
      <c r="K145" s="138">
        <v>10</v>
      </c>
      <c r="L145" s="137" t="s">
        <v>693</v>
      </c>
      <c r="M145" s="143" t="s">
        <v>693</v>
      </c>
      <c r="N145" s="138"/>
    </row>
    <row r="146" spans="1:14" x14ac:dyDescent="0.25">
      <c r="A146" t="s">
        <v>154</v>
      </c>
      <c r="B146" s="122">
        <v>28616</v>
      </c>
      <c r="C146" s="152">
        <v>10.93</v>
      </c>
      <c r="D146">
        <v>8.5</v>
      </c>
      <c r="E146" s="134">
        <v>82793</v>
      </c>
      <c r="F146" s="2">
        <v>3.5</v>
      </c>
      <c r="G146" s="135">
        <v>8401371175</v>
      </c>
      <c r="I146" s="136" t="s">
        <v>199</v>
      </c>
      <c r="J146" s="137" t="s">
        <v>693</v>
      </c>
      <c r="K146" s="138">
        <v>4</v>
      </c>
      <c r="L146" s="137" t="s">
        <v>693</v>
      </c>
      <c r="M146" s="143" t="s">
        <v>693</v>
      </c>
      <c r="N146" s="138"/>
    </row>
    <row r="147" spans="1:14" x14ac:dyDescent="0.25">
      <c r="A147" t="s">
        <v>155</v>
      </c>
      <c r="B147" s="122">
        <v>5889</v>
      </c>
      <c r="C147" s="152">
        <v>26.65</v>
      </c>
      <c r="D147">
        <v>9</v>
      </c>
      <c r="E147" s="134">
        <v>55979</v>
      </c>
      <c r="F147" s="2">
        <v>3.7</v>
      </c>
      <c r="G147" s="135">
        <v>369359692</v>
      </c>
      <c r="I147" s="136" t="s">
        <v>200</v>
      </c>
      <c r="J147" s="137" t="s">
        <v>693</v>
      </c>
      <c r="K147" s="138">
        <v>1</v>
      </c>
      <c r="L147" s="137" t="s">
        <v>693</v>
      </c>
      <c r="M147" s="143" t="s">
        <v>693</v>
      </c>
      <c r="N147" s="138"/>
    </row>
    <row r="148" spans="1:14" x14ac:dyDescent="0.25">
      <c r="A148" t="s">
        <v>156</v>
      </c>
      <c r="B148" s="122">
        <v>293</v>
      </c>
      <c r="C148" s="152">
        <v>53.4</v>
      </c>
      <c r="D148">
        <v>0.4</v>
      </c>
      <c r="E148" s="134">
        <v>77222</v>
      </c>
      <c r="F148" s="2">
        <v>3.4</v>
      </c>
      <c r="G148" s="135">
        <v>13268374</v>
      </c>
      <c r="I148" s="136" t="s">
        <v>201</v>
      </c>
      <c r="J148" s="137" t="s">
        <v>693</v>
      </c>
      <c r="K148" s="138">
        <v>6</v>
      </c>
      <c r="L148" s="137" t="s">
        <v>693</v>
      </c>
      <c r="M148" s="143" t="s">
        <v>693</v>
      </c>
      <c r="N148" s="138"/>
    </row>
    <row r="149" spans="1:14" x14ac:dyDescent="0.25">
      <c r="A149" t="s">
        <v>157</v>
      </c>
      <c r="B149" s="122">
        <v>37160</v>
      </c>
      <c r="C149" s="152">
        <v>3.97</v>
      </c>
      <c r="D149">
        <v>6.5</v>
      </c>
      <c r="E149" s="134">
        <v>79742</v>
      </c>
      <c r="F149" s="2">
        <v>4.4000000000000004</v>
      </c>
      <c r="G149" s="135">
        <v>17234560072</v>
      </c>
      <c r="I149" s="136" t="s">
        <v>203</v>
      </c>
      <c r="J149" s="137" t="s">
        <v>693</v>
      </c>
      <c r="K149" s="138">
        <v>7</v>
      </c>
      <c r="L149" s="137" t="s">
        <v>693</v>
      </c>
      <c r="M149" s="143" t="s">
        <v>693</v>
      </c>
      <c r="N149" s="138"/>
    </row>
    <row r="150" spans="1:14" x14ac:dyDescent="0.25">
      <c r="A150" t="s">
        <v>158</v>
      </c>
      <c r="B150" s="122">
        <v>169498</v>
      </c>
      <c r="C150" s="152">
        <v>2.94</v>
      </c>
      <c r="D150">
        <v>13.9</v>
      </c>
      <c r="E150" s="134">
        <v>58473</v>
      </c>
      <c r="F150" s="2">
        <v>3.6</v>
      </c>
      <c r="G150" s="135">
        <v>18046561103</v>
      </c>
      <c r="I150" s="136" t="s">
        <v>204</v>
      </c>
      <c r="J150" s="137" t="s">
        <v>694</v>
      </c>
      <c r="K150" s="138">
        <v>2</v>
      </c>
      <c r="L150" s="137" t="s">
        <v>693</v>
      </c>
      <c r="M150" s="143" t="s">
        <v>693</v>
      </c>
      <c r="N150" s="138"/>
    </row>
    <row r="151" spans="1:14" x14ac:dyDescent="0.25">
      <c r="A151" t="s">
        <v>159</v>
      </c>
      <c r="B151" s="122">
        <v>15199</v>
      </c>
      <c r="C151" s="152">
        <v>20</v>
      </c>
      <c r="D151">
        <v>5.9</v>
      </c>
      <c r="E151" s="134">
        <v>140938</v>
      </c>
      <c r="F151" s="2">
        <v>3.45</v>
      </c>
      <c r="G151" s="135">
        <v>3019359682</v>
      </c>
      <c r="I151" s="139" t="s">
        <v>815</v>
      </c>
      <c r="J151" s="137" t="s">
        <v>693</v>
      </c>
      <c r="K151" s="138">
        <v>3</v>
      </c>
      <c r="L151" s="137" t="s">
        <v>693</v>
      </c>
      <c r="M151" s="143" t="s">
        <v>693</v>
      </c>
      <c r="N151" s="138"/>
    </row>
    <row r="152" spans="1:14" x14ac:dyDescent="0.25">
      <c r="A152" t="s">
        <v>160</v>
      </c>
      <c r="B152" s="122">
        <v>43030</v>
      </c>
      <c r="C152" s="152">
        <v>2.4700000000000002</v>
      </c>
      <c r="D152">
        <v>11.6</v>
      </c>
      <c r="E152" s="134">
        <v>69105</v>
      </c>
      <c r="F152" s="2">
        <v>3.4</v>
      </c>
      <c r="G152" s="135">
        <v>5519511830</v>
      </c>
      <c r="I152" s="136" t="s">
        <v>206</v>
      </c>
      <c r="J152" s="137" t="s">
        <v>693</v>
      </c>
      <c r="K152" s="138">
        <v>2</v>
      </c>
      <c r="L152" s="137" t="s">
        <v>693</v>
      </c>
      <c r="M152" s="143" t="s">
        <v>693</v>
      </c>
      <c r="N152" s="138"/>
    </row>
    <row r="153" spans="1:14" x14ac:dyDescent="0.25">
      <c r="A153" t="s">
        <v>810</v>
      </c>
      <c r="B153" s="122">
        <v>25</v>
      </c>
      <c r="C153" s="152">
        <v>316.67</v>
      </c>
      <c r="D153">
        <v>0</v>
      </c>
      <c r="E153" s="134" t="e">
        <f>NA()</f>
        <v>#N/A</v>
      </c>
      <c r="F153" s="2">
        <v>3.7</v>
      </c>
      <c r="G153" s="134" t="e">
        <f>NA()</f>
        <v>#N/A</v>
      </c>
      <c r="I153" s="136" t="s">
        <v>209</v>
      </c>
      <c r="J153" s="137" t="s">
        <v>693</v>
      </c>
      <c r="K153" s="138">
        <v>3</v>
      </c>
      <c r="L153" s="137" t="s">
        <v>693</v>
      </c>
      <c r="M153" s="143" t="s">
        <v>693</v>
      </c>
      <c r="N153" s="138"/>
    </row>
    <row r="154" spans="1:14" x14ac:dyDescent="0.25">
      <c r="A154" t="s">
        <v>161</v>
      </c>
      <c r="B154" s="122">
        <v>1307</v>
      </c>
      <c r="C154" s="152">
        <v>-28.19</v>
      </c>
      <c r="D154">
        <v>16.600000000000001</v>
      </c>
      <c r="E154" s="134">
        <v>44539</v>
      </c>
      <c r="F154" s="2">
        <v>3.6</v>
      </c>
      <c r="G154" s="135">
        <v>153097226</v>
      </c>
      <c r="I154" s="136" t="s">
        <v>210</v>
      </c>
      <c r="J154" s="137" t="s">
        <v>693</v>
      </c>
      <c r="K154" s="138">
        <v>3</v>
      </c>
      <c r="L154" s="137" t="s">
        <v>693</v>
      </c>
      <c r="M154" s="143" t="s">
        <v>693</v>
      </c>
      <c r="N154" s="138"/>
    </row>
    <row r="155" spans="1:14" x14ac:dyDescent="0.25">
      <c r="A155" t="s">
        <v>162</v>
      </c>
      <c r="B155" s="122">
        <v>231</v>
      </c>
      <c r="C155" s="152">
        <v>-6.48</v>
      </c>
      <c r="D155">
        <v>10</v>
      </c>
      <c r="E155" s="134">
        <v>55625</v>
      </c>
      <c r="F155" s="2">
        <v>3.9</v>
      </c>
      <c r="G155" s="135">
        <v>54194514</v>
      </c>
      <c r="I155" s="136" t="s">
        <v>212</v>
      </c>
      <c r="J155" s="137" t="s">
        <v>693</v>
      </c>
      <c r="K155" s="138">
        <v>1</v>
      </c>
      <c r="L155" s="137" t="s">
        <v>693</v>
      </c>
      <c r="M155" s="143" t="s">
        <v>693</v>
      </c>
      <c r="N155" s="138"/>
    </row>
    <row r="156" spans="1:14" x14ac:dyDescent="0.25">
      <c r="A156" t="s">
        <v>163</v>
      </c>
      <c r="B156" s="122">
        <v>645</v>
      </c>
      <c r="C156" s="152">
        <v>-30.5</v>
      </c>
      <c r="D156">
        <v>30.5</v>
      </c>
      <c r="E156" s="134">
        <v>24167</v>
      </c>
      <c r="F156" s="2">
        <v>5.0999999999999996</v>
      </c>
      <c r="G156" s="135">
        <v>21535428</v>
      </c>
      <c r="I156" s="136" t="s">
        <v>214</v>
      </c>
      <c r="J156" s="137" t="s">
        <v>694</v>
      </c>
      <c r="K156" s="138">
        <v>9</v>
      </c>
      <c r="L156" s="137" t="s">
        <v>693</v>
      </c>
      <c r="M156" s="143" t="s">
        <v>693</v>
      </c>
      <c r="N156" s="138"/>
    </row>
    <row r="157" spans="1:14" x14ac:dyDescent="0.25">
      <c r="A157" t="s">
        <v>164</v>
      </c>
      <c r="B157" s="122">
        <v>1812</v>
      </c>
      <c r="C157" s="152">
        <v>14.39</v>
      </c>
      <c r="D157">
        <v>10.3</v>
      </c>
      <c r="E157" s="134">
        <v>54236</v>
      </c>
      <c r="F157" s="2">
        <v>3.5</v>
      </c>
      <c r="G157" s="135">
        <v>209268622</v>
      </c>
      <c r="I157" s="136" t="s">
        <v>215</v>
      </c>
      <c r="J157" s="137" t="s">
        <v>693</v>
      </c>
      <c r="K157" s="138">
        <v>3</v>
      </c>
      <c r="L157" s="137" t="s">
        <v>693</v>
      </c>
      <c r="M157" s="143" t="s">
        <v>693</v>
      </c>
      <c r="N157" s="138"/>
    </row>
    <row r="158" spans="1:14" x14ac:dyDescent="0.25">
      <c r="A158" t="s">
        <v>165</v>
      </c>
      <c r="B158" s="122">
        <v>976</v>
      </c>
      <c r="C158" s="152">
        <v>-10.050000000000001</v>
      </c>
      <c r="D158">
        <v>8.9</v>
      </c>
      <c r="E158" s="134">
        <v>68583</v>
      </c>
      <c r="F158" s="2">
        <v>5.0999999999999996</v>
      </c>
      <c r="G158" s="134" t="e">
        <f>NA()</f>
        <v>#N/A</v>
      </c>
      <c r="I158" s="136" t="s">
        <v>216</v>
      </c>
      <c r="J158" s="137" t="s">
        <v>693</v>
      </c>
      <c r="K158" s="138">
        <v>2</v>
      </c>
      <c r="L158" s="137" t="s">
        <v>693</v>
      </c>
      <c r="M158" s="143" t="s">
        <v>693</v>
      </c>
      <c r="N158" s="138"/>
    </row>
    <row r="159" spans="1:14" x14ac:dyDescent="0.25">
      <c r="A159" t="s">
        <v>166</v>
      </c>
      <c r="B159" s="122">
        <v>441</v>
      </c>
      <c r="C159" s="152">
        <v>89.27</v>
      </c>
      <c r="D159">
        <v>27</v>
      </c>
      <c r="E159" s="134">
        <v>36563</v>
      </c>
      <c r="F159" s="2">
        <v>3.7</v>
      </c>
      <c r="G159" s="135">
        <v>18392497</v>
      </c>
      <c r="I159" s="136" t="s">
        <v>217</v>
      </c>
      <c r="J159" s="137" t="s">
        <v>693</v>
      </c>
      <c r="K159" s="138">
        <v>2</v>
      </c>
      <c r="L159" s="137" t="s">
        <v>693</v>
      </c>
      <c r="M159" s="143" t="s">
        <v>693</v>
      </c>
      <c r="N159" s="138"/>
    </row>
    <row r="160" spans="1:14" x14ac:dyDescent="0.25">
      <c r="A160" t="s">
        <v>167</v>
      </c>
      <c r="B160" s="122">
        <v>1768</v>
      </c>
      <c r="C160" s="152">
        <v>-1.17</v>
      </c>
      <c r="D160">
        <v>9</v>
      </c>
      <c r="E160" s="134">
        <v>59052</v>
      </c>
      <c r="F160" s="2">
        <v>3.5</v>
      </c>
      <c r="G160" s="135">
        <v>111575711</v>
      </c>
      <c r="I160" s="136" t="s">
        <v>218</v>
      </c>
      <c r="J160" s="137" t="s">
        <v>693</v>
      </c>
      <c r="K160" s="138">
        <v>2</v>
      </c>
      <c r="L160" s="137" t="s">
        <v>693</v>
      </c>
      <c r="M160" s="143" t="s">
        <v>693</v>
      </c>
      <c r="N160" s="138"/>
    </row>
    <row r="161" spans="1:14" x14ac:dyDescent="0.25">
      <c r="A161" t="s">
        <v>168</v>
      </c>
      <c r="B161" s="122">
        <v>444</v>
      </c>
      <c r="C161" s="152">
        <v>25.42</v>
      </c>
      <c r="D161">
        <v>10.6</v>
      </c>
      <c r="E161" s="134">
        <v>49250</v>
      </c>
      <c r="F161" s="2">
        <v>4.4000000000000004</v>
      </c>
      <c r="G161" s="135">
        <v>20179291</v>
      </c>
      <c r="I161" s="136" t="s">
        <v>220</v>
      </c>
      <c r="J161" s="137" t="s">
        <v>694</v>
      </c>
      <c r="K161" s="138">
        <v>4</v>
      </c>
      <c r="L161" s="137" t="s">
        <v>693</v>
      </c>
      <c r="M161" s="143" t="s">
        <v>693</v>
      </c>
      <c r="N161" s="138"/>
    </row>
    <row r="162" spans="1:14" x14ac:dyDescent="0.25">
      <c r="A162" t="s">
        <v>169</v>
      </c>
      <c r="B162" s="122">
        <v>686</v>
      </c>
      <c r="C162" s="152">
        <v>18.07</v>
      </c>
      <c r="D162">
        <v>9.8000000000000007</v>
      </c>
      <c r="E162" s="134">
        <v>122500</v>
      </c>
      <c r="F162" s="2">
        <v>4.4000000000000004</v>
      </c>
      <c r="G162" s="135">
        <v>1882431017</v>
      </c>
      <c r="I162" s="136" t="s">
        <v>221</v>
      </c>
      <c r="J162" s="137" t="s">
        <v>694</v>
      </c>
      <c r="K162" s="138">
        <v>7</v>
      </c>
      <c r="L162" s="137" t="s">
        <v>693</v>
      </c>
      <c r="M162" s="143" t="s">
        <v>693</v>
      </c>
      <c r="N162" s="138"/>
    </row>
    <row r="163" spans="1:14" x14ac:dyDescent="0.25">
      <c r="A163" t="s">
        <v>170</v>
      </c>
      <c r="B163" s="122">
        <v>8549</v>
      </c>
      <c r="C163" s="152">
        <v>-11.27</v>
      </c>
      <c r="D163">
        <v>21.6</v>
      </c>
      <c r="E163" s="134">
        <v>41843</v>
      </c>
      <c r="F163" s="2">
        <v>4.0999999999999996</v>
      </c>
      <c r="G163" s="135">
        <v>1097183683</v>
      </c>
      <c r="I163" s="136" t="s">
        <v>222</v>
      </c>
      <c r="J163" s="137" t="s">
        <v>693</v>
      </c>
      <c r="K163" s="138">
        <v>0</v>
      </c>
      <c r="L163" s="137" t="s">
        <v>693</v>
      </c>
      <c r="M163" s="143" t="s">
        <v>693</v>
      </c>
      <c r="N163" s="138"/>
    </row>
    <row r="164" spans="1:14" x14ac:dyDescent="0.25">
      <c r="A164" t="s">
        <v>171</v>
      </c>
      <c r="B164" s="122">
        <v>49312</v>
      </c>
      <c r="C164" s="152">
        <v>-16.510000000000002</v>
      </c>
      <c r="D164">
        <v>18.5</v>
      </c>
      <c r="E164" s="134">
        <v>49376</v>
      </c>
      <c r="F164" s="2">
        <v>3.7</v>
      </c>
      <c r="G164" s="135">
        <v>4917418165</v>
      </c>
      <c r="I164" s="136" t="s">
        <v>223</v>
      </c>
      <c r="J164" s="137" t="s">
        <v>694</v>
      </c>
      <c r="K164" s="138">
        <v>6</v>
      </c>
      <c r="L164" s="137" t="s">
        <v>693</v>
      </c>
      <c r="M164" s="143" t="s">
        <v>693</v>
      </c>
      <c r="N164" s="138"/>
    </row>
    <row r="165" spans="1:14" x14ac:dyDescent="0.25">
      <c r="A165" t="s">
        <v>172</v>
      </c>
      <c r="B165" s="122">
        <v>325101</v>
      </c>
      <c r="C165" s="152">
        <v>6.08</v>
      </c>
      <c r="D165">
        <v>12.3</v>
      </c>
      <c r="E165" s="134">
        <v>74927</v>
      </c>
      <c r="F165" s="2">
        <v>3.2</v>
      </c>
      <c r="G165" s="135">
        <v>49283777519</v>
      </c>
      <c r="I165" s="136" t="s">
        <v>224</v>
      </c>
      <c r="J165" s="137" t="s">
        <v>693</v>
      </c>
      <c r="K165" s="138">
        <v>6</v>
      </c>
      <c r="L165" s="137" t="s">
        <v>693</v>
      </c>
      <c r="M165" s="143" t="s">
        <v>693</v>
      </c>
      <c r="N165" s="138"/>
    </row>
    <row r="166" spans="1:14" x14ac:dyDescent="0.25">
      <c r="A166" t="s">
        <v>173</v>
      </c>
      <c r="B166" s="122">
        <v>284094</v>
      </c>
      <c r="C166" s="152">
        <v>7.49</v>
      </c>
      <c r="D166">
        <v>12.6</v>
      </c>
      <c r="E166" s="134">
        <v>74710</v>
      </c>
      <c r="F166" s="2">
        <v>3.2</v>
      </c>
      <c r="G166" s="135">
        <v>40250580661</v>
      </c>
      <c r="I166" s="136" t="s">
        <v>229</v>
      </c>
      <c r="J166" s="137" t="s">
        <v>693</v>
      </c>
      <c r="K166" s="138">
        <v>1</v>
      </c>
      <c r="L166" s="137" t="s">
        <v>693</v>
      </c>
      <c r="M166" s="143" t="s">
        <v>693</v>
      </c>
      <c r="N166" s="138"/>
    </row>
    <row r="167" spans="1:14" x14ac:dyDescent="0.25">
      <c r="A167" t="s">
        <v>174</v>
      </c>
      <c r="B167" s="122">
        <v>358</v>
      </c>
      <c r="C167" s="152">
        <v>54.98</v>
      </c>
      <c r="D167">
        <v>15.4</v>
      </c>
      <c r="E167" s="134">
        <v>41935</v>
      </c>
      <c r="F167" s="2">
        <v>3.9</v>
      </c>
      <c r="G167" s="135">
        <v>12906701</v>
      </c>
      <c r="I167" s="136" t="s">
        <v>230</v>
      </c>
      <c r="J167" s="137" t="s">
        <v>694</v>
      </c>
      <c r="K167" s="138">
        <v>7</v>
      </c>
      <c r="L167" s="137" t="s">
        <v>693</v>
      </c>
      <c r="M167" s="143" t="s">
        <v>693</v>
      </c>
      <c r="N167" s="138"/>
    </row>
    <row r="168" spans="1:14" x14ac:dyDescent="0.25">
      <c r="A168" t="s">
        <v>175</v>
      </c>
      <c r="B168" s="122">
        <v>337</v>
      </c>
      <c r="C168" s="152">
        <v>-45.82</v>
      </c>
      <c r="D168">
        <v>9.5</v>
      </c>
      <c r="E168" s="134">
        <v>31731</v>
      </c>
      <c r="F168" s="2">
        <v>4.4000000000000004</v>
      </c>
      <c r="G168" s="135">
        <v>18113458</v>
      </c>
      <c r="I168" s="139" t="s">
        <v>231</v>
      </c>
      <c r="J168" s="137" t="s">
        <v>693</v>
      </c>
      <c r="K168" s="138">
        <v>4</v>
      </c>
      <c r="L168" s="137" t="s">
        <v>693</v>
      </c>
      <c r="M168" s="143" t="s">
        <v>693</v>
      </c>
      <c r="N168" s="138"/>
    </row>
    <row r="169" spans="1:14" x14ac:dyDescent="0.25">
      <c r="A169" t="s">
        <v>176</v>
      </c>
      <c r="B169" s="122">
        <v>741</v>
      </c>
      <c r="C169" s="152">
        <v>23.09</v>
      </c>
      <c r="D169">
        <v>11.4</v>
      </c>
      <c r="E169" s="134">
        <v>79375</v>
      </c>
      <c r="F169" s="2">
        <v>3.4</v>
      </c>
      <c r="G169" s="135">
        <v>46759647</v>
      </c>
      <c r="I169" s="136" t="s">
        <v>232</v>
      </c>
      <c r="J169" s="137" t="s">
        <v>694</v>
      </c>
      <c r="K169" s="138">
        <v>7</v>
      </c>
      <c r="L169" s="137" t="s">
        <v>693</v>
      </c>
      <c r="M169" s="143" t="s">
        <v>693</v>
      </c>
      <c r="N169" s="138"/>
    </row>
    <row r="170" spans="1:14" x14ac:dyDescent="0.25">
      <c r="A170" t="s">
        <v>177</v>
      </c>
      <c r="B170" s="122">
        <v>322</v>
      </c>
      <c r="C170" s="152">
        <v>9.15</v>
      </c>
      <c r="D170">
        <v>41.6</v>
      </c>
      <c r="E170" s="134">
        <v>28500</v>
      </c>
      <c r="F170" s="2">
        <v>6.5</v>
      </c>
      <c r="G170" s="134" t="e">
        <f>NA()</f>
        <v>#N/A</v>
      </c>
      <c r="I170" s="136" t="s">
        <v>233</v>
      </c>
      <c r="J170" s="137" t="s">
        <v>693</v>
      </c>
      <c r="K170" s="138">
        <v>1</v>
      </c>
      <c r="L170" s="137" t="s">
        <v>693</v>
      </c>
      <c r="M170" s="143" t="s">
        <v>693</v>
      </c>
      <c r="N170" s="138"/>
    </row>
    <row r="171" spans="1:14" x14ac:dyDescent="0.25">
      <c r="A171" t="s">
        <v>178</v>
      </c>
      <c r="B171" s="122">
        <v>1216</v>
      </c>
      <c r="C171" s="152">
        <v>-20.88</v>
      </c>
      <c r="D171">
        <v>30.5</v>
      </c>
      <c r="E171" s="134">
        <v>37917</v>
      </c>
      <c r="F171" s="2">
        <v>3.7</v>
      </c>
      <c r="G171" s="135">
        <v>129125775</v>
      </c>
      <c r="I171" s="136" t="s">
        <v>234</v>
      </c>
      <c r="J171" s="137" t="s">
        <v>694</v>
      </c>
      <c r="K171" s="138">
        <v>5</v>
      </c>
      <c r="L171" s="137" t="s">
        <v>693</v>
      </c>
      <c r="M171" s="143" t="s">
        <v>693</v>
      </c>
      <c r="N171" s="138"/>
    </row>
    <row r="172" spans="1:14" x14ac:dyDescent="0.25">
      <c r="A172" t="s">
        <v>811</v>
      </c>
      <c r="B172" s="122">
        <v>3659</v>
      </c>
      <c r="C172" s="152">
        <v>-1.03</v>
      </c>
      <c r="D172">
        <v>9.6999999999999993</v>
      </c>
      <c r="E172" s="134">
        <v>68646</v>
      </c>
      <c r="F172" s="2">
        <v>5.2</v>
      </c>
      <c r="G172" s="135">
        <v>363483755</v>
      </c>
      <c r="I172" s="136" t="s">
        <v>235</v>
      </c>
      <c r="J172" s="137" t="s">
        <v>694</v>
      </c>
      <c r="K172" s="138">
        <v>6</v>
      </c>
      <c r="L172" s="137" t="s">
        <v>693</v>
      </c>
      <c r="M172" s="143" t="s">
        <v>693</v>
      </c>
      <c r="N172" s="138"/>
    </row>
    <row r="173" spans="1:14" x14ac:dyDescent="0.25">
      <c r="A173" t="s">
        <v>179</v>
      </c>
      <c r="B173" s="122">
        <v>15349</v>
      </c>
      <c r="C173" s="152">
        <v>1.51</v>
      </c>
      <c r="D173">
        <v>22.2</v>
      </c>
      <c r="E173" s="134">
        <v>43607</v>
      </c>
      <c r="F173" s="2">
        <v>4.2</v>
      </c>
      <c r="G173" s="135">
        <v>1068343485</v>
      </c>
      <c r="I173" s="136" t="s">
        <v>236</v>
      </c>
      <c r="J173" s="137" t="s">
        <v>694</v>
      </c>
      <c r="K173" s="138">
        <v>2</v>
      </c>
      <c r="L173" s="137" t="s">
        <v>693</v>
      </c>
      <c r="M173" s="143" t="s">
        <v>693</v>
      </c>
      <c r="N173" s="138"/>
    </row>
    <row r="174" spans="1:14" x14ac:dyDescent="0.25">
      <c r="A174" t="s">
        <v>180</v>
      </c>
      <c r="B174" s="122">
        <v>4512</v>
      </c>
      <c r="C174" s="152">
        <v>-4.6900000000000004</v>
      </c>
      <c r="D174">
        <v>36.6</v>
      </c>
      <c r="E174" s="134">
        <v>46979</v>
      </c>
      <c r="F174" s="2">
        <v>4.0999999999999996</v>
      </c>
      <c r="G174" s="135">
        <v>646907581</v>
      </c>
      <c r="I174" s="136" t="s">
        <v>237</v>
      </c>
      <c r="J174" s="137" t="s">
        <v>693</v>
      </c>
      <c r="K174" s="138">
        <v>5</v>
      </c>
      <c r="L174" s="137" t="s">
        <v>693</v>
      </c>
      <c r="M174" s="143" t="s">
        <v>693</v>
      </c>
      <c r="N174" s="138"/>
    </row>
    <row r="175" spans="1:14" x14ac:dyDescent="0.25">
      <c r="A175" t="s">
        <v>181</v>
      </c>
      <c r="B175" s="122">
        <v>49067</v>
      </c>
      <c r="C175" s="152">
        <v>-8</v>
      </c>
      <c r="D175">
        <v>22</v>
      </c>
      <c r="E175" s="134">
        <v>46370</v>
      </c>
      <c r="F175" s="2">
        <v>6.6</v>
      </c>
      <c r="G175" s="135">
        <v>3467739664</v>
      </c>
      <c r="I175" s="136" t="s">
        <v>238</v>
      </c>
      <c r="J175" s="137" t="s">
        <v>693</v>
      </c>
      <c r="K175" s="138">
        <v>3</v>
      </c>
      <c r="L175" s="137" t="s">
        <v>693</v>
      </c>
      <c r="M175" s="143" t="s">
        <v>693</v>
      </c>
      <c r="N175" s="138"/>
    </row>
    <row r="176" spans="1:14" x14ac:dyDescent="0.25">
      <c r="A176" t="s">
        <v>182</v>
      </c>
      <c r="B176" s="122">
        <v>18570</v>
      </c>
      <c r="C176" s="152">
        <v>5.49</v>
      </c>
      <c r="D176">
        <v>19</v>
      </c>
      <c r="E176" s="134">
        <v>50155</v>
      </c>
      <c r="F176" s="2">
        <v>4.1500000000000004</v>
      </c>
      <c r="G176" s="135">
        <v>1729480928</v>
      </c>
      <c r="I176" s="136" t="s">
        <v>240</v>
      </c>
      <c r="J176" s="137" t="s">
        <v>693</v>
      </c>
      <c r="K176" s="138">
        <v>1</v>
      </c>
      <c r="L176" s="137" t="s">
        <v>693</v>
      </c>
      <c r="M176" s="143" t="s">
        <v>693</v>
      </c>
      <c r="N176" s="138"/>
    </row>
    <row r="177" spans="1:14" x14ac:dyDescent="0.25">
      <c r="A177" t="s">
        <v>183</v>
      </c>
      <c r="B177" s="122">
        <v>3304</v>
      </c>
      <c r="C177" s="152">
        <v>-6.27</v>
      </c>
      <c r="D177">
        <v>42.1</v>
      </c>
      <c r="E177" s="134">
        <v>24081</v>
      </c>
      <c r="F177" s="2">
        <v>4.4000000000000004</v>
      </c>
      <c r="G177" s="135">
        <v>319792229</v>
      </c>
      <c r="I177" s="136" t="s">
        <v>242</v>
      </c>
      <c r="J177" s="137" t="s">
        <v>693</v>
      </c>
      <c r="K177" s="138">
        <v>4</v>
      </c>
      <c r="L177" s="137" t="s">
        <v>693</v>
      </c>
      <c r="M177" s="143" t="s">
        <v>693</v>
      </c>
      <c r="N177" s="138"/>
    </row>
    <row r="178" spans="1:14" x14ac:dyDescent="0.25">
      <c r="A178" t="s">
        <v>184</v>
      </c>
      <c r="B178" s="122">
        <v>511</v>
      </c>
      <c r="C178" s="152">
        <v>-29.52</v>
      </c>
      <c r="D178">
        <v>23.3</v>
      </c>
      <c r="E178" s="134">
        <v>45455</v>
      </c>
      <c r="F178" s="2">
        <v>3.3</v>
      </c>
      <c r="G178" s="135">
        <v>36122040</v>
      </c>
      <c r="I178" s="136" t="s">
        <v>246</v>
      </c>
      <c r="J178" s="137" t="s">
        <v>694</v>
      </c>
      <c r="K178" s="138">
        <v>6</v>
      </c>
      <c r="L178" s="137" t="s">
        <v>693</v>
      </c>
      <c r="M178" s="143" t="s">
        <v>693</v>
      </c>
      <c r="N178" s="138"/>
    </row>
    <row r="179" spans="1:14" x14ac:dyDescent="0.25">
      <c r="A179" t="s">
        <v>185</v>
      </c>
      <c r="B179" s="122">
        <v>4026</v>
      </c>
      <c r="C179" s="152">
        <v>-3.66</v>
      </c>
      <c r="D179">
        <v>24.3</v>
      </c>
      <c r="E179" s="134">
        <v>57711</v>
      </c>
      <c r="F179" s="2">
        <v>3.7</v>
      </c>
      <c r="G179" s="135">
        <v>530986409</v>
      </c>
      <c r="I179" s="136" t="s">
        <v>247</v>
      </c>
      <c r="J179" s="137" t="s">
        <v>694</v>
      </c>
      <c r="K179" s="138">
        <v>7</v>
      </c>
      <c r="L179" s="137" t="s">
        <v>693</v>
      </c>
      <c r="M179" s="143" t="s">
        <v>693</v>
      </c>
      <c r="N179" s="138"/>
    </row>
    <row r="180" spans="1:14" x14ac:dyDescent="0.25">
      <c r="A180" t="s">
        <v>186</v>
      </c>
      <c r="B180" s="122">
        <v>944</v>
      </c>
      <c r="C180" s="152">
        <v>35.83</v>
      </c>
      <c r="D180">
        <v>22.6</v>
      </c>
      <c r="E180" s="134">
        <v>47727</v>
      </c>
      <c r="F180" s="2">
        <v>4.8</v>
      </c>
      <c r="G180" s="135">
        <v>33948087</v>
      </c>
      <c r="I180" s="136" t="s">
        <v>248</v>
      </c>
      <c r="J180" s="137" t="s">
        <v>694</v>
      </c>
      <c r="K180" s="138">
        <v>3</v>
      </c>
      <c r="L180" s="137" t="s">
        <v>693</v>
      </c>
      <c r="M180" s="143" t="s">
        <v>693</v>
      </c>
      <c r="N180" s="138"/>
    </row>
    <row r="181" spans="1:14" x14ac:dyDescent="0.25">
      <c r="A181" t="s">
        <v>187</v>
      </c>
      <c r="B181" s="122">
        <v>1156</v>
      </c>
      <c r="C181" s="152">
        <v>34.11</v>
      </c>
      <c r="D181">
        <v>17.600000000000001</v>
      </c>
      <c r="E181" s="134">
        <v>45654</v>
      </c>
      <c r="F181" s="2">
        <v>5.0999999999999996</v>
      </c>
      <c r="G181" s="135">
        <v>40073270</v>
      </c>
      <c r="I181" s="136" t="s">
        <v>249</v>
      </c>
      <c r="J181" s="137" t="s">
        <v>693</v>
      </c>
      <c r="K181" s="138">
        <v>3</v>
      </c>
      <c r="L181" s="137" t="s">
        <v>693</v>
      </c>
      <c r="M181" s="143" t="s">
        <v>693</v>
      </c>
      <c r="N181" s="138"/>
    </row>
    <row r="182" spans="1:14" x14ac:dyDescent="0.25">
      <c r="A182" t="s">
        <v>188</v>
      </c>
      <c r="B182" s="122">
        <v>1157</v>
      </c>
      <c r="C182" s="152">
        <v>-14.93</v>
      </c>
      <c r="D182">
        <v>20.7</v>
      </c>
      <c r="E182" s="134">
        <v>48125</v>
      </c>
      <c r="F182" s="2">
        <v>5.2</v>
      </c>
      <c r="G182" s="135">
        <v>72405050</v>
      </c>
      <c r="I182" s="136" t="s">
        <v>250</v>
      </c>
      <c r="J182" s="137" t="s">
        <v>693</v>
      </c>
      <c r="K182" s="138">
        <v>1</v>
      </c>
      <c r="L182" s="137" t="s">
        <v>693</v>
      </c>
      <c r="M182" s="143" t="s">
        <v>693</v>
      </c>
      <c r="N182" s="138"/>
    </row>
    <row r="183" spans="1:14" x14ac:dyDescent="0.25">
      <c r="A183" t="s">
        <v>189</v>
      </c>
      <c r="B183" s="122">
        <v>11161</v>
      </c>
      <c r="C183" s="152">
        <v>1.39</v>
      </c>
      <c r="D183">
        <v>25</v>
      </c>
      <c r="E183" s="134">
        <v>73597</v>
      </c>
      <c r="F183" s="2">
        <v>3.7</v>
      </c>
      <c r="G183" s="135">
        <v>669898877</v>
      </c>
      <c r="I183" s="139" t="s">
        <v>251</v>
      </c>
      <c r="J183" s="137" t="s">
        <v>693</v>
      </c>
      <c r="K183" s="138">
        <v>2</v>
      </c>
      <c r="L183" s="137" t="s">
        <v>693</v>
      </c>
      <c r="M183" s="143" t="s">
        <v>693</v>
      </c>
      <c r="N183" s="138"/>
    </row>
    <row r="184" spans="1:14" x14ac:dyDescent="0.25">
      <c r="A184" t="s">
        <v>190</v>
      </c>
      <c r="B184" s="122">
        <v>3870</v>
      </c>
      <c r="C184" s="152">
        <v>4.62</v>
      </c>
      <c r="D184">
        <v>3.3</v>
      </c>
      <c r="E184" s="134">
        <v>85982</v>
      </c>
      <c r="F184" s="2">
        <v>3.5</v>
      </c>
      <c r="G184" s="135">
        <v>3177405897</v>
      </c>
      <c r="I184" s="136" t="s">
        <v>252</v>
      </c>
      <c r="J184" s="137" t="s">
        <v>694</v>
      </c>
      <c r="K184" s="138">
        <v>7</v>
      </c>
      <c r="L184" s="137" t="s">
        <v>693</v>
      </c>
      <c r="M184" s="143" t="s">
        <v>693</v>
      </c>
      <c r="N184" s="138"/>
    </row>
    <row r="185" spans="1:14" x14ac:dyDescent="0.25">
      <c r="A185" t="s">
        <v>191</v>
      </c>
      <c r="B185" s="122">
        <v>1967</v>
      </c>
      <c r="C185" s="152">
        <v>-15.29</v>
      </c>
      <c r="D185">
        <v>31.3</v>
      </c>
      <c r="E185" s="134">
        <v>19853</v>
      </c>
      <c r="F185" s="2">
        <v>5.7</v>
      </c>
      <c r="G185" s="135">
        <v>91043754</v>
      </c>
      <c r="I185" s="136" t="s">
        <v>253</v>
      </c>
      <c r="J185" s="137" t="s">
        <v>693</v>
      </c>
      <c r="K185" s="138">
        <v>12</v>
      </c>
      <c r="L185" s="137" t="s">
        <v>693</v>
      </c>
      <c r="M185" s="143" t="s">
        <v>693</v>
      </c>
      <c r="N185" s="138"/>
    </row>
    <row r="186" spans="1:14" x14ac:dyDescent="0.25">
      <c r="A186" t="s">
        <v>193</v>
      </c>
      <c r="B186" s="122">
        <v>4606</v>
      </c>
      <c r="C186" s="152">
        <v>-7.06</v>
      </c>
      <c r="D186">
        <v>13.1</v>
      </c>
      <c r="E186" s="134">
        <v>49245</v>
      </c>
      <c r="F186" s="2">
        <v>4.0999999999999996</v>
      </c>
      <c r="G186" s="135">
        <v>366312577</v>
      </c>
      <c r="I186" s="136" t="s">
        <v>254</v>
      </c>
      <c r="J186" s="137" t="s">
        <v>694</v>
      </c>
      <c r="K186" s="138">
        <v>9</v>
      </c>
      <c r="L186" s="137" t="s">
        <v>693</v>
      </c>
      <c r="M186" s="143" t="s">
        <v>693</v>
      </c>
      <c r="N186" s="138"/>
    </row>
    <row r="187" spans="1:14" x14ac:dyDescent="0.25">
      <c r="A187" t="s">
        <v>194</v>
      </c>
      <c r="B187" s="122">
        <v>217</v>
      </c>
      <c r="C187" s="152">
        <v>-2.25</v>
      </c>
      <c r="D187">
        <v>4.5999999999999996</v>
      </c>
      <c r="E187" s="134">
        <v>55625</v>
      </c>
      <c r="F187" s="2">
        <v>4.0999999999999996</v>
      </c>
      <c r="G187" s="134" t="e">
        <f>NA()</f>
        <v>#N/A</v>
      </c>
      <c r="I187" s="136" t="s">
        <v>256</v>
      </c>
      <c r="J187" s="137" t="s">
        <v>693</v>
      </c>
      <c r="K187" s="138">
        <v>6</v>
      </c>
      <c r="L187" s="137" t="s">
        <v>693</v>
      </c>
      <c r="M187" s="143" t="s">
        <v>693</v>
      </c>
      <c r="N187" s="138"/>
    </row>
    <row r="188" spans="1:14" x14ac:dyDescent="0.25">
      <c r="A188" t="s">
        <v>195</v>
      </c>
      <c r="B188" s="122">
        <v>269</v>
      </c>
      <c r="C188" s="152">
        <v>93.53</v>
      </c>
      <c r="D188">
        <v>10.8</v>
      </c>
      <c r="E188" s="134">
        <v>55000</v>
      </c>
      <c r="F188" s="2">
        <v>4.5</v>
      </c>
      <c r="G188" s="135">
        <v>8045839</v>
      </c>
      <c r="I188" s="136" t="s">
        <v>257</v>
      </c>
      <c r="J188" s="137" t="s">
        <v>694</v>
      </c>
      <c r="K188" s="138">
        <v>2</v>
      </c>
      <c r="L188" s="137" t="s">
        <v>693</v>
      </c>
      <c r="M188" s="143" t="s">
        <v>693</v>
      </c>
      <c r="N188" s="138"/>
    </row>
    <row r="189" spans="1:14" x14ac:dyDescent="0.25">
      <c r="A189" t="s">
        <v>196</v>
      </c>
      <c r="B189" s="122">
        <v>437</v>
      </c>
      <c r="C189" s="152">
        <v>-26.43</v>
      </c>
      <c r="D189">
        <v>19.7</v>
      </c>
      <c r="E189" s="134">
        <v>25500</v>
      </c>
      <c r="F189" s="2">
        <v>4.3</v>
      </c>
      <c r="G189" s="135">
        <v>44656325</v>
      </c>
      <c r="I189" s="136" t="s">
        <v>258</v>
      </c>
      <c r="J189" s="137" t="s">
        <v>694</v>
      </c>
      <c r="K189" s="138">
        <v>7</v>
      </c>
      <c r="L189" s="137" t="s">
        <v>693</v>
      </c>
      <c r="M189" s="143" t="s">
        <v>693</v>
      </c>
      <c r="N189" s="138"/>
    </row>
    <row r="190" spans="1:14" x14ac:dyDescent="0.25">
      <c r="A190" t="s">
        <v>197</v>
      </c>
      <c r="B190" s="122">
        <v>2519</v>
      </c>
      <c r="C190" s="152">
        <v>-5.12</v>
      </c>
      <c r="D190">
        <v>33.9</v>
      </c>
      <c r="E190" s="134">
        <v>31731</v>
      </c>
      <c r="F190" s="2">
        <v>5.6</v>
      </c>
      <c r="G190" s="135">
        <v>122137662</v>
      </c>
      <c r="I190" s="136" t="s">
        <v>259</v>
      </c>
      <c r="J190" s="137" t="s">
        <v>693</v>
      </c>
      <c r="K190" s="138">
        <v>7</v>
      </c>
      <c r="L190" s="137" t="s">
        <v>693</v>
      </c>
      <c r="M190" s="143" t="s">
        <v>693</v>
      </c>
      <c r="N190" s="138"/>
    </row>
    <row r="191" spans="1:14" x14ac:dyDescent="0.25">
      <c r="A191" t="s">
        <v>198</v>
      </c>
      <c r="B191" s="122">
        <v>3512</v>
      </c>
      <c r="C191" s="152">
        <v>-5.1100000000000003</v>
      </c>
      <c r="D191">
        <v>6</v>
      </c>
      <c r="E191" s="134">
        <v>85441</v>
      </c>
      <c r="F191" s="2">
        <v>3.2</v>
      </c>
      <c r="G191" s="135">
        <v>643504630</v>
      </c>
      <c r="I191" s="136" t="s">
        <v>260</v>
      </c>
      <c r="J191" s="137" t="s">
        <v>693</v>
      </c>
      <c r="K191" s="138">
        <v>1</v>
      </c>
      <c r="L191" s="137" t="s">
        <v>693</v>
      </c>
      <c r="M191" s="143" t="s">
        <v>693</v>
      </c>
      <c r="N191" s="138"/>
    </row>
    <row r="192" spans="1:14" x14ac:dyDescent="0.25">
      <c r="A192" t="s">
        <v>199</v>
      </c>
      <c r="B192" s="122">
        <v>950</v>
      </c>
      <c r="C192" s="152">
        <v>-22.58</v>
      </c>
      <c r="D192">
        <v>30.7</v>
      </c>
      <c r="E192" s="134">
        <v>43194</v>
      </c>
      <c r="F192" s="2">
        <v>3.7</v>
      </c>
      <c r="G192" s="135">
        <v>63858909</v>
      </c>
      <c r="I192" s="136" t="s">
        <v>261</v>
      </c>
      <c r="J192" s="137" t="s">
        <v>693</v>
      </c>
      <c r="K192" s="138">
        <v>2</v>
      </c>
      <c r="L192" s="137" t="s">
        <v>693</v>
      </c>
      <c r="M192" s="143" t="s">
        <v>693</v>
      </c>
      <c r="N192" s="138"/>
    </row>
    <row r="193" spans="1:14" x14ac:dyDescent="0.25">
      <c r="A193" t="s">
        <v>200</v>
      </c>
      <c r="B193" s="122">
        <v>1096</v>
      </c>
      <c r="C193" s="152">
        <v>32.049999999999997</v>
      </c>
      <c r="D193">
        <v>2</v>
      </c>
      <c r="E193" s="134">
        <v>123456</v>
      </c>
      <c r="F193" s="2">
        <v>3.7</v>
      </c>
      <c r="G193" s="135">
        <v>77893185</v>
      </c>
      <c r="I193" s="136" t="s">
        <v>262</v>
      </c>
      <c r="J193" s="137" t="s">
        <v>694</v>
      </c>
      <c r="K193" s="138">
        <v>7</v>
      </c>
      <c r="L193" s="137" t="s">
        <v>693</v>
      </c>
      <c r="M193" s="143" t="s">
        <v>693</v>
      </c>
      <c r="N193" s="138"/>
    </row>
    <row r="194" spans="1:14" x14ac:dyDescent="0.25">
      <c r="A194" t="s">
        <v>201</v>
      </c>
      <c r="B194" s="122">
        <v>186</v>
      </c>
      <c r="C194" s="152">
        <v>-11</v>
      </c>
      <c r="D194">
        <v>32.6</v>
      </c>
      <c r="E194" s="134">
        <v>71786</v>
      </c>
      <c r="F194" s="2">
        <v>4.5</v>
      </c>
      <c r="G194" s="135">
        <v>18313225</v>
      </c>
      <c r="I194" s="136" t="s">
        <v>263</v>
      </c>
      <c r="J194" s="137" t="s">
        <v>693</v>
      </c>
      <c r="K194" s="138">
        <v>2</v>
      </c>
      <c r="L194" s="137" t="s">
        <v>693</v>
      </c>
      <c r="M194" s="143" t="s">
        <v>693</v>
      </c>
      <c r="N194" s="138"/>
    </row>
    <row r="195" spans="1:14" x14ac:dyDescent="0.25">
      <c r="A195" t="s">
        <v>202</v>
      </c>
      <c r="B195" s="122">
        <v>122</v>
      </c>
      <c r="C195" s="152">
        <v>60.53</v>
      </c>
      <c r="D195">
        <v>5.7</v>
      </c>
      <c r="E195" s="134">
        <v>88504</v>
      </c>
      <c r="F195" s="2">
        <v>4.0999999999999996</v>
      </c>
      <c r="G195" s="135">
        <v>5200611</v>
      </c>
      <c r="I195" s="136" t="s">
        <v>265</v>
      </c>
      <c r="J195" s="137" t="s">
        <v>693</v>
      </c>
      <c r="K195" s="138">
        <v>2</v>
      </c>
      <c r="L195" s="137" t="s">
        <v>693</v>
      </c>
      <c r="M195" s="143" t="s">
        <v>693</v>
      </c>
      <c r="N195" s="138"/>
    </row>
    <row r="196" spans="1:14" x14ac:dyDescent="0.25">
      <c r="A196" t="s">
        <v>203</v>
      </c>
      <c r="B196" s="122">
        <v>670</v>
      </c>
      <c r="C196" s="152">
        <v>25.7</v>
      </c>
      <c r="D196">
        <v>30.6</v>
      </c>
      <c r="E196" s="134">
        <v>44545</v>
      </c>
      <c r="F196" s="2">
        <v>3.9</v>
      </c>
      <c r="G196" s="135">
        <v>53807074</v>
      </c>
      <c r="I196" s="136" t="s">
        <v>266</v>
      </c>
      <c r="J196" s="137" t="s">
        <v>693</v>
      </c>
      <c r="K196" s="138">
        <v>0</v>
      </c>
      <c r="L196" s="137" t="s">
        <v>693</v>
      </c>
      <c r="M196" s="143" t="s">
        <v>693</v>
      </c>
      <c r="N196" s="138"/>
    </row>
    <row r="197" spans="1:14" x14ac:dyDescent="0.25">
      <c r="A197" t="s">
        <v>204</v>
      </c>
      <c r="B197" s="122">
        <v>4474</v>
      </c>
      <c r="C197" s="152">
        <v>-5.01</v>
      </c>
      <c r="D197">
        <v>27</v>
      </c>
      <c r="E197" s="134">
        <v>47604</v>
      </c>
      <c r="F197" s="2">
        <v>4.0999999999999996</v>
      </c>
      <c r="G197" s="135">
        <v>379392076</v>
      </c>
      <c r="I197" s="136" t="s">
        <v>268</v>
      </c>
      <c r="J197" s="137" t="s">
        <v>693</v>
      </c>
      <c r="K197" s="138">
        <v>6</v>
      </c>
      <c r="L197" s="137" t="s">
        <v>693</v>
      </c>
      <c r="M197" s="143" t="s">
        <v>693</v>
      </c>
      <c r="N197" s="138"/>
    </row>
    <row r="198" spans="1:14" x14ac:dyDescent="0.25">
      <c r="A198" t="s">
        <v>205</v>
      </c>
      <c r="B198" s="122">
        <v>208697</v>
      </c>
      <c r="C198" s="152">
        <v>-0.56000000000000005</v>
      </c>
      <c r="D198">
        <v>18.7</v>
      </c>
      <c r="E198" s="134">
        <v>53424</v>
      </c>
      <c r="F198" s="2">
        <v>5.2</v>
      </c>
      <c r="G198" s="135">
        <v>14606182511</v>
      </c>
      <c r="I198" s="136" t="s">
        <v>269</v>
      </c>
      <c r="J198" s="137" t="s">
        <v>693</v>
      </c>
      <c r="K198" s="138">
        <v>3</v>
      </c>
      <c r="L198" s="137" t="s">
        <v>693</v>
      </c>
      <c r="M198" s="143" t="s">
        <v>693</v>
      </c>
      <c r="N198" s="138"/>
    </row>
    <row r="199" spans="1:14" x14ac:dyDescent="0.25">
      <c r="A199" t="s">
        <v>207</v>
      </c>
      <c r="B199" s="122">
        <v>3483</v>
      </c>
      <c r="C199" s="152">
        <v>5.61</v>
      </c>
      <c r="D199">
        <v>6.1</v>
      </c>
      <c r="E199" s="134">
        <v>102039</v>
      </c>
      <c r="F199" s="2">
        <v>3.2</v>
      </c>
      <c r="G199" s="135">
        <v>1056866891</v>
      </c>
      <c r="I199" s="136" t="s">
        <v>274</v>
      </c>
      <c r="J199" s="137" t="s">
        <v>693</v>
      </c>
      <c r="K199" s="138">
        <v>3</v>
      </c>
      <c r="L199" s="137" t="s">
        <v>693</v>
      </c>
      <c r="M199" s="143" t="s">
        <v>693</v>
      </c>
      <c r="N199" s="138"/>
    </row>
    <row r="200" spans="1:14" x14ac:dyDescent="0.25">
      <c r="A200" t="s">
        <v>208</v>
      </c>
      <c r="B200" s="122">
        <v>8000</v>
      </c>
      <c r="C200" s="152">
        <v>0.6</v>
      </c>
      <c r="D200">
        <v>7.3</v>
      </c>
      <c r="E200" s="134">
        <v>74483</v>
      </c>
      <c r="F200" s="2">
        <v>3.2</v>
      </c>
      <c r="G200" s="135">
        <v>1423686792</v>
      </c>
      <c r="I200" s="136" t="s">
        <v>275</v>
      </c>
      <c r="J200" s="137" t="s">
        <v>693</v>
      </c>
      <c r="K200" s="138">
        <v>2</v>
      </c>
      <c r="L200" s="137" t="s">
        <v>693</v>
      </c>
      <c r="M200" s="143" t="s">
        <v>693</v>
      </c>
      <c r="N200" s="138"/>
    </row>
    <row r="201" spans="1:14" x14ac:dyDescent="0.25">
      <c r="A201" t="s">
        <v>209</v>
      </c>
      <c r="B201" s="122">
        <v>11</v>
      </c>
      <c r="C201" s="152">
        <v>10</v>
      </c>
      <c r="D201">
        <v>0</v>
      </c>
      <c r="E201" s="134" t="e">
        <f>NA()</f>
        <v>#N/A</v>
      </c>
      <c r="F201" s="2">
        <v>5.4</v>
      </c>
      <c r="G201" s="135">
        <v>385569</v>
      </c>
      <c r="I201" s="136" t="s">
        <v>276</v>
      </c>
      <c r="J201" s="137" t="s">
        <v>693</v>
      </c>
      <c r="K201" s="138">
        <v>2</v>
      </c>
      <c r="L201" s="137" t="s">
        <v>693</v>
      </c>
      <c r="M201" s="143" t="s">
        <v>693</v>
      </c>
      <c r="N201" s="138"/>
    </row>
    <row r="202" spans="1:14" x14ac:dyDescent="0.25">
      <c r="A202" t="s">
        <v>210</v>
      </c>
      <c r="B202" s="122">
        <v>7357</v>
      </c>
      <c r="C202" s="152">
        <v>2.65</v>
      </c>
      <c r="D202">
        <v>38.9</v>
      </c>
      <c r="E202" s="134">
        <v>35232</v>
      </c>
      <c r="F202" s="2">
        <v>4.8</v>
      </c>
      <c r="G202" s="135">
        <v>1540796727</v>
      </c>
      <c r="I202" s="142" t="s">
        <v>273</v>
      </c>
      <c r="J202" s="137" t="s">
        <v>693</v>
      </c>
      <c r="K202" s="138">
        <v>6</v>
      </c>
      <c r="L202" s="137" t="s">
        <v>693</v>
      </c>
      <c r="M202" s="143" t="s">
        <v>693</v>
      </c>
      <c r="N202" s="138"/>
    </row>
    <row r="203" spans="1:14" x14ac:dyDescent="0.25">
      <c r="A203" t="s">
        <v>211</v>
      </c>
      <c r="B203" s="122">
        <v>344</v>
      </c>
      <c r="C203" s="152">
        <v>26.01</v>
      </c>
      <c r="D203">
        <v>24.4</v>
      </c>
      <c r="E203" s="134">
        <v>89063</v>
      </c>
      <c r="F203" s="2">
        <v>3.9</v>
      </c>
      <c r="G203" s="135">
        <v>37157926</v>
      </c>
      <c r="I203" s="136" t="s">
        <v>277</v>
      </c>
      <c r="J203" s="137" t="s">
        <v>694</v>
      </c>
      <c r="K203" s="138">
        <v>10</v>
      </c>
      <c r="L203" s="137" t="s">
        <v>693</v>
      </c>
      <c r="M203" s="143" t="s">
        <v>693</v>
      </c>
      <c r="N203" s="138"/>
    </row>
    <row r="204" spans="1:14" x14ac:dyDescent="0.25">
      <c r="A204" t="s">
        <v>213</v>
      </c>
      <c r="B204" s="122">
        <v>383739</v>
      </c>
      <c r="C204" s="152">
        <v>3.27</v>
      </c>
      <c r="D204">
        <v>15.2</v>
      </c>
      <c r="E204" s="134">
        <v>61229</v>
      </c>
      <c r="F204" s="2">
        <v>3.8</v>
      </c>
      <c r="G204" s="135">
        <v>44296395695</v>
      </c>
      <c r="I204" s="136" t="s">
        <v>278</v>
      </c>
      <c r="J204" s="137" t="s">
        <v>693</v>
      </c>
      <c r="K204" s="138">
        <v>1</v>
      </c>
      <c r="L204" s="137" t="s">
        <v>693</v>
      </c>
      <c r="M204" s="143" t="s">
        <v>693</v>
      </c>
      <c r="N204" s="138"/>
    </row>
    <row r="205" spans="1:14" x14ac:dyDescent="0.25">
      <c r="A205" t="s">
        <v>214</v>
      </c>
      <c r="B205" s="122">
        <v>299</v>
      </c>
      <c r="C205" s="152">
        <v>-12.32</v>
      </c>
      <c r="D205">
        <v>52.8</v>
      </c>
      <c r="E205" s="134">
        <v>22250</v>
      </c>
      <c r="F205" s="2">
        <v>4.0999999999999996</v>
      </c>
      <c r="G205" s="135">
        <v>28663141</v>
      </c>
      <c r="I205" s="136" t="s">
        <v>279</v>
      </c>
      <c r="J205" s="137" t="s">
        <v>693</v>
      </c>
      <c r="K205" s="138">
        <v>2</v>
      </c>
      <c r="L205" s="137" t="s">
        <v>693</v>
      </c>
      <c r="M205" s="143" t="s">
        <v>693</v>
      </c>
      <c r="N205" s="138"/>
    </row>
    <row r="206" spans="1:14" x14ac:dyDescent="0.25">
      <c r="A206" t="s">
        <v>215</v>
      </c>
      <c r="B206" s="122">
        <v>2269</v>
      </c>
      <c r="C206" s="152">
        <v>5.09</v>
      </c>
      <c r="D206">
        <v>11.9</v>
      </c>
      <c r="E206" s="134">
        <v>66014</v>
      </c>
      <c r="F206" s="2">
        <v>3.3</v>
      </c>
      <c r="G206" s="135">
        <v>269620080</v>
      </c>
      <c r="I206" s="136" t="s">
        <v>280</v>
      </c>
      <c r="J206" s="137" t="s">
        <v>693</v>
      </c>
      <c r="K206" s="138">
        <v>4</v>
      </c>
      <c r="L206" s="137" t="s">
        <v>693</v>
      </c>
      <c r="M206" s="143" t="s">
        <v>693</v>
      </c>
      <c r="N206" s="138"/>
    </row>
    <row r="207" spans="1:14" x14ac:dyDescent="0.25">
      <c r="A207" t="s">
        <v>216</v>
      </c>
      <c r="B207" s="122">
        <v>1588</v>
      </c>
      <c r="C207" s="152">
        <v>33.56</v>
      </c>
      <c r="D207">
        <v>1.3</v>
      </c>
      <c r="E207" s="134">
        <v>69782</v>
      </c>
      <c r="F207" s="2">
        <v>3.7</v>
      </c>
      <c r="G207" s="135">
        <v>216276649</v>
      </c>
      <c r="I207" s="136" t="s">
        <v>281</v>
      </c>
      <c r="J207" s="137" t="s">
        <v>693</v>
      </c>
      <c r="K207" s="138">
        <v>3</v>
      </c>
      <c r="L207" s="137" t="s">
        <v>693</v>
      </c>
      <c r="M207" s="143" t="s">
        <v>693</v>
      </c>
      <c r="N207" s="138"/>
    </row>
    <row r="208" spans="1:14" x14ac:dyDescent="0.25">
      <c r="A208" t="s">
        <v>217</v>
      </c>
      <c r="B208" s="122">
        <v>69680</v>
      </c>
      <c r="C208" s="152">
        <v>7.36</v>
      </c>
      <c r="D208">
        <v>9.6999999999999993</v>
      </c>
      <c r="E208" s="134">
        <v>70493</v>
      </c>
      <c r="F208" s="2">
        <v>3.7</v>
      </c>
      <c r="G208" s="135">
        <v>7178344301</v>
      </c>
      <c r="I208" s="136" t="s">
        <v>283</v>
      </c>
      <c r="J208" s="137" t="s">
        <v>693</v>
      </c>
      <c r="K208" s="138">
        <v>2</v>
      </c>
      <c r="L208" s="137" t="s">
        <v>693</v>
      </c>
      <c r="M208" s="143" t="s">
        <v>693</v>
      </c>
      <c r="N208" s="138"/>
    </row>
    <row r="209" spans="1:14" x14ac:dyDescent="0.25">
      <c r="A209" t="s">
        <v>218</v>
      </c>
      <c r="B209" s="122">
        <v>4184</v>
      </c>
      <c r="C209" s="152">
        <v>6.11</v>
      </c>
      <c r="D209">
        <v>22.9</v>
      </c>
      <c r="E209" s="134">
        <v>38947</v>
      </c>
      <c r="F209" s="2">
        <v>3.5</v>
      </c>
      <c r="G209" s="135">
        <v>784609130</v>
      </c>
      <c r="I209" s="136" t="s">
        <v>284</v>
      </c>
      <c r="J209" s="137" t="s">
        <v>694</v>
      </c>
      <c r="K209" s="138">
        <v>6</v>
      </c>
      <c r="L209" s="137" t="s">
        <v>693</v>
      </c>
      <c r="M209" s="143" t="s">
        <v>693</v>
      </c>
      <c r="N209" s="138"/>
    </row>
    <row r="210" spans="1:14" x14ac:dyDescent="0.25">
      <c r="A210" t="s">
        <v>219</v>
      </c>
      <c r="B210" s="122">
        <v>2477</v>
      </c>
      <c r="C210" s="152">
        <v>19.32</v>
      </c>
      <c r="D210">
        <v>15</v>
      </c>
      <c r="E210" s="134">
        <v>59911</v>
      </c>
      <c r="F210" s="2">
        <v>3.7</v>
      </c>
      <c r="G210" s="135">
        <v>180855213</v>
      </c>
      <c r="I210" s="139" t="s">
        <v>285</v>
      </c>
      <c r="J210" s="137" t="s">
        <v>693</v>
      </c>
      <c r="K210" s="138">
        <v>7</v>
      </c>
      <c r="L210" s="137" t="s">
        <v>693</v>
      </c>
      <c r="M210" s="143" t="s">
        <v>693</v>
      </c>
      <c r="N210" s="138"/>
    </row>
    <row r="211" spans="1:14" x14ac:dyDescent="0.25">
      <c r="A211" t="s">
        <v>220</v>
      </c>
      <c r="B211" s="122">
        <v>1245</v>
      </c>
      <c r="C211" s="152">
        <v>12.57</v>
      </c>
      <c r="D211">
        <v>23.3</v>
      </c>
      <c r="E211" s="134">
        <v>38712</v>
      </c>
      <c r="F211" s="2">
        <v>3.7</v>
      </c>
      <c r="G211" s="135">
        <v>49850567</v>
      </c>
      <c r="I211" s="136" t="s">
        <v>286</v>
      </c>
      <c r="J211" s="137" t="s">
        <v>693</v>
      </c>
      <c r="K211" s="138">
        <v>5</v>
      </c>
      <c r="L211" s="137" t="s">
        <v>693</v>
      </c>
      <c r="M211" s="143" t="s">
        <v>693</v>
      </c>
      <c r="N211" s="138"/>
    </row>
    <row r="212" spans="1:14" x14ac:dyDescent="0.25">
      <c r="A212" t="s">
        <v>221</v>
      </c>
      <c r="B212" s="122">
        <v>935</v>
      </c>
      <c r="C212" s="152">
        <v>-21.82</v>
      </c>
      <c r="D212">
        <v>30.2</v>
      </c>
      <c r="E212" s="134">
        <v>44219</v>
      </c>
      <c r="F212" s="2">
        <v>4.0999999999999996</v>
      </c>
      <c r="G212" s="135">
        <v>58826737</v>
      </c>
      <c r="I212" s="136" t="s">
        <v>287</v>
      </c>
      <c r="J212" s="137" t="s">
        <v>693</v>
      </c>
      <c r="K212" s="138">
        <v>5</v>
      </c>
      <c r="L212" s="137" t="s">
        <v>693</v>
      </c>
      <c r="M212" s="143" t="s">
        <v>693</v>
      </c>
      <c r="N212" s="138"/>
    </row>
    <row r="213" spans="1:14" x14ac:dyDescent="0.25">
      <c r="A213" t="s">
        <v>222</v>
      </c>
      <c r="B213" s="122">
        <v>35428</v>
      </c>
      <c r="C213" s="152">
        <v>36.619999999999997</v>
      </c>
      <c r="D213">
        <v>10.6</v>
      </c>
      <c r="E213" s="134">
        <v>94142</v>
      </c>
      <c r="F213" s="2">
        <v>3.1</v>
      </c>
      <c r="G213" s="135">
        <v>5717859850</v>
      </c>
      <c r="I213" s="136" t="s">
        <v>289</v>
      </c>
      <c r="J213" s="137" t="s">
        <v>693</v>
      </c>
      <c r="K213" s="138">
        <v>1</v>
      </c>
      <c r="L213" s="137" t="s">
        <v>693</v>
      </c>
      <c r="M213" s="143" t="s">
        <v>693</v>
      </c>
      <c r="N213" s="138"/>
    </row>
    <row r="214" spans="1:14" x14ac:dyDescent="0.25">
      <c r="A214" t="s">
        <v>223</v>
      </c>
      <c r="B214" s="122">
        <v>3710</v>
      </c>
      <c r="C214" s="152">
        <v>-6.29</v>
      </c>
      <c r="D214">
        <v>17.399999999999999</v>
      </c>
      <c r="E214" s="134">
        <v>54037</v>
      </c>
      <c r="F214" s="2">
        <v>3.6</v>
      </c>
      <c r="G214" s="134" t="e">
        <f>NA()</f>
        <v>#N/A</v>
      </c>
      <c r="I214" s="136" t="s">
        <v>290</v>
      </c>
      <c r="J214" s="137" t="s">
        <v>694</v>
      </c>
      <c r="K214" s="138">
        <v>5</v>
      </c>
      <c r="L214" s="137" t="s">
        <v>693</v>
      </c>
      <c r="M214" s="143" t="s">
        <v>693</v>
      </c>
      <c r="N214" s="138"/>
    </row>
    <row r="215" spans="1:14" x14ac:dyDescent="0.25">
      <c r="A215" t="s">
        <v>224</v>
      </c>
      <c r="B215" s="122">
        <v>996</v>
      </c>
      <c r="C215" s="152">
        <v>-5.32</v>
      </c>
      <c r="D215">
        <v>46.5</v>
      </c>
      <c r="E215" s="134">
        <v>40577</v>
      </c>
      <c r="F215" s="2">
        <v>3.8</v>
      </c>
      <c r="G215" s="135">
        <v>29165384</v>
      </c>
      <c r="I215" s="136" t="s">
        <v>292</v>
      </c>
      <c r="J215" s="137" t="s">
        <v>694</v>
      </c>
      <c r="K215" s="138">
        <v>4</v>
      </c>
      <c r="L215" s="137" t="s">
        <v>693</v>
      </c>
      <c r="M215" s="143" t="s">
        <v>693</v>
      </c>
      <c r="N215" s="138"/>
    </row>
    <row r="216" spans="1:14" x14ac:dyDescent="0.25">
      <c r="A216" t="s">
        <v>225</v>
      </c>
      <c r="B216" s="122">
        <v>31684</v>
      </c>
      <c r="C216" s="152">
        <v>10.28</v>
      </c>
      <c r="D216">
        <v>5.4</v>
      </c>
      <c r="E216" s="134">
        <v>77171</v>
      </c>
      <c r="F216" s="2">
        <v>3.1</v>
      </c>
      <c r="G216" s="135">
        <v>5379155985</v>
      </c>
      <c r="I216" s="136" t="s">
        <v>295</v>
      </c>
      <c r="J216" s="137" t="s">
        <v>694</v>
      </c>
      <c r="K216" s="138">
        <v>7</v>
      </c>
      <c r="L216" s="137" t="s">
        <v>693</v>
      </c>
      <c r="M216" s="143" t="s">
        <v>693</v>
      </c>
      <c r="N216" s="138"/>
    </row>
    <row r="217" spans="1:14" x14ac:dyDescent="0.25">
      <c r="A217" t="s">
        <v>226</v>
      </c>
      <c r="B217" s="122">
        <v>620</v>
      </c>
      <c r="C217" s="152">
        <v>-33.33</v>
      </c>
      <c r="D217">
        <v>29</v>
      </c>
      <c r="E217" s="134">
        <v>38510</v>
      </c>
      <c r="F217" s="2">
        <v>4.9000000000000004</v>
      </c>
      <c r="G217" s="135">
        <v>90654156</v>
      </c>
      <c r="I217" s="136" t="s">
        <v>300</v>
      </c>
      <c r="J217" s="137" t="s">
        <v>694</v>
      </c>
      <c r="K217" s="138">
        <v>2</v>
      </c>
      <c r="L217" s="137" t="s">
        <v>693</v>
      </c>
      <c r="M217" s="143" t="s">
        <v>693</v>
      </c>
      <c r="N217" s="138"/>
    </row>
    <row r="218" spans="1:14" x14ac:dyDescent="0.25">
      <c r="A218" t="s">
        <v>227</v>
      </c>
      <c r="B218" s="122">
        <v>228972</v>
      </c>
      <c r="C218" s="152">
        <v>5.72</v>
      </c>
      <c r="D218">
        <v>12.4</v>
      </c>
      <c r="E218" s="134">
        <v>62628</v>
      </c>
      <c r="F218" s="2">
        <v>3.7</v>
      </c>
      <c r="G218" s="135">
        <v>21944499355</v>
      </c>
      <c r="I218" s="136" t="s">
        <v>301</v>
      </c>
      <c r="J218" s="137" t="s">
        <v>693</v>
      </c>
      <c r="K218" s="138">
        <v>3</v>
      </c>
      <c r="L218" s="137" t="s">
        <v>693</v>
      </c>
      <c r="M218" s="143" t="s">
        <v>693</v>
      </c>
      <c r="N218" s="138"/>
    </row>
    <row r="219" spans="1:14" x14ac:dyDescent="0.25">
      <c r="A219" t="s">
        <v>228</v>
      </c>
      <c r="B219" s="122">
        <v>849</v>
      </c>
      <c r="C219" s="152">
        <v>-27.56</v>
      </c>
      <c r="D219">
        <v>24.5</v>
      </c>
      <c r="E219" s="134">
        <v>34934</v>
      </c>
      <c r="F219" s="2">
        <v>4.9000000000000004</v>
      </c>
      <c r="G219" s="135">
        <v>50310214</v>
      </c>
      <c r="I219" s="136" t="s">
        <v>302</v>
      </c>
      <c r="J219" s="137" t="s">
        <v>693</v>
      </c>
      <c r="K219" s="138">
        <v>2</v>
      </c>
      <c r="L219" s="137" t="s">
        <v>693</v>
      </c>
      <c r="M219" s="143" t="s">
        <v>693</v>
      </c>
      <c r="N219" s="138"/>
    </row>
    <row r="220" spans="1:14" x14ac:dyDescent="0.25">
      <c r="A220" t="s">
        <v>229</v>
      </c>
      <c r="B220" s="122">
        <v>80615</v>
      </c>
      <c r="C220" s="152">
        <v>7.29</v>
      </c>
      <c r="D220">
        <v>14.7</v>
      </c>
      <c r="E220" s="134">
        <v>58047</v>
      </c>
      <c r="F220" s="2">
        <v>3.7</v>
      </c>
      <c r="G220" s="135">
        <v>7400026654</v>
      </c>
      <c r="I220" s="136" t="s">
        <v>303</v>
      </c>
      <c r="J220" s="137" t="s">
        <v>694</v>
      </c>
      <c r="K220" s="138">
        <v>3</v>
      </c>
      <c r="L220" s="137" t="s">
        <v>693</v>
      </c>
      <c r="M220" s="143" t="s">
        <v>693</v>
      </c>
      <c r="N220" s="138"/>
    </row>
    <row r="221" spans="1:14" x14ac:dyDescent="0.25">
      <c r="A221" t="s">
        <v>230</v>
      </c>
      <c r="B221" s="122">
        <v>10509</v>
      </c>
      <c r="C221" s="152">
        <v>-9.1199999999999992</v>
      </c>
      <c r="D221">
        <v>14.3</v>
      </c>
      <c r="E221" s="134">
        <v>55750</v>
      </c>
      <c r="F221" s="2">
        <v>3.5</v>
      </c>
      <c r="G221" s="135">
        <v>1002489614</v>
      </c>
      <c r="I221" s="136" t="s">
        <v>304</v>
      </c>
      <c r="J221" s="137" t="s">
        <v>693</v>
      </c>
      <c r="K221" s="138">
        <v>4</v>
      </c>
      <c r="L221" s="137" t="s">
        <v>693</v>
      </c>
      <c r="M221" s="143" t="s">
        <v>693</v>
      </c>
      <c r="N221" s="138"/>
    </row>
    <row r="222" spans="1:14" x14ac:dyDescent="0.25">
      <c r="A222" t="s">
        <v>231</v>
      </c>
      <c r="B222" s="122">
        <v>277</v>
      </c>
      <c r="C222" s="152">
        <v>0</v>
      </c>
      <c r="D222">
        <v>0</v>
      </c>
      <c r="E222" s="134">
        <v>75750</v>
      </c>
      <c r="F222" s="2">
        <v>3.5</v>
      </c>
      <c r="G222" s="135">
        <v>33442551</v>
      </c>
      <c r="I222" s="136" t="s">
        <v>305</v>
      </c>
      <c r="J222" s="137" t="s">
        <v>693</v>
      </c>
      <c r="K222" s="138">
        <v>2</v>
      </c>
      <c r="L222" s="137" t="s">
        <v>693</v>
      </c>
      <c r="M222" s="143" t="s">
        <v>693</v>
      </c>
      <c r="N222" s="138"/>
    </row>
    <row r="223" spans="1:14" x14ac:dyDescent="0.25">
      <c r="A223" t="s">
        <v>232</v>
      </c>
      <c r="B223" s="122">
        <v>747</v>
      </c>
      <c r="C223" s="152">
        <v>54.98</v>
      </c>
      <c r="D223">
        <v>37.200000000000003</v>
      </c>
      <c r="E223" s="134">
        <v>27063</v>
      </c>
      <c r="F223" s="2">
        <v>6.5</v>
      </c>
      <c r="G223" s="135">
        <v>18424216</v>
      </c>
      <c r="I223" s="136" t="s">
        <v>306</v>
      </c>
      <c r="J223" s="137" t="s">
        <v>693</v>
      </c>
      <c r="K223" s="138">
        <v>3</v>
      </c>
      <c r="L223" s="137" t="s">
        <v>693</v>
      </c>
      <c r="M223" s="143" t="s">
        <v>693</v>
      </c>
      <c r="N223" s="138"/>
    </row>
    <row r="224" spans="1:14" x14ac:dyDescent="0.25">
      <c r="A224" t="s">
        <v>233</v>
      </c>
      <c r="B224" s="122">
        <v>8827</v>
      </c>
      <c r="C224" s="152">
        <v>25.67</v>
      </c>
      <c r="D224">
        <v>7.7</v>
      </c>
      <c r="E224" s="134">
        <v>98558</v>
      </c>
      <c r="F224" s="2">
        <v>3.9</v>
      </c>
      <c r="G224" s="135">
        <v>851268976</v>
      </c>
      <c r="I224" s="136" t="s">
        <v>307</v>
      </c>
      <c r="J224" s="137" t="s">
        <v>694</v>
      </c>
      <c r="K224" s="138">
        <v>3</v>
      </c>
      <c r="L224" s="137" t="s">
        <v>693</v>
      </c>
      <c r="M224" s="143" t="s">
        <v>693</v>
      </c>
      <c r="N224" s="138"/>
    </row>
    <row r="225" spans="1:14" x14ac:dyDescent="0.25">
      <c r="A225" t="s">
        <v>234</v>
      </c>
      <c r="B225" s="122">
        <v>1896</v>
      </c>
      <c r="C225" s="152">
        <v>21.77</v>
      </c>
      <c r="D225">
        <v>10.7</v>
      </c>
      <c r="E225" s="134">
        <v>51563</v>
      </c>
      <c r="F225" s="2">
        <v>3.5</v>
      </c>
      <c r="G225" s="135">
        <v>101132042</v>
      </c>
      <c r="I225" s="136" t="s">
        <v>308</v>
      </c>
      <c r="J225" s="137" t="s">
        <v>693</v>
      </c>
      <c r="K225" s="138">
        <v>5</v>
      </c>
      <c r="L225" s="137" t="s">
        <v>693</v>
      </c>
      <c r="M225" s="143" t="s">
        <v>693</v>
      </c>
      <c r="N225" s="138"/>
    </row>
    <row r="226" spans="1:14" x14ac:dyDescent="0.25">
      <c r="A226" t="s">
        <v>235</v>
      </c>
      <c r="B226" s="122">
        <v>147</v>
      </c>
      <c r="C226" s="152">
        <v>30.09</v>
      </c>
      <c r="D226">
        <v>21.1</v>
      </c>
      <c r="E226" s="134" t="e">
        <f>NA()</f>
        <v>#N/A</v>
      </c>
      <c r="F226" s="2">
        <v>5.2</v>
      </c>
      <c r="G226" s="135">
        <v>15606405</v>
      </c>
      <c r="I226" s="136" t="s">
        <v>309</v>
      </c>
      <c r="J226" s="137" t="s">
        <v>693</v>
      </c>
      <c r="K226" s="138">
        <v>2</v>
      </c>
      <c r="L226" s="137" t="s">
        <v>693</v>
      </c>
      <c r="M226" s="143" t="s">
        <v>693</v>
      </c>
      <c r="N226" s="138"/>
    </row>
    <row r="227" spans="1:14" x14ac:dyDescent="0.25">
      <c r="A227" t="s">
        <v>236</v>
      </c>
      <c r="B227" s="122">
        <v>33566</v>
      </c>
      <c r="C227" s="152">
        <v>-4.0199999999999996</v>
      </c>
      <c r="D227">
        <v>20.9</v>
      </c>
      <c r="E227" s="134">
        <v>44196</v>
      </c>
      <c r="F227" s="2">
        <v>4.0999999999999996</v>
      </c>
      <c r="G227" s="135">
        <v>2614084645</v>
      </c>
      <c r="I227" s="136" t="s">
        <v>311</v>
      </c>
      <c r="J227" s="137" t="s">
        <v>693</v>
      </c>
      <c r="K227" s="138">
        <v>2</v>
      </c>
      <c r="L227" s="137" t="s">
        <v>693</v>
      </c>
      <c r="M227" s="143" t="s">
        <v>693</v>
      </c>
      <c r="N227" s="138"/>
    </row>
    <row r="228" spans="1:14" x14ac:dyDescent="0.25">
      <c r="A228" t="s">
        <v>237</v>
      </c>
      <c r="B228" s="122">
        <v>375</v>
      </c>
      <c r="C228" s="152">
        <v>42.05</v>
      </c>
      <c r="D228">
        <v>6.7</v>
      </c>
      <c r="E228" s="134">
        <v>37278</v>
      </c>
      <c r="F228" s="2">
        <v>3.1</v>
      </c>
      <c r="G228" s="135">
        <v>35910510</v>
      </c>
      <c r="I228" s="136" t="s">
        <v>312</v>
      </c>
      <c r="J228" s="137" t="s">
        <v>693</v>
      </c>
      <c r="K228" s="138">
        <v>3</v>
      </c>
      <c r="L228" s="137" t="s">
        <v>693</v>
      </c>
      <c r="M228" s="143" t="s">
        <v>693</v>
      </c>
      <c r="N228" s="138"/>
    </row>
    <row r="229" spans="1:14" x14ac:dyDescent="0.25">
      <c r="A229" t="s">
        <v>239</v>
      </c>
      <c r="B229" s="122">
        <v>8047</v>
      </c>
      <c r="C229" s="152">
        <v>-5.96</v>
      </c>
      <c r="D229">
        <v>11.3</v>
      </c>
      <c r="E229" s="134">
        <v>46010</v>
      </c>
      <c r="F229" s="2">
        <v>5.4</v>
      </c>
      <c r="G229" s="135">
        <v>1217054675</v>
      </c>
      <c r="I229" s="136" t="s">
        <v>314</v>
      </c>
      <c r="J229" s="137" t="s">
        <v>693</v>
      </c>
      <c r="K229" s="138">
        <v>3</v>
      </c>
      <c r="L229" s="137" t="s">
        <v>693</v>
      </c>
      <c r="M229" s="143" t="s">
        <v>693</v>
      </c>
      <c r="N229" s="138"/>
    </row>
    <row r="230" spans="1:14" x14ac:dyDescent="0.25">
      <c r="A230" t="s">
        <v>240</v>
      </c>
      <c r="B230" s="122">
        <v>17136</v>
      </c>
      <c r="C230" s="152">
        <v>16.809999999999999</v>
      </c>
      <c r="D230">
        <v>19.2</v>
      </c>
      <c r="E230" s="134">
        <v>51482</v>
      </c>
      <c r="F230" s="2">
        <v>3.7</v>
      </c>
      <c r="G230" s="135">
        <v>1405603423</v>
      </c>
      <c r="I230" s="136" t="s">
        <v>315</v>
      </c>
      <c r="J230" s="137" t="s">
        <v>693</v>
      </c>
      <c r="K230" s="138">
        <v>2</v>
      </c>
      <c r="L230" s="137" t="s">
        <v>693</v>
      </c>
      <c r="M230" s="143" t="s">
        <v>693</v>
      </c>
      <c r="N230" s="138"/>
    </row>
    <row r="231" spans="1:14" x14ac:dyDescent="0.25">
      <c r="A231" t="s">
        <v>241</v>
      </c>
      <c r="B231" s="122">
        <v>57</v>
      </c>
      <c r="C231" s="153" t="e">
        <f>NA()</f>
        <v>#N/A</v>
      </c>
      <c r="D231">
        <v>0</v>
      </c>
      <c r="E231" s="134">
        <v>220000</v>
      </c>
      <c r="F231" s="2">
        <v>3.3</v>
      </c>
      <c r="G231" s="134" t="e">
        <f>NA()</f>
        <v>#N/A</v>
      </c>
      <c r="I231" s="136" t="s">
        <v>316</v>
      </c>
      <c r="J231" s="137" t="s">
        <v>693</v>
      </c>
      <c r="K231" s="138">
        <v>6</v>
      </c>
      <c r="L231" s="137" t="s">
        <v>693</v>
      </c>
      <c r="M231" s="143" t="s">
        <v>693</v>
      </c>
      <c r="N231" s="138"/>
    </row>
    <row r="232" spans="1:14" x14ac:dyDescent="0.25">
      <c r="A232" t="s">
        <v>242</v>
      </c>
      <c r="B232" s="122">
        <v>4934</v>
      </c>
      <c r="C232" s="152">
        <v>6.38</v>
      </c>
      <c r="D232">
        <v>12.5</v>
      </c>
      <c r="E232" s="134">
        <v>76680</v>
      </c>
      <c r="F232" s="2">
        <v>3.6</v>
      </c>
      <c r="G232" s="135">
        <v>524345138</v>
      </c>
      <c r="I232" s="136" t="s">
        <v>317</v>
      </c>
      <c r="J232" s="137" t="s">
        <v>694</v>
      </c>
      <c r="K232" s="138">
        <v>7</v>
      </c>
      <c r="L232" s="137" t="s">
        <v>693</v>
      </c>
      <c r="M232" s="143" t="s">
        <v>694</v>
      </c>
      <c r="N232" s="138"/>
    </row>
    <row r="233" spans="1:14" x14ac:dyDescent="0.25">
      <c r="A233" t="s">
        <v>243</v>
      </c>
      <c r="B233" s="122">
        <v>2988</v>
      </c>
      <c r="C233" s="152">
        <v>1.1200000000000001</v>
      </c>
      <c r="D233">
        <v>11.8</v>
      </c>
      <c r="E233" s="134">
        <v>51798</v>
      </c>
      <c r="F233" s="2">
        <v>3.7</v>
      </c>
      <c r="G233" s="135">
        <v>293807704</v>
      </c>
      <c r="I233" s="136" t="s">
        <v>318</v>
      </c>
      <c r="J233" s="137" t="s">
        <v>693</v>
      </c>
      <c r="K233" s="138">
        <v>3</v>
      </c>
      <c r="L233" s="137" t="s">
        <v>693</v>
      </c>
      <c r="M233" s="143" t="s">
        <v>693</v>
      </c>
      <c r="N233" s="138"/>
    </row>
    <row r="234" spans="1:14" x14ac:dyDescent="0.25">
      <c r="A234" t="s">
        <v>244</v>
      </c>
      <c r="B234" s="122">
        <v>528</v>
      </c>
      <c r="C234" s="152">
        <v>-19.27</v>
      </c>
      <c r="D234">
        <v>12.4</v>
      </c>
      <c r="E234" s="134">
        <v>70000</v>
      </c>
      <c r="F234" s="2">
        <v>3.7</v>
      </c>
      <c r="G234" s="135">
        <v>69881644</v>
      </c>
      <c r="I234" s="136" t="s">
        <v>322</v>
      </c>
      <c r="J234" s="137" t="s">
        <v>693</v>
      </c>
      <c r="K234" s="138">
        <v>1</v>
      </c>
      <c r="L234" s="137" t="s">
        <v>693</v>
      </c>
      <c r="M234" s="143" t="s">
        <v>693</v>
      </c>
      <c r="N234" s="138"/>
    </row>
    <row r="235" spans="1:14" x14ac:dyDescent="0.25">
      <c r="A235" t="s">
        <v>245</v>
      </c>
      <c r="B235" s="122">
        <v>61161</v>
      </c>
      <c r="C235" s="152">
        <v>3.88</v>
      </c>
      <c r="D235">
        <v>14.4</v>
      </c>
      <c r="E235" s="134">
        <v>68079</v>
      </c>
      <c r="F235" s="2">
        <v>3.2</v>
      </c>
      <c r="G235" s="135">
        <v>5359886992</v>
      </c>
      <c r="I235" s="136" t="s">
        <v>323</v>
      </c>
      <c r="J235" s="137" t="s">
        <v>693</v>
      </c>
      <c r="K235" s="138">
        <v>4</v>
      </c>
      <c r="L235" s="137" t="s">
        <v>693</v>
      </c>
      <c r="M235" s="143" t="s">
        <v>693</v>
      </c>
      <c r="N235" s="138"/>
    </row>
    <row r="236" spans="1:14" x14ac:dyDescent="0.25">
      <c r="A236" t="s">
        <v>246</v>
      </c>
      <c r="B236" s="122">
        <v>3111</v>
      </c>
      <c r="C236" s="152">
        <v>44.5</v>
      </c>
      <c r="D236">
        <v>19.7</v>
      </c>
      <c r="E236" s="134">
        <v>42695</v>
      </c>
      <c r="F236" s="2">
        <v>3.7</v>
      </c>
      <c r="G236" s="135">
        <v>131548218</v>
      </c>
      <c r="I236" s="136" t="s">
        <v>324</v>
      </c>
      <c r="J236" s="137" t="s">
        <v>694</v>
      </c>
      <c r="K236" s="138">
        <v>6</v>
      </c>
      <c r="L236" s="137" t="s">
        <v>693</v>
      </c>
      <c r="M236" s="143" t="s">
        <v>693</v>
      </c>
      <c r="N236" s="138"/>
    </row>
    <row r="237" spans="1:14" x14ac:dyDescent="0.25">
      <c r="A237" t="s">
        <v>247</v>
      </c>
      <c r="B237" s="122">
        <v>20407</v>
      </c>
      <c r="C237" s="152">
        <v>-2.86</v>
      </c>
      <c r="D237">
        <v>22.6</v>
      </c>
      <c r="E237" s="134">
        <v>50320</v>
      </c>
      <c r="F237" s="2">
        <v>3.3</v>
      </c>
      <c r="G237" s="135">
        <v>1312401936</v>
      </c>
      <c r="I237" s="136" t="s">
        <v>326</v>
      </c>
      <c r="J237" s="137" t="s">
        <v>693</v>
      </c>
      <c r="K237" s="138">
        <v>3</v>
      </c>
      <c r="L237" s="137" t="s">
        <v>693</v>
      </c>
      <c r="M237" s="143" t="s">
        <v>693</v>
      </c>
      <c r="N237" s="138"/>
    </row>
    <row r="238" spans="1:14" x14ac:dyDescent="0.25">
      <c r="A238" t="s">
        <v>248</v>
      </c>
      <c r="B238" s="122">
        <v>789</v>
      </c>
      <c r="C238" s="152">
        <v>6.33</v>
      </c>
      <c r="D238">
        <v>29.1</v>
      </c>
      <c r="E238" s="134" t="e">
        <f>NA()</f>
        <v>#N/A</v>
      </c>
      <c r="F238" s="2">
        <v>3.7</v>
      </c>
      <c r="G238" s="135">
        <v>22956184</v>
      </c>
      <c r="I238" s="136" t="s">
        <v>327</v>
      </c>
      <c r="J238" s="137" t="s">
        <v>693</v>
      </c>
      <c r="K238" s="138">
        <v>6</v>
      </c>
      <c r="L238" s="137" t="s">
        <v>693</v>
      </c>
      <c r="M238" s="143" t="s">
        <v>693</v>
      </c>
      <c r="N238" s="138"/>
    </row>
    <row r="239" spans="1:14" x14ac:dyDescent="0.25">
      <c r="A239" t="s">
        <v>249</v>
      </c>
      <c r="B239" s="122">
        <v>297202</v>
      </c>
      <c r="C239" s="152">
        <v>2.94</v>
      </c>
      <c r="D239">
        <v>18.100000000000001</v>
      </c>
      <c r="E239" s="134">
        <v>55051</v>
      </c>
      <c r="F239" s="2">
        <v>4.0999999999999996</v>
      </c>
      <c r="G239" s="135">
        <v>37070568301</v>
      </c>
      <c r="I239" s="136" t="s">
        <v>328</v>
      </c>
      <c r="J239" s="137" t="s">
        <v>693</v>
      </c>
      <c r="K239" s="138">
        <v>8</v>
      </c>
      <c r="L239" s="137" t="s">
        <v>693</v>
      </c>
      <c r="M239" s="143" t="s">
        <v>693</v>
      </c>
      <c r="N239" s="138"/>
    </row>
    <row r="240" spans="1:14" x14ac:dyDescent="0.25">
      <c r="A240" t="s">
        <v>251</v>
      </c>
      <c r="B240" s="122">
        <v>87894</v>
      </c>
      <c r="C240" s="152">
        <v>-3.63</v>
      </c>
      <c r="D240">
        <v>25.2</v>
      </c>
      <c r="E240" s="134">
        <v>47485</v>
      </c>
      <c r="F240" s="2">
        <v>4.0999999999999996</v>
      </c>
      <c r="G240" s="135">
        <v>7974883134</v>
      </c>
      <c r="I240" s="136" t="s">
        <v>329</v>
      </c>
      <c r="J240" s="137" t="s">
        <v>694</v>
      </c>
      <c r="K240" s="138">
        <v>7</v>
      </c>
      <c r="L240" s="137" t="s">
        <v>693</v>
      </c>
      <c r="M240" s="143" t="s">
        <v>693</v>
      </c>
      <c r="N240" s="138"/>
    </row>
    <row r="241" spans="1:14" x14ac:dyDescent="0.25">
      <c r="A241" t="s">
        <v>252</v>
      </c>
      <c r="B241" s="122">
        <v>2676</v>
      </c>
      <c r="C241" s="152">
        <v>-6.53</v>
      </c>
      <c r="D241">
        <v>27.8</v>
      </c>
      <c r="E241" s="134">
        <v>34609</v>
      </c>
      <c r="F241" s="2">
        <v>3.9</v>
      </c>
      <c r="G241" s="135">
        <v>125067932</v>
      </c>
      <c r="I241" s="136" t="s">
        <v>333</v>
      </c>
      <c r="J241" s="137" t="s">
        <v>693</v>
      </c>
      <c r="K241" s="138">
        <v>6</v>
      </c>
      <c r="L241" s="137" t="s">
        <v>693</v>
      </c>
      <c r="M241" s="143" t="s">
        <v>693</v>
      </c>
      <c r="N241" s="138"/>
    </row>
    <row r="242" spans="1:14" x14ac:dyDescent="0.25">
      <c r="A242" t="s">
        <v>253</v>
      </c>
      <c r="B242" s="122">
        <v>368</v>
      </c>
      <c r="C242" s="152">
        <v>-23.81</v>
      </c>
      <c r="D242">
        <v>22.8</v>
      </c>
      <c r="E242" s="134">
        <v>35000</v>
      </c>
      <c r="F242" s="2">
        <v>4.0999999999999996</v>
      </c>
      <c r="G242" s="135">
        <v>34847799</v>
      </c>
      <c r="I242" s="136" t="s">
        <v>334</v>
      </c>
      <c r="J242" s="137" t="s">
        <v>694</v>
      </c>
      <c r="K242" s="138">
        <v>12</v>
      </c>
      <c r="L242" s="137" t="s">
        <v>693</v>
      </c>
      <c r="M242" s="143" t="s">
        <v>693</v>
      </c>
      <c r="N242" s="138"/>
    </row>
    <row r="243" spans="1:14" x14ac:dyDescent="0.25">
      <c r="A243" t="s">
        <v>254</v>
      </c>
      <c r="B243" s="122">
        <v>598</v>
      </c>
      <c r="C243" s="152">
        <v>-15.77</v>
      </c>
      <c r="D243">
        <v>18.7</v>
      </c>
      <c r="E243" s="134">
        <v>33583</v>
      </c>
      <c r="F243" s="2">
        <v>3.9</v>
      </c>
      <c r="G243" s="135">
        <v>46453706</v>
      </c>
      <c r="I243" s="139" t="s">
        <v>335</v>
      </c>
      <c r="J243" s="137" t="s">
        <v>693</v>
      </c>
      <c r="K243" s="138">
        <v>4</v>
      </c>
      <c r="L243" s="137" t="s">
        <v>693</v>
      </c>
      <c r="M243" s="143" t="s">
        <v>693</v>
      </c>
      <c r="N243" s="138"/>
    </row>
    <row r="244" spans="1:14" x14ac:dyDescent="0.25">
      <c r="A244" t="s">
        <v>255</v>
      </c>
      <c r="B244" s="122">
        <v>539557</v>
      </c>
      <c r="C244" s="152">
        <v>3.05</v>
      </c>
      <c r="D244">
        <v>15.1</v>
      </c>
      <c r="E244" s="134">
        <v>62880</v>
      </c>
      <c r="F244" s="2">
        <v>4.0999999999999996</v>
      </c>
      <c r="G244" s="135">
        <v>69555270210</v>
      </c>
      <c r="I244" s="136" t="s">
        <v>339</v>
      </c>
      <c r="J244" s="137" t="s">
        <v>693</v>
      </c>
      <c r="K244" s="138">
        <v>1</v>
      </c>
      <c r="L244" s="137" t="s">
        <v>693</v>
      </c>
      <c r="M244" s="143" t="s">
        <v>693</v>
      </c>
      <c r="N244" s="138"/>
    </row>
    <row r="245" spans="1:14" x14ac:dyDescent="0.25">
      <c r="A245" t="s">
        <v>256</v>
      </c>
      <c r="B245" s="122">
        <v>48772</v>
      </c>
      <c r="C245" s="152">
        <v>-5.73</v>
      </c>
      <c r="D245">
        <v>23.9</v>
      </c>
      <c r="E245" s="134">
        <v>41629</v>
      </c>
      <c r="F245" s="2">
        <v>5.7</v>
      </c>
      <c r="G245" s="135">
        <v>4191167136</v>
      </c>
      <c r="I245" s="136" t="s">
        <v>340</v>
      </c>
      <c r="J245" s="137" t="s">
        <v>693</v>
      </c>
      <c r="K245" s="138">
        <v>1</v>
      </c>
      <c r="L245" s="137" t="s">
        <v>693</v>
      </c>
      <c r="M245" s="143" t="s">
        <v>693</v>
      </c>
      <c r="N245" s="138"/>
    </row>
    <row r="246" spans="1:14" x14ac:dyDescent="0.25">
      <c r="A246" t="s">
        <v>257</v>
      </c>
      <c r="B246" s="122">
        <v>227</v>
      </c>
      <c r="C246" s="152">
        <v>53.38</v>
      </c>
      <c r="D246">
        <v>5.7</v>
      </c>
      <c r="E246" s="134">
        <v>59031</v>
      </c>
      <c r="F246" s="2">
        <v>5.7</v>
      </c>
      <c r="G246" s="135">
        <v>16434799</v>
      </c>
      <c r="I246" s="136" t="s">
        <v>342</v>
      </c>
      <c r="J246" s="137" t="s">
        <v>693</v>
      </c>
      <c r="K246" s="138">
        <v>4</v>
      </c>
      <c r="L246" s="137" t="s">
        <v>693</v>
      </c>
      <c r="M246" s="143" t="s">
        <v>693</v>
      </c>
      <c r="N246" s="138"/>
    </row>
    <row r="247" spans="1:14" x14ac:dyDescent="0.25">
      <c r="A247" t="s">
        <v>258</v>
      </c>
      <c r="B247" s="122">
        <v>167</v>
      </c>
      <c r="C247" s="152">
        <v>-52.96</v>
      </c>
      <c r="D247">
        <v>9.6</v>
      </c>
      <c r="E247" s="134">
        <v>41429</v>
      </c>
      <c r="F247" s="2">
        <v>4.5</v>
      </c>
      <c r="G247" s="135">
        <v>13750487</v>
      </c>
      <c r="I247" s="136" t="s">
        <v>343</v>
      </c>
      <c r="J247" s="137" t="s">
        <v>694</v>
      </c>
      <c r="K247" s="138">
        <v>13</v>
      </c>
      <c r="L247" s="137" t="s">
        <v>693</v>
      </c>
      <c r="M247" s="143" t="s">
        <v>693</v>
      </c>
      <c r="N247" s="138"/>
    </row>
    <row r="248" spans="1:14" x14ac:dyDescent="0.25">
      <c r="A248" t="s">
        <v>259</v>
      </c>
      <c r="B248" s="122">
        <v>6043</v>
      </c>
      <c r="C248" s="152">
        <v>-5.01</v>
      </c>
      <c r="D248">
        <v>25.1</v>
      </c>
      <c r="E248" s="134">
        <v>34798</v>
      </c>
      <c r="F248" s="2">
        <v>5.0999999999999996</v>
      </c>
      <c r="G248" s="135">
        <v>320584612</v>
      </c>
      <c r="I248" s="136" t="s">
        <v>344</v>
      </c>
      <c r="J248" s="137" t="s">
        <v>694</v>
      </c>
      <c r="K248" s="138">
        <v>4</v>
      </c>
      <c r="L248" s="137" t="s">
        <v>693</v>
      </c>
      <c r="M248" s="143" t="s">
        <v>693</v>
      </c>
      <c r="N248" s="138"/>
    </row>
    <row r="249" spans="1:14" x14ac:dyDescent="0.25">
      <c r="A249" t="s">
        <v>262</v>
      </c>
      <c r="B249" s="122">
        <v>584</v>
      </c>
      <c r="C249" s="152">
        <v>-1.35</v>
      </c>
      <c r="D249">
        <v>6.8</v>
      </c>
      <c r="E249" s="134">
        <v>62024</v>
      </c>
      <c r="F249" s="2">
        <v>3.4</v>
      </c>
      <c r="G249" s="135">
        <v>35253073</v>
      </c>
      <c r="I249" s="136" t="s">
        <v>345</v>
      </c>
      <c r="J249" s="137" t="s">
        <v>693</v>
      </c>
      <c r="K249" s="138">
        <v>6</v>
      </c>
      <c r="L249" s="137" t="s">
        <v>693</v>
      </c>
      <c r="M249" s="143" t="s">
        <v>693</v>
      </c>
      <c r="N249" s="138"/>
    </row>
    <row r="250" spans="1:14" x14ac:dyDescent="0.25">
      <c r="A250" t="s">
        <v>263</v>
      </c>
      <c r="B250" s="122">
        <v>134718</v>
      </c>
      <c r="C250" s="152">
        <v>3.34</v>
      </c>
      <c r="D250">
        <v>14.4</v>
      </c>
      <c r="E250" s="134">
        <v>64992</v>
      </c>
      <c r="F250" s="2">
        <v>4.0999999999999996</v>
      </c>
      <c r="G250" s="135">
        <v>13294552885</v>
      </c>
      <c r="I250" s="136" t="s">
        <v>346</v>
      </c>
      <c r="J250" s="137" t="s">
        <v>693</v>
      </c>
      <c r="K250" s="138">
        <v>0</v>
      </c>
      <c r="L250" s="137" t="s">
        <v>693</v>
      </c>
      <c r="M250" s="143" t="s">
        <v>693</v>
      </c>
      <c r="N250" s="138"/>
    </row>
    <row r="251" spans="1:14" x14ac:dyDescent="0.25">
      <c r="A251" t="s">
        <v>264</v>
      </c>
      <c r="B251" s="122">
        <v>209</v>
      </c>
      <c r="C251" s="152">
        <v>46.15</v>
      </c>
      <c r="D251">
        <v>30.1</v>
      </c>
      <c r="E251" s="134">
        <v>67250</v>
      </c>
      <c r="F251" s="2">
        <v>3.75</v>
      </c>
      <c r="G251" s="135">
        <v>15072387</v>
      </c>
      <c r="I251" s="136" t="s">
        <v>347</v>
      </c>
      <c r="J251" s="137" t="s">
        <v>693</v>
      </c>
      <c r="K251" s="138">
        <v>2</v>
      </c>
      <c r="L251" s="137" t="s">
        <v>693</v>
      </c>
      <c r="M251" s="143" t="s">
        <v>693</v>
      </c>
      <c r="N251" s="138"/>
    </row>
    <row r="252" spans="1:14" x14ac:dyDescent="0.25">
      <c r="A252" t="s">
        <v>265</v>
      </c>
      <c r="B252" s="122">
        <v>208</v>
      </c>
      <c r="C252" s="152">
        <v>79.31</v>
      </c>
      <c r="D252">
        <v>19.2</v>
      </c>
      <c r="E252" s="134">
        <v>62292</v>
      </c>
      <c r="F252" s="2">
        <v>5.2</v>
      </c>
      <c r="G252" s="135">
        <v>6413896</v>
      </c>
      <c r="I252" s="136" t="s">
        <v>348</v>
      </c>
      <c r="J252" s="137" t="s">
        <v>693</v>
      </c>
      <c r="K252" s="138">
        <v>2</v>
      </c>
      <c r="L252" s="137" t="s">
        <v>693</v>
      </c>
      <c r="M252" s="143" t="s">
        <v>693</v>
      </c>
      <c r="N252" s="138"/>
    </row>
    <row r="253" spans="1:14" x14ac:dyDescent="0.25">
      <c r="A253" t="s">
        <v>266</v>
      </c>
      <c r="B253" s="122">
        <v>18934</v>
      </c>
      <c r="C253" s="152">
        <v>24</v>
      </c>
      <c r="D253">
        <v>2.9</v>
      </c>
      <c r="E253" s="134">
        <v>134767</v>
      </c>
      <c r="F253" s="2">
        <v>3.4</v>
      </c>
      <c r="G253" s="135">
        <v>3116169232</v>
      </c>
      <c r="I253" s="136" t="s">
        <v>349</v>
      </c>
      <c r="J253" s="137" t="s">
        <v>693</v>
      </c>
      <c r="K253" s="138">
        <v>7</v>
      </c>
      <c r="L253" s="137" t="s">
        <v>693</v>
      </c>
      <c r="M253" s="143" t="s">
        <v>693</v>
      </c>
      <c r="N253" s="138"/>
    </row>
    <row r="254" spans="1:14" x14ac:dyDescent="0.25">
      <c r="A254" t="s">
        <v>267</v>
      </c>
      <c r="B254" s="122">
        <v>26</v>
      </c>
      <c r="C254" s="152">
        <v>8.33</v>
      </c>
      <c r="D254">
        <v>7.7</v>
      </c>
      <c r="E254" s="134">
        <v>18229</v>
      </c>
      <c r="F254" s="2">
        <v>4.5</v>
      </c>
      <c r="G254" s="135">
        <v>2539883</v>
      </c>
      <c r="I254" s="136" t="s">
        <v>350</v>
      </c>
      <c r="J254" s="137" t="s">
        <v>693</v>
      </c>
      <c r="K254" s="138">
        <v>1</v>
      </c>
      <c r="L254" s="137" t="s">
        <v>693</v>
      </c>
      <c r="M254" s="143" t="s">
        <v>693</v>
      </c>
      <c r="N254" s="138"/>
    </row>
    <row r="255" spans="1:14" x14ac:dyDescent="0.25">
      <c r="A255" t="s">
        <v>268</v>
      </c>
      <c r="B255" s="122">
        <v>16759</v>
      </c>
      <c r="C255" s="152">
        <v>-17.57</v>
      </c>
      <c r="D255">
        <v>13.8</v>
      </c>
      <c r="E255" s="134">
        <v>56492</v>
      </c>
      <c r="F255" s="2">
        <v>3.7</v>
      </c>
      <c r="G255" s="135">
        <v>919112354</v>
      </c>
      <c r="I255" s="136" t="s">
        <v>351</v>
      </c>
      <c r="J255" s="137" t="s">
        <v>693</v>
      </c>
      <c r="K255" s="138">
        <v>3</v>
      </c>
      <c r="L255" s="137" t="s">
        <v>693</v>
      </c>
      <c r="M255" s="143" t="s">
        <v>693</v>
      </c>
      <c r="N255" s="138"/>
    </row>
    <row r="256" spans="1:14" x14ac:dyDescent="0.25">
      <c r="A256" t="s">
        <v>269</v>
      </c>
      <c r="B256" s="122">
        <v>2894</v>
      </c>
      <c r="C256" s="152">
        <v>15.02</v>
      </c>
      <c r="D256">
        <v>17</v>
      </c>
      <c r="E256" s="134">
        <v>57404</v>
      </c>
      <c r="F256" s="2">
        <v>3.7</v>
      </c>
      <c r="G256" s="135">
        <v>159396756</v>
      </c>
      <c r="I256" s="136" t="s">
        <v>352</v>
      </c>
      <c r="J256" s="137" t="s">
        <v>693</v>
      </c>
      <c r="K256" s="138">
        <v>2</v>
      </c>
      <c r="L256" s="137" t="s">
        <v>693</v>
      </c>
      <c r="M256" s="143" t="s">
        <v>693</v>
      </c>
      <c r="N256" s="138"/>
    </row>
    <row r="257" spans="1:14" x14ac:dyDescent="0.25">
      <c r="A257" t="s">
        <v>270</v>
      </c>
      <c r="B257" s="122">
        <v>629</v>
      </c>
      <c r="C257" s="152">
        <v>54.55</v>
      </c>
      <c r="D257">
        <v>38.200000000000003</v>
      </c>
      <c r="E257" s="134" t="e">
        <f>NA()</f>
        <v>#N/A</v>
      </c>
      <c r="F257" s="2">
        <v>4</v>
      </c>
      <c r="G257" s="135">
        <v>43943038</v>
      </c>
      <c r="I257" s="136" t="s">
        <v>353</v>
      </c>
      <c r="J257" s="137" t="s">
        <v>694</v>
      </c>
      <c r="K257" s="138">
        <v>7</v>
      </c>
      <c r="L257" s="137" t="s">
        <v>693</v>
      </c>
      <c r="M257" s="143" t="s">
        <v>693</v>
      </c>
      <c r="N257" s="138"/>
    </row>
    <row r="258" spans="1:14" x14ac:dyDescent="0.25">
      <c r="A258" t="s">
        <v>271</v>
      </c>
      <c r="B258" s="122">
        <v>62152</v>
      </c>
      <c r="C258" s="152">
        <v>2.84</v>
      </c>
      <c r="D258">
        <v>12.1</v>
      </c>
      <c r="E258" s="134">
        <v>56596</v>
      </c>
      <c r="F258" s="2">
        <v>3.2</v>
      </c>
      <c r="G258" s="135">
        <v>9897152979</v>
      </c>
      <c r="I258" s="136" t="s">
        <v>354</v>
      </c>
      <c r="J258" s="137" t="s">
        <v>693</v>
      </c>
      <c r="K258" s="138">
        <v>4</v>
      </c>
      <c r="L258" s="137" t="s">
        <v>693</v>
      </c>
      <c r="M258" s="143" t="s">
        <v>693</v>
      </c>
      <c r="N258" s="138"/>
    </row>
    <row r="259" spans="1:14" x14ac:dyDescent="0.25">
      <c r="A259" t="s">
        <v>272</v>
      </c>
      <c r="B259" s="122">
        <v>1924</v>
      </c>
      <c r="C259" s="152">
        <v>-5.87</v>
      </c>
      <c r="D259">
        <v>15.1</v>
      </c>
      <c r="E259" s="134">
        <v>77454</v>
      </c>
      <c r="F259" s="2">
        <v>3.2</v>
      </c>
      <c r="G259" s="134" t="e">
        <f>NA()</f>
        <v>#N/A</v>
      </c>
      <c r="I259" s="136" t="s">
        <v>355</v>
      </c>
      <c r="J259" s="137" t="s">
        <v>694</v>
      </c>
      <c r="K259" s="138">
        <v>2</v>
      </c>
      <c r="L259" s="137" t="s">
        <v>693</v>
      </c>
      <c r="M259" s="143" t="s">
        <v>693</v>
      </c>
      <c r="N259" s="138"/>
    </row>
    <row r="260" spans="1:14" x14ac:dyDescent="0.25">
      <c r="A260" t="s">
        <v>273</v>
      </c>
      <c r="B260" s="122">
        <v>116469</v>
      </c>
      <c r="C260" s="152">
        <v>2.5</v>
      </c>
      <c r="D260">
        <v>11.4</v>
      </c>
      <c r="E260" s="134">
        <v>65508</v>
      </c>
      <c r="F260" s="2">
        <v>3.2</v>
      </c>
      <c r="G260" s="135">
        <v>17650585318</v>
      </c>
      <c r="I260" s="136" t="s">
        <v>357</v>
      </c>
      <c r="J260" s="137" t="s">
        <v>693</v>
      </c>
      <c r="K260" s="138">
        <v>3</v>
      </c>
      <c r="L260" s="137" t="s">
        <v>693</v>
      </c>
      <c r="M260" s="143" t="s">
        <v>693</v>
      </c>
      <c r="N260" s="138"/>
    </row>
    <row r="261" spans="1:14" x14ac:dyDescent="0.25">
      <c r="A261" t="s">
        <v>274</v>
      </c>
      <c r="B261" s="122">
        <v>14997</v>
      </c>
      <c r="C261" s="152">
        <v>7.0000000000000007E-2</v>
      </c>
      <c r="D261">
        <v>26.6</v>
      </c>
      <c r="E261" s="134">
        <v>37670</v>
      </c>
      <c r="F261" s="2">
        <v>5.9</v>
      </c>
      <c r="G261" s="135">
        <v>944922957</v>
      </c>
      <c r="I261" s="136" t="s">
        <v>358</v>
      </c>
      <c r="J261" s="137" t="s">
        <v>694</v>
      </c>
      <c r="K261" s="138">
        <v>7</v>
      </c>
      <c r="L261" s="137" t="s">
        <v>693</v>
      </c>
      <c r="M261" s="143" t="s">
        <v>693</v>
      </c>
      <c r="N261" s="138"/>
    </row>
    <row r="262" spans="1:14" x14ac:dyDescent="0.25">
      <c r="A262" t="s">
        <v>275</v>
      </c>
      <c r="B262" s="122">
        <v>15102</v>
      </c>
      <c r="C262" s="152">
        <v>9.36</v>
      </c>
      <c r="D262">
        <v>16.600000000000001</v>
      </c>
      <c r="E262" s="134">
        <v>50198</v>
      </c>
      <c r="F262" s="2">
        <v>3.2</v>
      </c>
      <c r="G262" s="135">
        <v>2297040786</v>
      </c>
      <c r="I262" s="136" t="s">
        <v>362</v>
      </c>
      <c r="J262" s="137" t="s">
        <v>694</v>
      </c>
      <c r="K262" s="138">
        <v>8</v>
      </c>
      <c r="L262" s="137" t="s">
        <v>693</v>
      </c>
      <c r="M262" s="143" t="s">
        <v>693</v>
      </c>
      <c r="N262" s="138"/>
    </row>
    <row r="263" spans="1:14" x14ac:dyDescent="0.25">
      <c r="A263" t="s">
        <v>276</v>
      </c>
      <c r="B263" s="122">
        <v>21633</v>
      </c>
      <c r="C263" s="152">
        <v>-10.43</v>
      </c>
      <c r="D263">
        <v>20.3</v>
      </c>
      <c r="E263" s="134">
        <v>46196</v>
      </c>
      <c r="F263" s="2">
        <v>5.2</v>
      </c>
      <c r="G263" s="135">
        <v>1762762692</v>
      </c>
      <c r="I263" s="136" t="s">
        <v>363</v>
      </c>
      <c r="J263" s="137" t="s">
        <v>693</v>
      </c>
      <c r="K263" s="138">
        <v>2</v>
      </c>
      <c r="L263" s="137" t="s">
        <v>693</v>
      </c>
      <c r="M263" s="143" t="s">
        <v>693</v>
      </c>
      <c r="N263" s="138"/>
    </row>
    <row r="264" spans="1:14" x14ac:dyDescent="0.25">
      <c r="A264" t="s">
        <v>277</v>
      </c>
      <c r="B264" s="122">
        <v>2045</v>
      </c>
      <c r="C264" s="152">
        <v>-12.46</v>
      </c>
      <c r="D264">
        <v>21.7</v>
      </c>
      <c r="E264" s="134">
        <v>43696</v>
      </c>
      <c r="F264" s="2">
        <v>4.5</v>
      </c>
      <c r="G264" s="135">
        <v>142449184</v>
      </c>
      <c r="I264" s="136" t="s">
        <v>364</v>
      </c>
      <c r="J264" s="137" t="s">
        <v>693</v>
      </c>
      <c r="K264" s="138">
        <v>2</v>
      </c>
      <c r="L264" s="137" t="s">
        <v>693</v>
      </c>
      <c r="M264" s="143" t="s">
        <v>693</v>
      </c>
      <c r="N264" s="138"/>
    </row>
    <row r="265" spans="1:14" x14ac:dyDescent="0.25">
      <c r="A265" t="s">
        <v>278</v>
      </c>
      <c r="B265" s="122">
        <v>43352</v>
      </c>
      <c r="C265" s="152">
        <v>7.3</v>
      </c>
      <c r="D265">
        <v>16.600000000000001</v>
      </c>
      <c r="E265" s="134">
        <v>58251</v>
      </c>
      <c r="F265" s="2">
        <v>3.5333333333333332</v>
      </c>
      <c r="G265" s="135">
        <v>5556607788</v>
      </c>
      <c r="I265" s="136" t="s">
        <v>365</v>
      </c>
      <c r="J265" s="137" t="s">
        <v>694</v>
      </c>
      <c r="K265" s="138">
        <v>6</v>
      </c>
      <c r="L265" s="137" t="s">
        <v>693</v>
      </c>
      <c r="M265" s="143" t="s">
        <v>693</v>
      </c>
      <c r="N265" s="138"/>
    </row>
    <row r="266" spans="1:14" x14ac:dyDescent="0.25">
      <c r="A266" t="s">
        <v>279</v>
      </c>
      <c r="B266" s="122">
        <v>114120</v>
      </c>
      <c r="C266" s="152">
        <v>2.78</v>
      </c>
      <c r="D266">
        <v>15.4</v>
      </c>
      <c r="E266" s="134">
        <v>58582</v>
      </c>
      <c r="F266" s="2">
        <v>3.8</v>
      </c>
      <c r="G266" s="135">
        <v>13221630584</v>
      </c>
      <c r="I266" s="136" t="s">
        <v>366</v>
      </c>
      <c r="J266" s="137" t="s">
        <v>693</v>
      </c>
      <c r="K266" s="138">
        <v>6</v>
      </c>
      <c r="L266" s="137" t="s">
        <v>693</v>
      </c>
      <c r="M266" s="143" t="s">
        <v>693</v>
      </c>
      <c r="N266" s="138"/>
    </row>
    <row r="267" spans="1:14" x14ac:dyDescent="0.25">
      <c r="A267" t="s">
        <v>280</v>
      </c>
      <c r="B267" s="122">
        <v>675</v>
      </c>
      <c r="C267" s="152">
        <v>0</v>
      </c>
      <c r="D267">
        <v>23.4</v>
      </c>
      <c r="E267" s="134">
        <v>47857</v>
      </c>
      <c r="F267" s="2">
        <v>3.45</v>
      </c>
      <c r="G267" s="135">
        <v>40966302</v>
      </c>
      <c r="I267" s="136" t="s">
        <v>367</v>
      </c>
      <c r="J267" s="137" t="s">
        <v>693</v>
      </c>
      <c r="K267" s="138">
        <v>2</v>
      </c>
      <c r="L267" s="137" t="s">
        <v>693</v>
      </c>
      <c r="M267" s="143" t="s">
        <v>693</v>
      </c>
      <c r="N267" s="138"/>
    </row>
    <row r="268" spans="1:14" x14ac:dyDescent="0.25">
      <c r="A268" t="s">
        <v>281</v>
      </c>
      <c r="B268" s="122">
        <v>1140</v>
      </c>
      <c r="C268" s="152">
        <v>-3.88</v>
      </c>
      <c r="D268">
        <v>14.1</v>
      </c>
      <c r="E268" s="134">
        <v>55573</v>
      </c>
      <c r="F268" s="2">
        <v>3.7</v>
      </c>
      <c r="G268" s="135">
        <v>1918699387</v>
      </c>
      <c r="I268" s="136" t="s">
        <v>369</v>
      </c>
      <c r="J268" s="137" t="s">
        <v>693</v>
      </c>
      <c r="K268" s="138">
        <v>4</v>
      </c>
      <c r="L268" s="137" t="s">
        <v>693</v>
      </c>
      <c r="M268" s="143" t="s">
        <v>693</v>
      </c>
      <c r="N268" s="138"/>
    </row>
    <row r="269" spans="1:14" x14ac:dyDescent="0.25">
      <c r="A269" t="s">
        <v>282</v>
      </c>
      <c r="B269" s="122">
        <v>1843</v>
      </c>
      <c r="C269" s="152">
        <v>-10.19</v>
      </c>
      <c r="D269">
        <v>10.9</v>
      </c>
      <c r="E269" s="134">
        <v>51680</v>
      </c>
      <c r="F269" s="2">
        <v>3.5</v>
      </c>
      <c r="G269" s="135">
        <v>187672587</v>
      </c>
      <c r="I269" s="136" t="s">
        <v>370</v>
      </c>
      <c r="J269" s="137" t="s">
        <v>693</v>
      </c>
      <c r="K269" s="138">
        <v>2</v>
      </c>
      <c r="L269" s="137" t="s">
        <v>693</v>
      </c>
      <c r="M269" s="143" t="s">
        <v>693</v>
      </c>
      <c r="N269" s="138"/>
    </row>
    <row r="270" spans="1:14" x14ac:dyDescent="0.25">
      <c r="A270" t="s">
        <v>283</v>
      </c>
      <c r="B270" s="122">
        <v>9534</v>
      </c>
      <c r="C270" s="152">
        <v>34.6</v>
      </c>
      <c r="D270">
        <v>7.9</v>
      </c>
      <c r="E270" s="134">
        <v>86250</v>
      </c>
      <c r="F270" s="2">
        <v>3.1</v>
      </c>
      <c r="G270" s="135">
        <v>1584586675</v>
      </c>
      <c r="I270" s="136" t="s">
        <v>371</v>
      </c>
      <c r="J270" s="137" t="s">
        <v>693</v>
      </c>
      <c r="K270" s="138">
        <v>4</v>
      </c>
      <c r="L270" s="137" t="s">
        <v>693</v>
      </c>
      <c r="M270" s="143" t="s">
        <v>693</v>
      </c>
      <c r="N270" s="138"/>
    </row>
    <row r="271" spans="1:14" x14ac:dyDescent="0.25">
      <c r="A271" t="s">
        <v>284</v>
      </c>
      <c r="B271" s="122">
        <v>279</v>
      </c>
      <c r="C271" s="152">
        <v>-29.37</v>
      </c>
      <c r="D271">
        <v>16.100000000000001</v>
      </c>
      <c r="E271" s="134">
        <v>46250</v>
      </c>
      <c r="F271" s="2">
        <v>5.7</v>
      </c>
      <c r="G271" s="135">
        <v>9633161</v>
      </c>
      <c r="I271" s="136" t="s">
        <v>372</v>
      </c>
      <c r="J271" s="137" t="s">
        <v>693</v>
      </c>
      <c r="K271" s="138">
        <v>3</v>
      </c>
      <c r="L271" s="137" t="s">
        <v>693</v>
      </c>
      <c r="M271" s="143" t="s">
        <v>693</v>
      </c>
      <c r="N271" s="138"/>
    </row>
    <row r="272" spans="1:14" x14ac:dyDescent="0.25">
      <c r="A272" t="s">
        <v>285</v>
      </c>
      <c r="B272" s="122">
        <v>829</v>
      </c>
      <c r="C272" s="152">
        <v>19.62</v>
      </c>
      <c r="D272">
        <v>35.1</v>
      </c>
      <c r="E272" s="134">
        <v>35781</v>
      </c>
      <c r="F272" s="2">
        <v>5.0999999999999996</v>
      </c>
      <c r="G272" s="135">
        <v>22143547</v>
      </c>
      <c r="I272" s="136" t="s">
        <v>373</v>
      </c>
      <c r="J272" s="137" t="s">
        <v>694</v>
      </c>
      <c r="K272" s="138">
        <v>11</v>
      </c>
      <c r="L272" s="137" t="s">
        <v>693</v>
      </c>
      <c r="M272" s="143" t="s">
        <v>693</v>
      </c>
      <c r="N272" s="138"/>
    </row>
    <row r="273" spans="1:14" x14ac:dyDescent="0.25">
      <c r="A273" t="s">
        <v>286</v>
      </c>
      <c r="B273" s="122">
        <v>52612</v>
      </c>
      <c r="C273" s="152">
        <v>-1.18</v>
      </c>
      <c r="D273">
        <v>17.3</v>
      </c>
      <c r="E273" s="134">
        <v>57141</v>
      </c>
      <c r="F273" s="2">
        <v>5</v>
      </c>
      <c r="G273" s="135">
        <v>4652650330</v>
      </c>
      <c r="I273" s="136" t="s">
        <v>374</v>
      </c>
      <c r="J273" s="137" t="s">
        <v>693</v>
      </c>
      <c r="K273" s="138">
        <v>2</v>
      </c>
      <c r="L273" s="137" t="s">
        <v>693</v>
      </c>
      <c r="M273" s="143" t="s">
        <v>693</v>
      </c>
      <c r="N273" s="138"/>
    </row>
    <row r="274" spans="1:14" x14ac:dyDescent="0.25">
      <c r="A274" t="s">
        <v>287</v>
      </c>
      <c r="B274" s="122">
        <v>997</v>
      </c>
      <c r="C274" s="152">
        <v>-1.48</v>
      </c>
      <c r="D274">
        <v>6.1</v>
      </c>
      <c r="E274" s="134">
        <v>106375</v>
      </c>
      <c r="F274" s="2">
        <v>4.7</v>
      </c>
      <c r="G274" s="135">
        <v>1418190016</v>
      </c>
      <c r="I274" s="136" t="s">
        <v>377</v>
      </c>
      <c r="J274" s="137" t="s">
        <v>693</v>
      </c>
      <c r="K274" s="138">
        <v>2</v>
      </c>
      <c r="L274" s="137" t="s">
        <v>693</v>
      </c>
      <c r="M274" s="143" t="s">
        <v>693</v>
      </c>
      <c r="N274" s="138"/>
    </row>
    <row r="275" spans="1:14" x14ac:dyDescent="0.25">
      <c r="A275" t="s">
        <v>288</v>
      </c>
      <c r="B275" s="122">
        <v>4236</v>
      </c>
      <c r="C275" s="152">
        <v>87.77</v>
      </c>
      <c r="D275">
        <v>1.8</v>
      </c>
      <c r="E275" s="134">
        <v>90197</v>
      </c>
      <c r="F275" s="2">
        <v>4.3</v>
      </c>
      <c r="G275" s="135">
        <v>727397880</v>
      </c>
      <c r="I275" s="136" t="s">
        <v>378</v>
      </c>
      <c r="J275" s="137" t="s">
        <v>693</v>
      </c>
      <c r="K275" s="138">
        <v>8</v>
      </c>
      <c r="L275" s="137" t="s">
        <v>693</v>
      </c>
      <c r="M275" s="143" t="s">
        <v>693</v>
      </c>
      <c r="N275" s="138"/>
    </row>
    <row r="276" spans="1:14" x14ac:dyDescent="0.25">
      <c r="A276" t="s">
        <v>289</v>
      </c>
      <c r="B276" s="122">
        <v>42023</v>
      </c>
      <c r="C276" s="152">
        <v>26.04</v>
      </c>
      <c r="D276">
        <v>4.9000000000000004</v>
      </c>
      <c r="E276" s="134">
        <v>127755</v>
      </c>
      <c r="F276" s="2">
        <v>3.1</v>
      </c>
      <c r="G276" s="135">
        <v>7314130458</v>
      </c>
      <c r="I276" s="136" t="s">
        <v>379</v>
      </c>
      <c r="J276" s="137" t="s">
        <v>693</v>
      </c>
      <c r="K276" s="138">
        <v>3</v>
      </c>
      <c r="L276" s="137" t="s">
        <v>693</v>
      </c>
      <c r="M276" s="143" t="s">
        <v>693</v>
      </c>
      <c r="N276" s="138"/>
    </row>
    <row r="277" spans="1:14" x14ac:dyDescent="0.25">
      <c r="A277" t="s">
        <v>290</v>
      </c>
      <c r="B277" s="122">
        <v>578</v>
      </c>
      <c r="C277" s="152">
        <v>11.37</v>
      </c>
      <c r="D277">
        <v>22.7</v>
      </c>
      <c r="E277" s="134">
        <v>38571</v>
      </c>
      <c r="F277" s="2">
        <v>3.3</v>
      </c>
      <c r="G277" s="135">
        <v>18243572</v>
      </c>
      <c r="I277" s="136" t="s">
        <v>380</v>
      </c>
      <c r="J277" s="137" t="s">
        <v>694</v>
      </c>
      <c r="K277" s="138">
        <v>6</v>
      </c>
      <c r="L277" s="137" t="s">
        <v>693</v>
      </c>
      <c r="M277" s="143" t="s">
        <v>693</v>
      </c>
      <c r="N277" s="138"/>
    </row>
    <row r="278" spans="1:14" x14ac:dyDescent="0.25">
      <c r="A278" t="s">
        <v>291</v>
      </c>
      <c r="B278" s="122">
        <v>17671</v>
      </c>
      <c r="C278" s="152">
        <v>12.11</v>
      </c>
      <c r="D278">
        <v>16.2</v>
      </c>
      <c r="E278" s="134">
        <v>57864</v>
      </c>
      <c r="F278" s="2">
        <v>5.2</v>
      </c>
      <c r="G278" s="135">
        <v>1287887831</v>
      </c>
      <c r="I278" s="136" t="s">
        <v>381</v>
      </c>
      <c r="J278" s="137" t="s">
        <v>694</v>
      </c>
      <c r="K278" s="138">
        <v>1</v>
      </c>
      <c r="L278" s="137" t="s">
        <v>693</v>
      </c>
      <c r="M278" s="143" t="s">
        <v>693</v>
      </c>
      <c r="N278" s="138"/>
    </row>
    <row r="279" spans="1:14" x14ac:dyDescent="0.25">
      <c r="A279" t="s">
        <v>292</v>
      </c>
      <c r="B279" s="122">
        <v>519</v>
      </c>
      <c r="C279" s="152">
        <v>-13.93</v>
      </c>
      <c r="D279">
        <v>20.399999999999999</v>
      </c>
      <c r="E279" s="134">
        <v>45500</v>
      </c>
      <c r="F279" s="2">
        <v>3.4</v>
      </c>
      <c r="G279" s="135">
        <v>75084631</v>
      </c>
      <c r="I279" s="136" t="s">
        <v>383</v>
      </c>
      <c r="J279" s="137" t="s">
        <v>694</v>
      </c>
      <c r="K279" s="138">
        <v>4</v>
      </c>
      <c r="L279" s="137" t="s">
        <v>693</v>
      </c>
      <c r="M279" s="143" t="s">
        <v>693</v>
      </c>
      <c r="N279" s="138"/>
    </row>
    <row r="280" spans="1:14" x14ac:dyDescent="0.25">
      <c r="A280" t="s">
        <v>293</v>
      </c>
      <c r="B280" s="122">
        <v>3780</v>
      </c>
      <c r="C280" s="152">
        <v>2.0499999999999998</v>
      </c>
      <c r="D280">
        <v>18.5</v>
      </c>
      <c r="E280" s="134">
        <v>49761</v>
      </c>
      <c r="F280" s="2">
        <v>3.6</v>
      </c>
      <c r="G280" s="135">
        <v>349540620</v>
      </c>
      <c r="I280" s="136" t="s">
        <v>385</v>
      </c>
      <c r="J280" s="137" t="s">
        <v>693</v>
      </c>
      <c r="K280" s="138">
        <v>1</v>
      </c>
      <c r="L280" s="137" t="s">
        <v>693</v>
      </c>
      <c r="M280" s="143" t="s">
        <v>693</v>
      </c>
      <c r="N280" s="138"/>
    </row>
    <row r="281" spans="1:14" x14ac:dyDescent="0.25">
      <c r="A281" t="s">
        <v>294</v>
      </c>
      <c r="B281" s="122">
        <v>61202</v>
      </c>
      <c r="C281" s="152">
        <v>12.15</v>
      </c>
      <c r="D281">
        <v>4.2</v>
      </c>
      <c r="E281" s="134">
        <v>112893</v>
      </c>
      <c r="F281" s="2">
        <v>3.5</v>
      </c>
      <c r="G281" s="135">
        <v>10831500808</v>
      </c>
      <c r="I281" s="136" t="s">
        <v>388</v>
      </c>
      <c r="J281" s="137" t="s">
        <v>694</v>
      </c>
      <c r="K281" s="138">
        <v>2</v>
      </c>
      <c r="L281" s="137" t="s">
        <v>693</v>
      </c>
      <c r="M281" s="143" t="s">
        <v>693</v>
      </c>
      <c r="N281" s="138"/>
    </row>
    <row r="282" spans="1:14" x14ac:dyDescent="0.25">
      <c r="A282" t="s">
        <v>295</v>
      </c>
      <c r="B282" s="122">
        <v>4636</v>
      </c>
      <c r="C282" s="152">
        <v>-14.04</v>
      </c>
      <c r="D282">
        <v>29.9</v>
      </c>
      <c r="E282" s="134">
        <v>43724</v>
      </c>
      <c r="F282" s="2">
        <v>5.8</v>
      </c>
      <c r="G282" s="135">
        <v>963086892</v>
      </c>
      <c r="I282" s="136" t="s">
        <v>390</v>
      </c>
      <c r="J282" s="137" t="s">
        <v>694</v>
      </c>
      <c r="K282" s="138">
        <v>2</v>
      </c>
      <c r="L282" s="137" t="s">
        <v>693</v>
      </c>
      <c r="M282" s="143" t="s">
        <v>693</v>
      </c>
      <c r="N282" s="138"/>
    </row>
    <row r="283" spans="1:14" x14ac:dyDescent="0.25">
      <c r="A283" t="s">
        <v>296</v>
      </c>
      <c r="B283" s="122">
        <v>225</v>
      </c>
      <c r="C283" s="152">
        <v>13.07</v>
      </c>
      <c r="D283">
        <v>3.2</v>
      </c>
      <c r="E283" s="134">
        <v>80000</v>
      </c>
      <c r="F283" s="2">
        <v>3.5</v>
      </c>
      <c r="G283" s="135">
        <v>464844392</v>
      </c>
      <c r="I283" s="136" t="s">
        <v>394</v>
      </c>
      <c r="J283" s="137" t="s">
        <v>693</v>
      </c>
      <c r="K283" s="138">
        <v>12</v>
      </c>
      <c r="L283" s="137" t="s">
        <v>693</v>
      </c>
      <c r="M283" s="143" t="s">
        <v>693</v>
      </c>
      <c r="N283" s="138"/>
    </row>
    <row r="284" spans="1:14" x14ac:dyDescent="0.25">
      <c r="A284" t="s">
        <v>297</v>
      </c>
      <c r="B284" s="122">
        <v>40325</v>
      </c>
      <c r="C284" s="152">
        <v>6.17</v>
      </c>
      <c r="D284">
        <v>4.0999999999999996</v>
      </c>
      <c r="E284" s="134">
        <v>95101</v>
      </c>
      <c r="F284" s="2">
        <v>3.2</v>
      </c>
      <c r="G284" s="135">
        <v>5935508297</v>
      </c>
      <c r="I284" s="136" t="s">
        <v>400</v>
      </c>
      <c r="J284" s="137" t="s">
        <v>693</v>
      </c>
      <c r="K284" s="138">
        <v>2</v>
      </c>
      <c r="L284" s="137" t="s">
        <v>693</v>
      </c>
      <c r="M284" s="143" t="s">
        <v>693</v>
      </c>
      <c r="N284" s="138"/>
    </row>
    <row r="285" spans="1:14" x14ac:dyDescent="0.25">
      <c r="A285" t="s">
        <v>298</v>
      </c>
      <c r="B285" s="122">
        <v>187839</v>
      </c>
      <c r="C285" s="152">
        <v>8.8800000000000008</v>
      </c>
      <c r="D285">
        <v>9.4</v>
      </c>
      <c r="E285" s="134">
        <v>73103</v>
      </c>
      <c r="F285" s="2">
        <v>3.4</v>
      </c>
      <c r="G285" s="135">
        <v>28773310874</v>
      </c>
      <c r="I285" s="136" t="s">
        <v>402</v>
      </c>
      <c r="J285" s="137" t="s">
        <v>693</v>
      </c>
      <c r="K285" s="138">
        <v>0</v>
      </c>
      <c r="L285" s="137" t="s">
        <v>693</v>
      </c>
      <c r="M285" s="143" t="s">
        <v>693</v>
      </c>
      <c r="N285" s="138"/>
    </row>
    <row r="286" spans="1:14" x14ac:dyDescent="0.25">
      <c r="A286" t="s">
        <v>299</v>
      </c>
      <c r="B286" s="122">
        <v>42388</v>
      </c>
      <c r="C286" s="152">
        <v>0.31</v>
      </c>
      <c r="D286">
        <v>19.3</v>
      </c>
      <c r="E286" s="134">
        <v>51482</v>
      </c>
      <c r="F286" s="2">
        <v>3.9</v>
      </c>
      <c r="G286" s="135">
        <v>11856859068</v>
      </c>
      <c r="I286" s="136" t="s">
        <v>403</v>
      </c>
      <c r="J286" s="137" t="s">
        <v>693</v>
      </c>
      <c r="K286" s="138">
        <v>1</v>
      </c>
      <c r="L286" s="137" t="s">
        <v>693</v>
      </c>
      <c r="M286" s="143" t="s">
        <v>693</v>
      </c>
      <c r="N286" s="138"/>
    </row>
    <row r="287" spans="1:14" x14ac:dyDescent="0.25">
      <c r="A287" t="s">
        <v>300</v>
      </c>
      <c r="B287" s="122">
        <v>671</v>
      </c>
      <c r="C287" s="152">
        <v>35.28</v>
      </c>
      <c r="D287">
        <v>23.5</v>
      </c>
      <c r="E287" s="134">
        <v>46386</v>
      </c>
      <c r="F287" s="2">
        <v>4.9000000000000004</v>
      </c>
      <c r="G287" s="135">
        <v>32903363</v>
      </c>
      <c r="I287" s="136" t="s">
        <v>404</v>
      </c>
      <c r="J287" s="137" t="s">
        <v>693</v>
      </c>
      <c r="K287" s="138">
        <v>3</v>
      </c>
      <c r="L287" s="137" t="s">
        <v>693</v>
      </c>
      <c r="M287" s="143" t="s">
        <v>693</v>
      </c>
      <c r="N287" s="138"/>
    </row>
    <row r="288" spans="1:14" x14ac:dyDescent="0.25">
      <c r="A288" t="s">
        <v>301</v>
      </c>
      <c r="B288" s="122">
        <v>71908</v>
      </c>
      <c r="C288" s="152">
        <v>-1.8</v>
      </c>
      <c r="D288">
        <v>15.5</v>
      </c>
      <c r="E288" s="134">
        <v>50185</v>
      </c>
      <c r="F288" s="2">
        <v>4.3</v>
      </c>
      <c r="G288" s="135">
        <v>4593081598</v>
      </c>
      <c r="I288" s="136" t="s">
        <v>405</v>
      </c>
      <c r="J288" s="137" t="s">
        <v>693</v>
      </c>
      <c r="K288" s="138">
        <v>2</v>
      </c>
      <c r="L288" s="137" t="s">
        <v>693</v>
      </c>
      <c r="M288" s="143" t="s">
        <v>693</v>
      </c>
      <c r="N288" s="138"/>
    </row>
    <row r="289" spans="1:14" x14ac:dyDescent="0.25">
      <c r="A289" t="s">
        <v>302</v>
      </c>
      <c r="B289" s="122">
        <v>3677</v>
      </c>
      <c r="C289" s="152">
        <v>-8.24</v>
      </c>
      <c r="D289">
        <v>5.3</v>
      </c>
      <c r="E289" s="134">
        <v>85583</v>
      </c>
      <c r="F289" s="2">
        <v>4.0999999999999996</v>
      </c>
      <c r="G289" s="135">
        <v>623656689</v>
      </c>
      <c r="I289" s="136" t="s">
        <v>407</v>
      </c>
      <c r="J289" s="137" t="s">
        <v>693</v>
      </c>
      <c r="K289" s="138">
        <v>1</v>
      </c>
      <c r="L289" s="137" t="s">
        <v>693</v>
      </c>
      <c r="M289" s="143" t="s">
        <v>693</v>
      </c>
      <c r="N289" s="138"/>
    </row>
    <row r="290" spans="1:14" x14ac:dyDescent="0.25">
      <c r="A290" t="s">
        <v>303</v>
      </c>
      <c r="B290" s="122">
        <v>384</v>
      </c>
      <c r="C290" s="152">
        <v>-37.76</v>
      </c>
      <c r="D290">
        <v>11.2</v>
      </c>
      <c r="E290" s="134">
        <v>41205</v>
      </c>
      <c r="F290" s="2">
        <v>4.5</v>
      </c>
      <c r="G290" s="135">
        <v>20712389</v>
      </c>
      <c r="I290" s="136" t="s">
        <v>408</v>
      </c>
      <c r="J290" s="137" t="s">
        <v>693</v>
      </c>
      <c r="K290" s="138">
        <v>3</v>
      </c>
      <c r="L290" s="137" t="s">
        <v>693</v>
      </c>
      <c r="M290" s="143" t="s">
        <v>693</v>
      </c>
      <c r="N290" s="138"/>
    </row>
    <row r="291" spans="1:14" x14ac:dyDescent="0.25">
      <c r="A291" t="s">
        <v>304</v>
      </c>
      <c r="B291" s="122">
        <v>1872</v>
      </c>
      <c r="C291" s="152">
        <v>31.83</v>
      </c>
      <c r="D291">
        <v>25.5</v>
      </c>
      <c r="E291" s="134">
        <v>37232</v>
      </c>
      <c r="F291" s="2">
        <v>3.4</v>
      </c>
      <c r="G291" s="135">
        <v>169303003</v>
      </c>
      <c r="I291" s="136" t="s">
        <v>409</v>
      </c>
      <c r="J291" s="137" t="s">
        <v>693</v>
      </c>
      <c r="K291" s="138">
        <v>1</v>
      </c>
      <c r="L291" s="137" t="s">
        <v>693</v>
      </c>
      <c r="M291" s="143" t="s">
        <v>693</v>
      </c>
      <c r="N291" s="138"/>
    </row>
    <row r="292" spans="1:14" x14ac:dyDescent="0.25">
      <c r="A292" t="s">
        <v>305</v>
      </c>
      <c r="B292" s="122">
        <v>219042</v>
      </c>
      <c r="C292" s="152">
        <v>14.58</v>
      </c>
      <c r="D292">
        <v>10.7</v>
      </c>
      <c r="E292" s="134">
        <v>75288</v>
      </c>
      <c r="F292" s="2">
        <v>3.3</v>
      </c>
      <c r="G292" s="135">
        <v>25852949923</v>
      </c>
      <c r="I292" s="136" t="s">
        <v>411</v>
      </c>
      <c r="J292" s="137" t="s">
        <v>694</v>
      </c>
      <c r="K292" s="138">
        <v>2</v>
      </c>
      <c r="L292" s="137" t="s">
        <v>693</v>
      </c>
      <c r="M292" s="143" t="s">
        <v>693</v>
      </c>
      <c r="N292" s="138"/>
    </row>
    <row r="293" spans="1:14" x14ac:dyDescent="0.25">
      <c r="A293" t="s">
        <v>306</v>
      </c>
      <c r="B293" s="122">
        <v>9263</v>
      </c>
      <c r="C293" s="152">
        <v>-4.46</v>
      </c>
      <c r="D293">
        <v>17.7</v>
      </c>
      <c r="E293" s="134">
        <v>53053</v>
      </c>
      <c r="F293" s="2">
        <v>3.5</v>
      </c>
      <c r="G293" s="135">
        <v>1118850348</v>
      </c>
      <c r="I293" s="136" t="s">
        <v>412</v>
      </c>
      <c r="J293" s="137" t="s">
        <v>693</v>
      </c>
      <c r="K293" s="138">
        <v>1</v>
      </c>
      <c r="L293" s="137" t="s">
        <v>693</v>
      </c>
      <c r="M293" s="143" t="s">
        <v>693</v>
      </c>
      <c r="N293" s="138"/>
    </row>
    <row r="294" spans="1:14" x14ac:dyDescent="0.25">
      <c r="A294" t="s">
        <v>307</v>
      </c>
      <c r="B294" s="122">
        <v>2634</v>
      </c>
      <c r="C294" s="152">
        <v>10.210000000000001</v>
      </c>
      <c r="D294">
        <v>26.1</v>
      </c>
      <c r="E294" s="134">
        <v>26044</v>
      </c>
      <c r="F294" s="2">
        <v>3.4</v>
      </c>
      <c r="G294" s="135">
        <v>184506039</v>
      </c>
      <c r="I294" s="136" t="s">
        <v>413</v>
      </c>
      <c r="J294" s="137" t="s">
        <v>693</v>
      </c>
      <c r="K294" s="138">
        <v>7</v>
      </c>
      <c r="L294" s="137" t="s">
        <v>693</v>
      </c>
      <c r="M294" s="143" t="s">
        <v>693</v>
      </c>
      <c r="N294" s="138"/>
    </row>
    <row r="295" spans="1:14" x14ac:dyDescent="0.25">
      <c r="A295" t="s">
        <v>309</v>
      </c>
      <c r="B295" s="122">
        <v>53314</v>
      </c>
      <c r="C295" s="152">
        <v>12.11</v>
      </c>
      <c r="D295">
        <v>11.7</v>
      </c>
      <c r="E295" s="134">
        <v>66487</v>
      </c>
      <c r="F295" s="2">
        <v>3.55</v>
      </c>
      <c r="G295" s="135">
        <v>5698992893</v>
      </c>
      <c r="I295" s="136" t="s">
        <v>414</v>
      </c>
      <c r="J295" s="137" t="s">
        <v>693</v>
      </c>
      <c r="K295" s="138">
        <v>1</v>
      </c>
      <c r="L295" s="137" t="s">
        <v>693</v>
      </c>
      <c r="M295" s="143" t="s">
        <v>693</v>
      </c>
      <c r="N295" s="138"/>
    </row>
    <row r="296" spans="1:14" x14ac:dyDescent="0.25">
      <c r="A296" t="s">
        <v>310</v>
      </c>
      <c r="B296" s="122">
        <v>282</v>
      </c>
      <c r="C296" s="152">
        <v>-34.42</v>
      </c>
      <c r="D296">
        <v>35.799999999999997</v>
      </c>
      <c r="E296" s="134">
        <v>30268</v>
      </c>
      <c r="F296" s="2">
        <v>4.9000000000000004</v>
      </c>
      <c r="G296" s="135">
        <v>9065822</v>
      </c>
      <c r="I296" s="136" t="s">
        <v>415</v>
      </c>
      <c r="J296" s="137" t="s">
        <v>694</v>
      </c>
      <c r="K296" s="138">
        <v>6</v>
      </c>
      <c r="L296" s="137" t="s">
        <v>693</v>
      </c>
      <c r="M296" s="143" t="s">
        <v>693</v>
      </c>
      <c r="N296" s="138"/>
    </row>
    <row r="297" spans="1:14" x14ac:dyDescent="0.25">
      <c r="A297" t="s">
        <v>311</v>
      </c>
      <c r="B297" s="122">
        <v>929</v>
      </c>
      <c r="C297" s="152">
        <v>19.87</v>
      </c>
      <c r="D297">
        <v>14.8</v>
      </c>
      <c r="E297" s="134">
        <v>53750</v>
      </c>
      <c r="F297" s="2">
        <v>3.7</v>
      </c>
      <c r="G297" s="135">
        <v>75720496</v>
      </c>
      <c r="I297" s="136" t="s">
        <v>416</v>
      </c>
      <c r="J297" s="137" t="s">
        <v>693</v>
      </c>
      <c r="K297" s="138">
        <v>1</v>
      </c>
      <c r="L297" s="137" t="s">
        <v>693</v>
      </c>
      <c r="M297" s="143" t="s">
        <v>693</v>
      </c>
      <c r="N297" s="138"/>
    </row>
    <row r="298" spans="1:14" x14ac:dyDescent="0.25">
      <c r="A298" t="s">
        <v>312</v>
      </c>
      <c r="B298" s="122">
        <v>2527</v>
      </c>
      <c r="C298" s="152">
        <v>29.19</v>
      </c>
      <c r="D298">
        <v>22.3</v>
      </c>
      <c r="E298" s="134">
        <v>51250</v>
      </c>
      <c r="F298" s="2">
        <v>4.25</v>
      </c>
      <c r="G298" s="135">
        <v>172624910</v>
      </c>
      <c r="I298" s="136" t="s">
        <v>417</v>
      </c>
      <c r="J298" s="137" t="s">
        <v>693</v>
      </c>
      <c r="K298" s="138">
        <v>5</v>
      </c>
      <c r="L298" s="137" t="s">
        <v>693</v>
      </c>
      <c r="M298" s="143" t="s">
        <v>693</v>
      </c>
      <c r="N298" s="138"/>
    </row>
    <row r="299" spans="1:14" x14ac:dyDescent="0.25">
      <c r="A299" t="s">
        <v>313</v>
      </c>
      <c r="B299" s="122">
        <v>27177</v>
      </c>
      <c r="C299" s="152">
        <v>12.82</v>
      </c>
      <c r="D299">
        <v>12.2</v>
      </c>
      <c r="E299" s="134">
        <v>66151</v>
      </c>
      <c r="F299" s="2">
        <v>3.9499999999999997</v>
      </c>
      <c r="G299" s="135">
        <v>4018082924</v>
      </c>
      <c r="I299" s="136" t="s">
        <v>418</v>
      </c>
      <c r="J299" s="137" t="s">
        <v>693</v>
      </c>
      <c r="K299" s="138">
        <v>3</v>
      </c>
      <c r="L299" s="137" t="s">
        <v>693</v>
      </c>
      <c r="M299" s="143" t="s">
        <v>693</v>
      </c>
      <c r="N299" s="138"/>
    </row>
    <row r="300" spans="1:14" x14ac:dyDescent="0.25">
      <c r="A300" t="s">
        <v>314</v>
      </c>
      <c r="B300" s="122">
        <v>7658</v>
      </c>
      <c r="C300" s="152">
        <v>8.86</v>
      </c>
      <c r="D300">
        <v>6.6</v>
      </c>
      <c r="E300" s="134">
        <v>73036</v>
      </c>
      <c r="F300" s="2">
        <v>4.4000000000000004</v>
      </c>
      <c r="G300" s="135">
        <v>3057781867</v>
      </c>
      <c r="I300" s="136" t="s">
        <v>419</v>
      </c>
      <c r="J300" s="137" t="s">
        <v>693</v>
      </c>
      <c r="K300" s="138">
        <v>2</v>
      </c>
      <c r="L300" s="137" t="s">
        <v>693</v>
      </c>
      <c r="M300" s="143" t="s">
        <v>693</v>
      </c>
      <c r="N300" s="138"/>
    </row>
    <row r="301" spans="1:14" x14ac:dyDescent="0.25">
      <c r="A301" t="s">
        <v>315</v>
      </c>
      <c r="B301" s="122">
        <v>7210</v>
      </c>
      <c r="C301" s="152">
        <v>4.72</v>
      </c>
      <c r="D301">
        <v>5</v>
      </c>
      <c r="E301" s="134">
        <v>59770</v>
      </c>
      <c r="F301" s="2">
        <v>3.5999999999999996</v>
      </c>
      <c r="G301" s="135">
        <v>774890108</v>
      </c>
      <c r="I301" s="136" t="s">
        <v>420</v>
      </c>
      <c r="J301" s="137" t="s">
        <v>694</v>
      </c>
      <c r="K301" s="138">
        <v>4</v>
      </c>
      <c r="L301" s="137" t="s">
        <v>693</v>
      </c>
      <c r="M301" s="143" t="s">
        <v>693</v>
      </c>
      <c r="N301" s="138"/>
    </row>
    <row r="302" spans="1:14" x14ac:dyDescent="0.25">
      <c r="A302" t="s">
        <v>316</v>
      </c>
      <c r="B302" s="122">
        <v>11246</v>
      </c>
      <c r="C302" s="152">
        <v>2.66</v>
      </c>
      <c r="D302">
        <v>26.1</v>
      </c>
      <c r="E302" s="134">
        <v>45301</v>
      </c>
      <c r="F302" s="2">
        <v>3.8</v>
      </c>
      <c r="G302" s="135">
        <v>1989792888</v>
      </c>
      <c r="I302" s="136" t="s">
        <v>421</v>
      </c>
      <c r="J302" s="137" t="s">
        <v>693</v>
      </c>
      <c r="K302" s="138">
        <v>2</v>
      </c>
      <c r="L302" s="137" t="s">
        <v>693</v>
      </c>
      <c r="M302" s="143" t="s">
        <v>693</v>
      </c>
      <c r="N302" s="138"/>
    </row>
    <row r="303" spans="1:14" x14ac:dyDescent="0.25">
      <c r="A303" t="s">
        <v>317</v>
      </c>
      <c r="B303" s="122">
        <v>533</v>
      </c>
      <c r="C303" s="152">
        <v>4.51</v>
      </c>
      <c r="D303">
        <v>15.2</v>
      </c>
      <c r="E303" s="134">
        <v>31094</v>
      </c>
      <c r="F303" s="2">
        <v>3.9</v>
      </c>
      <c r="G303" s="135">
        <v>23184775</v>
      </c>
      <c r="I303" s="136" t="s">
        <v>423</v>
      </c>
      <c r="J303" s="137" t="s">
        <v>693</v>
      </c>
      <c r="K303" s="138">
        <v>0</v>
      </c>
      <c r="L303" s="137" t="s">
        <v>694</v>
      </c>
      <c r="M303" s="143" t="s">
        <v>693</v>
      </c>
      <c r="N303" s="138"/>
    </row>
    <row r="304" spans="1:14" x14ac:dyDescent="0.25">
      <c r="A304" t="s">
        <v>318</v>
      </c>
      <c r="B304" s="122">
        <v>19704</v>
      </c>
      <c r="C304" s="152">
        <v>-4.62</v>
      </c>
      <c r="D304">
        <v>28.2</v>
      </c>
      <c r="E304" s="134">
        <v>35653</v>
      </c>
      <c r="F304" s="2">
        <v>3.7</v>
      </c>
      <c r="G304" s="135">
        <v>1420259485</v>
      </c>
      <c r="I304" s="136" t="s">
        <v>424</v>
      </c>
      <c r="J304" s="137" t="s">
        <v>693</v>
      </c>
      <c r="K304" s="138">
        <v>3</v>
      </c>
      <c r="L304" s="137" t="s">
        <v>693</v>
      </c>
      <c r="M304" s="143" t="s">
        <v>693</v>
      </c>
      <c r="N304" s="138"/>
    </row>
    <row r="305" spans="1:14" x14ac:dyDescent="0.25">
      <c r="A305" t="s">
        <v>319</v>
      </c>
      <c r="B305" s="122">
        <v>76</v>
      </c>
      <c r="C305" s="152">
        <v>-61.81</v>
      </c>
      <c r="D305">
        <v>6.9</v>
      </c>
      <c r="E305" s="134">
        <v>83250</v>
      </c>
      <c r="F305" s="2">
        <v>5.9</v>
      </c>
      <c r="G305" s="135">
        <v>8833715</v>
      </c>
      <c r="I305" s="136" t="s">
        <v>426</v>
      </c>
      <c r="J305" s="137" t="s">
        <v>693</v>
      </c>
      <c r="K305" s="138">
        <v>1</v>
      </c>
      <c r="L305" s="137" t="s">
        <v>693</v>
      </c>
      <c r="M305" s="143" t="s">
        <v>693</v>
      </c>
      <c r="N305" s="138"/>
    </row>
    <row r="306" spans="1:14" x14ac:dyDescent="0.25">
      <c r="A306" t="s">
        <v>320</v>
      </c>
      <c r="B306" s="122">
        <v>3690</v>
      </c>
      <c r="C306" s="152">
        <v>6.59</v>
      </c>
      <c r="D306">
        <v>3.2</v>
      </c>
      <c r="E306" s="134">
        <v>85700</v>
      </c>
      <c r="F306" s="2">
        <v>4.4000000000000004</v>
      </c>
      <c r="G306" s="135">
        <v>1526510050</v>
      </c>
      <c r="I306" s="136" t="s">
        <v>427</v>
      </c>
      <c r="J306" s="137" t="s">
        <v>693</v>
      </c>
      <c r="K306" s="138">
        <v>2</v>
      </c>
      <c r="L306" s="137" t="s">
        <v>693</v>
      </c>
      <c r="M306" s="143" t="s">
        <v>693</v>
      </c>
      <c r="N306" s="138"/>
    </row>
    <row r="307" spans="1:14" x14ac:dyDescent="0.25">
      <c r="A307" t="s">
        <v>321</v>
      </c>
      <c r="B307" s="122">
        <v>19127</v>
      </c>
      <c r="C307" s="152">
        <v>25.85</v>
      </c>
      <c r="D307">
        <v>6.9</v>
      </c>
      <c r="E307" s="134">
        <v>79364</v>
      </c>
      <c r="F307" s="2">
        <v>3.1</v>
      </c>
      <c r="G307" s="135">
        <v>2580636357</v>
      </c>
      <c r="I307" s="136" t="s">
        <v>428</v>
      </c>
      <c r="J307" s="137" t="s">
        <v>694</v>
      </c>
      <c r="K307" s="138">
        <v>1</v>
      </c>
      <c r="L307" s="137" t="s">
        <v>693</v>
      </c>
      <c r="M307" s="143" t="s">
        <v>693</v>
      </c>
      <c r="N307" s="138"/>
    </row>
    <row r="308" spans="1:14" x14ac:dyDescent="0.25">
      <c r="A308" t="s">
        <v>322</v>
      </c>
      <c r="B308" s="122">
        <v>2313</v>
      </c>
      <c r="C308" s="152">
        <v>1.85</v>
      </c>
      <c r="D308">
        <v>3.5</v>
      </c>
      <c r="E308" s="134">
        <v>97269</v>
      </c>
      <c r="F308" s="2">
        <v>3.3</v>
      </c>
      <c r="G308" s="135">
        <v>1272812769</v>
      </c>
      <c r="I308" s="136" t="s">
        <v>429</v>
      </c>
      <c r="J308" s="137" t="s">
        <v>694</v>
      </c>
      <c r="K308" s="138">
        <v>2</v>
      </c>
      <c r="L308" s="137" t="s">
        <v>693</v>
      </c>
      <c r="M308" s="143" t="s">
        <v>693</v>
      </c>
      <c r="N308" s="138"/>
    </row>
    <row r="309" spans="1:14" x14ac:dyDescent="0.25">
      <c r="A309" t="s">
        <v>323</v>
      </c>
      <c r="B309" s="122">
        <v>2640</v>
      </c>
      <c r="C309" s="152">
        <v>-2.29</v>
      </c>
      <c r="D309">
        <v>28.4</v>
      </c>
      <c r="E309" s="134">
        <v>46799</v>
      </c>
      <c r="F309" s="2">
        <v>3.7</v>
      </c>
      <c r="G309" s="135">
        <v>135578941</v>
      </c>
      <c r="I309" s="136" t="s">
        <v>430</v>
      </c>
      <c r="J309" s="137" t="s">
        <v>693</v>
      </c>
      <c r="K309" s="138">
        <v>2</v>
      </c>
      <c r="L309" s="137" t="s">
        <v>693</v>
      </c>
      <c r="M309" s="143" t="s">
        <v>693</v>
      </c>
      <c r="N309" s="138"/>
    </row>
    <row r="310" spans="1:14" x14ac:dyDescent="0.25">
      <c r="A310" t="s">
        <v>324</v>
      </c>
      <c r="B310" s="122">
        <v>1575</v>
      </c>
      <c r="C310" s="152">
        <v>1.1599999999999999</v>
      </c>
      <c r="D310">
        <v>7.9</v>
      </c>
      <c r="E310" s="134">
        <v>75259</v>
      </c>
      <c r="F310" s="2">
        <v>4.8</v>
      </c>
      <c r="G310" s="135">
        <v>849936792</v>
      </c>
      <c r="I310" s="136" t="s">
        <v>431</v>
      </c>
      <c r="J310" s="137" t="s">
        <v>693</v>
      </c>
      <c r="K310" s="138">
        <v>7</v>
      </c>
      <c r="L310" s="137" t="s">
        <v>693</v>
      </c>
      <c r="M310" s="143" t="s">
        <v>693</v>
      </c>
      <c r="N310" s="138"/>
    </row>
    <row r="311" spans="1:14" x14ac:dyDescent="0.25">
      <c r="A311" t="s">
        <v>325</v>
      </c>
      <c r="B311" s="122">
        <v>3342</v>
      </c>
      <c r="C311" s="152">
        <v>-10.95</v>
      </c>
      <c r="D311">
        <v>4</v>
      </c>
      <c r="E311" s="134">
        <v>73972</v>
      </c>
      <c r="F311" s="2">
        <v>3.2</v>
      </c>
      <c r="G311" s="135">
        <v>388606293</v>
      </c>
      <c r="I311" s="136" t="s">
        <v>433</v>
      </c>
      <c r="J311" s="137" t="s">
        <v>693</v>
      </c>
      <c r="K311" s="138">
        <v>5</v>
      </c>
      <c r="L311" s="137" t="s">
        <v>693</v>
      </c>
      <c r="M311" s="143" t="s">
        <v>693</v>
      </c>
      <c r="N311" s="138"/>
    </row>
    <row r="312" spans="1:14" x14ac:dyDescent="0.25">
      <c r="A312" t="s">
        <v>326</v>
      </c>
      <c r="B312" s="122">
        <v>121</v>
      </c>
      <c r="C312" s="152">
        <v>137.25</v>
      </c>
      <c r="D312">
        <v>0</v>
      </c>
      <c r="E312" s="134">
        <v>112750</v>
      </c>
      <c r="F312" s="2">
        <v>5.4</v>
      </c>
      <c r="G312" s="135">
        <v>86311723</v>
      </c>
      <c r="I312" s="136" t="s">
        <v>434</v>
      </c>
      <c r="J312" s="137" t="s">
        <v>694</v>
      </c>
      <c r="K312" s="138">
        <v>6</v>
      </c>
      <c r="L312" s="137" t="s">
        <v>693</v>
      </c>
      <c r="M312" s="143" t="s">
        <v>693</v>
      </c>
      <c r="N312" s="138"/>
    </row>
    <row r="313" spans="1:14" x14ac:dyDescent="0.25">
      <c r="A313" t="s">
        <v>327</v>
      </c>
      <c r="B313" s="122">
        <v>1462</v>
      </c>
      <c r="C313" s="152">
        <v>-9.86</v>
      </c>
      <c r="D313">
        <v>5.8</v>
      </c>
      <c r="E313" s="134">
        <v>74297</v>
      </c>
      <c r="F313" s="2">
        <v>4.3</v>
      </c>
      <c r="G313" s="135">
        <v>295240695</v>
      </c>
      <c r="I313" s="139" t="s">
        <v>816</v>
      </c>
      <c r="J313" s="137" t="s">
        <v>693</v>
      </c>
      <c r="K313" s="138">
        <v>0</v>
      </c>
      <c r="L313" s="137" t="s">
        <v>693</v>
      </c>
      <c r="M313" s="143" t="s">
        <v>693</v>
      </c>
      <c r="N313" s="138"/>
    </row>
    <row r="314" spans="1:14" x14ac:dyDescent="0.25">
      <c r="A314" t="s">
        <v>328</v>
      </c>
      <c r="B314" s="122">
        <v>3663</v>
      </c>
      <c r="C314" s="152">
        <v>18.47</v>
      </c>
      <c r="D314">
        <v>5.6</v>
      </c>
      <c r="E314" s="134">
        <v>73571</v>
      </c>
      <c r="F314" s="2">
        <v>3.7</v>
      </c>
      <c r="G314" s="135">
        <v>341477412</v>
      </c>
      <c r="I314" s="136" t="s">
        <v>435</v>
      </c>
      <c r="J314" s="137" t="s">
        <v>694</v>
      </c>
      <c r="K314" s="138">
        <v>10</v>
      </c>
      <c r="L314" s="137" t="s">
        <v>693</v>
      </c>
      <c r="M314" s="143" t="s">
        <v>693</v>
      </c>
      <c r="N314" s="138"/>
    </row>
    <row r="315" spans="1:14" x14ac:dyDescent="0.25">
      <c r="A315" t="s">
        <v>329</v>
      </c>
      <c r="B315" s="122">
        <v>236</v>
      </c>
      <c r="C315" s="152">
        <v>29.67</v>
      </c>
      <c r="D315">
        <v>18.2</v>
      </c>
      <c r="E315" s="134">
        <v>45536</v>
      </c>
      <c r="F315" s="2">
        <v>3.4</v>
      </c>
      <c r="G315" s="135">
        <v>9665234</v>
      </c>
      <c r="I315" s="136" t="s">
        <v>437</v>
      </c>
      <c r="J315" s="137" t="s">
        <v>693</v>
      </c>
      <c r="K315" s="138">
        <v>2</v>
      </c>
      <c r="L315" s="137" t="s">
        <v>693</v>
      </c>
      <c r="M315" s="143" t="s">
        <v>693</v>
      </c>
      <c r="N315" s="138"/>
    </row>
    <row r="316" spans="1:14" x14ac:dyDescent="0.25">
      <c r="A316" t="s">
        <v>330</v>
      </c>
      <c r="B316" s="122">
        <v>172</v>
      </c>
      <c r="C316" s="152">
        <v>1.78</v>
      </c>
      <c r="D316">
        <v>3.5</v>
      </c>
      <c r="E316" s="134">
        <v>80625</v>
      </c>
      <c r="F316" s="2">
        <v>4.9000000000000004</v>
      </c>
      <c r="G316" s="135">
        <v>3985670</v>
      </c>
      <c r="I316" s="136" t="s">
        <v>439</v>
      </c>
      <c r="J316" s="137" t="s">
        <v>693</v>
      </c>
      <c r="K316" s="138">
        <v>2</v>
      </c>
      <c r="L316" s="137" t="s">
        <v>693</v>
      </c>
      <c r="M316" s="143" t="s">
        <v>693</v>
      </c>
      <c r="N316" s="138"/>
    </row>
    <row r="317" spans="1:14" x14ac:dyDescent="0.25">
      <c r="A317" t="s">
        <v>331</v>
      </c>
      <c r="B317" s="122">
        <v>557</v>
      </c>
      <c r="C317" s="152">
        <v>25.73</v>
      </c>
      <c r="D317">
        <v>3.3</v>
      </c>
      <c r="E317" s="134">
        <v>68125</v>
      </c>
      <c r="F317" s="2">
        <v>3.9</v>
      </c>
      <c r="G317" s="135">
        <v>20861300</v>
      </c>
      <c r="I317" s="136" t="s">
        <v>440</v>
      </c>
      <c r="J317" s="137" t="s">
        <v>693</v>
      </c>
      <c r="K317" s="138">
        <v>1</v>
      </c>
      <c r="L317" s="137" t="s">
        <v>693</v>
      </c>
      <c r="M317" s="143" t="s">
        <v>693</v>
      </c>
      <c r="N317" s="138"/>
    </row>
    <row r="318" spans="1:14" x14ac:dyDescent="0.25">
      <c r="A318" t="s">
        <v>332</v>
      </c>
      <c r="B318" s="122">
        <v>2615</v>
      </c>
      <c r="C318" s="152">
        <v>-9.3000000000000007</v>
      </c>
      <c r="D318">
        <v>6</v>
      </c>
      <c r="E318" s="134">
        <v>90855</v>
      </c>
      <c r="F318" s="2">
        <v>3.2</v>
      </c>
      <c r="G318" s="135">
        <v>459092550</v>
      </c>
      <c r="I318" s="136" t="s">
        <v>441</v>
      </c>
      <c r="J318" s="137" t="s">
        <v>694</v>
      </c>
      <c r="K318" s="138">
        <v>2</v>
      </c>
      <c r="L318" s="137" t="s">
        <v>693</v>
      </c>
      <c r="M318" s="143" t="s">
        <v>693</v>
      </c>
      <c r="N318" s="138"/>
    </row>
    <row r="319" spans="1:14" x14ac:dyDescent="0.25">
      <c r="A319" t="s">
        <v>333</v>
      </c>
      <c r="B319" s="122">
        <v>14971</v>
      </c>
      <c r="C319" s="152">
        <v>-1.85</v>
      </c>
      <c r="D319">
        <v>33.799999999999997</v>
      </c>
      <c r="E319" s="134">
        <v>38015</v>
      </c>
      <c r="F319" s="2">
        <v>6.5</v>
      </c>
      <c r="G319" s="135">
        <v>860328363</v>
      </c>
      <c r="I319" s="136" t="s">
        <v>442</v>
      </c>
      <c r="J319" s="137" t="s">
        <v>693</v>
      </c>
      <c r="K319" s="138">
        <v>3</v>
      </c>
      <c r="L319" s="137" t="s">
        <v>693</v>
      </c>
      <c r="M319" s="143" t="s">
        <v>693</v>
      </c>
      <c r="N319" s="138"/>
    </row>
    <row r="320" spans="1:14" x14ac:dyDescent="0.25">
      <c r="A320" t="s">
        <v>334</v>
      </c>
      <c r="B320" s="122">
        <v>599</v>
      </c>
      <c r="C320" s="152">
        <v>-25.77</v>
      </c>
      <c r="D320">
        <v>23.2</v>
      </c>
      <c r="E320" s="134">
        <v>33542</v>
      </c>
      <c r="F320" s="2">
        <v>3.9</v>
      </c>
      <c r="G320" s="135">
        <v>24941788</v>
      </c>
      <c r="I320" s="136" t="s">
        <v>444</v>
      </c>
      <c r="J320" s="137" t="s">
        <v>693</v>
      </c>
      <c r="K320" s="138">
        <v>0</v>
      </c>
      <c r="L320" s="137" t="s">
        <v>693</v>
      </c>
      <c r="M320" s="143" t="s">
        <v>693</v>
      </c>
      <c r="N320" s="138"/>
    </row>
    <row r="321" spans="1:14" x14ac:dyDescent="0.25">
      <c r="A321" t="s">
        <v>335</v>
      </c>
      <c r="B321" s="122">
        <v>63560</v>
      </c>
      <c r="C321" s="152">
        <v>5.71</v>
      </c>
      <c r="D321">
        <v>16</v>
      </c>
      <c r="E321" s="134">
        <v>60941</v>
      </c>
      <c r="F321" s="2">
        <v>4.3</v>
      </c>
      <c r="G321" s="135">
        <v>7116102770</v>
      </c>
      <c r="I321" s="136" t="s">
        <v>446</v>
      </c>
      <c r="J321" s="137" t="s">
        <v>693</v>
      </c>
      <c r="K321" s="138">
        <v>0</v>
      </c>
      <c r="L321" s="137" t="s">
        <v>693</v>
      </c>
      <c r="M321" s="143" t="s">
        <v>693</v>
      </c>
      <c r="N321" s="138"/>
    </row>
    <row r="322" spans="1:14" x14ac:dyDescent="0.25">
      <c r="A322" t="s">
        <v>336</v>
      </c>
      <c r="B322" s="122">
        <v>55</v>
      </c>
      <c r="C322" s="152">
        <v>30.95</v>
      </c>
      <c r="D322">
        <v>5.5</v>
      </c>
      <c r="E322" s="134">
        <v>48438</v>
      </c>
      <c r="F322" s="2">
        <v>6.6</v>
      </c>
      <c r="G322" s="135">
        <v>4773302</v>
      </c>
      <c r="I322" s="136" t="s">
        <v>447</v>
      </c>
      <c r="J322" s="137" t="s">
        <v>693</v>
      </c>
      <c r="K322" s="138">
        <v>2</v>
      </c>
      <c r="L322" s="137" t="s">
        <v>693</v>
      </c>
      <c r="M322" s="143" t="s">
        <v>693</v>
      </c>
      <c r="N322" s="138"/>
    </row>
    <row r="323" spans="1:14" x14ac:dyDescent="0.25">
      <c r="A323" t="s">
        <v>337</v>
      </c>
      <c r="B323" s="122">
        <v>24473</v>
      </c>
      <c r="C323" s="152">
        <v>27.75</v>
      </c>
      <c r="D323">
        <v>4.5999999999999996</v>
      </c>
      <c r="E323" s="134">
        <v>82651</v>
      </c>
      <c r="F323" s="2">
        <v>4.7</v>
      </c>
      <c r="G323" s="135">
        <v>3986265525</v>
      </c>
      <c r="I323" s="136" t="s">
        <v>449</v>
      </c>
      <c r="J323" s="137" t="s">
        <v>694</v>
      </c>
      <c r="K323" s="138">
        <v>7</v>
      </c>
      <c r="L323" s="137" t="s">
        <v>693</v>
      </c>
      <c r="M323" s="143" t="s">
        <v>693</v>
      </c>
      <c r="N323" s="138"/>
    </row>
    <row r="324" spans="1:14" x14ac:dyDescent="0.25">
      <c r="A324" t="s">
        <v>338</v>
      </c>
      <c r="B324" s="122">
        <v>55071</v>
      </c>
      <c r="C324" s="152">
        <v>-3.77</v>
      </c>
      <c r="D324">
        <v>22.4</v>
      </c>
      <c r="E324" s="134">
        <v>43063</v>
      </c>
      <c r="F324" s="2">
        <v>3.7</v>
      </c>
      <c r="G324" s="135">
        <v>4407473873</v>
      </c>
      <c r="I324" s="136" t="s">
        <v>450</v>
      </c>
      <c r="J324" s="137" t="s">
        <v>693</v>
      </c>
      <c r="K324" s="138">
        <v>2</v>
      </c>
      <c r="L324" s="137" t="s">
        <v>693</v>
      </c>
      <c r="M324" s="143" t="s">
        <v>693</v>
      </c>
      <c r="N324" s="138"/>
    </row>
    <row r="325" spans="1:14" x14ac:dyDescent="0.25">
      <c r="A325" t="s">
        <v>339</v>
      </c>
      <c r="B325" s="122">
        <v>18301</v>
      </c>
      <c r="C325" s="152">
        <v>2.25</v>
      </c>
      <c r="D325">
        <v>16</v>
      </c>
      <c r="E325" s="134">
        <v>44802</v>
      </c>
      <c r="F325" s="2">
        <v>3.6</v>
      </c>
      <c r="G325" s="135">
        <v>2904952251</v>
      </c>
      <c r="I325" s="136" t="s">
        <v>451</v>
      </c>
      <c r="J325" s="137" t="s">
        <v>693</v>
      </c>
      <c r="K325" s="138">
        <v>6</v>
      </c>
      <c r="L325" s="137" t="s">
        <v>693</v>
      </c>
      <c r="M325" s="143" t="s">
        <v>693</v>
      </c>
      <c r="N325" s="138"/>
    </row>
    <row r="326" spans="1:14" x14ac:dyDescent="0.25">
      <c r="A326" t="s">
        <v>340</v>
      </c>
      <c r="B326" s="122">
        <v>458</v>
      </c>
      <c r="C326" s="152">
        <v>-43.32</v>
      </c>
      <c r="D326">
        <v>26</v>
      </c>
      <c r="E326" s="134">
        <v>41944</v>
      </c>
      <c r="F326" s="2">
        <v>4.9000000000000004</v>
      </c>
      <c r="G326" s="135">
        <v>25492748</v>
      </c>
      <c r="I326" s="136" t="s">
        <v>453</v>
      </c>
      <c r="J326" s="137" t="s">
        <v>694</v>
      </c>
      <c r="K326" s="138">
        <v>3</v>
      </c>
      <c r="L326" s="137" t="s">
        <v>693</v>
      </c>
      <c r="M326" s="143" t="s">
        <v>693</v>
      </c>
      <c r="N326" s="138"/>
    </row>
    <row r="327" spans="1:14" x14ac:dyDescent="0.25">
      <c r="A327" t="s">
        <v>341</v>
      </c>
      <c r="B327" s="122">
        <v>13509</v>
      </c>
      <c r="C327" s="152">
        <v>-1.08</v>
      </c>
      <c r="D327">
        <v>9.4</v>
      </c>
      <c r="E327" s="134">
        <v>86641</v>
      </c>
      <c r="F327" s="2">
        <v>3.8</v>
      </c>
      <c r="G327" s="135">
        <v>1686533609</v>
      </c>
      <c r="I327" s="136" t="s">
        <v>454</v>
      </c>
      <c r="J327" s="137" t="s">
        <v>694</v>
      </c>
      <c r="K327" s="138">
        <v>2</v>
      </c>
      <c r="L327" s="137" t="s">
        <v>693</v>
      </c>
      <c r="M327" s="143" t="s">
        <v>693</v>
      </c>
      <c r="N327" s="138"/>
    </row>
    <row r="328" spans="1:14" x14ac:dyDescent="0.25">
      <c r="A328" t="s">
        <v>342</v>
      </c>
      <c r="B328" s="122">
        <v>19595</v>
      </c>
      <c r="C328" s="152">
        <v>3.69</v>
      </c>
      <c r="D328">
        <v>21</v>
      </c>
      <c r="E328" s="134">
        <v>36868</v>
      </c>
      <c r="F328" s="2">
        <v>3.6</v>
      </c>
      <c r="G328" s="135">
        <v>1818961111</v>
      </c>
      <c r="I328" s="136" t="s">
        <v>455</v>
      </c>
      <c r="J328" s="137" t="s">
        <v>693</v>
      </c>
      <c r="K328" s="138">
        <v>2</v>
      </c>
      <c r="L328" s="137" t="s">
        <v>693</v>
      </c>
      <c r="M328" s="143" t="s">
        <v>693</v>
      </c>
      <c r="N328" s="138"/>
    </row>
    <row r="329" spans="1:14" x14ac:dyDescent="0.25">
      <c r="A329" t="s">
        <v>343</v>
      </c>
      <c r="B329" s="122">
        <v>2666</v>
      </c>
      <c r="C329" s="152">
        <v>0.34</v>
      </c>
      <c r="D329">
        <v>20</v>
      </c>
      <c r="E329" s="134">
        <v>48672</v>
      </c>
      <c r="F329" s="2">
        <v>3.7</v>
      </c>
      <c r="G329" s="135">
        <v>204568666</v>
      </c>
      <c r="I329" s="136" t="s">
        <v>457</v>
      </c>
      <c r="J329" s="137" t="s">
        <v>693</v>
      </c>
      <c r="K329" s="138">
        <v>2</v>
      </c>
      <c r="L329" s="137" t="s">
        <v>693</v>
      </c>
      <c r="M329" s="143" t="s">
        <v>693</v>
      </c>
      <c r="N329" s="138"/>
    </row>
    <row r="330" spans="1:14" x14ac:dyDescent="0.25">
      <c r="A330" t="s">
        <v>344</v>
      </c>
      <c r="B330" s="122">
        <v>779</v>
      </c>
      <c r="C330" s="152">
        <v>75.06</v>
      </c>
      <c r="D330">
        <v>23.9</v>
      </c>
      <c r="E330" s="134">
        <v>51538</v>
      </c>
      <c r="F330" s="2">
        <v>4.4000000000000004</v>
      </c>
      <c r="G330" s="135">
        <v>19552168</v>
      </c>
      <c r="I330" s="136" t="s">
        <v>459</v>
      </c>
      <c r="J330" s="137" t="s">
        <v>693</v>
      </c>
      <c r="K330" s="138">
        <v>3</v>
      </c>
      <c r="L330" s="137" t="s">
        <v>693</v>
      </c>
      <c r="M330" s="143" t="s">
        <v>693</v>
      </c>
      <c r="N330" s="138"/>
    </row>
    <row r="331" spans="1:14" x14ac:dyDescent="0.25">
      <c r="A331" t="s">
        <v>345</v>
      </c>
      <c r="B331" s="122">
        <v>4566</v>
      </c>
      <c r="C331" s="152">
        <v>30.12</v>
      </c>
      <c r="D331">
        <v>7.2</v>
      </c>
      <c r="E331" s="134">
        <v>57774</v>
      </c>
      <c r="F331" s="2">
        <v>4.0999999999999996</v>
      </c>
      <c r="G331" s="135">
        <v>543408323</v>
      </c>
      <c r="I331" s="136" t="s">
        <v>460</v>
      </c>
      <c r="J331" s="137" t="s">
        <v>693</v>
      </c>
      <c r="K331" s="138">
        <v>5</v>
      </c>
      <c r="L331" s="137" t="s">
        <v>693</v>
      </c>
      <c r="M331" s="143" t="s">
        <v>693</v>
      </c>
      <c r="N331" s="138"/>
    </row>
    <row r="332" spans="1:14" x14ac:dyDescent="0.25">
      <c r="A332" t="s">
        <v>346</v>
      </c>
      <c r="B332" s="122">
        <v>87933</v>
      </c>
      <c r="C332" s="152">
        <v>7.97</v>
      </c>
      <c r="D332">
        <v>9.3000000000000007</v>
      </c>
      <c r="E332" s="134">
        <v>75672</v>
      </c>
      <c r="F332" s="2">
        <v>3.2</v>
      </c>
      <c r="G332" s="135">
        <v>12578308749</v>
      </c>
      <c r="I332" s="136" t="s">
        <v>461</v>
      </c>
      <c r="J332" s="137" t="s">
        <v>694</v>
      </c>
      <c r="K332" s="138">
        <v>3</v>
      </c>
      <c r="L332" s="137" t="s">
        <v>693</v>
      </c>
      <c r="M332" s="143" t="s">
        <v>693</v>
      </c>
      <c r="N332" s="138"/>
    </row>
    <row r="333" spans="1:14" x14ac:dyDescent="0.25">
      <c r="A333" t="s">
        <v>347</v>
      </c>
      <c r="B333" s="122">
        <v>11225</v>
      </c>
      <c r="C333" s="152">
        <v>5.12</v>
      </c>
      <c r="D333">
        <v>19.3</v>
      </c>
      <c r="E333" s="134">
        <v>41614</v>
      </c>
      <c r="F333" s="2">
        <v>3.2</v>
      </c>
      <c r="G333" s="135">
        <v>1037670717</v>
      </c>
      <c r="I333" s="136" t="s">
        <v>463</v>
      </c>
      <c r="J333" s="137" t="s">
        <v>693</v>
      </c>
      <c r="K333" s="138">
        <v>1</v>
      </c>
      <c r="L333" s="137" t="s">
        <v>694</v>
      </c>
      <c r="M333" s="143" t="s">
        <v>693</v>
      </c>
      <c r="N333" s="138"/>
    </row>
    <row r="334" spans="1:14" x14ac:dyDescent="0.25">
      <c r="A334" t="s">
        <v>348</v>
      </c>
      <c r="B334" s="122">
        <v>126</v>
      </c>
      <c r="C334" s="152">
        <v>0</v>
      </c>
      <c r="D334">
        <v>18.3</v>
      </c>
      <c r="E334" s="134">
        <v>61250</v>
      </c>
      <c r="F334" s="2">
        <v>5.2</v>
      </c>
      <c r="G334" s="135">
        <v>10098812</v>
      </c>
      <c r="I334" s="136" t="s">
        <v>464</v>
      </c>
      <c r="J334" s="137" t="s">
        <v>694</v>
      </c>
      <c r="K334" s="138">
        <v>7</v>
      </c>
      <c r="L334" s="137" t="s">
        <v>693</v>
      </c>
      <c r="M334" s="143" t="s">
        <v>693</v>
      </c>
      <c r="N334" s="138"/>
    </row>
    <row r="335" spans="1:14" x14ac:dyDescent="0.25">
      <c r="A335" t="s">
        <v>349</v>
      </c>
      <c r="B335" s="122">
        <v>525</v>
      </c>
      <c r="C335" s="152">
        <v>-13.51</v>
      </c>
      <c r="D335">
        <v>29.5</v>
      </c>
      <c r="E335" s="134">
        <v>26667</v>
      </c>
      <c r="F335" s="2">
        <v>5.7</v>
      </c>
      <c r="G335" s="135">
        <v>51624732</v>
      </c>
      <c r="I335" s="136" t="s">
        <v>465</v>
      </c>
      <c r="J335" s="137" t="s">
        <v>694</v>
      </c>
      <c r="K335" s="138">
        <v>1</v>
      </c>
      <c r="L335" s="137" t="s">
        <v>693</v>
      </c>
      <c r="M335" s="143" t="s">
        <v>693</v>
      </c>
      <c r="N335" s="138"/>
    </row>
    <row r="336" spans="1:14" x14ac:dyDescent="0.25">
      <c r="A336" t="s">
        <v>350</v>
      </c>
      <c r="B336" s="122">
        <v>4700</v>
      </c>
      <c r="C336" s="152">
        <v>40.26</v>
      </c>
      <c r="D336">
        <v>11.1</v>
      </c>
      <c r="E336" s="134">
        <v>52551</v>
      </c>
      <c r="F336" s="2">
        <v>3.3499999999999996</v>
      </c>
      <c r="G336" s="135">
        <v>668066427</v>
      </c>
      <c r="I336" s="136" t="s">
        <v>466</v>
      </c>
      <c r="J336" s="137" t="s">
        <v>693</v>
      </c>
      <c r="K336" s="138">
        <v>1</v>
      </c>
      <c r="L336" s="137" t="s">
        <v>693</v>
      </c>
      <c r="M336" s="143" t="s">
        <v>693</v>
      </c>
      <c r="N336" s="138"/>
    </row>
    <row r="337" spans="1:14" x14ac:dyDescent="0.25">
      <c r="A337" t="s">
        <v>351</v>
      </c>
      <c r="B337" s="122">
        <v>5029</v>
      </c>
      <c r="C337" s="152">
        <v>1.62</v>
      </c>
      <c r="D337">
        <v>13.1</v>
      </c>
      <c r="E337" s="134">
        <v>44740</v>
      </c>
      <c r="F337" s="2">
        <v>3.5</v>
      </c>
      <c r="G337" s="135">
        <v>321903893</v>
      </c>
      <c r="I337" s="136" t="s">
        <v>467</v>
      </c>
      <c r="J337" s="137" t="s">
        <v>693</v>
      </c>
      <c r="K337" s="138">
        <v>2</v>
      </c>
      <c r="L337" s="137" t="s">
        <v>693</v>
      </c>
      <c r="M337" s="143" t="s">
        <v>693</v>
      </c>
      <c r="N337" s="138"/>
    </row>
    <row r="338" spans="1:14" x14ac:dyDescent="0.25">
      <c r="A338" t="s">
        <v>352</v>
      </c>
      <c r="B338" s="122">
        <v>3099</v>
      </c>
      <c r="C338" s="152">
        <v>-11.2</v>
      </c>
      <c r="D338">
        <v>29.7</v>
      </c>
      <c r="E338" s="134">
        <v>41813</v>
      </c>
      <c r="F338" s="2">
        <v>3.7</v>
      </c>
      <c r="G338" s="135">
        <v>302740224</v>
      </c>
      <c r="I338" s="136" t="s">
        <v>468</v>
      </c>
      <c r="J338" s="137" t="s">
        <v>693</v>
      </c>
      <c r="K338" s="138">
        <v>2</v>
      </c>
      <c r="L338" s="137" t="s">
        <v>693</v>
      </c>
      <c r="M338" s="143" t="s">
        <v>693</v>
      </c>
      <c r="N338" s="138"/>
    </row>
    <row r="339" spans="1:14" x14ac:dyDescent="0.25">
      <c r="A339" t="s">
        <v>353</v>
      </c>
      <c r="B339" s="122">
        <v>130</v>
      </c>
      <c r="C339" s="152">
        <v>34.020000000000003</v>
      </c>
      <c r="D339">
        <v>37.700000000000003</v>
      </c>
      <c r="E339" s="134">
        <v>20938</v>
      </c>
      <c r="F339" s="2">
        <v>3.4</v>
      </c>
      <c r="G339" s="135">
        <v>11543508</v>
      </c>
      <c r="I339" s="136" t="s">
        <v>470</v>
      </c>
      <c r="J339" s="137" t="s">
        <v>694</v>
      </c>
      <c r="K339" s="138">
        <v>7</v>
      </c>
      <c r="L339" s="137" t="s">
        <v>693</v>
      </c>
      <c r="M339" s="143" t="s">
        <v>693</v>
      </c>
      <c r="N339" s="138"/>
    </row>
    <row r="340" spans="1:14" x14ac:dyDescent="0.25">
      <c r="A340" t="s">
        <v>354</v>
      </c>
      <c r="B340" s="122">
        <v>3692</v>
      </c>
      <c r="C340" s="152">
        <v>2.21</v>
      </c>
      <c r="D340">
        <v>22.2</v>
      </c>
      <c r="E340" s="134">
        <v>55481</v>
      </c>
      <c r="F340" s="2">
        <v>3.7</v>
      </c>
      <c r="G340" s="135">
        <v>370237917</v>
      </c>
      <c r="I340" s="136" t="s">
        <v>472</v>
      </c>
      <c r="J340" s="137" t="s">
        <v>694</v>
      </c>
      <c r="K340" s="138">
        <v>2</v>
      </c>
      <c r="L340" s="137" t="s">
        <v>693</v>
      </c>
      <c r="M340" s="143" t="s">
        <v>693</v>
      </c>
      <c r="N340" s="138"/>
    </row>
    <row r="341" spans="1:14" x14ac:dyDescent="0.25">
      <c r="A341" t="s">
        <v>355</v>
      </c>
      <c r="B341" s="122">
        <v>1058</v>
      </c>
      <c r="C341" s="152">
        <v>-11.83</v>
      </c>
      <c r="D341">
        <v>32.6</v>
      </c>
      <c r="E341" s="134">
        <v>37750</v>
      </c>
      <c r="F341" s="2">
        <v>5.2</v>
      </c>
      <c r="G341" s="135">
        <v>39418009</v>
      </c>
      <c r="I341" s="136" t="s">
        <v>476</v>
      </c>
      <c r="J341" s="137" t="s">
        <v>694</v>
      </c>
      <c r="K341" s="138">
        <v>9</v>
      </c>
      <c r="L341" s="137" t="s">
        <v>693</v>
      </c>
      <c r="M341" s="143" t="s">
        <v>693</v>
      </c>
      <c r="N341" s="138"/>
    </row>
    <row r="342" spans="1:14" x14ac:dyDescent="0.25">
      <c r="A342" t="s">
        <v>356</v>
      </c>
      <c r="B342" s="122">
        <v>69</v>
      </c>
      <c r="C342" s="152">
        <v>-10.39</v>
      </c>
      <c r="D342">
        <v>10.1</v>
      </c>
      <c r="E342" s="134">
        <v>61250</v>
      </c>
      <c r="F342" s="2">
        <v>5.6</v>
      </c>
      <c r="G342" s="135">
        <v>9971895</v>
      </c>
      <c r="I342" s="139" t="s">
        <v>477</v>
      </c>
      <c r="J342" s="137" t="s">
        <v>693</v>
      </c>
      <c r="K342" s="138">
        <v>4</v>
      </c>
      <c r="L342" s="137" t="s">
        <v>693</v>
      </c>
      <c r="M342" s="143" t="s">
        <v>693</v>
      </c>
      <c r="N342" s="138"/>
    </row>
    <row r="343" spans="1:14" x14ac:dyDescent="0.25">
      <c r="A343" t="s">
        <v>357</v>
      </c>
      <c r="B343" s="122">
        <v>19099</v>
      </c>
      <c r="C343" s="152">
        <v>-9.9</v>
      </c>
      <c r="D343">
        <v>29.4</v>
      </c>
      <c r="E343" s="134">
        <v>41314</v>
      </c>
      <c r="F343" s="2">
        <v>5.6</v>
      </c>
      <c r="G343" s="135">
        <v>1682669939</v>
      </c>
      <c r="I343" s="136" t="s">
        <v>478</v>
      </c>
      <c r="J343" s="137" t="s">
        <v>694</v>
      </c>
      <c r="K343" s="138">
        <v>4</v>
      </c>
      <c r="L343" s="137" t="s">
        <v>693</v>
      </c>
      <c r="M343" s="143" t="s">
        <v>693</v>
      </c>
      <c r="N343" s="138"/>
    </row>
    <row r="344" spans="1:14" x14ac:dyDescent="0.25">
      <c r="A344" t="s">
        <v>358</v>
      </c>
      <c r="B344" s="122">
        <v>335</v>
      </c>
      <c r="C344" s="152">
        <v>-39.64</v>
      </c>
      <c r="D344">
        <v>27.5</v>
      </c>
      <c r="E344" s="134">
        <v>59375</v>
      </c>
      <c r="F344" s="2">
        <v>6.6</v>
      </c>
      <c r="G344" s="135">
        <v>19773731</v>
      </c>
      <c r="I344" s="136" t="s">
        <v>479</v>
      </c>
      <c r="J344" s="137" t="s">
        <v>694</v>
      </c>
      <c r="K344" s="138">
        <v>7</v>
      </c>
      <c r="L344" s="137" t="s">
        <v>693</v>
      </c>
      <c r="M344" s="143" t="s">
        <v>693</v>
      </c>
      <c r="N344" s="138"/>
    </row>
    <row r="345" spans="1:14" x14ac:dyDescent="0.25">
      <c r="A345" t="s">
        <v>359</v>
      </c>
      <c r="B345" s="122">
        <v>37088</v>
      </c>
      <c r="C345" s="152">
        <v>7.78</v>
      </c>
      <c r="D345">
        <v>15.4</v>
      </c>
      <c r="E345" s="134">
        <v>51042</v>
      </c>
      <c r="F345" s="2">
        <v>3.5</v>
      </c>
      <c r="G345" s="135">
        <v>8520782794</v>
      </c>
      <c r="I345" s="136" t="s">
        <v>480</v>
      </c>
      <c r="J345" s="137" t="s">
        <v>694</v>
      </c>
      <c r="K345" s="138">
        <v>4</v>
      </c>
      <c r="L345" s="137" t="s">
        <v>693</v>
      </c>
      <c r="M345" s="143" t="s">
        <v>693</v>
      </c>
      <c r="N345" s="138"/>
    </row>
    <row r="346" spans="1:14" x14ac:dyDescent="0.25">
      <c r="A346" t="s">
        <v>360</v>
      </c>
      <c r="B346" s="122">
        <v>90</v>
      </c>
      <c r="C346" s="152">
        <v>-38.78</v>
      </c>
      <c r="D346">
        <v>2.2000000000000002</v>
      </c>
      <c r="E346" s="134">
        <v>77917</v>
      </c>
      <c r="F346" s="2">
        <v>6.4</v>
      </c>
      <c r="G346" s="135">
        <v>5169690</v>
      </c>
      <c r="I346" s="136" t="s">
        <v>481</v>
      </c>
      <c r="J346" s="137" t="s">
        <v>693</v>
      </c>
      <c r="K346" s="138">
        <v>2</v>
      </c>
      <c r="L346" s="137" t="s">
        <v>693</v>
      </c>
      <c r="M346" s="143" t="s">
        <v>693</v>
      </c>
      <c r="N346" s="138"/>
    </row>
    <row r="347" spans="1:14" x14ac:dyDescent="0.25">
      <c r="A347" t="s">
        <v>361</v>
      </c>
      <c r="B347" s="122">
        <v>21414</v>
      </c>
      <c r="C347" s="152">
        <v>0.04</v>
      </c>
      <c r="D347">
        <v>12.5</v>
      </c>
      <c r="E347" s="134">
        <v>56664</v>
      </c>
      <c r="F347" s="2">
        <v>3.4</v>
      </c>
      <c r="G347" s="135">
        <v>2846216355</v>
      </c>
      <c r="I347" s="136" t="s">
        <v>482</v>
      </c>
      <c r="J347" s="137" t="s">
        <v>694</v>
      </c>
      <c r="K347" s="138">
        <v>6</v>
      </c>
      <c r="L347" s="137" t="s">
        <v>693</v>
      </c>
      <c r="M347" s="143" t="s">
        <v>693</v>
      </c>
      <c r="N347" s="138"/>
    </row>
    <row r="348" spans="1:14" x14ac:dyDescent="0.25">
      <c r="A348" t="s">
        <v>362</v>
      </c>
      <c r="B348" s="122">
        <v>2185</v>
      </c>
      <c r="C348" s="152">
        <v>-11.29</v>
      </c>
      <c r="D348">
        <v>10.3</v>
      </c>
      <c r="E348" s="134">
        <v>51150</v>
      </c>
      <c r="F348" s="2">
        <v>4.2</v>
      </c>
      <c r="G348" s="135">
        <v>243136705</v>
      </c>
      <c r="I348" s="136" t="s">
        <v>484</v>
      </c>
      <c r="J348" s="137" t="s">
        <v>693</v>
      </c>
      <c r="K348" s="138">
        <v>2</v>
      </c>
      <c r="L348" s="137" t="s">
        <v>693</v>
      </c>
      <c r="M348" s="143" t="s">
        <v>693</v>
      </c>
      <c r="N348" s="138"/>
    </row>
    <row r="349" spans="1:14" x14ac:dyDescent="0.25">
      <c r="A349" t="s">
        <v>364</v>
      </c>
      <c r="B349" s="122">
        <v>2195</v>
      </c>
      <c r="C349" s="152">
        <v>32.71</v>
      </c>
      <c r="D349">
        <v>10.6</v>
      </c>
      <c r="E349" s="134">
        <v>62083</v>
      </c>
      <c r="F349" s="2">
        <v>3.2</v>
      </c>
      <c r="G349" s="135">
        <v>532735263</v>
      </c>
      <c r="I349" s="136" t="s">
        <v>485</v>
      </c>
      <c r="J349" s="137" t="s">
        <v>693</v>
      </c>
      <c r="K349" s="138">
        <v>3</v>
      </c>
      <c r="L349" s="137" t="s">
        <v>693</v>
      </c>
      <c r="M349" s="143" t="s">
        <v>693</v>
      </c>
      <c r="N349" s="138"/>
    </row>
    <row r="350" spans="1:14" x14ac:dyDescent="0.25">
      <c r="A350" t="s">
        <v>365</v>
      </c>
      <c r="B350" s="122">
        <v>944</v>
      </c>
      <c r="C350" s="152">
        <v>-24.6</v>
      </c>
      <c r="D350">
        <v>38.1</v>
      </c>
      <c r="E350" s="134">
        <v>35357</v>
      </c>
      <c r="F350" s="2">
        <v>3.7</v>
      </c>
      <c r="G350" s="135">
        <v>31576835</v>
      </c>
      <c r="I350" s="136" t="s">
        <v>486</v>
      </c>
      <c r="J350" s="137" t="s">
        <v>693</v>
      </c>
      <c r="K350" s="138">
        <v>1</v>
      </c>
      <c r="L350" s="137" t="s">
        <v>693</v>
      </c>
      <c r="M350" s="143" t="s">
        <v>693</v>
      </c>
      <c r="N350" s="138"/>
    </row>
    <row r="351" spans="1:14" x14ac:dyDescent="0.25">
      <c r="A351" t="s">
        <v>366</v>
      </c>
      <c r="B351" s="122">
        <v>3727</v>
      </c>
      <c r="C351" s="152">
        <v>9.7100000000000009</v>
      </c>
      <c r="D351">
        <v>6.3</v>
      </c>
      <c r="E351" s="134">
        <v>62765</v>
      </c>
      <c r="F351" s="2">
        <v>3.35</v>
      </c>
      <c r="G351" s="135">
        <v>1877850579</v>
      </c>
      <c r="I351" s="136" t="s">
        <v>487</v>
      </c>
      <c r="J351" s="137" t="s">
        <v>694</v>
      </c>
      <c r="K351" s="138">
        <v>3</v>
      </c>
      <c r="L351" s="137" t="s">
        <v>693</v>
      </c>
      <c r="M351" s="143" t="s">
        <v>693</v>
      </c>
      <c r="N351" s="138"/>
    </row>
    <row r="352" spans="1:14" x14ac:dyDescent="0.25">
      <c r="A352" t="s">
        <v>367</v>
      </c>
      <c r="B352" s="122">
        <v>1808</v>
      </c>
      <c r="C352" s="152">
        <v>-2.38</v>
      </c>
      <c r="D352">
        <v>16.3</v>
      </c>
      <c r="E352" s="134">
        <v>78074</v>
      </c>
      <c r="F352" s="2">
        <v>4.4000000000000004</v>
      </c>
      <c r="G352" s="135">
        <v>685886798</v>
      </c>
      <c r="I352" s="136" t="s">
        <v>488</v>
      </c>
      <c r="J352" s="137" t="s">
        <v>693</v>
      </c>
      <c r="K352" s="138">
        <v>1</v>
      </c>
      <c r="L352" s="137" t="s">
        <v>693</v>
      </c>
      <c r="M352" s="143" t="s">
        <v>693</v>
      </c>
      <c r="N352" s="138"/>
    </row>
    <row r="353" spans="1:14" x14ac:dyDescent="0.25">
      <c r="A353" t="s">
        <v>368</v>
      </c>
      <c r="B353" s="122">
        <v>110</v>
      </c>
      <c r="C353" s="152">
        <v>-20.29</v>
      </c>
      <c r="D353">
        <v>25.5</v>
      </c>
      <c r="E353" s="134">
        <v>32500</v>
      </c>
      <c r="F353" s="2">
        <v>5.6</v>
      </c>
      <c r="G353" s="134" t="e">
        <f>NA()</f>
        <v>#N/A</v>
      </c>
      <c r="I353" s="136" t="s">
        <v>490</v>
      </c>
      <c r="J353" s="137" t="s">
        <v>693</v>
      </c>
      <c r="K353" s="138">
        <v>5</v>
      </c>
      <c r="L353" s="137" t="s">
        <v>693</v>
      </c>
      <c r="M353" s="143" t="s">
        <v>693</v>
      </c>
      <c r="N353" s="138"/>
    </row>
    <row r="354" spans="1:14" x14ac:dyDescent="0.25">
      <c r="A354" t="s">
        <v>369</v>
      </c>
      <c r="B354" s="122">
        <v>7652</v>
      </c>
      <c r="C354" s="152">
        <v>-2.39</v>
      </c>
      <c r="D354">
        <v>21.8</v>
      </c>
      <c r="E354" s="134">
        <v>48520</v>
      </c>
      <c r="F354" s="2">
        <v>3.5</v>
      </c>
      <c r="G354" s="135">
        <v>615424735</v>
      </c>
      <c r="I354" s="136" t="s">
        <v>494</v>
      </c>
      <c r="J354" s="137" t="s">
        <v>693</v>
      </c>
      <c r="K354" s="138">
        <v>8</v>
      </c>
      <c r="L354" s="137" t="s">
        <v>693</v>
      </c>
      <c r="M354" s="143" t="s">
        <v>693</v>
      </c>
      <c r="N354" s="138"/>
    </row>
    <row r="355" spans="1:14" x14ac:dyDescent="0.25">
      <c r="A355" t="s">
        <v>370</v>
      </c>
      <c r="B355" s="122">
        <v>2843</v>
      </c>
      <c r="C355" s="152">
        <v>3.53</v>
      </c>
      <c r="D355">
        <v>9.5</v>
      </c>
      <c r="E355" s="134">
        <v>80833</v>
      </c>
      <c r="F355" s="2">
        <v>3.4</v>
      </c>
      <c r="G355" s="135">
        <v>175979090</v>
      </c>
      <c r="I355" s="136" t="s">
        <v>495</v>
      </c>
      <c r="J355" s="137" t="s">
        <v>693</v>
      </c>
      <c r="K355" s="138">
        <v>4</v>
      </c>
      <c r="L355" s="137" t="s">
        <v>693</v>
      </c>
      <c r="M355" s="143" t="s">
        <v>693</v>
      </c>
      <c r="N355" s="138"/>
    </row>
    <row r="356" spans="1:14" x14ac:dyDescent="0.25">
      <c r="A356" t="s">
        <v>371</v>
      </c>
      <c r="B356" s="122">
        <v>616</v>
      </c>
      <c r="C356" s="152">
        <v>-10.85</v>
      </c>
      <c r="D356">
        <v>22.7</v>
      </c>
      <c r="E356" s="134">
        <v>49712</v>
      </c>
      <c r="F356" s="2">
        <v>3.4</v>
      </c>
      <c r="G356" s="135">
        <v>133139759</v>
      </c>
      <c r="I356" s="136" t="s">
        <v>497</v>
      </c>
      <c r="J356" s="137" t="s">
        <v>693</v>
      </c>
      <c r="K356" s="138">
        <v>3</v>
      </c>
      <c r="L356" s="137" t="s">
        <v>693</v>
      </c>
      <c r="M356" s="143" t="s">
        <v>693</v>
      </c>
      <c r="N356" s="138"/>
    </row>
    <row r="357" spans="1:14" x14ac:dyDescent="0.25">
      <c r="A357" t="s">
        <v>372</v>
      </c>
      <c r="B357" s="122">
        <v>2565</v>
      </c>
      <c r="C357" s="152">
        <v>-2.99</v>
      </c>
      <c r="D357">
        <v>21.4</v>
      </c>
      <c r="E357" s="134">
        <v>50000</v>
      </c>
      <c r="F357" s="2">
        <v>3.2</v>
      </c>
      <c r="G357" s="135">
        <v>265289388</v>
      </c>
      <c r="I357" s="136" t="s">
        <v>498</v>
      </c>
      <c r="J357" s="137" t="s">
        <v>694</v>
      </c>
      <c r="K357" s="138">
        <v>7</v>
      </c>
      <c r="L357" s="137" t="s">
        <v>693</v>
      </c>
      <c r="M357" s="143" t="s">
        <v>693</v>
      </c>
      <c r="N357" s="138"/>
    </row>
    <row r="358" spans="1:14" x14ac:dyDescent="0.25">
      <c r="A358" t="s">
        <v>373</v>
      </c>
      <c r="B358" s="122">
        <v>21992</v>
      </c>
      <c r="C358" s="152">
        <v>-4.6100000000000003</v>
      </c>
      <c r="D358">
        <v>20.5</v>
      </c>
      <c r="E358" s="134">
        <v>44799</v>
      </c>
      <c r="F358" s="2">
        <v>4.5</v>
      </c>
      <c r="G358" s="135">
        <v>2074026520</v>
      </c>
      <c r="I358" s="136" t="s">
        <v>501</v>
      </c>
      <c r="J358" s="137" t="s">
        <v>693</v>
      </c>
      <c r="K358" s="138">
        <v>3</v>
      </c>
      <c r="L358" s="137" t="s">
        <v>693</v>
      </c>
      <c r="M358" s="143" t="s">
        <v>693</v>
      </c>
      <c r="N358" s="138"/>
    </row>
    <row r="359" spans="1:14" x14ac:dyDescent="0.25">
      <c r="A359" t="s">
        <v>375</v>
      </c>
      <c r="B359" s="122">
        <v>6421</v>
      </c>
      <c r="C359" s="152">
        <v>1.95</v>
      </c>
      <c r="D359">
        <v>8.5</v>
      </c>
      <c r="E359" s="134">
        <v>238875</v>
      </c>
      <c r="F359" s="2">
        <v>3.2</v>
      </c>
      <c r="G359" s="135">
        <v>1629739232</v>
      </c>
      <c r="I359" s="136" t="s">
        <v>502</v>
      </c>
      <c r="J359" s="137" t="s">
        <v>693</v>
      </c>
      <c r="K359" s="138">
        <v>3</v>
      </c>
      <c r="L359" s="137" t="s">
        <v>693</v>
      </c>
      <c r="M359" s="143" t="s">
        <v>693</v>
      </c>
      <c r="N359" s="138"/>
    </row>
    <row r="360" spans="1:14" x14ac:dyDescent="0.25">
      <c r="A360" t="s">
        <v>376</v>
      </c>
      <c r="B360" s="122">
        <v>29613</v>
      </c>
      <c r="C360" s="152">
        <v>-5.69</v>
      </c>
      <c r="D360">
        <v>4.8</v>
      </c>
      <c r="E360" s="134">
        <v>103405</v>
      </c>
      <c r="F360" s="2">
        <v>3.5</v>
      </c>
      <c r="G360" s="135">
        <v>5421815139</v>
      </c>
      <c r="I360" s="136" t="s">
        <v>503</v>
      </c>
      <c r="J360" s="137" t="s">
        <v>693</v>
      </c>
      <c r="K360" s="138">
        <v>1</v>
      </c>
      <c r="L360" s="137" t="s">
        <v>693</v>
      </c>
      <c r="M360" s="143" t="s">
        <v>693</v>
      </c>
      <c r="N360" s="138"/>
    </row>
    <row r="361" spans="1:14" x14ac:dyDescent="0.25">
      <c r="A361" t="s">
        <v>378</v>
      </c>
      <c r="B361" s="122">
        <v>2300</v>
      </c>
      <c r="C361" s="152">
        <v>-7.78</v>
      </c>
      <c r="D361">
        <v>39.200000000000003</v>
      </c>
      <c r="E361" s="134">
        <v>23106</v>
      </c>
      <c r="F361" s="2">
        <v>6.05</v>
      </c>
      <c r="G361" s="135">
        <v>100394735</v>
      </c>
      <c r="I361" s="136" t="s">
        <v>505</v>
      </c>
      <c r="J361" s="137" t="s">
        <v>694</v>
      </c>
      <c r="K361" s="138">
        <v>3</v>
      </c>
      <c r="L361" s="137" t="s">
        <v>693</v>
      </c>
      <c r="M361" s="143" t="s">
        <v>693</v>
      </c>
      <c r="N361" s="138"/>
    </row>
    <row r="362" spans="1:14" x14ac:dyDescent="0.25">
      <c r="A362" t="s">
        <v>379</v>
      </c>
      <c r="B362" s="122">
        <v>2438</v>
      </c>
      <c r="C362" s="152">
        <v>-11.47</v>
      </c>
      <c r="D362">
        <v>15.6</v>
      </c>
      <c r="E362" s="134">
        <v>40458</v>
      </c>
      <c r="F362" s="2">
        <v>4.2</v>
      </c>
      <c r="G362" s="135">
        <v>279837023</v>
      </c>
      <c r="I362" s="136" t="s">
        <v>506</v>
      </c>
      <c r="J362" s="137" t="s">
        <v>693</v>
      </c>
      <c r="K362" s="138">
        <v>2</v>
      </c>
      <c r="L362" s="137" t="s">
        <v>693</v>
      </c>
      <c r="M362" s="143" t="s">
        <v>693</v>
      </c>
      <c r="N362" s="138"/>
    </row>
    <row r="363" spans="1:14" x14ac:dyDescent="0.25">
      <c r="A363" t="s">
        <v>380</v>
      </c>
      <c r="B363" s="122">
        <v>893</v>
      </c>
      <c r="C363" s="152">
        <v>-13.97</v>
      </c>
      <c r="D363">
        <v>16.399999999999999</v>
      </c>
      <c r="E363" s="134">
        <v>57083</v>
      </c>
      <c r="F363" s="2">
        <v>3.5</v>
      </c>
      <c r="G363" s="135">
        <v>64082391</v>
      </c>
      <c r="I363" s="136" t="s">
        <v>507</v>
      </c>
      <c r="J363" s="137" t="s">
        <v>694</v>
      </c>
      <c r="K363" s="138">
        <v>2</v>
      </c>
      <c r="L363" s="137" t="s">
        <v>693</v>
      </c>
      <c r="M363" s="143" t="s">
        <v>693</v>
      </c>
      <c r="N363" s="138"/>
    </row>
    <row r="364" spans="1:14" x14ac:dyDescent="0.25">
      <c r="A364" t="s">
        <v>381</v>
      </c>
      <c r="B364" s="122">
        <v>1125</v>
      </c>
      <c r="C364" s="152">
        <v>56.9</v>
      </c>
      <c r="D364">
        <v>3.2</v>
      </c>
      <c r="E364" s="134">
        <v>102083</v>
      </c>
      <c r="F364" s="2">
        <v>3.7</v>
      </c>
      <c r="G364" s="135">
        <v>138625847</v>
      </c>
      <c r="I364" s="136" t="s">
        <v>508</v>
      </c>
      <c r="J364" s="137" t="s">
        <v>693</v>
      </c>
      <c r="K364" s="138">
        <v>3</v>
      </c>
      <c r="L364" s="137" t="s">
        <v>693</v>
      </c>
      <c r="M364" s="143" t="s">
        <v>693</v>
      </c>
      <c r="N364" s="138"/>
    </row>
    <row r="365" spans="1:14" x14ac:dyDescent="0.25">
      <c r="A365" t="s">
        <v>382</v>
      </c>
      <c r="B365" s="122">
        <v>97</v>
      </c>
      <c r="C365" s="152">
        <v>-11.01</v>
      </c>
      <c r="D365">
        <v>7.2</v>
      </c>
      <c r="E365" s="134">
        <v>50833</v>
      </c>
      <c r="F365" s="2">
        <v>5.6</v>
      </c>
      <c r="G365" s="135">
        <v>4030090</v>
      </c>
      <c r="I365" s="136" t="s">
        <v>509</v>
      </c>
      <c r="J365" s="137" t="s">
        <v>694</v>
      </c>
      <c r="K365" s="138">
        <v>13</v>
      </c>
      <c r="L365" s="137" t="s">
        <v>693</v>
      </c>
      <c r="M365" s="143" t="s">
        <v>693</v>
      </c>
      <c r="N365" s="138"/>
    </row>
    <row r="366" spans="1:14" x14ac:dyDescent="0.25">
      <c r="A366" t="s">
        <v>383</v>
      </c>
      <c r="B366" s="122">
        <v>44629</v>
      </c>
      <c r="C366" s="152">
        <v>-1.06</v>
      </c>
      <c r="D366">
        <v>14.9</v>
      </c>
      <c r="E366" s="134">
        <v>53532</v>
      </c>
      <c r="F366" s="2">
        <v>3.5</v>
      </c>
      <c r="G366" s="135">
        <v>4976340418</v>
      </c>
      <c r="I366" s="136" t="s">
        <v>510</v>
      </c>
      <c r="J366" s="137" t="s">
        <v>693</v>
      </c>
      <c r="K366" s="138">
        <v>5</v>
      </c>
      <c r="L366" s="137" t="s">
        <v>693</v>
      </c>
      <c r="M366" s="143" t="s">
        <v>693</v>
      </c>
      <c r="N366" s="138"/>
    </row>
    <row r="367" spans="1:14" x14ac:dyDescent="0.25">
      <c r="A367" t="s">
        <v>384</v>
      </c>
      <c r="B367" s="122">
        <v>111</v>
      </c>
      <c r="C367" s="152">
        <v>14.43</v>
      </c>
      <c r="D367">
        <v>54.1</v>
      </c>
      <c r="E367" s="134">
        <v>58250</v>
      </c>
      <c r="F367" s="2">
        <v>4.4000000000000004</v>
      </c>
      <c r="G367" s="135">
        <v>3475515</v>
      </c>
      <c r="I367" s="136" t="s">
        <v>512</v>
      </c>
      <c r="J367" s="137" t="s">
        <v>693</v>
      </c>
      <c r="K367" s="138">
        <v>6</v>
      </c>
      <c r="L367" s="137" t="s">
        <v>693</v>
      </c>
      <c r="M367" s="143" t="s">
        <v>693</v>
      </c>
      <c r="N367" s="138"/>
    </row>
    <row r="368" spans="1:14" x14ac:dyDescent="0.25">
      <c r="A368" t="s">
        <v>385</v>
      </c>
      <c r="B368" s="122">
        <v>17899</v>
      </c>
      <c r="C368" s="152">
        <v>17.77</v>
      </c>
      <c r="D368">
        <v>9.1</v>
      </c>
      <c r="E368" s="134">
        <v>78419</v>
      </c>
      <c r="F368" s="2">
        <v>3.4000000000000004</v>
      </c>
      <c r="G368" s="135">
        <v>2860603424</v>
      </c>
      <c r="I368" s="136" t="s">
        <v>514</v>
      </c>
      <c r="J368" s="137" t="s">
        <v>694</v>
      </c>
      <c r="K368" s="138">
        <v>2</v>
      </c>
      <c r="L368" s="137" t="s">
        <v>693</v>
      </c>
      <c r="M368" s="143" t="s">
        <v>693</v>
      </c>
      <c r="N368" s="138"/>
    </row>
    <row r="369" spans="1:14" x14ac:dyDescent="0.25">
      <c r="A369" t="s">
        <v>386</v>
      </c>
      <c r="B369" s="122">
        <v>1115403</v>
      </c>
      <c r="C369" s="152">
        <v>5.79</v>
      </c>
      <c r="D369">
        <v>10.5</v>
      </c>
      <c r="E369" s="134">
        <v>79265</v>
      </c>
      <c r="F369" s="2">
        <v>3.5</v>
      </c>
      <c r="G369" s="135">
        <v>201586253783</v>
      </c>
      <c r="I369" s="136" t="s">
        <v>515</v>
      </c>
      <c r="J369" s="137" t="s">
        <v>693</v>
      </c>
      <c r="K369" s="138">
        <v>7</v>
      </c>
      <c r="L369" s="137" t="s">
        <v>693</v>
      </c>
      <c r="M369" s="143" t="s">
        <v>693</v>
      </c>
      <c r="N369" s="138"/>
    </row>
    <row r="370" spans="1:14" x14ac:dyDescent="0.25">
      <c r="A370" t="s">
        <v>387</v>
      </c>
      <c r="B370" s="122">
        <v>183</v>
      </c>
      <c r="C370" s="152">
        <v>-9.85</v>
      </c>
      <c r="D370">
        <v>10.9</v>
      </c>
      <c r="E370" s="134" t="e">
        <f>NA()</f>
        <v>#N/A</v>
      </c>
      <c r="F370" s="2">
        <v>3.7</v>
      </c>
      <c r="G370" s="135">
        <v>14817343</v>
      </c>
      <c r="I370" s="136" t="s">
        <v>516</v>
      </c>
      <c r="J370" s="137" t="s">
        <v>693</v>
      </c>
      <c r="K370" s="138">
        <v>3</v>
      </c>
      <c r="L370" s="137" t="s">
        <v>693</v>
      </c>
      <c r="M370" s="143" t="s">
        <v>693</v>
      </c>
      <c r="N370" s="138"/>
    </row>
    <row r="371" spans="1:14" x14ac:dyDescent="0.25">
      <c r="A371" t="s">
        <v>388</v>
      </c>
      <c r="B371" s="122">
        <v>477</v>
      </c>
      <c r="C371" s="152">
        <v>-29.02</v>
      </c>
      <c r="D371">
        <v>19.8</v>
      </c>
      <c r="E371" s="134">
        <v>45000</v>
      </c>
      <c r="F371" s="2">
        <v>3.3</v>
      </c>
      <c r="G371" s="135">
        <v>27251282</v>
      </c>
      <c r="I371" s="136" t="s">
        <v>517</v>
      </c>
      <c r="J371" s="137" t="s">
        <v>693</v>
      </c>
      <c r="K371" s="138">
        <v>4</v>
      </c>
      <c r="L371" s="137" t="s">
        <v>693</v>
      </c>
      <c r="M371" s="143" t="s">
        <v>693</v>
      </c>
      <c r="N371" s="138"/>
    </row>
    <row r="372" spans="1:14" x14ac:dyDescent="0.25">
      <c r="A372" t="s">
        <v>389</v>
      </c>
      <c r="B372" s="122">
        <v>223</v>
      </c>
      <c r="C372" s="152">
        <v>87.39</v>
      </c>
      <c r="D372">
        <v>39.5</v>
      </c>
      <c r="E372" s="134" t="e">
        <f>NA()</f>
        <v>#N/A</v>
      </c>
      <c r="F372" s="2">
        <v>5.9</v>
      </c>
      <c r="G372" s="135">
        <v>6492830</v>
      </c>
      <c r="I372" s="136" t="s">
        <v>518</v>
      </c>
      <c r="J372" s="137" t="s">
        <v>693</v>
      </c>
      <c r="K372" s="138">
        <v>2</v>
      </c>
      <c r="L372" s="137" t="s">
        <v>693</v>
      </c>
      <c r="M372" s="143" t="s">
        <v>693</v>
      </c>
      <c r="N372" s="138"/>
    </row>
    <row r="373" spans="1:14" x14ac:dyDescent="0.25">
      <c r="A373" t="s">
        <v>390</v>
      </c>
      <c r="B373" s="122">
        <v>963</v>
      </c>
      <c r="C373" s="152">
        <v>-0.31</v>
      </c>
      <c r="D373">
        <v>11</v>
      </c>
      <c r="E373" s="134">
        <v>42917</v>
      </c>
      <c r="F373" s="2">
        <v>5.0999999999999996</v>
      </c>
      <c r="G373" s="135">
        <v>70612458</v>
      </c>
      <c r="I373" s="139" t="s">
        <v>519</v>
      </c>
      <c r="J373" s="137" t="s">
        <v>693</v>
      </c>
      <c r="K373" s="138">
        <v>6</v>
      </c>
      <c r="L373" s="137" t="s">
        <v>693</v>
      </c>
      <c r="M373" s="143" t="s">
        <v>693</v>
      </c>
      <c r="N373" s="138"/>
    </row>
    <row r="374" spans="1:14" x14ac:dyDescent="0.25">
      <c r="A374" t="s">
        <v>391</v>
      </c>
      <c r="B374" s="122">
        <v>4675</v>
      </c>
      <c r="C374" s="152">
        <v>33.61</v>
      </c>
      <c r="D374">
        <v>3</v>
      </c>
      <c r="E374" s="134">
        <v>101220</v>
      </c>
      <c r="F374" s="2">
        <v>3.4</v>
      </c>
      <c r="G374" s="135">
        <v>655556993</v>
      </c>
      <c r="I374" s="136" t="s">
        <v>520</v>
      </c>
      <c r="J374" s="137" t="s">
        <v>694</v>
      </c>
      <c r="K374" s="138">
        <v>7</v>
      </c>
      <c r="L374" s="137" t="s">
        <v>693</v>
      </c>
      <c r="M374" s="143" t="s">
        <v>693</v>
      </c>
      <c r="N374" s="138"/>
    </row>
    <row r="375" spans="1:14" x14ac:dyDescent="0.25">
      <c r="A375" t="s">
        <v>392</v>
      </c>
      <c r="B375" s="122">
        <v>4773</v>
      </c>
      <c r="C375" s="152">
        <v>-0.87</v>
      </c>
      <c r="D375">
        <v>4.2</v>
      </c>
      <c r="E375" s="134">
        <v>72574</v>
      </c>
      <c r="F375" s="2">
        <v>3.6</v>
      </c>
      <c r="G375" s="135">
        <v>433401331</v>
      </c>
      <c r="I375" s="136" t="s">
        <v>521</v>
      </c>
      <c r="J375" s="137" t="s">
        <v>694</v>
      </c>
      <c r="K375" s="138">
        <v>9</v>
      </c>
      <c r="L375" s="137" t="s">
        <v>693</v>
      </c>
      <c r="M375" s="143" t="s">
        <v>693</v>
      </c>
      <c r="N375" s="138"/>
    </row>
    <row r="376" spans="1:14" x14ac:dyDescent="0.25">
      <c r="A376" t="s">
        <v>393</v>
      </c>
      <c r="B376" s="122">
        <v>7100</v>
      </c>
      <c r="C376" s="152">
        <v>-1.02</v>
      </c>
      <c r="D376">
        <v>2.4</v>
      </c>
      <c r="E376" s="134">
        <v>79802</v>
      </c>
      <c r="F376" s="2">
        <v>3.2</v>
      </c>
      <c r="G376" s="135">
        <v>1654568304</v>
      </c>
      <c r="I376" s="136" t="s">
        <v>525</v>
      </c>
      <c r="J376" s="137" t="s">
        <v>693</v>
      </c>
      <c r="K376" s="138">
        <v>2</v>
      </c>
      <c r="L376" s="137" t="s">
        <v>693</v>
      </c>
      <c r="M376" s="143" t="s">
        <v>693</v>
      </c>
      <c r="N376" s="138"/>
    </row>
    <row r="377" spans="1:14" x14ac:dyDescent="0.25">
      <c r="A377" t="s">
        <v>394</v>
      </c>
      <c r="B377" s="122">
        <v>147</v>
      </c>
      <c r="C377" s="152">
        <v>-26.13</v>
      </c>
      <c r="D377">
        <v>4.0999999999999996</v>
      </c>
      <c r="E377" s="134" t="e">
        <f>NA()</f>
        <v>#N/A</v>
      </c>
      <c r="F377" s="2">
        <v>4.0999999999999996</v>
      </c>
      <c r="G377" s="135">
        <v>11526111</v>
      </c>
      <c r="I377" s="136" t="s">
        <v>527</v>
      </c>
      <c r="J377" s="137" t="s">
        <v>694</v>
      </c>
      <c r="K377" s="138">
        <v>4</v>
      </c>
      <c r="L377" s="137" t="s">
        <v>693</v>
      </c>
      <c r="M377" s="143" t="s">
        <v>693</v>
      </c>
      <c r="N377" s="138"/>
    </row>
    <row r="378" spans="1:14" x14ac:dyDescent="0.25">
      <c r="A378" t="s">
        <v>395</v>
      </c>
      <c r="B378" s="122">
        <v>3185</v>
      </c>
      <c r="C378" s="152">
        <v>7.75</v>
      </c>
      <c r="D378">
        <v>4.5999999999999996</v>
      </c>
      <c r="E378" s="134">
        <v>94113</v>
      </c>
      <c r="F378" s="2">
        <v>3.2</v>
      </c>
      <c r="G378" s="135">
        <v>422170365</v>
      </c>
      <c r="I378" s="136" t="s">
        <v>531</v>
      </c>
      <c r="J378" s="137" t="s">
        <v>693</v>
      </c>
      <c r="K378" s="138">
        <v>6</v>
      </c>
      <c r="L378" s="137" t="s">
        <v>693</v>
      </c>
      <c r="M378" s="143" t="s">
        <v>693</v>
      </c>
      <c r="N378" s="138"/>
    </row>
    <row r="379" spans="1:14" x14ac:dyDescent="0.25">
      <c r="A379" t="s">
        <v>396</v>
      </c>
      <c r="B379" s="122">
        <v>486</v>
      </c>
      <c r="C379" s="152">
        <v>14.62</v>
      </c>
      <c r="D379">
        <v>13.8</v>
      </c>
      <c r="E379" s="134">
        <v>77596</v>
      </c>
      <c r="F379" s="2">
        <v>3.7</v>
      </c>
      <c r="G379" s="135">
        <v>128270666</v>
      </c>
      <c r="I379" s="136" t="s">
        <v>532</v>
      </c>
      <c r="J379" s="137" t="s">
        <v>693</v>
      </c>
      <c r="K379" s="138">
        <v>2</v>
      </c>
      <c r="L379" s="137" t="s">
        <v>693</v>
      </c>
      <c r="M379" s="143" t="s">
        <v>693</v>
      </c>
      <c r="N379" s="138"/>
    </row>
    <row r="380" spans="1:14" x14ac:dyDescent="0.25">
      <c r="A380" t="s">
        <v>397</v>
      </c>
      <c r="B380" s="122">
        <v>26537</v>
      </c>
      <c r="C380" s="152">
        <v>1.41</v>
      </c>
      <c r="D380">
        <v>8.3000000000000007</v>
      </c>
      <c r="E380" s="134">
        <v>92102</v>
      </c>
      <c r="F380" s="2">
        <v>3.35</v>
      </c>
      <c r="G380" s="135">
        <v>3895956686</v>
      </c>
      <c r="I380" s="136" t="s">
        <v>533</v>
      </c>
      <c r="J380" s="137" t="s">
        <v>693</v>
      </c>
      <c r="K380" s="138">
        <v>10</v>
      </c>
      <c r="L380" s="137" t="s">
        <v>693</v>
      </c>
      <c r="M380" s="143" t="s">
        <v>693</v>
      </c>
      <c r="N380" s="138"/>
    </row>
    <row r="381" spans="1:14" x14ac:dyDescent="0.25">
      <c r="A381" t="s">
        <v>398</v>
      </c>
      <c r="B381" s="122">
        <v>652</v>
      </c>
      <c r="C381" s="152">
        <v>-13.53</v>
      </c>
      <c r="D381">
        <v>6.6</v>
      </c>
      <c r="E381" s="134">
        <v>44063</v>
      </c>
      <c r="F381" s="2">
        <v>3.3</v>
      </c>
      <c r="G381" s="135">
        <v>15898926</v>
      </c>
      <c r="I381" s="136" t="s">
        <v>534</v>
      </c>
      <c r="J381" s="137" t="s">
        <v>693</v>
      </c>
      <c r="K381" s="138">
        <v>2</v>
      </c>
      <c r="L381" s="137" t="s">
        <v>693</v>
      </c>
      <c r="M381" s="143" t="s">
        <v>693</v>
      </c>
      <c r="N381" s="138"/>
    </row>
    <row r="382" spans="1:14" x14ac:dyDescent="0.25">
      <c r="A382" t="s">
        <v>399</v>
      </c>
      <c r="B382" s="122">
        <v>14989</v>
      </c>
      <c r="C382" s="152">
        <v>-0.34</v>
      </c>
      <c r="D382">
        <v>13.4</v>
      </c>
      <c r="E382" s="134">
        <v>55534</v>
      </c>
      <c r="F382" s="2">
        <v>4.2</v>
      </c>
      <c r="G382" s="135">
        <v>2452602054</v>
      </c>
      <c r="I382" s="136" t="s">
        <v>536</v>
      </c>
      <c r="J382" s="137" t="s">
        <v>693</v>
      </c>
      <c r="K382" s="138">
        <v>2</v>
      </c>
      <c r="L382" s="137" t="s">
        <v>693</v>
      </c>
      <c r="M382" s="143" t="s">
        <v>693</v>
      </c>
      <c r="N382" s="138"/>
    </row>
    <row r="383" spans="1:14" x14ac:dyDescent="0.25">
      <c r="A383" t="s">
        <v>400</v>
      </c>
      <c r="B383" s="122">
        <v>5908</v>
      </c>
      <c r="C383" s="152">
        <v>13.97</v>
      </c>
      <c r="D383">
        <v>23.7</v>
      </c>
      <c r="E383" s="134">
        <v>46553</v>
      </c>
      <c r="F383" s="2">
        <v>3.4</v>
      </c>
      <c r="G383" s="135">
        <v>1116028498</v>
      </c>
      <c r="I383" s="136" t="s">
        <v>537</v>
      </c>
      <c r="J383" s="137" t="s">
        <v>693</v>
      </c>
      <c r="K383" s="138">
        <v>3</v>
      </c>
      <c r="L383" s="137" t="s">
        <v>693</v>
      </c>
      <c r="M383" s="143" t="s">
        <v>693</v>
      </c>
      <c r="N383" s="138"/>
    </row>
    <row r="384" spans="1:14" x14ac:dyDescent="0.25">
      <c r="A384" t="s">
        <v>401</v>
      </c>
      <c r="B384" s="122">
        <v>412</v>
      </c>
      <c r="C384" s="152">
        <v>47.67</v>
      </c>
      <c r="D384">
        <v>37.1</v>
      </c>
      <c r="E384" s="134">
        <v>53750</v>
      </c>
      <c r="F384" s="2">
        <v>5.0999999999999996</v>
      </c>
      <c r="G384" s="135">
        <v>14326533</v>
      </c>
      <c r="I384" s="136" t="s">
        <v>538</v>
      </c>
      <c r="J384" s="137" t="s">
        <v>694</v>
      </c>
      <c r="K384" s="138">
        <v>4</v>
      </c>
      <c r="L384" s="137" t="s">
        <v>693</v>
      </c>
      <c r="M384" s="143" t="s">
        <v>693</v>
      </c>
      <c r="N384" s="138"/>
    </row>
    <row r="385" spans="1:14" x14ac:dyDescent="0.25">
      <c r="A385" t="s">
        <v>402</v>
      </c>
      <c r="B385" s="122">
        <v>34897</v>
      </c>
      <c r="C385" s="152">
        <v>0.63</v>
      </c>
      <c r="D385">
        <v>11.7</v>
      </c>
      <c r="E385" s="134">
        <v>63982</v>
      </c>
      <c r="F385" s="2">
        <v>3.2</v>
      </c>
      <c r="G385" s="135">
        <v>5125226825</v>
      </c>
      <c r="I385" s="136" t="s">
        <v>539</v>
      </c>
      <c r="J385" s="137" t="s">
        <v>693</v>
      </c>
      <c r="K385" s="138">
        <v>3</v>
      </c>
      <c r="L385" s="137" t="s">
        <v>693</v>
      </c>
      <c r="M385" s="143" t="s">
        <v>693</v>
      </c>
      <c r="N385" s="138"/>
    </row>
    <row r="386" spans="1:14" x14ac:dyDescent="0.25">
      <c r="A386" t="s">
        <v>403</v>
      </c>
      <c r="B386" s="122">
        <v>25839</v>
      </c>
      <c r="C386" s="152">
        <v>-5.48</v>
      </c>
      <c r="D386">
        <v>16.2</v>
      </c>
      <c r="E386" s="134">
        <v>55523</v>
      </c>
      <c r="F386" s="2">
        <v>3.7</v>
      </c>
      <c r="G386" s="135">
        <v>3692175069</v>
      </c>
      <c r="I386" s="136" t="s">
        <v>540</v>
      </c>
      <c r="J386" s="137" t="s">
        <v>693</v>
      </c>
      <c r="K386" s="138">
        <v>3</v>
      </c>
      <c r="L386" s="137" t="s">
        <v>693</v>
      </c>
      <c r="M386" s="143" t="s">
        <v>693</v>
      </c>
      <c r="N386" s="138"/>
    </row>
    <row r="387" spans="1:14" x14ac:dyDescent="0.25">
      <c r="A387" t="s">
        <v>404</v>
      </c>
      <c r="B387" s="122">
        <v>442</v>
      </c>
      <c r="C387" s="152">
        <v>-2.64</v>
      </c>
      <c r="D387">
        <v>0</v>
      </c>
      <c r="E387" s="134" t="e">
        <f>NA()</f>
        <v>#N/A</v>
      </c>
      <c r="F387" s="2">
        <v>3</v>
      </c>
      <c r="G387" s="135">
        <v>292377047</v>
      </c>
      <c r="I387" s="136" t="s">
        <v>541</v>
      </c>
      <c r="J387" s="137" t="s">
        <v>694</v>
      </c>
      <c r="K387" s="138">
        <v>5</v>
      </c>
      <c r="L387" s="137" t="s">
        <v>693</v>
      </c>
      <c r="M387" s="143" t="s">
        <v>693</v>
      </c>
      <c r="N387" s="138"/>
    </row>
    <row r="388" spans="1:14" x14ac:dyDescent="0.25">
      <c r="A388" t="s">
        <v>405</v>
      </c>
      <c r="B388" s="122">
        <v>100759</v>
      </c>
      <c r="C388" s="152">
        <v>5.36</v>
      </c>
      <c r="D388">
        <v>9.5</v>
      </c>
      <c r="E388" s="134">
        <v>77981</v>
      </c>
      <c r="F388" s="2">
        <v>3.7</v>
      </c>
      <c r="G388" s="135">
        <v>15191165279</v>
      </c>
      <c r="I388" s="136" t="s">
        <v>542</v>
      </c>
      <c r="J388" s="137" t="s">
        <v>694</v>
      </c>
      <c r="K388" s="138">
        <v>3</v>
      </c>
      <c r="L388" s="137" t="s">
        <v>693</v>
      </c>
      <c r="M388" s="143" t="s">
        <v>693</v>
      </c>
      <c r="N388" s="138"/>
    </row>
    <row r="389" spans="1:14" x14ac:dyDescent="0.25">
      <c r="A389" t="s">
        <v>406</v>
      </c>
      <c r="B389" s="122">
        <v>204</v>
      </c>
      <c r="C389" s="152">
        <v>-40.520000000000003</v>
      </c>
      <c r="D389">
        <v>31.9</v>
      </c>
      <c r="E389" s="134" t="e">
        <f>NA()</f>
        <v>#N/A</v>
      </c>
      <c r="F389" s="2">
        <v>3.9</v>
      </c>
      <c r="G389" s="134" t="e">
        <f>NA()</f>
        <v>#N/A</v>
      </c>
      <c r="I389" s="136" t="s">
        <v>544</v>
      </c>
      <c r="J389" s="137" t="s">
        <v>693</v>
      </c>
      <c r="K389" s="138">
        <v>2</v>
      </c>
      <c r="L389" s="137" t="s">
        <v>693</v>
      </c>
      <c r="M389" s="143" t="s">
        <v>693</v>
      </c>
      <c r="N389" s="138"/>
    </row>
    <row r="390" spans="1:14" x14ac:dyDescent="0.25">
      <c r="A390" t="s">
        <v>407</v>
      </c>
      <c r="B390" s="122">
        <v>50025</v>
      </c>
      <c r="C390" s="152">
        <v>34.6</v>
      </c>
      <c r="D390">
        <v>7.6</v>
      </c>
      <c r="E390" s="134">
        <v>82622</v>
      </c>
      <c r="F390" s="2">
        <v>3.4</v>
      </c>
      <c r="G390" s="135">
        <v>8776152464</v>
      </c>
      <c r="I390" s="136" t="s">
        <v>546</v>
      </c>
      <c r="J390" s="137" t="s">
        <v>693</v>
      </c>
      <c r="K390" s="138">
        <v>1</v>
      </c>
      <c r="L390" s="137" t="s">
        <v>693</v>
      </c>
      <c r="M390" s="143" t="s">
        <v>693</v>
      </c>
      <c r="N390" s="138"/>
    </row>
    <row r="391" spans="1:14" x14ac:dyDescent="0.25">
      <c r="A391" t="s">
        <v>408</v>
      </c>
      <c r="B391" s="122">
        <v>9632</v>
      </c>
      <c r="C391" s="152">
        <v>3.53</v>
      </c>
      <c r="D391">
        <v>15.4</v>
      </c>
      <c r="E391" s="134">
        <v>51716</v>
      </c>
      <c r="F391" s="2">
        <v>3.5</v>
      </c>
      <c r="G391" s="135">
        <v>2391551219</v>
      </c>
      <c r="I391" s="136" t="s">
        <v>547</v>
      </c>
      <c r="J391" s="137" t="s">
        <v>693</v>
      </c>
      <c r="K391" s="138">
        <v>5</v>
      </c>
      <c r="L391" s="137" t="s">
        <v>693</v>
      </c>
      <c r="M391" s="143" t="s">
        <v>693</v>
      </c>
      <c r="N391" s="138"/>
    </row>
    <row r="392" spans="1:14" x14ac:dyDescent="0.25">
      <c r="A392" t="s">
        <v>409</v>
      </c>
      <c r="B392" s="122">
        <v>17457</v>
      </c>
      <c r="C392" s="152">
        <v>6.02</v>
      </c>
      <c r="D392">
        <v>28</v>
      </c>
      <c r="E392" s="134">
        <v>47715</v>
      </c>
      <c r="F392" s="2">
        <v>3.5</v>
      </c>
      <c r="G392" s="135">
        <v>2023801793</v>
      </c>
      <c r="I392" s="136" t="s">
        <v>548</v>
      </c>
      <c r="J392" s="137" t="s">
        <v>693</v>
      </c>
      <c r="K392" s="138">
        <v>3</v>
      </c>
      <c r="L392" s="137" t="s">
        <v>693</v>
      </c>
      <c r="M392" s="143" t="s">
        <v>693</v>
      </c>
      <c r="N392" s="138"/>
    </row>
    <row r="393" spans="1:14" x14ac:dyDescent="0.25">
      <c r="A393" t="s">
        <v>410</v>
      </c>
      <c r="B393" s="122">
        <v>29756</v>
      </c>
      <c r="C393" s="152">
        <v>18.989999999999998</v>
      </c>
      <c r="D393">
        <v>5.8</v>
      </c>
      <c r="E393" s="134">
        <v>114075</v>
      </c>
      <c r="F393" s="2">
        <v>3.1500000000000004</v>
      </c>
      <c r="G393" s="135">
        <v>6664682804</v>
      </c>
      <c r="I393" s="139" t="s">
        <v>549</v>
      </c>
      <c r="J393" s="137" t="s">
        <v>693</v>
      </c>
      <c r="K393" s="138">
        <v>2</v>
      </c>
      <c r="L393" s="137" t="s">
        <v>693</v>
      </c>
      <c r="M393" s="143" t="s">
        <v>693</v>
      </c>
      <c r="N393" s="138"/>
    </row>
    <row r="394" spans="1:14" x14ac:dyDescent="0.25">
      <c r="A394" t="s">
        <v>411</v>
      </c>
      <c r="B394" s="122">
        <v>345</v>
      </c>
      <c r="C394" s="152">
        <v>-37.04</v>
      </c>
      <c r="D394">
        <v>22.1</v>
      </c>
      <c r="E394" s="134" t="e">
        <f>NA()</f>
        <v>#N/A</v>
      </c>
      <c r="F394" s="2">
        <v>4.4000000000000004</v>
      </c>
      <c r="G394" s="135">
        <v>17224297</v>
      </c>
      <c r="I394" s="136" t="s">
        <v>550</v>
      </c>
      <c r="J394" s="137" t="s">
        <v>693</v>
      </c>
      <c r="K394" s="138">
        <v>3</v>
      </c>
      <c r="L394" s="137" t="s">
        <v>693</v>
      </c>
      <c r="M394" s="143" t="s">
        <v>693</v>
      </c>
      <c r="N394" s="138"/>
    </row>
    <row r="395" spans="1:14" x14ac:dyDescent="0.25">
      <c r="A395" t="s">
        <v>412</v>
      </c>
      <c r="B395" s="122">
        <v>10621</v>
      </c>
      <c r="C395" s="152">
        <v>3.85</v>
      </c>
      <c r="D395">
        <v>31.7</v>
      </c>
      <c r="E395" s="134">
        <v>34089</v>
      </c>
      <c r="F395" s="2">
        <v>3.5</v>
      </c>
      <c r="G395" s="135">
        <v>1303424811</v>
      </c>
      <c r="I395" s="136" t="s">
        <v>551</v>
      </c>
      <c r="J395" s="137" t="s">
        <v>693</v>
      </c>
      <c r="K395" s="138">
        <v>2</v>
      </c>
      <c r="L395" s="137" t="s">
        <v>693</v>
      </c>
      <c r="M395" s="143" t="s">
        <v>693</v>
      </c>
      <c r="N395" s="138"/>
    </row>
    <row r="396" spans="1:14" x14ac:dyDescent="0.25">
      <c r="A396" t="s">
        <v>413</v>
      </c>
      <c r="B396" s="122">
        <v>1090</v>
      </c>
      <c r="C396" s="152">
        <v>-6.12</v>
      </c>
      <c r="D396">
        <v>16.8</v>
      </c>
      <c r="E396" s="134">
        <v>65388</v>
      </c>
      <c r="F396" s="2">
        <v>3.7</v>
      </c>
      <c r="G396" s="135">
        <v>101517362</v>
      </c>
      <c r="I396" s="136" t="s">
        <v>552</v>
      </c>
      <c r="J396" s="137" t="s">
        <v>694</v>
      </c>
      <c r="K396" s="138">
        <v>8</v>
      </c>
      <c r="L396" s="137" t="s">
        <v>693</v>
      </c>
      <c r="M396" s="143" t="s">
        <v>693</v>
      </c>
      <c r="N396" s="138"/>
    </row>
    <row r="397" spans="1:14" x14ac:dyDescent="0.25">
      <c r="A397" t="s">
        <v>414</v>
      </c>
      <c r="B397" s="122">
        <v>17644</v>
      </c>
      <c r="C397" s="152">
        <v>15.28</v>
      </c>
      <c r="D397">
        <v>8.3000000000000007</v>
      </c>
      <c r="E397" s="134">
        <v>73923</v>
      </c>
      <c r="F397" s="2">
        <v>3.7</v>
      </c>
      <c r="G397" s="135">
        <v>2023760940</v>
      </c>
      <c r="I397" s="136" t="s">
        <v>553</v>
      </c>
      <c r="J397" s="137" t="s">
        <v>693</v>
      </c>
      <c r="K397" s="138">
        <v>5</v>
      </c>
      <c r="L397" s="137" t="s">
        <v>693</v>
      </c>
      <c r="M397" s="143" t="s">
        <v>693</v>
      </c>
      <c r="N397" s="138"/>
    </row>
    <row r="398" spans="1:14" x14ac:dyDescent="0.25">
      <c r="A398" t="s">
        <v>415</v>
      </c>
      <c r="B398" s="122">
        <v>4286</v>
      </c>
      <c r="C398" s="152">
        <v>-9.41</v>
      </c>
      <c r="D398">
        <v>26.7</v>
      </c>
      <c r="E398" s="134">
        <v>41738</v>
      </c>
      <c r="F398" s="2">
        <v>3.9</v>
      </c>
      <c r="G398" s="135">
        <v>295985588</v>
      </c>
      <c r="I398" s="136" t="s">
        <v>554</v>
      </c>
      <c r="J398" s="137" t="s">
        <v>693</v>
      </c>
      <c r="K398" s="138">
        <v>7</v>
      </c>
      <c r="L398" s="137" t="s">
        <v>693</v>
      </c>
      <c r="M398" s="143" t="s">
        <v>693</v>
      </c>
      <c r="N398" s="138"/>
    </row>
    <row r="399" spans="1:14" x14ac:dyDescent="0.25">
      <c r="A399" t="s">
        <v>416</v>
      </c>
      <c r="B399" s="122">
        <v>1776</v>
      </c>
      <c r="C399" s="152">
        <v>-6.72</v>
      </c>
      <c r="D399">
        <v>8</v>
      </c>
      <c r="E399" s="134">
        <v>70313</v>
      </c>
      <c r="F399" s="2">
        <v>3.4</v>
      </c>
      <c r="G399" s="135">
        <v>193615161</v>
      </c>
      <c r="I399" s="136" t="s">
        <v>556</v>
      </c>
      <c r="J399" s="137" t="s">
        <v>693</v>
      </c>
      <c r="K399" s="138">
        <v>2</v>
      </c>
      <c r="L399" s="137" t="s">
        <v>693</v>
      </c>
      <c r="M399" s="143" t="s">
        <v>693</v>
      </c>
      <c r="N399" s="138"/>
    </row>
    <row r="400" spans="1:14" x14ac:dyDescent="0.25">
      <c r="A400" t="s">
        <v>417</v>
      </c>
      <c r="B400" s="122">
        <v>2612</v>
      </c>
      <c r="C400" s="152">
        <v>-14.89</v>
      </c>
      <c r="D400">
        <v>31.8</v>
      </c>
      <c r="E400" s="134">
        <v>42685</v>
      </c>
      <c r="F400" s="2">
        <v>5.2</v>
      </c>
      <c r="G400" s="135">
        <v>140448315</v>
      </c>
      <c r="I400" s="136" t="s">
        <v>557</v>
      </c>
      <c r="J400" s="137" t="s">
        <v>693</v>
      </c>
      <c r="K400" s="138">
        <v>1</v>
      </c>
      <c r="L400" s="137" t="s">
        <v>693</v>
      </c>
      <c r="M400" s="143" t="s">
        <v>693</v>
      </c>
      <c r="N400" s="138"/>
    </row>
    <row r="401" spans="1:14" x14ac:dyDescent="0.25">
      <c r="A401" t="s">
        <v>418</v>
      </c>
      <c r="B401" s="122">
        <v>1549</v>
      </c>
      <c r="C401" s="152">
        <v>-19.32</v>
      </c>
      <c r="D401">
        <v>21.5</v>
      </c>
      <c r="E401" s="134">
        <v>34283</v>
      </c>
      <c r="F401" s="2">
        <v>4.0999999999999996</v>
      </c>
      <c r="G401" s="135">
        <v>289834203</v>
      </c>
      <c r="I401" s="136" t="s">
        <v>558</v>
      </c>
      <c r="J401" s="137" t="s">
        <v>694</v>
      </c>
      <c r="K401" s="138">
        <v>1</v>
      </c>
      <c r="L401" s="137" t="s">
        <v>693</v>
      </c>
      <c r="M401" s="143" t="s">
        <v>693</v>
      </c>
      <c r="N401" s="138"/>
    </row>
    <row r="402" spans="1:14" x14ac:dyDescent="0.25">
      <c r="A402" t="s">
        <v>419</v>
      </c>
      <c r="B402" s="122">
        <v>3153</v>
      </c>
      <c r="C402" s="152">
        <v>8.9499999999999993</v>
      </c>
      <c r="D402">
        <v>1.3</v>
      </c>
      <c r="E402" s="134">
        <v>87560</v>
      </c>
      <c r="F402" s="2">
        <v>4.4000000000000004</v>
      </c>
      <c r="G402" s="135">
        <v>3124591227</v>
      </c>
      <c r="I402" s="136" t="s">
        <v>559</v>
      </c>
      <c r="J402" s="137" t="s">
        <v>693</v>
      </c>
      <c r="K402" s="138">
        <v>1</v>
      </c>
      <c r="L402" s="137" t="s">
        <v>693</v>
      </c>
      <c r="M402" s="143" t="s">
        <v>693</v>
      </c>
      <c r="N402" s="138"/>
    </row>
    <row r="403" spans="1:14" x14ac:dyDescent="0.25">
      <c r="A403" t="s">
        <v>420</v>
      </c>
      <c r="B403" s="122">
        <v>95015</v>
      </c>
      <c r="C403" s="152">
        <v>1.08</v>
      </c>
      <c r="D403">
        <v>14.5</v>
      </c>
      <c r="E403" s="134">
        <v>56770</v>
      </c>
      <c r="F403" s="2">
        <v>5.0999999999999996</v>
      </c>
      <c r="G403" s="135">
        <v>8590891842</v>
      </c>
      <c r="I403" s="136" t="s">
        <v>560</v>
      </c>
      <c r="J403" s="137" t="s">
        <v>693</v>
      </c>
      <c r="K403" s="138">
        <v>2</v>
      </c>
      <c r="L403" s="137" t="s">
        <v>693</v>
      </c>
      <c r="M403" s="143" t="s">
        <v>693</v>
      </c>
      <c r="N403" s="138"/>
    </row>
    <row r="404" spans="1:14" x14ac:dyDescent="0.25">
      <c r="A404" t="s">
        <v>421</v>
      </c>
      <c r="B404" s="122">
        <v>5624</v>
      </c>
      <c r="C404" s="152">
        <v>1.83</v>
      </c>
      <c r="D404">
        <v>21.9</v>
      </c>
      <c r="E404" s="134">
        <v>61513</v>
      </c>
      <c r="F404" s="2">
        <v>5.0999999999999996</v>
      </c>
      <c r="G404" s="135">
        <v>442244894</v>
      </c>
      <c r="I404" s="136" t="s">
        <v>561</v>
      </c>
      <c r="J404" s="137" t="s">
        <v>693</v>
      </c>
      <c r="K404" s="138">
        <v>0</v>
      </c>
      <c r="L404" s="137" t="s">
        <v>693</v>
      </c>
      <c r="M404" s="143" t="s">
        <v>693</v>
      </c>
      <c r="N404" s="138"/>
    </row>
    <row r="405" spans="1:14" x14ac:dyDescent="0.25">
      <c r="A405" t="s">
        <v>422</v>
      </c>
      <c r="B405" s="122">
        <v>1976</v>
      </c>
      <c r="C405" s="152">
        <v>17.829999999999998</v>
      </c>
      <c r="D405">
        <v>15.5</v>
      </c>
      <c r="E405" s="134">
        <v>50694</v>
      </c>
      <c r="F405" s="2">
        <v>4.7</v>
      </c>
      <c r="G405" s="135">
        <v>146513676</v>
      </c>
      <c r="I405" s="136" t="s">
        <v>562</v>
      </c>
      <c r="J405" s="137" t="s">
        <v>693</v>
      </c>
      <c r="K405" s="138">
        <v>1</v>
      </c>
      <c r="L405" s="137" t="s">
        <v>693</v>
      </c>
      <c r="M405" s="143" t="s">
        <v>693</v>
      </c>
      <c r="N405" s="138"/>
    </row>
    <row r="406" spans="1:14" x14ac:dyDescent="0.25">
      <c r="A406" t="s">
        <v>424</v>
      </c>
      <c r="B406" s="122">
        <v>31373</v>
      </c>
      <c r="C406" s="152">
        <v>4.72</v>
      </c>
      <c r="D406">
        <v>16.5</v>
      </c>
      <c r="E406" s="134">
        <v>55673</v>
      </c>
      <c r="F406" s="2">
        <v>3.7</v>
      </c>
      <c r="G406" s="135">
        <v>3573993746</v>
      </c>
      <c r="I406" s="136" t="s">
        <v>564</v>
      </c>
      <c r="J406" s="137" t="s">
        <v>693</v>
      </c>
      <c r="K406" s="138">
        <v>1</v>
      </c>
      <c r="L406" s="137" t="s">
        <v>693</v>
      </c>
      <c r="M406" s="143" t="s">
        <v>693</v>
      </c>
      <c r="N406" s="138"/>
    </row>
    <row r="407" spans="1:14" x14ac:dyDescent="0.25">
      <c r="A407" t="s">
        <v>425</v>
      </c>
      <c r="B407" s="122">
        <v>228134</v>
      </c>
      <c r="C407" s="152">
        <v>1.74</v>
      </c>
      <c r="D407">
        <v>12.7</v>
      </c>
      <c r="E407" s="134">
        <v>67515</v>
      </c>
      <c r="F407" s="2">
        <v>3.3</v>
      </c>
      <c r="G407" s="135">
        <v>49236988388</v>
      </c>
      <c r="I407" s="136" t="s">
        <v>566</v>
      </c>
      <c r="J407" s="137" t="s">
        <v>693</v>
      </c>
      <c r="K407" s="138">
        <v>1</v>
      </c>
      <c r="L407" s="137" t="s">
        <v>693</v>
      </c>
      <c r="M407" s="143" t="s">
        <v>693</v>
      </c>
      <c r="N407" s="138"/>
    </row>
    <row r="408" spans="1:14" x14ac:dyDescent="0.25">
      <c r="A408" t="s">
        <v>426</v>
      </c>
      <c r="B408" s="122">
        <v>674</v>
      </c>
      <c r="C408" s="152">
        <v>-1.32</v>
      </c>
      <c r="D408">
        <v>15.4</v>
      </c>
      <c r="E408" s="134">
        <v>58667</v>
      </c>
      <c r="F408" s="2">
        <v>3.3</v>
      </c>
      <c r="G408" s="135">
        <v>217925573</v>
      </c>
      <c r="I408" s="136" t="s">
        <v>567</v>
      </c>
      <c r="J408" s="137" t="s">
        <v>693</v>
      </c>
      <c r="K408" s="138">
        <v>5</v>
      </c>
      <c r="L408" s="137" t="s">
        <v>693</v>
      </c>
      <c r="M408" s="143" t="s">
        <v>693</v>
      </c>
      <c r="N408" s="138"/>
    </row>
    <row r="409" spans="1:14" x14ac:dyDescent="0.25">
      <c r="A409" t="s">
        <v>427</v>
      </c>
      <c r="B409" s="122">
        <v>743</v>
      </c>
      <c r="C409" s="152">
        <v>-13.2</v>
      </c>
      <c r="D409">
        <v>12.9</v>
      </c>
      <c r="E409" s="134">
        <v>42829</v>
      </c>
      <c r="F409" s="2">
        <v>3.3</v>
      </c>
      <c r="G409" s="135">
        <v>88030087</v>
      </c>
      <c r="I409" s="136" t="s">
        <v>571</v>
      </c>
      <c r="J409" s="137" t="s">
        <v>693</v>
      </c>
      <c r="K409" s="138">
        <v>4</v>
      </c>
      <c r="L409" s="137" t="s">
        <v>693</v>
      </c>
      <c r="M409" s="143" t="s">
        <v>693</v>
      </c>
      <c r="N409" s="138"/>
    </row>
    <row r="410" spans="1:14" x14ac:dyDescent="0.25">
      <c r="A410" t="s">
        <v>428</v>
      </c>
      <c r="B410" s="122">
        <v>4407</v>
      </c>
      <c r="C410" s="152">
        <v>-4.6900000000000004</v>
      </c>
      <c r="D410">
        <v>6</v>
      </c>
      <c r="E410" s="134">
        <v>79109</v>
      </c>
      <c r="F410" s="2">
        <v>3.5</v>
      </c>
      <c r="G410" s="135">
        <v>416492630</v>
      </c>
      <c r="I410" s="136" t="s">
        <v>572</v>
      </c>
      <c r="J410" s="137" t="s">
        <v>693</v>
      </c>
      <c r="K410" s="138">
        <v>7</v>
      </c>
      <c r="L410" s="137" t="s">
        <v>693</v>
      </c>
      <c r="M410" s="143" t="s">
        <v>693</v>
      </c>
      <c r="N410" s="138"/>
    </row>
    <row r="411" spans="1:14" x14ac:dyDescent="0.25">
      <c r="A411" t="s">
        <v>429</v>
      </c>
      <c r="B411" s="122">
        <v>659</v>
      </c>
      <c r="C411" s="152">
        <v>20.7</v>
      </c>
      <c r="D411">
        <v>4</v>
      </c>
      <c r="E411" s="134">
        <v>64750</v>
      </c>
      <c r="F411" s="2">
        <v>3.8</v>
      </c>
      <c r="G411" s="135">
        <v>73344504</v>
      </c>
      <c r="I411" s="136" t="s">
        <v>573</v>
      </c>
      <c r="J411" s="137" t="s">
        <v>694</v>
      </c>
      <c r="K411" s="138">
        <v>2</v>
      </c>
      <c r="L411" s="137" t="s">
        <v>693</v>
      </c>
      <c r="M411" s="143" t="s">
        <v>693</v>
      </c>
      <c r="N411" s="138"/>
    </row>
    <row r="412" spans="1:14" x14ac:dyDescent="0.25">
      <c r="A412" t="s">
        <v>430</v>
      </c>
      <c r="B412" s="122">
        <v>13173</v>
      </c>
      <c r="C412" s="152">
        <v>1.29</v>
      </c>
      <c r="D412">
        <v>13.3</v>
      </c>
      <c r="E412" s="134">
        <v>57918</v>
      </c>
      <c r="F412" s="2">
        <v>3.5</v>
      </c>
      <c r="G412" s="135">
        <v>1284793980</v>
      </c>
      <c r="I412" s="136" t="s">
        <v>574</v>
      </c>
      <c r="J412" s="137" t="s">
        <v>693</v>
      </c>
      <c r="K412" s="138">
        <v>4</v>
      </c>
      <c r="L412" s="137" t="s">
        <v>693</v>
      </c>
      <c r="M412" s="143" t="s">
        <v>693</v>
      </c>
      <c r="N412" s="138"/>
    </row>
    <row r="413" spans="1:14" x14ac:dyDescent="0.25">
      <c r="A413" t="s">
        <v>431</v>
      </c>
      <c r="B413" s="122">
        <v>1170</v>
      </c>
      <c r="C413" s="152">
        <v>6.27</v>
      </c>
      <c r="D413">
        <v>17.3</v>
      </c>
      <c r="E413" s="134">
        <v>34550</v>
      </c>
      <c r="F413" s="2">
        <v>6.4</v>
      </c>
      <c r="G413" s="135">
        <v>41729362</v>
      </c>
      <c r="I413" t="s">
        <v>530</v>
      </c>
      <c r="J413" s="137" t="s">
        <v>694</v>
      </c>
      <c r="K413" s="138">
        <v>2</v>
      </c>
      <c r="L413" s="137" t="s">
        <v>693</v>
      </c>
      <c r="M413" s="143" t="s">
        <v>693</v>
      </c>
      <c r="N413" s="138"/>
    </row>
    <row r="414" spans="1:14" x14ac:dyDescent="0.25">
      <c r="A414" t="s">
        <v>432</v>
      </c>
      <c r="B414" s="122">
        <v>173</v>
      </c>
      <c r="C414" s="152">
        <v>76.53</v>
      </c>
      <c r="D414">
        <v>47.4</v>
      </c>
      <c r="E414" s="134">
        <v>44375</v>
      </c>
      <c r="F414" s="2">
        <v>5.0999999999999996</v>
      </c>
      <c r="G414" s="134" t="e">
        <f>NA()</f>
        <v>#N/A</v>
      </c>
      <c r="I414" s="136" t="s">
        <v>577</v>
      </c>
      <c r="J414" s="137" t="s">
        <v>693</v>
      </c>
      <c r="K414" s="138">
        <v>6</v>
      </c>
      <c r="L414" s="137" t="s">
        <v>693</v>
      </c>
      <c r="M414" s="143" t="s">
        <v>693</v>
      </c>
      <c r="N414" s="138"/>
    </row>
    <row r="415" spans="1:14" x14ac:dyDescent="0.25">
      <c r="A415" t="s">
        <v>812</v>
      </c>
      <c r="B415" s="122">
        <v>775</v>
      </c>
      <c r="C415" s="152">
        <v>-22.11</v>
      </c>
      <c r="D415">
        <v>9.1999999999999993</v>
      </c>
      <c r="E415" s="134">
        <v>82857</v>
      </c>
      <c r="F415" s="2">
        <v>4.3</v>
      </c>
      <c r="G415" s="135">
        <v>1602023488</v>
      </c>
      <c r="I415" s="136" t="s">
        <v>578</v>
      </c>
      <c r="J415" s="137" t="s">
        <v>693</v>
      </c>
      <c r="K415" s="138">
        <v>1</v>
      </c>
      <c r="L415" s="137" t="s">
        <v>693</v>
      </c>
      <c r="M415" s="143" t="s">
        <v>693</v>
      </c>
      <c r="N415" s="138"/>
    </row>
    <row r="416" spans="1:14" x14ac:dyDescent="0.25">
      <c r="A416" t="s">
        <v>433</v>
      </c>
      <c r="B416" s="122">
        <v>4349</v>
      </c>
      <c r="C416" s="152">
        <v>3.52</v>
      </c>
      <c r="D416">
        <v>22</v>
      </c>
      <c r="E416" s="134">
        <v>36855</v>
      </c>
      <c r="F416" s="2">
        <v>3.9</v>
      </c>
      <c r="G416" s="135">
        <v>485905232</v>
      </c>
      <c r="I416" s="136" t="s">
        <v>579</v>
      </c>
      <c r="J416" s="137" t="s">
        <v>694</v>
      </c>
      <c r="K416" s="138">
        <v>5</v>
      </c>
      <c r="L416" s="137" t="s">
        <v>693</v>
      </c>
      <c r="M416" s="143" t="s">
        <v>693</v>
      </c>
      <c r="N416" s="138"/>
    </row>
    <row r="417" spans="1:14" x14ac:dyDescent="0.25">
      <c r="A417" t="s">
        <v>434</v>
      </c>
      <c r="B417" s="122">
        <v>17528</v>
      </c>
      <c r="C417" s="152">
        <v>-13.17</v>
      </c>
      <c r="D417">
        <v>18.7</v>
      </c>
      <c r="E417" s="134">
        <v>45698</v>
      </c>
      <c r="F417" s="2">
        <v>4.9000000000000004</v>
      </c>
      <c r="G417" s="135">
        <v>2259019868</v>
      </c>
      <c r="I417" s="136" t="s">
        <v>580</v>
      </c>
      <c r="J417" s="137" t="s">
        <v>693</v>
      </c>
      <c r="K417" s="138">
        <v>2</v>
      </c>
      <c r="L417" s="137" t="s">
        <v>693</v>
      </c>
      <c r="M417" s="143" t="s">
        <v>693</v>
      </c>
      <c r="N417" s="138"/>
    </row>
    <row r="418" spans="1:14" x14ac:dyDescent="0.25">
      <c r="A418" t="s">
        <v>813</v>
      </c>
      <c r="B418" s="122">
        <v>769</v>
      </c>
      <c r="C418" s="152">
        <v>-16.59</v>
      </c>
      <c r="D418">
        <v>27</v>
      </c>
      <c r="E418" s="134">
        <v>31750</v>
      </c>
      <c r="F418" s="2">
        <v>4.7</v>
      </c>
      <c r="G418" s="135">
        <v>78316852</v>
      </c>
      <c r="I418" s="136" t="s">
        <v>581</v>
      </c>
      <c r="J418" s="137" t="s">
        <v>694</v>
      </c>
      <c r="K418" s="138">
        <v>2</v>
      </c>
      <c r="L418" s="137" t="s">
        <v>693</v>
      </c>
      <c r="M418" s="143" t="s">
        <v>693</v>
      </c>
      <c r="N418" s="138"/>
    </row>
    <row r="419" spans="1:14" x14ac:dyDescent="0.25">
      <c r="A419" t="s">
        <v>435</v>
      </c>
      <c r="B419" s="122">
        <v>2906</v>
      </c>
      <c r="C419" s="152">
        <v>3.79</v>
      </c>
      <c r="D419">
        <v>10.5</v>
      </c>
      <c r="E419" s="134">
        <v>55897</v>
      </c>
      <c r="F419" s="2">
        <v>3.3</v>
      </c>
      <c r="G419" s="135">
        <v>385184843</v>
      </c>
      <c r="I419" s="136" t="s">
        <v>582</v>
      </c>
      <c r="J419" s="137" t="s">
        <v>694</v>
      </c>
      <c r="K419" s="138">
        <v>1</v>
      </c>
      <c r="L419" s="137" t="s">
        <v>693</v>
      </c>
      <c r="M419" s="143" t="s">
        <v>693</v>
      </c>
      <c r="N419" s="138"/>
    </row>
    <row r="420" spans="1:14" x14ac:dyDescent="0.25">
      <c r="A420" t="s">
        <v>436</v>
      </c>
      <c r="B420" s="122">
        <v>420</v>
      </c>
      <c r="C420" s="152">
        <v>54.41</v>
      </c>
      <c r="D420">
        <v>4.8</v>
      </c>
      <c r="E420" s="134">
        <v>57769</v>
      </c>
      <c r="F420" s="2">
        <v>4.5</v>
      </c>
      <c r="G420" s="135">
        <v>19455547</v>
      </c>
      <c r="I420" s="136" t="s">
        <v>583</v>
      </c>
      <c r="J420" s="137" t="s">
        <v>693</v>
      </c>
      <c r="K420" s="138">
        <v>1</v>
      </c>
      <c r="L420" s="137" t="s">
        <v>693</v>
      </c>
      <c r="M420" s="143" t="s">
        <v>693</v>
      </c>
      <c r="N420" s="138"/>
    </row>
    <row r="421" spans="1:14" x14ac:dyDescent="0.25">
      <c r="A421" t="s">
        <v>437</v>
      </c>
      <c r="B421" s="122">
        <v>8564</v>
      </c>
      <c r="C421" s="152">
        <v>12.51</v>
      </c>
      <c r="D421">
        <v>9.1</v>
      </c>
      <c r="E421" s="134">
        <v>85513</v>
      </c>
      <c r="F421" s="2">
        <v>4.7</v>
      </c>
      <c r="G421" s="135">
        <v>3662339934</v>
      </c>
      <c r="I421" s="136" t="s">
        <v>584</v>
      </c>
      <c r="J421" s="137" t="s">
        <v>693</v>
      </c>
      <c r="K421" s="138">
        <v>1</v>
      </c>
      <c r="L421" s="137" t="s">
        <v>693</v>
      </c>
      <c r="M421" s="143" t="s">
        <v>693</v>
      </c>
      <c r="N421" s="138"/>
    </row>
    <row r="422" spans="1:14" x14ac:dyDescent="0.25">
      <c r="A422" t="s">
        <v>438</v>
      </c>
      <c r="B422" s="122">
        <v>7637</v>
      </c>
      <c r="C422" s="152">
        <v>11.83</v>
      </c>
      <c r="D422">
        <v>3.6</v>
      </c>
      <c r="E422" s="134">
        <v>146131</v>
      </c>
      <c r="F422" s="2">
        <v>4.0999999999999996</v>
      </c>
      <c r="G422" s="135">
        <v>1420661545</v>
      </c>
      <c r="I422" s="136" t="s">
        <v>586</v>
      </c>
      <c r="J422" s="137" t="s">
        <v>693</v>
      </c>
      <c r="K422" s="138">
        <v>5</v>
      </c>
      <c r="L422" s="137" t="s">
        <v>693</v>
      </c>
      <c r="M422" s="143" t="s">
        <v>693</v>
      </c>
      <c r="N422" s="138"/>
    </row>
    <row r="423" spans="1:14" x14ac:dyDescent="0.25">
      <c r="A423" t="s">
        <v>439</v>
      </c>
      <c r="B423" s="122">
        <v>2379</v>
      </c>
      <c r="C423" s="152">
        <v>27.08</v>
      </c>
      <c r="D423">
        <v>2.7</v>
      </c>
      <c r="E423" s="134">
        <v>78453</v>
      </c>
      <c r="F423" s="2">
        <v>3.3</v>
      </c>
      <c r="G423" s="135">
        <v>250753681</v>
      </c>
      <c r="I423" s="136" t="s">
        <v>587</v>
      </c>
      <c r="J423" s="137" t="s">
        <v>693</v>
      </c>
      <c r="K423" s="138">
        <v>8</v>
      </c>
      <c r="L423" s="137" t="s">
        <v>693</v>
      </c>
      <c r="M423" s="143" t="s">
        <v>693</v>
      </c>
      <c r="N423" s="138"/>
    </row>
    <row r="424" spans="1:14" x14ac:dyDescent="0.25">
      <c r="A424" t="s">
        <v>440</v>
      </c>
      <c r="B424" s="122">
        <v>809</v>
      </c>
      <c r="C424" s="152">
        <v>14.75</v>
      </c>
      <c r="D424">
        <v>3.8</v>
      </c>
      <c r="E424" s="134">
        <v>91250</v>
      </c>
      <c r="F424" s="2">
        <v>4.7</v>
      </c>
      <c r="G424" s="135">
        <v>2083895898</v>
      </c>
      <c r="I424" s="136" t="s">
        <v>588</v>
      </c>
      <c r="J424" s="137" t="s">
        <v>693</v>
      </c>
      <c r="K424" s="138">
        <v>2</v>
      </c>
      <c r="L424" s="137" t="s">
        <v>693</v>
      </c>
      <c r="M424" s="143" t="s">
        <v>693</v>
      </c>
      <c r="N424" s="138"/>
    </row>
    <row r="425" spans="1:14" x14ac:dyDescent="0.25">
      <c r="A425" t="s">
        <v>442</v>
      </c>
      <c r="B425" s="122">
        <v>658</v>
      </c>
      <c r="C425" s="152">
        <v>-26.89</v>
      </c>
      <c r="D425">
        <v>15.7</v>
      </c>
      <c r="E425" s="134">
        <v>41125</v>
      </c>
      <c r="F425" s="2">
        <v>3.5</v>
      </c>
      <c r="G425" s="135">
        <v>142895371</v>
      </c>
      <c r="I425" s="136" t="s">
        <v>589</v>
      </c>
      <c r="J425" s="137" t="s">
        <v>694</v>
      </c>
      <c r="K425" s="138">
        <v>2</v>
      </c>
      <c r="L425" s="137" t="s">
        <v>693</v>
      </c>
      <c r="M425" s="143" t="s">
        <v>693</v>
      </c>
      <c r="N425" s="138"/>
    </row>
    <row r="426" spans="1:14" x14ac:dyDescent="0.25">
      <c r="A426" t="s">
        <v>443</v>
      </c>
      <c r="B426" s="122">
        <v>203686</v>
      </c>
      <c r="C426" s="152">
        <v>5.04</v>
      </c>
      <c r="D426">
        <v>12.8</v>
      </c>
      <c r="E426" s="134">
        <v>59976</v>
      </c>
      <c r="F426" s="2">
        <v>4.3</v>
      </c>
      <c r="G426" s="135">
        <v>20417993426</v>
      </c>
      <c r="I426" s="136" t="s">
        <v>591</v>
      </c>
      <c r="J426" s="137" t="s">
        <v>694</v>
      </c>
      <c r="K426" s="138">
        <v>2</v>
      </c>
      <c r="L426" s="137" t="s">
        <v>693</v>
      </c>
      <c r="M426" s="143" t="s">
        <v>693</v>
      </c>
      <c r="N426" s="138"/>
    </row>
    <row r="427" spans="1:14" x14ac:dyDescent="0.25">
      <c r="A427" t="s">
        <v>445</v>
      </c>
      <c r="B427" s="122">
        <v>145919</v>
      </c>
      <c r="C427" s="152">
        <v>2.09</v>
      </c>
      <c r="D427">
        <v>12.3</v>
      </c>
      <c r="E427" s="134">
        <v>85785</v>
      </c>
      <c r="F427" s="2">
        <v>3.1</v>
      </c>
      <c r="G427" s="135">
        <v>22270866552</v>
      </c>
      <c r="I427" s="136" t="s">
        <v>595</v>
      </c>
      <c r="J427" s="137" t="s">
        <v>693</v>
      </c>
      <c r="K427" s="138">
        <v>1</v>
      </c>
      <c r="L427" s="137" t="s">
        <v>693</v>
      </c>
      <c r="M427" s="143" t="s">
        <v>693</v>
      </c>
      <c r="N427" s="138"/>
    </row>
    <row r="428" spans="1:14" x14ac:dyDescent="0.25">
      <c r="A428" t="s">
        <v>447</v>
      </c>
      <c r="B428" s="122">
        <v>968</v>
      </c>
      <c r="C428" s="152">
        <v>-2.81</v>
      </c>
      <c r="D428">
        <v>6.5</v>
      </c>
      <c r="E428" s="134">
        <v>51563</v>
      </c>
      <c r="F428" s="2">
        <v>3.7</v>
      </c>
      <c r="G428" s="135">
        <v>263056088</v>
      </c>
      <c r="I428" s="136" t="s">
        <v>596</v>
      </c>
      <c r="J428" s="137" t="s">
        <v>694</v>
      </c>
      <c r="K428" s="138">
        <v>13</v>
      </c>
      <c r="L428" s="137" t="s">
        <v>693</v>
      </c>
      <c r="M428" s="143" t="s">
        <v>693</v>
      </c>
      <c r="N428" s="138"/>
    </row>
    <row r="429" spans="1:14" x14ac:dyDescent="0.25">
      <c r="A429" t="s">
        <v>448</v>
      </c>
      <c r="B429" s="122">
        <v>62</v>
      </c>
      <c r="C429" s="152">
        <v>-1.59</v>
      </c>
      <c r="D429">
        <v>27.4</v>
      </c>
      <c r="E429" s="134">
        <v>23000</v>
      </c>
      <c r="F429" s="2">
        <v>5.6</v>
      </c>
      <c r="G429" s="134" t="e">
        <f>NA()</f>
        <v>#N/A</v>
      </c>
      <c r="I429" s="136" t="s">
        <v>598</v>
      </c>
      <c r="J429" s="137" t="s">
        <v>694</v>
      </c>
      <c r="K429" s="138">
        <v>1</v>
      </c>
      <c r="L429" s="137" t="s">
        <v>693</v>
      </c>
      <c r="M429" s="143" t="s">
        <v>693</v>
      </c>
      <c r="N429" s="138"/>
    </row>
    <row r="430" spans="1:14" x14ac:dyDescent="0.25">
      <c r="A430" t="s">
        <v>449</v>
      </c>
      <c r="B430" s="122">
        <v>560</v>
      </c>
      <c r="C430" s="152">
        <v>14.75</v>
      </c>
      <c r="D430">
        <v>13.3</v>
      </c>
      <c r="E430" s="134">
        <v>57273</v>
      </c>
      <c r="F430" s="2">
        <v>3.7</v>
      </c>
      <c r="G430" s="135">
        <v>27155491</v>
      </c>
      <c r="I430" s="136" t="s">
        <v>600</v>
      </c>
      <c r="J430" s="137" t="s">
        <v>693</v>
      </c>
      <c r="K430" s="138">
        <v>3</v>
      </c>
      <c r="L430" s="137" t="s">
        <v>693</v>
      </c>
      <c r="M430" s="143" t="s">
        <v>693</v>
      </c>
      <c r="N430" s="138"/>
    </row>
    <row r="431" spans="1:14" x14ac:dyDescent="0.25">
      <c r="A431" t="s">
        <v>450</v>
      </c>
      <c r="B431" s="122">
        <v>8685</v>
      </c>
      <c r="C431" s="152">
        <v>0.43</v>
      </c>
      <c r="D431">
        <v>25.6</v>
      </c>
      <c r="E431" s="134">
        <v>42016</v>
      </c>
      <c r="F431" s="2">
        <v>3.2</v>
      </c>
      <c r="G431" s="135">
        <v>568219585</v>
      </c>
      <c r="I431" s="136" t="s">
        <v>602</v>
      </c>
      <c r="J431" s="137" t="s">
        <v>693</v>
      </c>
      <c r="K431" s="138">
        <v>4</v>
      </c>
      <c r="L431" s="137" t="s">
        <v>693</v>
      </c>
      <c r="M431" s="143" t="s">
        <v>693</v>
      </c>
      <c r="N431" s="138"/>
    </row>
    <row r="432" spans="1:14" x14ac:dyDescent="0.25">
      <c r="A432" t="s">
        <v>451</v>
      </c>
      <c r="B432" s="122">
        <v>12317</v>
      </c>
      <c r="C432" s="152">
        <v>-3.34</v>
      </c>
      <c r="D432">
        <v>13.8</v>
      </c>
      <c r="E432" s="134">
        <v>55867</v>
      </c>
      <c r="F432" s="2">
        <v>3.7</v>
      </c>
      <c r="G432" s="135">
        <v>1968232166</v>
      </c>
      <c r="I432" s="136" t="s">
        <v>604</v>
      </c>
      <c r="J432" s="137" t="s">
        <v>693</v>
      </c>
      <c r="K432" s="138">
        <v>3</v>
      </c>
      <c r="L432" s="137" t="s">
        <v>693</v>
      </c>
      <c r="M432" s="143" t="s">
        <v>693</v>
      </c>
      <c r="N432" s="138"/>
    </row>
    <row r="433" spans="1:14" x14ac:dyDescent="0.25">
      <c r="A433" t="s">
        <v>452</v>
      </c>
      <c r="B433" s="122">
        <v>441</v>
      </c>
      <c r="C433" s="152">
        <v>109</v>
      </c>
      <c r="D433">
        <v>7.7</v>
      </c>
      <c r="E433" s="134">
        <v>67292</v>
      </c>
      <c r="F433" s="2">
        <v>4</v>
      </c>
      <c r="G433" s="135">
        <v>22687347</v>
      </c>
      <c r="I433" s="136" t="s">
        <v>605</v>
      </c>
      <c r="J433" s="137" t="s">
        <v>694</v>
      </c>
      <c r="K433" s="138">
        <v>1</v>
      </c>
      <c r="L433" s="137" t="s">
        <v>693</v>
      </c>
      <c r="M433" s="143" t="s">
        <v>693</v>
      </c>
      <c r="N433" s="138"/>
    </row>
    <row r="434" spans="1:14" x14ac:dyDescent="0.25">
      <c r="A434" t="s">
        <v>453</v>
      </c>
      <c r="B434" s="122">
        <v>451</v>
      </c>
      <c r="C434" s="152">
        <v>-11.05</v>
      </c>
      <c r="D434">
        <v>12.2</v>
      </c>
      <c r="E434" s="134">
        <v>54063</v>
      </c>
      <c r="F434" s="2">
        <v>5.6</v>
      </c>
      <c r="G434" s="135">
        <v>39589138</v>
      </c>
      <c r="I434" s="136" t="s">
        <v>606</v>
      </c>
      <c r="J434" s="137" t="s">
        <v>694</v>
      </c>
      <c r="K434" s="138">
        <v>1</v>
      </c>
      <c r="L434" s="137" t="s">
        <v>693</v>
      </c>
      <c r="M434" s="143" t="s">
        <v>693</v>
      </c>
      <c r="N434" s="138"/>
    </row>
    <row r="435" spans="1:14" x14ac:dyDescent="0.25">
      <c r="A435" t="s">
        <v>454</v>
      </c>
      <c r="B435" s="122">
        <v>221</v>
      </c>
      <c r="C435" s="152">
        <v>-11.24</v>
      </c>
      <c r="D435">
        <v>29.4</v>
      </c>
      <c r="E435" s="134">
        <v>34821</v>
      </c>
      <c r="F435" s="2">
        <v>4.5</v>
      </c>
      <c r="G435" s="135">
        <v>13413081</v>
      </c>
      <c r="I435" s="136" t="s">
        <v>607</v>
      </c>
      <c r="J435" s="137" t="s">
        <v>693</v>
      </c>
      <c r="K435" s="138">
        <v>5</v>
      </c>
      <c r="L435" s="137" t="s">
        <v>693</v>
      </c>
      <c r="M435" s="143" t="s">
        <v>693</v>
      </c>
      <c r="N435" s="138"/>
    </row>
    <row r="436" spans="1:14" x14ac:dyDescent="0.25">
      <c r="A436" t="s">
        <v>455</v>
      </c>
      <c r="B436" s="122">
        <v>40454</v>
      </c>
      <c r="C436" s="152">
        <v>2.4700000000000002</v>
      </c>
      <c r="D436">
        <v>11.6</v>
      </c>
      <c r="E436" s="134">
        <v>61411</v>
      </c>
      <c r="F436" s="2">
        <v>4.5</v>
      </c>
      <c r="G436" s="135">
        <v>4353117867</v>
      </c>
      <c r="I436" s="136" t="s">
        <v>608</v>
      </c>
      <c r="J436" s="137" t="s">
        <v>693</v>
      </c>
      <c r="K436" s="138">
        <v>4</v>
      </c>
      <c r="L436" s="137" t="s">
        <v>693</v>
      </c>
      <c r="M436" s="143" t="s">
        <v>693</v>
      </c>
      <c r="N436" s="138"/>
    </row>
    <row r="437" spans="1:14" x14ac:dyDescent="0.25">
      <c r="A437" t="s">
        <v>456</v>
      </c>
      <c r="B437" s="122">
        <v>854</v>
      </c>
      <c r="C437" s="152">
        <v>-3.17</v>
      </c>
      <c r="D437">
        <v>27.8</v>
      </c>
      <c r="E437" s="134">
        <v>43750</v>
      </c>
      <c r="F437" s="2">
        <v>3.9</v>
      </c>
      <c r="G437" s="135">
        <v>26526565</v>
      </c>
      <c r="I437" s="136" t="s">
        <v>610</v>
      </c>
      <c r="J437" s="137" t="s">
        <v>693</v>
      </c>
      <c r="K437" s="138">
        <v>6</v>
      </c>
      <c r="L437" s="137" t="s">
        <v>693</v>
      </c>
      <c r="M437" s="143" t="s">
        <v>693</v>
      </c>
      <c r="N437" s="138"/>
    </row>
    <row r="438" spans="1:14" x14ac:dyDescent="0.25">
      <c r="A438" t="s">
        <v>457</v>
      </c>
      <c r="B438" s="122">
        <v>465</v>
      </c>
      <c r="C438" s="152">
        <v>-6.25</v>
      </c>
      <c r="D438">
        <v>6.9</v>
      </c>
      <c r="E438" s="134">
        <v>70096</v>
      </c>
      <c r="F438" s="2">
        <v>4.4000000000000004</v>
      </c>
      <c r="G438" s="135">
        <v>19144760</v>
      </c>
      <c r="I438" s="136" t="s">
        <v>613</v>
      </c>
      <c r="J438" s="137" t="s">
        <v>694</v>
      </c>
      <c r="K438" s="138">
        <v>7</v>
      </c>
      <c r="L438" s="137" t="s">
        <v>693</v>
      </c>
      <c r="M438" s="143" t="s">
        <v>693</v>
      </c>
      <c r="N438" s="138"/>
    </row>
    <row r="439" spans="1:14" x14ac:dyDescent="0.25">
      <c r="A439" t="s">
        <v>458</v>
      </c>
      <c r="B439" s="122">
        <v>749</v>
      </c>
      <c r="C439" s="152">
        <v>-8.77</v>
      </c>
      <c r="D439">
        <v>18.600000000000001</v>
      </c>
      <c r="E439" s="134">
        <v>45781</v>
      </c>
      <c r="F439" s="2">
        <v>3.5</v>
      </c>
      <c r="G439" s="135">
        <v>126111132</v>
      </c>
      <c r="I439" s="136" t="s">
        <v>614</v>
      </c>
      <c r="J439" s="137" t="s">
        <v>693</v>
      </c>
      <c r="K439" s="138">
        <v>8</v>
      </c>
      <c r="L439" s="137" t="s">
        <v>693</v>
      </c>
      <c r="M439" s="143" t="s">
        <v>693</v>
      </c>
      <c r="N439" s="138"/>
    </row>
    <row r="440" spans="1:14" x14ac:dyDescent="0.25">
      <c r="A440" t="s">
        <v>459</v>
      </c>
      <c r="B440" s="122">
        <v>2832</v>
      </c>
      <c r="C440" s="152">
        <v>-6.96</v>
      </c>
      <c r="D440">
        <v>40.700000000000003</v>
      </c>
      <c r="E440" s="134">
        <v>23107</v>
      </c>
      <c r="F440" s="2">
        <v>5.6</v>
      </c>
      <c r="G440" s="135">
        <v>231962502</v>
      </c>
      <c r="I440" s="136" t="s">
        <v>615</v>
      </c>
      <c r="J440" s="137" t="s">
        <v>693</v>
      </c>
      <c r="K440" s="138">
        <v>1</v>
      </c>
      <c r="L440" s="137" t="s">
        <v>693</v>
      </c>
      <c r="M440" s="143" t="s">
        <v>693</v>
      </c>
      <c r="N440" s="138"/>
    </row>
    <row r="441" spans="1:14" x14ac:dyDescent="0.25">
      <c r="A441" t="s">
        <v>460</v>
      </c>
      <c r="B441" s="122">
        <v>61592</v>
      </c>
      <c r="C441" s="152">
        <v>4.3600000000000003</v>
      </c>
      <c r="D441">
        <v>11.7</v>
      </c>
      <c r="E441" s="134">
        <v>74538</v>
      </c>
      <c r="F441" s="2">
        <v>3.5</v>
      </c>
      <c r="G441" s="135">
        <v>8806293279</v>
      </c>
      <c r="I441" s="136" t="s">
        <v>616</v>
      </c>
      <c r="J441" s="137" t="s">
        <v>693</v>
      </c>
      <c r="K441" s="138">
        <v>5</v>
      </c>
      <c r="L441" s="137" t="s">
        <v>693</v>
      </c>
      <c r="M441" s="143" t="s">
        <v>693</v>
      </c>
      <c r="N441" s="138"/>
    </row>
    <row r="442" spans="1:14" x14ac:dyDescent="0.25">
      <c r="A442" t="s">
        <v>461</v>
      </c>
      <c r="B442" s="122">
        <v>13053</v>
      </c>
      <c r="C442" s="152">
        <v>-3.02</v>
      </c>
      <c r="D442">
        <v>13.3</v>
      </c>
      <c r="E442" s="134">
        <v>59401</v>
      </c>
      <c r="F442" s="2">
        <v>4.5</v>
      </c>
      <c r="G442" s="135">
        <v>1732709310</v>
      </c>
      <c r="I442" s="136" t="s">
        <v>617</v>
      </c>
      <c r="J442" s="137" t="s">
        <v>694</v>
      </c>
      <c r="K442" s="138">
        <v>1</v>
      </c>
      <c r="L442" s="137" t="s">
        <v>693</v>
      </c>
      <c r="M442" s="143" t="s">
        <v>693</v>
      </c>
      <c r="N442" s="138"/>
    </row>
    <row r="443" spans="1:14" x14ac:dyDescent="0.25">
      <c r="A443" t="s">
        <v>462</v>
      </c>
      <c r="B443" s="122">
        <v>39131</v>
      </c>
      <c r="C443" s="152">
        <v>-0.44</v>
      </c>
      <c r="D443">
        <v>17.2</v>
      </c>
      <c r="E443" s="134">
        <v>60688</v>
      </c>
      <c r="F443" s="2">
        <v>3.8</v>
      </c>
      <c r="G443" s="135">
        <v>5301054873</v>
      </c>
      <c r="I443" s="136" t="s">
        <v>618</v>
      </c>
      <c r="J443" s="137" t="s">
        <v>693</v>
      </c>
      <c r="K443" s="138">
        <v>2</v>
      </c>
      <c r="L443" s="137" t="s">
        <v>693</v>
      </c>
      <c r="M443" s="143" t="s">
        <v>693</v>
      </c>
      <c r="N443" s="138"/>
    </row>
    <row r="444" spans="1:14" x14ac:dyDescent="0.25">
      <c r="A444" t="s">
        <v>464</v>
      </c>
      <c r="B444" s="122">
        <v>679</v>
      </c>
      <c r="C444" s="152">
        <v>4.62</v>
      </c>
      <c r="D444">
        <v>15.3</v>
      </c>
      <c r="E444" s="134">
        <v>65417</v>
      </c>
      <c r="F444" s="2">
        <v>4.0999999999999996</v>
      </c>
      <c r="G444" s="135">
        <v>49059692</v>
      </c>
      <c r="I444" s="136" t="s">
        <v>619</v>
      </c>
      <c r="J444" s="137" t="s">
        <v>693</v>
      </c>
      <c r="K444" s="138">
        <v>2</v>
      </c>
      <c r="L444" s="137" t="s">
        <v>693</v>
      </c>
      <c r="M444" s="143" t="s">
        <v>693</v>
      </c>
      <c r="N444" s="138"/>
    </row>
    <row r="445" spans="1:14" x14ac:dyDescent="0.25">
      <c r="A445" t="s">
        <v>465</v>
      </c>
      <c r="B445" s="122">
        <v>1667</v>
      </c>
      <c r="C445" s="152">
        <v>12.41</v>
      </c>
      <c r="D445">
        <v>17.8</v>
      </c>
      <c r="E445" s="134">
        <v>42045</v>
      </c>
      <c r="F445" s="2">
        <v>3.5</v>
      </c>
      <c r="G445" s="135">
        <v>172961112</v>
      </c>
      <c r="I445" s="136" t="s">
        <v>620</v>
      </c>
      <c r="J445" s="137" t="s">
        <v>693</v>
      </c>
      <c r="K445" s="138">
        <v>8</v>
      </c>
      <c r="L445" s="137" t="s">
        <v>693</v>
      </c>
      <c r="M445" s="143" t="s">
        <v>693</v>
      </c>
      <c r="N445" s="138"/>
    </row>
    <row r="446" spans="1:14" x14ac:dyDescent="0.25">
      <c r="A446" t="s">
        <v>466</v>
      </c>
      <c r="B446" s="122">
        <v>1363</v>
      </c>
      <c r="C446" s="152">
        <v>-0.37</v>
      </c>
      <c r="D446">
        <v>2.5</v>
      </c>
      <c r="E446" s="134">
        <v>92656</v>
      </c>
      <c r="F446" s="2">
        <v>3.5</v>
      </c>
      <c r="G446" s="135">
        <v>1034539247</v>
      </c>
      <c r="I446" s="136" t="s">
        <v>621</v>
      </c>
      <c r="J446" s="137" t="s">
        <v>693</v>
      </c>
      <c r="K446" s="138">
        <v>7</v>
      </c>
      <c r="L446" s="137" t="s">
        <v>693</v>
      </c>
      <c r="M446" s="143" t="s">
        <v>693</v>
      </c>
      <c r="N446" s="138"/>
    </row>
    <row r="447" spans="1:14" x14ac:dyDescent="0.25">
      <c r="A447" t="s">
        <v>467</v>
      </c>
      <c r="B447" s="122">
        <v>2116</v>
      </c>
      <c r="C447" s="152">
        <v>-0.75</v>
      </c>
      <c r="D447">
        <v>7.3</v>
      </c>
      <c r="E447" s="134">
        <v>65347</v>
      </c>
      <c r="F447" s="2">
        <v>3.3</v>
      </c>
      <c r="G447" s="135">
        <v>139837435</v>
      </c>
      <c r="I447" s="136" t="s">
        <v>623</v>
      </c>
      <c r="J447" s="137" t="s">
        <v>693</v>
      </c>
      <c r="K447" s="138">
        <v>4</v>
      </c>
      <c r="L447" s="137" t="s">
        <v>693</v>
      </c>
      <c r="M447" s="143" t="s">
        <v>693</v>
      </c>
      <c r="N447" s="138"/>
    </row>
    <row r="448" spans="1:14" x14ac:dyDescent="0.25">
      <c r="A448" t="s">
        <v>468</v>
      </c>
      <c r="B448" s="122">
        <v>1767</v>
      </c>
      <c r="C448" s="152">
        <v>20.12</v>
      </c>
      <c r="D448">
        <v>4.2</v>
      </c>
      <c r="E448" s="134">
        <v>70750</v>
      </c>
      <c r="F448" s="2">
        <v>3.7</v>
      </c>
      <c r="G448" s="135">
        <v>142317296</v>
      </c>
      <c r="I448" s="136" t="s">
        <v>624</v>
      </c>
      <c r="J448" s="137" t="s">
        <v>694</v>
      </c>
      <c r="K448" s="138">
        <v>8</v>
      </c>
      <c r="L448" s="137" t="s">
        <v>693</v>
      </c>
      <c r="M448" s="143" t="s">
        <v>693</v>
      </c>
      <c r="N448" s="138"/>
    </row>
    <row r="449" spans="1:14" x14ac:dyDescent="0.25">
      <c r="A449" t="s">
        <v>469</v>
      </c>
      <c r="B449" s="122">
        <v>17653</v>
      </c>
      <c r="C449" s="152">
        <v>11.58</v>
      </c>
      <c r="D449">
        <v>3.5</v>
      </c>
      <c r="E449" s="134">
        <v>102917</v>
      </c>
      <c r="F449" s="2">
        <v>3.7</v>
      </c>
      <c r="G449" s="135">
        <v>3963668506</v>
      </c>
      <c r="I449" s="136" t="s">
        <v>625</v>
      </c>
      <c r="J449" s="137" t="s">
        <v>694</v>
      </c>
      <c r="K449" s="138">
        <v>2</v>
      </c>
      <c r="L449" s="137" t="s">
        <v>693</v>
      </c>
      <c r="M449" s="143" t="s">
        <v>693</v>
      </c>
      <c r="N449" s="138"/>
    </row>
    <row r="450" spans="1:14" x14ac:dyDescent="0.25">
      <c r="A450" t="s">
        <v>470</v>
      </c>
      <c r="B450" s="122">
        <v>1374</v>
      </c>
      <c r="C450" s="152">
        <v>7.93</v>
      </c>
      <c r="D450">
        <v>17.8</v>
      </c>
      <c r="E450" s="134">
        <v>44643</v>
      </c>
      <c r="F450" s="2">
        <v>6.6</v>
      </c>
      <c r="G450" s="135">
        <v>59323893</v>
      </c>
      <c r="I450" s="136" t="s">
        <v>630</v>
      </c>
      <c r="J450" s="137" t="s">
        <v>693</v>
      </c>
      <c r="K450" s="138">
        <v>4</v>
      </c>
      <c r="L450" s="137" t="s">
        <v>693</v>
      </c>
      <c r="M450" s="143" t="s">
        <v>693</v>
      </c>
      <c r="N450" s="138"/>
    </row>
    <row r="451" spans="1:14" x14ac:dyDescent="0.25">
      <c r="A451" t="s">
        <v>471</v>
      </c>
      <c r="B451" s="122">
        <v>10532</v>
      </c>
      <c r="C451" s="152">
        <v>22.84</v>
      </c>
      <c r="D451">
        <v>14</v>
      </c>
      <c r="E451" s="134">
        <v>55450</v>
      </c>
      <c r="F451" s="2">
        <v>3.5</v>
      </c>
      <c r="G451" s="135">
        <v>2589776130</v>
      </c>
      <c r="I451" s="136" t="s">
        <v>631</v>
      </c>
      <c r="J451" s="137" t="s">
        <v>693</v>
      </c>
      <c r="K451" s="138">
        <v>3</v>
      </c>
      <c r="L451" s="137" t="s">
        <v>693</v>
      </c>
      <c r="M451" s="143" t="s">
        <v>693</v>
      </c>
      <c r="N451" s="138"/>
    </row>
    <row r="452" spans="1:14" x14ac:dyDescent="0.25">
      <c r="A452" t="s">
        <v>472</v>
      </c>
      <c r="B452" s="122">
        <v>528</v>
      </c>
      <c r="C452" s="152">
        <v>20.82</v>
      </c>
      <c r="D452">
        <v>30.1</v>
      </c>
      <c r="E452" s="134">
        <v>43074</v>
      </c>
      <c r="F452" s="2">
        <v>3.7</v>
      </c>
      <c r="G452" s="135">
        <v>38232213</v>
      </c>
      <c r="I452" s="136" t="s">
        <v>632</v>
      </c>
      <c r="J452" s="137" t="s">
        <v>693</v>
      </c>
      <c r="K452" s="138">
        <v>3</v>
      </c>
      <c r="L452" s="137" t="s">
        <v>693</v>
      </c>
      <c r="M452" s="143" t="s">
        <v>693</v>
      </c>
      <c r="N452" s="138"/>
    </row>
    <row r="453" spans="1:14" x14ac:dyDescent="0.25">
      <c r="A453" t="s">
        <v>473</v>
      </c>
      <c r="B453" s="122">
        <v>171196</v>
      </c>
      <c r="C453" s="152">
        <v>-3.48</v>
      </c>
      <c r="D453">
        <v>20</v>
      </c>
      <c r="E453" s="134">
        <v>54915</v>
      </c>
      <c r="F453" s="2">
        <v>4.0999999999999996</v>
      </c>
      <c r="G453" s="135">
        <v>15992502211</v>
      </c>
      <c r="I453" s="136" t="s">
        <v>636</v>
      </c>
      <c r="J453" s="137" t="s">
        <v>693</v>
      </c>
      <c r="K453" s="138">
        <v>3</v>
      </c>
      <c r="L453" s="137" t="s">
        <v>693</v>
      </c>
      <c r="M453" s="143" t="s">
        <v>693</v>
      </c>
      <c r="N453" s="138"/>
    </row>
    <row r="454" spans="1:14" x14ac:dyDescent="0.25">
      <c r="A454" t="s">
        <v>474</v>
      </c>
      <c r="B454" s="122">
        <v>4555</v>
      </c>
      <c r="C454" s="152">
        <v>11.15</v>
      </c>
      <c r="D454">
        <v>8.6</v>
      </c>
      <c r="E454" s="134">
        <v>62513</v>
      </c>
      <c r="F454" s="2">
        <v>3.1</v>
      </c>
      <c r="G454" s="135">
        <v>875658778</v>
      </c>
      <c r="I454" s="136" t="s">
        <v>638</v>
      </c>
      <c r="J454" s="137" t="s">
        <v>693</v>
      </c>
      <c r="K454" s="138">
        <v>1</v>
      </c>
      <c r="L454" s="137" t="s">
        <v>693</v>
      </c>
      <c r="M454" s="143" t="s">
        <v>693</v>
      </c>
      <c r="N454" s="138"/>
    </row>
    <row r="455" spans="1:14" x14ac:dyDescent="0.25">
      <c r="A455" t="s">
        <v>475</v>
      </c>
      <c r="B455" s="122">
        <v>4987</v>
      </c>
      <c r="C455" s="152">
        <v>3.59</v>
      </c>
      <c r="D455">
        <v>10.5</v>
      </c>
      <c r="E455" s="134">
        <v>84395</v>
      </c>
      <c r="F455" s="2">
        <v>4.0999999999999996</v>
      </c>
      <c r="G455" s="135">
        <v>551339907</v>
      </c>
      <c r="I455" s="136" t="s">
        <v>639</v>
      </c>
      <c r="J455" s="137" t="s">
        <v>693</v>
      </c>
      <c r="K455" s="138">
        <v>1</v>
      </c>
      <c r="L455" s="137" t="s">
        <v>693</v>
      </c>
      <c r="M455" s="143" t="s">
        <v>693</v>
      </c>
      <c r="N455" s="138"/>
    </row>
    <row r="456" spans="1:14" x14ac:dyDescent="0.25">
      <c r="A456" t="s">
        <v>476</v>
      </c>
      <c r="B456" s="122">
        <v>3315</v>
      </c>
      <c r="C456" s="152">
        <v>-6.41</v>
      </c>
      <c r="D456">
        <v>36</v>
      </c>
      <c r="E456" s="134">
        <v>24385</v>
      </c>
      <c r="F456" s="2">
        <v>5.0999999999999996</v>
      </c>
      <c r="G456" s="135">
        <v>210608397</v>
      </c>
      <c r="I456" s="136" t="s">
        <v>640</v>
      </c>
      <c r="J456" s="137" t="s">
        <v>694</v>
      </c>
      <c r="K456" s="138">
        <v>3</v>
      </c>
      <c r="L456" s="137" t="s">
        <v>693</v>
      </c>
      <c r="M456" s="143" t="s">
        <v>693</v>
      </c>
      <c r="N456" s="138"/>
    </row>
    <row r="457" spans="1:14" x14ac:dyDescent="0.25">
      <c r="A457" t="s">
        <v>477</v>
      </c>
      <c r="B457" s="122">
        <v>19538</v>
      </c>
      <c r="C457" s="152">
        <v>-4.5</v>
      </c>
      <c r="D457">
        <v>11</v>
      </c>
      <c r="E457" s="134">
        <v>60465</v>
      </c>
      <c r="F457" s="2">
        <v>3.8</v>
      </c>
      <c r="G457" s="135">
        <v>3651505337</v>
      </c>
      <c r="I457" s="136" t="s">
        <v>641</v>
      </c>
      <c r="J457" s="137" t="s">
        <v>693</v>
      </c>
      <c r="K457" s="138">
        <v>3</v>
      </c>
      <c r="L457" s="137" t="s">
        <v>693</v>
      </c>
      <c r="M457" s="143" t="s">
        <v>693</v>
      </c>
      <c r="N457" s="138"/>
    </row>
    <row r="458" spans="1:14" x14ac:dyDescent="0.25">
      <c r="A458" t="s">
        <v>478</v>
      </c>
      <c r="B458" s="122">
        <v>2937</v>
      </c>
      <c r="C458" s="152">
        <v>-7.84</v>
      </c>
      <c r="D458">
        <v>22.9</v>
      </c>
      <c r="E458" s="134">
        <v>47277</v>
      </c>
      <c r="F458" s="2">
        <v>4.4000000000000004</v>
      </c>
      <c r="G458" s="135">
        <v>46735908</v>
      </c>
      <c r="I458" s="136" t="s">
        <v>642</v>
      </c>
      <c r="J458" s="137" t="s">
        <v>694</v>
      </c>
      <c r="K458" s="138">
        <v>9</v>
      </c>
      <c r="L458" s="137" t="s">
        <v>693</v>
      </c>
      <c r="M458" s="143" t="s">
        <v>693</v>
      </c>
      <c r="N458" s="138"/>
    </row>
    <row r="459" spans="1:14" x14ac:dyDescent="0.25">
      <c r="A459" t="s">
        <v>479</v>
      </c>
      <c r="B459" s="122">
        <v>500</v>
      </c>
      <c r="C459" s="152">
        <v>-5.12</v>
      </c>
      <c r="D459">
        <v>14.5</v>
      </c>
      <c r="E459" s="134">
        <v>53194</v>
      </c>
      <c r="F459" s="2">
        <v>3.9</v>
      </c>
      <c r="G459" s="135">
        <v>34912398</v>
      </c>
      <c r="I459" s="136" t="s">
        <v>643</v>
      </c>
      <c r="J459" s="137" t="s">
        <v>693</v>
      </c>
      <c r="K459" s="138">
        <v>2</v>
      </c>
      <c r="L459" s="137" t="s">
        <v>693</v>
      </c>
      <c r="M459" s="143" t="s">
        <v>693</v>
      </c>
      <c r="N459" s="138"/>
    </row>
    <row r="460" spans="1:14" x14ac:dyDescent="0.25">
      <c r="A460" t="s">
        <v>480</v>
      </c>
      <c r="B460" s="122">
        <v>342</v>
      </c>
      <c r="C460" s="152">
        <v>-29.48</v>
      </c>
      <c r="D460">
        <v>21.9</v>
      </c>
      <c r="E460" s="134">
        <v>44615</v>
      </c>
      <c r="F460" s="2">
        <v>3.5</v>
      </c>
      <c r="G460" s="135">
        <v>23264234</v>
      </c>
      <c r="I460" s="136" t="s">
        <v>644</v>
      </c>
      <c r="J460" s="137" t="s">
        <v>694</v>
      </c>
      <c r="K460" s="138">
        <v>8</v>
      </c>
      <c r="L460" s="137" t="s">
        <v>693</v>
      </c>
      <c r="M460" s="143" t="s">
        <v>693</v>
      </c>
      <c r="N460" s="138"/>
    </row>
    <row r="461" spans="1:14" x14ac:dyDescent="0.25">
      <c r="A461" t="s">
        <v>481</v>
      </c>
      <c r="B461" s="122">
        <v>161</v>
      </c>
      <c r="C461" s="152">
        <v>-35.340000000000003</v>
      </c>
      <c r="D461">
        <v>1.9</v>
      </c>
      <c r="E461" s="134">
        <v>42188</v>
      </c>
      <c r="F461" s="2">
        <v>4.9000000000000004</v>
      </c>
      <c r="G461" s="135">
        <v>9039947</v>
      </c>
      <c r="I461" s="136" t="s">
        <v>646</v>
      </c>
      <c r="J461" s="137" t="s">
        <v>693</v>
      </c>
      <c r="K461" s="138">
        <v>5</v>
      </c>
      <c r="L461" s="137" t="s">
        <v>693</v>
      </c>
      <c r="M461" s="143" t="s">
        <v>693</v>
      </c>
      <c r="N461" s="138"/>
    </row>
    <row r="462" spans="1:14" x14ac:dyDescent="0.25">
      <c r="A462" t="s">
        <v>482</v>
      </c>
      <c r="B462" s="122">
        <v>1471</v>
      </c>
      <c r="C462" s="152">
        <v>55.83</v>
      </c>
      <c r="D462">
        <v>11.1</v>
      </c>
      <c r="E462" s="134">
        <v>34315</v>
      </c>
      <c r="F462" s="2">
        <v>3.3</v>
      </c>
      <c r="G462" s="135">
        <v>103772926</v>
      </c>
      <c r="I462" s="136" t="s">
        <v>650</v>
      </c>
      <c r="J462" s="137" t="s">
        <v>693</v>
      </c>
      <c r="K462" s="138">
        <v>6</v>
      </c>
      <c r="L462" s="137" t="s">
        <v>693</v>
      </c>
      <c r="M462" s="143" t="s">
        <v>693</v>
      </c>
      <c r="N462" s="138"/>
    </row>
    <row r="463" spans="1:14" x14ac:dyDescent="0.25">
      <c r="A463" t="s">
        <v>483</v>
      </c>
      <c r="B463" s="122">
        <v>1630</v>
      </c>
      <c r="C463" s="152">
        <v>-30.84</v>
      </c>
      <c r="D463">
        <v>19.600000000000001</v>
      </c>
      <c r="E463" s="134">
        <v>50938</v>
      </c>
      <c r="F463" s="2">
        <v>6.6</v>
      </c>
      <c r="G463" s="135">
        <v>46596111</v>
      </c>
      <c r="I463" s="136" t="s">
        <v>651</v>
      </c>
      <c r="J463" s="137" t="s">
        <v>694</v>
      </c>
      <c r="K463" s="138">
        <v>7</v>
      </c>
      <c r="L463" s="137" t="s">
        <v>693</v>
      </c>
      <c r="M463" s="143" t="s">
        <v>693</v>
      </c>
      <c r="N463" s="138"/>
    </row>
    <row r="464" spans="1:14" x14ac:dyDescent="0.25">
      <c r="A464" t="s">
        <v>484</v>
      </c>
      <c r="B464" s="122">
        <v>140</v>
      </c>
      <c r="C464" s="152">
        <v>-1.41</v>
      </c>
      <c r="D464">
        <v>9.3000000000000007</v>
      </c>
      <c r="E464" s="134">
        <v>60625</v>
      </c>
      <c r="F464" s="2">
        <v>5.6</v>
      </c>
      <c r="G464" s="135">
        <v>6067122</v>
      </c>
      <c r="I464" s="136" t="s">
        <v>652</v>
      </c>
      <c r="J464" s="137" t="s">
        <v>693</v>
      </c>
      <c r="K464" s="138">
        <v>3</v>
      </c>
      <c r="L464" s="137" t="s">
        <v>693</v>
      </c>
      <c r="M464" s="143" t="s">
        <v>693</v>
      </c>
      <c r="N464" s="138"/>
    </row>
    <row r="465" spans="1:14" x14ac:dyDescent="0.25">
      <c r="A465" t="s">
        <v>485</v>
      </c>
      <c r="B465" s="122">
        <v>4570</v>
      </c>
      <c r="C465" s="152">
        <v>-6.39</v>
      </c>
      <c r="D465">
        <v>27.9</v>
      </c>
      <c r="E465" s="134">
        <v>38371</v>
      </c>
      <c r="F465" s="2">
        <v>5</v>
      </c>
      <c r="G465" s="135">
        <v>607563593</v>
      </c>
      <c r="I465" s="136" t="s">
        <v>655</v>
      </c>
      <c r="J465" s="137" t="s">
        <v>693</v>
      </c>
      <c r="K465" s="138">
        <v>7</v>
      </c>
      <c r="L465" s="137" t="s">
        <v>693</v>
      </c>
      <c r="M465" s="143" t="s">
        <v>693</v>
      </c>
      <c r="N465" s="138"/>
    </row>
    <row r="466" spans="1:14" x14ac:dyDescent="0.25">
      <c r="A466" t="s">
        <v>486</v>
      </c>
      <c r="B466" s="122">
        <v>465517</v>
      </c>
      <c r="C466" s="152">
        <v>1.83</v>
      </c>
      <c r="D466">
        <v>11.8</v>
      </c>
      <c r="E466" s="134">
        <v>78631</v>
      </c>
      <c r="F466" s="2">
        <v>3.1</v>
      </c>
      <c r="G466" s="135">
        <v>79363569553</v>
      </c>
      <c r="I466" s="136" t="s">
        <v>659</v>
      </c>
      <c r="J466" s="137" t="s">
        <v>693</v>
      </c>
      <c r="K466" s="138">
        <v>3</v>
      </c>
      <c r="L466" s="137" t="s">
        <v>693</v>
      </c>
      <c r="M466" s="143" t="s">
        <v>693</v>
      </c>
      <c r="N466" s="138"/>
    </row>
    <row r="467" spans="1:14" x14ac:dyDescent="0.25">
      <c r="A467" t="s">
        <v>487</v>
      </c>
      <c r="B467" s="122">
        <v>1877</v>
      </c>
      <c r="C467" s="152">
        <v>8</v>
      </c>
      <c r="D467">
        <v>45.3</v>
      </c>
      <c r="E467" s="134">
        <v>32964</v>
      </c>
      <c r="F467" s="2">
        <v>3.7</v>
      </c>
      <c r="G467" s="135">
        <v>130611658</v>
      </c>
      <c r="I467" s="136" t="s">
        <v>660</v>
      </c>
      <c r="J467" s="137" t="s">
        <v>693</v>
      </c>
      <c r="K467" s="138">
        <v>0</v>
      </c>
      <c r="L467" s="137" t="s">
        <v>693</v>
      </c>
      <c r="M467" s="143" t="s">
        <v>693</v>
      </c>
      <c r="N467" s="138"/>
    </row>
    <row r="468" spans="1:14" x14ac:dyDescent="0.25">
      <c r="A468" t="s">
        <v>488</v>
      </c>
      <c r="B468" s="122">
        <v>4573</v>
      </c>
      <c r="C468" s="152">
        <v>11.24</v>
      </c>
      <c r="D468">
        <v>28.3</v>
      </c>
      <c r="E468" s="134">
        <v>63040</v>
      </c>
      <c r="F468" s="2">
        <v>3.7</v>
      </c>
      <c r="G468" s="135">
        <v>484539909</v>
      </c>
      <c r="I468" s="136" t="s">
        <v>662</v>
      </c>
      <c r="J468" s="137" t="s">
        <v>694</v>
      </c>
      <c r="K468" s="138">
        <v>7</v>
      </c>
      <c r="L468" s="137" t="s">
        <v>693</v>
      </c>
      <c r="M468" s="143" t="s">
        <v>693</v>
      </c>
      <c r="N468" s="138"/>
    </row>
    <row r="469" spans="1:14" x14ac:dyDescent="0.25">
      <c r="A469" t="s">
        <v>489</v>
      </c>
      <c r="B469" s="122">
        <v>144403</v>
      </c>
      <c r="C469" s="152">
        <v>1.01</v>
      </c>
      <c r="D469">
        <v>14.7</v>
      </c>
      <c r="E469" s="134">
        <v>56423</v>
      </c>
      <c r="F469" s="2">
        <v>3.7</v>
      </c>
      <c r="G469" s="135">
        <v>12670536274</v>
      </c>
      <c r="I469" s="136" t="s">
        <v>663</v>
      </c>
      <c r="J469" s="137" t="s">
        <v>693</v>
      </c>
      <c r="K469" s="138">
        <v>6</v>
      </c>
      <c r="L469" s="137" t="s">
        <v>693</v>
      </c>
      <c r="M469" s="143" t="s">
        <v>693</v>
      </c>
      <c r="N469" s="138"/>
    </row>
    <row r="470" spans="1:14" x14ac:dyDescent="0.25">
      <c r="A470" t="s">
        <v>490</v>
      </c>
      <c r="B470" s="122">
        <v>4487</v>
      </c>
      <c r="C470" s="152">
        <v>26.18</v>
      </c>
      <c r="D470">
        <v>4.2</v>
      </c>
      <c r="E470" s="134">
        <v>78533</v>
      </c>
      <c r="F470" s="2">
        <v>3.7</v>
      </c>
      <c r="G470" s="135">
        <v>312720641</v>
      </c>
      <c r="I470" s="136" t="s">
        <v>664</v>
      </c>
      <c r="J470" s="137" t="s">
        <v>693</v>
      </c>
      <c r="K470" s="138">
        <v>2</v>
      </c>
      <c r="L470" s="137" t="s">
        <v>693</v>
      </c>
      <c r="M470" s="143" t="s">
        <v>693</v>
      </c>
      <c r="N470" s="138"/>
    </row>
    <row r="471" spans="1:14" x14ac:dyDescent="0.25">
      <c r="A471" t="s">
        <v>491</v>
      </c>
      <c r="B471" s="122">
        <v>37</v>
      </c>
      <c r="C471" s="152">
        <v>-30.19</v>
      </c>
      <c r="D471">
        <v>32.4</v>
      </c>
      <c r="E471" s="134" t="e">
        <f>NA()</f>
        <v>#N/A</v>
      </c>
      <c r="F471" s="2">
        <v>5.6</v>
      </c>
      <c r="G471" s="135">
        <v>2737056</v>
      </c>
      <c r="I471" s="139" t="s">
        <v>817</v>
      </c>
      <c r="J471" s="137" t="s">
        <v>693</v>
      </c>
      <c r="K471" s="138">
        <v>0</v>
      </c>
      <c r="L471" s="137" t="s">
        <v>693</v>
      </c>
      <c r="M471" s="143" t="s">
        <v>693</v>
      </c>
      <c r="N471" s="138"/>
    </row>
    <row r="472" spans="1:14" x14ac:dyDescent="0.25">
      <c r="A472" t="s">
        <v>492</v>
      </c>
      <c r="B472" s="122">
        <v>677</v>
      </c>
      <c r="C472" s="152">
        <v>-10.8</v>
      </c>
      <c r="D472">
        <v>10.1</v>
      </c>
      <c r="E472" s="134">
        <v>51250</v>
      </c>
      <c r="F472" s="2">
        <v>3.3</v>
      </c>
      <c r="G472" s="135">
        <v>70955557</v>
      </c>
      <c r="I472" s="136" t="s">
        <v>665</v>
      </c>
      <c r="J472" s="137" t="s">
        <v>693</v>
      </c>
      <c r="K472" s="138">
        <v>3</v>
      </c>
      <c r="L472" s="137" t="s">
        <v>693</v>
      </c>
      <c r="M472" s="143" t="s">
        <v>693</v>
      </c>
      <c r="N472" s="138"/>
    </row>
    <row r="473" spans="1:14" x14ac:dyDescent="0.25">
      <c r="A473" t="s">
        <v>493</v>
      </c>
      <c r="B473" s="122">
        <v>3357</v>
      </c>
      <c r="C473" s="152">
        <v>-1.58</v>
      </c>
      <c r="D473">
        <v>3.8</v>
      </c>
      <c r="E473" s="134">
        <v>80242</v>
      </c>
      <c r="F473" s="2">
        <v>5.0999999999999996</v>
      </c>
      <c r="G473" s="134" t="e">
        <f>NA()</f>
        <v>#N/A</v>
      </c>
      <c r="I473" s="136" t="s">
        <v>666</v>
      </c>
      <c r="J473" s="137" t="s">
        <v>693</v>
      </c>
      <c r="K473" s="138">
        <v>5</v>
      </c>
      <c r="L473" s="137" t="s">
        <v>693</v>
      </c>
      <c r="M473" s="143" t="s">
        <v>693</v>
      </c>
      <c r="N473" s="138"/>
    </row>
    <row r="474" spans="1:14" x14ac:dyDescent="0.25">
      <c r="A474" t="s">
        <v>494</v>
      </c>
      <c r="B474" s="122">
        <v>3118</v>
      </c>
      <c r="C474" s="152">
        <v>-8.8000000000000007</v>
      </c>
      <c r="D474">
        <v>37.799999999999997</v>
      </c>
      <c r="E474" s="134">
        <v>20917</v>
      </c>
      <c r="F474" s="2">
        <v>5.6</v>
      </c>
      <c r="G474" s="135">
        <v>202405021</v>
      </c>
      <c r="I474" s="136" t="s">
        <v>668</v>
      </c>
      <c r="J474" s="137" t="s">
        <v>694</v>
      </c>
      <c r="K474" s="138">
        <v>4</v>
      </c>
      <c r="L474" s="137" t="s">
        <v>693</v>
      </c>
      <c r="M474" s="143" t="s">
        <v>693</v>
      </c>
      <c r="N474" s="138"/>
    </row>
    <row r="475" spans="1:14" x14ac:dyDescent="0.25">
      <c r="A475" t="s">
        <v>495</v>
      </c>
      <c r="B475" s="122">
        <v>14526</v>
      </c>
      <c r="C475" s="152">
        <v>4.4400000000000004</v>
      </c>
      <c r="D475">
        <v>29.8</v>
      </c>
      <c r="E475" s="134">
        <v>35061</v>
      </c>
      <c r="F475" s="2">
        <v>4.2</v>
      </c>
      <c r="G475" s="135">
        <v>1241572386</v>
      </c>
      <c r="I475" s="136" t="s">
        <v>669</v>
      </c>
      <c r="J475" s="137" t="s">
        <v>694</v>
      </c>
      <c r="K475" s="138">
        <v>7</v>
      </c>
      <c r="L475" s="137" t="s">
        <v>693</v>
      </c>
      <c r="M475" s="143" t="s">
        <v>693</v>
      </c>
      <c r="N475" s="138"/>
    </row>
    <row r="476" spans="1:14" x14ac:dyDescent="0.25">
      <c r="A476" t="s">
        <v>496</v>
      </c>
      <c r="B476" s="122">
        <v>300</v>
      </c>
      <c r="C476" s="152">
        <v>-22.28</v>
      </c>
      <c r="D476">
        <v>27.5</v>
      </c>
      <c r="E476" s="134" t="e">
        <f>NA()</f>
        <v>#N/A</v>
      </c>
      <c r="F476" s="2">
        <v>5.6</v>
      </c>
      <c r="G476" s="135">
        <v>13060298</v>
      </c>
      <c r="I476" s="136" t="s">
        <v>671</v>
      </c>
      <c r="J476" s="137" t="s">
        <v>694</v>
      </c>
      <c r="K476" s="138">
        <v>2</v>
      </c>
      <c r="L476" s="137" t="s">
        <v>693</v>
      </c>
      <c r="M476" s="143" t="s">
        <v>693</v>
      </c>
      <c r="N476" s="138"/>
    </row>
    <row r="477" spans="1:14" x14ac:dyDescent="0.25">
      <c r="A477" t="s">
        <v>497</v>
      </c>
      <c r="B477" s="122">
        <v>1074</v>
      </c>
      <c r="C477" s="152">
        <v>6.44</v>
      </c>
      <c r="D477">
        <v>12.5</v>
      </c>
      <c r="E477" s="134">
        <v>53000</v>
      </c>
      <c r="F477" s="2">
        <v>3.55</v>
      </c>
      <c r="G477" s="135">
        <v>46196530</v>
      </c>
      <c r="I477" s="136" t="s">
        <v>672</v>
      </c>
      <c r="J477" s="137" t="s">
        <v>693</v>
      </c>
      <c r="K477" s="138">
        <v>1</v>
      </c>
      <c r="L477" s="137" t="s">
        <v>693</v>
      </c>
      <c r="M477" s="143" t="s">
        <v>693</v>
      </c>
      <c r="N477" s="138"/>
    </row>
    <row r="478" spans="1:14" x14ac:dyDescent="0.25">
      <c r="A478" t="s">
        <v>498</v>
      </c>
      <c r="B478" s="122">
        <v>746</v>
      </c>
      <c r="C478" s="152">
        <v>-16.93</v>
      </c>
      <c r="D478">
        <v>32.9</v>
      </c>
      <c r="E478" s="134">
        <v>30972</v>
      </c>
      <c r="F478" s="2">
        <v>4.9000000000000004</v>
      </c>
      <c r="G478" s="135">
        <v>45079555</v>
      </c>
      <c r="I478" s="139" t="s">
        <v>673</v>
      </c>
      <c r="J478" s="137" t="s">
        <v>693</v>
      </c>
      <c r="K478" s="138">
        <v>2</v>
      </c>
      <c r="L478" s="137" t="s">
        <v>693</v>
      </c>
      <c r="M478" s="143" t="s">
        <v>693</v>
      </c>
      <c r="N478" s="138"/>
    </row>
    <row r="479" spans="1:14" x14ac:dyDescent="0.25">
      <c r="A479" t="s">
        <v>499</v>
      </c>
      <c r="B479" s="122">
        <v>921</v>
      </c>
      <c r="C479" s="152">
        <v>67.760000000000005</v>
      </c>
      <c r="D479">
        <v>3.8</v>
      </c>
      <c r="E479" s="134">
        <v>74651</v>
      </c>
      <c r="F479" s="2">
        <v>3.3</v>
      </c>
      <c r="G479" s="135">
        <v>85511687</v>
      </c>
      <c r="I479" s="136" t="s">
        <v>674</v>
      </c>
      <c r="J479" s="137" t="s">
        <v>693</v>
      </c>
      <c r="K479" s="138">
        <v>4</v>
      </c>
      <c r="L479" s="137" t="s">
        <v>693</v>
      </c>
      <c r="M479" s="143" t="s">
        <v>693</v>
      </c>
      <c r="N479" s="138"/>
    </row>
    <row r="480" spans="1:14" x14ac:dyDescent="0.25">
      <c r="A480" t="s">
        <v>500</v>
      </c>
      <c r="B480" s="122">
        <v>2577</v>
      </c>
      <c r="C480" s="152">
        <v>2.1</v>
      </c>
      <c r="D480">
        <v>12.9</v>
      </c>
      <c r="E480" s="134">
        <v>59333</v>
      </c>
      <c r="F480" s="2">
        <v>4.3</v>
      </c>
      <c r="G480" s="135">
        <v>218078492</v>
      </c>
      <c r="I480" s="136" t="s">
        <v>675</v>
      </c>
      <c r="J480" s="137" t="s">
        <v>693</v>
      </c>
      <c r="K480" s="138">
        <v>7</v>
      </c>
      <c r="L480" s="137" t="s">
        <v>693</v>
      </c>
      <c r="M480" s="143" t="s">
        <v>693</v>
      </c>
      <c r="N480" s="138"/>
    </row>
    <row r="481" spans="1:14" x14ac:dyDescent="0.25">
      <c r="A481" t="s">
        <v>501</v>
      </c>
      <c r="B481" s="122">
        <v>43149</v>
      </c>
      <c r="C481" s="152">
        <v>-4.51</v>
      </c>
      <c r="D481">
        <v>23</v>
      </c>
      <c r="E481" s="134">
        <v>42354</v>
      </c>
      <c r="F481" s="2">
        <v>5.0999999999999996</v>
      </c>
      <c r="G481" s="135">
        <v>3738579610</v>
      </c>
      <c r="I481" s="136" t="s">
        <v>676</v>
      </c>
      <c r="J481" s="137" t="s">
        <v>693</v>
      </c>
      <c r="K481" s="138">
        <v>3</v>
      </c>
      <c r="L481" s="137" t="s">
        <v>693</v>
      </c>
      <c r="M481" s="143" t="s">
        <v>693</v>
      </c>
      <c r="N481" s="138"/>
    </row>
    <row r="482" spans="1:14" x14ac:dyDescent="0.25">
      <c r="A482" t="s">
        <v>502</v>
      </c>
      <c r="B482" s="122">
        <v>2914</v>
      </c>
      <c r="C482" s="152">
        <v>-4.93</v>
      </c>
      <c r="D482">
        <v>8.8000000000000007</v>
      </c>
      <c r="E482" s="134">
        <v>74375</v>
      </c>
      <c r="F482" s="2">
        <v>3.7</v>
      </c>
      <c r="G482" s="135">
        <v>317235812</v>
      </c>
      <c r="I482" s="136" t="s">
        <v>677</v>
      </c>
      <c r="J482" s="137" t="s">
        <v>693</v>
      </c>
      <c r="K482" s="138">
        <v>2</v>
      </c>
      <c r="L482" s="137" t="s">
        <v>693</v>
      </c>
      <c r="M482" s="143" t="s">
        <v>693</v>
      </c>
      <c r="N482" s="138"/>
    </row>
    <row r="483" spans="1:14" x14ac:dyDescent="0.25">
      <c r="A483" t="s">
        <v>504</v>
      </c>
      <c r="B483" s="122">
        <v>15143</v>
      </c>
      <c r="C483" s="152">
        <v>1.38</v>
      </c>
      <c r="D483">
        <v>20.399999999999999</v>
      </c>
      <c r="E483" s="134">
        <v>45732</v>
      </c>
      <c r="F483" s="2">
        <v>5.7</v>
      </c>
      <c r="G483" s="135">
        <v>1289337338</v>
      </c>
      <c r="I483" s="136" t="s">
        <v>678</v>
      </c>
      <c r="J483" s="137" t="s">
        <v>693</v>
      </c>
      <c r="K483" s="138">
        <v>2</v>
      </c>
      <c r="L483" s="137" t="s">
        <v>693</v>
      </c>
      <c r="M483" s="143" t="s">
        <v>693</v>
      </c>
      <c r="N483" s="138"/>
    </row>
    <row r="484" spans="1:14" x14ac:dyDescent="0.25">
      <c r="A484" t="s">
        <v>505</v>
      </c>
      <c r="B484" s="122">
        <v>1511</v>
      </c>
      <c r="C484" s="152">
        <v>-13.31</v>
      </c>
      <c r="D484">
        <v>32.799999999999997</v>
      </c>
      <c r="E484" s="134">
        <v>47770</v>
      </c>
      <c r="F484" s="2">
        <v>3.7</v>
      </c>
      <c r="G484" s="135">
        <v>76131574</v>
      </c>
      <c r="I484" s="136" t="s">
        <v>679</v>
      </c>
      <c r="J484" s="137" t="s">
        <v>693</v>
      </c>
      <c r="K484" s="138">
        <v>4</v>
      </c>
      <c r="L484" s="137" t="s">
        <v>693</v>
      </c>
      <c r="M484" s="143" t="s">
        <v>693</v>
      </c>
      <c r="N484" s="138"/>
    </row>
    <row r="485" spans="1:14" x14ac:dyDescent="0.25">
      <c r="A485" t="s">
        <v>506</v>
      </c>
      <c r="B485" s="122">
        <v>705</v>
      </c>
      <c r="C485" s="152">
        <v>7.47</v>
      </c>
      <c r="D485">
        <v>40.799999999999997</v>
      </c>
      <c r="E485" s="134">
        <v>17222</v>
      </c>
      <c r="F485" s="2">
        <v>5.4</v>
      </c>
      <c r="G485" s="135">
        <v>55065601</v>
      </c>
      <c r="I485" s="136" t="s">
        <v>680</v>
      </c>
      <c r="J485" s="137" t="s">
        <v>693</v>
      </c>
      <c r="K485" s="138">
        <v>2</v>
      </c>
      <c r="L485" s="137" t="s">
        <v>693</v>
      </c>
      <c r="M485" s="143" t="s">
        <v>693</v>
      </c>
      <c r="N485" s="138"/>
    </row>
    <row r="486" spans="1:14" x14ac:dyDescent="0.25">
      <c r="A486" t="s">
        <v>507</v>
      </c>
      <c r="B486" s="122">
        <v>1471</v>
      </c>
      <c r="C486" s="152">
        <v>-10.69</v>
      </c>
      <c r="D486">
        <v>15.8</v>
      </c>
      <c r="E486" s="134">
        <v>42857</v>
      </c>
      <c r="F486" s="2">
        <v>4.5</v>
      </c>
      <c r="G486" s="135">
        <v>94801405</v>
      </c>
      <c r="I486" s="136" t="s">
        <v>682</v>
      </c>
      <c r="J486" s="137" t="s">
        <v>693</v>
      </c>
      <c r="K486" s="138">
        <v>10</v>
      </c>
      <c r="L486" s="137" t="s">
        <v>693</v>
      </c>
      <c r="M486" s="143" t="s">
        <v>693</v>
      </c>
      <c r="N486" s="138"/>
    </row>
    <row r="487" spans="1:14" x14ac:dyDescent="0.25">
      <c r="A487" t="s">
        <v>508</v>
      </c>
      <c r="B487" s="122">
        <v>117573</v>
      </c>
      <c r="C487" s="152">
        <v>-11.89</v>
      </c>
      <c r="D487">
        <v>27.1</v>
      </c>
      <c r="E487" s="134">
        <v>39393</v>
      </c>
      <c r="F487" s="2">
        <v>5.6</v>
      </c>
      <c r="G487" s="135">
        <v>7964420023</v>
      </c>
      <c r="I487" s="136" t="s">
        <v>683</v>
      </c>
      <c r="J487" s="137" t="s">
        <v>693</v>
      </c>
      <c r="K487" s="138">
        <v>2</v>
      </c>
      <c r="L487" s="137" t="s">
        <v>693</v>
      </c>
      <c r="M487" s="143" t="s">
        <v>693</v>
      </c>
      <c r="N487" s="138"/>
    </row>
    <row r="488" spans="1:14" x14ac:dyDescent="0.25">
      <c r="A488" t="s">
        <v>509</v>
      </c>
      <c r="B488" s="122">
        <v>91209</v>
      </c>
      <c r="C488" s="152">
        <v>-7.0000000000000007E-2</v>
      </c>
      <c r="D488">
        <v>18.8</v>
      </c>
      <c r="E488" s="134">
        <v>50737</v>
      </c>
      <c r="F488" s="2">
        <v>4.2</v>
      </c>
      <c r="G488" s="135">
        <v>8380355810</v>
      </c>
      <c r="I488" s="136" t="s">
        <v>684</v>
      </c>
      <c r="J488" s="137" t="s">
        <v>694</v>
      </c>
      <c r="K488" s="138">
        <v>7</v>
      </c>
      <c r="L488" s="137" t="s">
        <v>693</v>
      </c>
      <c r="M488" s="143" t="s">
        <v>693</v>
      </c>
      <c r="N488" s="138"/>
    </row>
    <row r="489" spans="1:14" x14ac:dyDescent="0.25">
      <c r="A489" t="s">
        <v>510</v>
      </c>
      <c r="B489" s="122">
        <v>9174</v>
      </c>
      <c r="C489" s="152">
        <v>2</v>
      </c>
      <c r="D489">
        <v>28.2</v>
      </c>
      <c r="E489" s="134">
        <v>38750</v>
      </c>
      <c r="F489" s="2">
        <v>5.0999999999999996</v>
      </c>
      <c r="G489" s="135">
        <v>693371077</v>
      </c>
      <c r="I489" s="136" t="s">
        <v>685</v>
      </c>
      <c r="J489" s="137" t="s">
        <v>693</v>
      </c>
      <c r="K489" s="138">
        <v>3</v>
      </c>
      <c r="L489" s="137" t="s">
        <v>693</v>
      </c>
      <c r="M489" s="143" t="s">
        <v>693</v>
      </c>
      <c r="N489" s="138"/>
    </row>
    <row r="490" spans="1:14" x14ac:dyDescent="0.25">
      <c r="A490" t="s">
        <v>511</v>
      </c>
      <c r="B490" s="122">
        <v>2434</v>
      </c>
      <c r="C490" s="152">
        <v>34.4</v>
      </c>
      <c r="D490">
        <v>8.1999999999999993</v>
      </c>
      <c r="E490" s="134">
        <v>62656</v>
      </c>
      <c r="F490" s="2">
        <v>3.7</v>
      </c>
      <c r="G490" s="135">
        <v>216164046</v>
      </c>
      <c r="I490" s="136" t="s">
        <v>686</v>
      </c>
      <c r="J490" s="137" t="s">
        <v>693</v>
      </c>
      <c r="K490" s="138">
        <v>4</v>
      </c>
      <c r="L490" s="137" t="s">
        <v>693</v>
      </c>
      <c r="M490" s="143" t="s">
        <v>693</v>
      </c>
      <c r="N490" s="138"/>
    </row>
    <row r="491" spans="1:14" x14ac:dyDescent="0.25">
      <c r="A491" t="s">
        <v>512</v>
      </c>
      <c r="B491" s="122">
        <v>54260</v>
      </c>
      <c r="C491" s="152">
        <v>-1.31</v>
      </c>
      <c r="D491">
        <v>19.600000000000001</v>
      </c>
      <c r="E491" s="134">
        <v>50092</v>
      </c>
      <c r="F491" s="2">
        <v>5.85</v>
      </c>
      <c r="G491" s="135">
        <v>4305199802</v>
      </c>
      <c r="I491" s="139" t="s">
        <v>687</v>
      </c>
      <c r="J491" s="137" t="s">
        <v>693</v>
      </c>
      <c r="K491" s="138">
        <v>5</v>
      </c>
      <c r="L491" s="137" t="s">
        <v>693</v>
      </c>
      <c r="M491" s="143" t="s">
        <v>693</v>
      </c>
      <c r="N491" s="138"/>
    </row>
    <row r="492" spans="1:14" x14ac:dyDescent="0.25">
      <c r="A492" t="s">
        <v>513</v>
      </c>
      <c r="B492" s="122">
        <v>9696</v>
      </c>
      <c r="C492" s="152">
        <v>39.369999999999997</v>
      </c>
      <c r="D492">
        <v>1.7</v>
      </c>
      <c r="E492" s="134">
        <v>145166</v>
      </c>
      <c r="F492" s="2">
        <v>3.1</v>
      </c>
      <c r="G492" s="135">
        <v>1474430423</v>
      </c>
      <c r="I492" s="136" t="s">
        <v>688</v>
      </c>
      <c r="J492" s="137" t="s">
        <v>693</v>
      </c>
      <c r="K492" s="138">
        <v>7</v>
      </c>
      <c r="L492" s="137" t="s">
        <v>693</v>
      </c>
      <c r="M492" s="143" t="s">
        <v>693</v>
      </c>
      <c r="N492" s="138"/>
    </row>
    <row r="493" spans="1:14" x14ac:dyDescent="0.25">
      <c r="A493" t="s">
        <v>514</v>
      </c>
      <c r="B493" s="122">
        <v>516</v>
      </c>
      <c r="C493" s="152">
        <v>-12.39</v>
      </c>
      <c r="D493">
        <v>21.9</v>
      </c>
      <c r="E493" s="134">
        <v>47333</v>
      </c>
      <c r="F493" s="2">
        <v>3.9</v>
      </c>
      <c r="G493" s="135">
        <v>20763480</v>
      </c>
      <c r="N493" s="138"/>
    </row>
    <row r="494" spans="1:14" x14ac:dyDescent="0.25">
      <c r="A494" t="s">
        <v>515</v>
      </c>
      <c r="B494" s="122">
        <v>502</v>
      </c>
      <c r="C494" s="152">
        <v>-22.29</v>
      </c>
      <c r="D494">
        <v>43.8</v>
      </c>
      <c r="E494" s="134">
        <v>20194</v>
      </c>
      <c r="F494" s="2">
        <v>5.0999999999999996</v>
      </c>
      <c r="G494" s="135">
        <v>18729031</v>
      </c>
      <c r="N494" s="138"/>
    </row>
    <row r="495" spans="1:14" x14ac:dyDescent="0.25">
      <c r="A495" t="s">
        <v>516</v>
      </c>
      <c r="B495" s="122">
        <v>1754</v>
      </c>
      <c r="C495" s="152">
        <v>-31.13</v>
      </c>
      <c r="D495">
        <v>20.5</v>
      </c>
      <c r="E495" s="134">
        <v>45000</v>
      </c>
      <c r="F495" s="2">
        <v>3.7</v>
      </c>
      <c r="G495" s="135">
        <v>75981390</v>
      </c>
      <c r="N495" s="138"/>
    </row>
    <row r="496" spans="1:14" x14ac:dyDescent="0.25">
      <c r="A496" t="s">
        <v>517</v>
      </c>
      <c r="B496" s="122">
        <v>900</v>
      </c>
      <c r="C496" s="152">
        <v>-27.94</v>
      </c>
      <c r="D496">
        <v>27.8</v>
      </c>
      <c r="E496" s="134">
        <v>50455</v>
      </c>
      <c r="F496" s="2">
        <v>3.8</v>
      </c>
      <c r="G496" s="135">
        <v>91630675</v>
      </c>
    </row>
    <row r="497" spans="1:7" x14ac:dyDescent="0.25">
      <c r="A497" t="s">
        <v>518</v>
      </c>
      <c r="B497" s="122">
        <v>642</v>
      </c>
      <c r="C497" s="152">
        <v>31.83</v>
      </c>
      <c r="D497">
        <v>15.9</v>
      </c>
      <c r="E497" s="134">
        <v>50437</v>
      </c>
      <c r="F497" s="2">
        <v>3.5</v>
      </c>
      <c r="G497" s="135">
        <v>30443139</v>
      </c>
    </row>
    <row r="498" spans="1:7" x14ac:dyDescent="0.25">
      <c r="A498" t="s">
        <v>519</v>
      </c>
      <c r="B498" s="122">
        <v>147067</v>
      </c>
      <c r="C498" s="152">
        <v>5.35</v>
      </c>
      <c r="D498">
        <v>16.399999999999999</v>
      </c>
      <c r="E498" s="134">
        <v>59717</v>
      </c>
      <c r="F498" s="2">
        <v>3.7</v>
      </c>
      <c r="G498" s="135">
        <v>14681547536</v>
      </c>
    </row>
    <row r="499" spans="1:7" x14ac:dyDescent="0.25">
      <c r="A499" t="s">
        <v>520</v>
      </c>
      <c r="B499" s="123">
        <v>1003</v>
      </c>
      <c r="C499" s="153">
        <v>-10.37</v>
      </c>
      <c r="D499">
        <v>25.1</v>
      </c>
      <c r="E499" s="134">
        <v>28750</v>
      </c>
      <c r="F499" s="2">
        <v>5.6</v>
      </c>
      <c r="G499" s="135">
        <v>51438107</v>
      </c>
    </row>
    <row r="500" spans="1:7" x14ac:dyDescent="0.25">
      <c r="A500" t="s">
        <v>521</v>
      </c>
      <c r="B500" s="123">
        <v>8131</v>
      </c>
      <c r="C500" s="153">
        <v>-1.84</v>
      </c>
      <c r="D500">
        <v>32.200000000000003</v>
      </c>
      <c r="E500" s="134">
        <v>39787</v>
      </c>
      <c r="F500" s="2">
        <v>3.8</v>
      </c>
      <c r="G500" s="135">
        <v>761176925</v>
      </c>
    </row>
    <row r="501" spans="1:7" x14ac:dyDescent="0.25">
      <c r="A501" t="s">
        <v>522</v>
      </c>
      <c r="B501" s="123">
        <v>440</v>
      </c>
      <c r="C501" s="153">
        <v>17.329999999999998</v>
      </c>
      <c r="D501">
        <v>38.9</v>
      </c>
      <c r="E501" s="134">
        <v>37500</v>
      </c>
      <c r="F501" s="2">
        <v>4.9000000000000004</v>
      </c>
      <c r="G501" s="135">
        <v>11263136</v>
      </c>
    </row>
    <row r="502" spans="1:7" x14ac:dyDescent="0.25">
      <c r="A502" t="s">
        <v>523</v>
      </c>
      <c r="B502" s="123">
        <v>3376</v>
      </c>
      <c r="C502" s="153">
        <v>7.62</v>
      </c>
      <c r="D502">
        <v>6.1</v>
      </c>
      <c r="E502" s="134">
        <v>56037</v>
      </c>
      <c r="F502" s="2">
        <v>3.8</v>
      </c>
      <c r="G502" s="135">
        <v>503907126</v>
      </c>
    </row>
    <row r="503" spans="1:7" x14ac:dyDescent="0.25">
      <c r="A503" t="s">
        <v>524</v>
      </c>
      <c r="B503" s="123">
        <v>621</v>
      </c>
      <c r="C503" s="153">
        <v>16.95</v>
      </c>
      <c r="D503">
        <v>22</v>
      </c>
      <c r="E503" s="134">
        <v>56875</v>
      </c>
      <c r="F503" s="2">
        <v>4.8</v>
      </c>
      <c r="G503" s="135">
        <v>35283154</v>
      </c>
    </row>
    <row r="504" spans="1:7" x14ac:dyDescent="0.25">
      <c r="A504" t="s">
        <v>525</v>
      </c>
      <c r="B504" s="123">
        <v>1119</v>
      </c>
      <c r="C504" s="153">
        <v>-10.69</v>
      </c>
      <c r="D504">
        <v>11.3</v>
      </c>
      <c r="E504" s="134">
        <v>57500</v>
      </c>
      <c r="F504" s="2">
        <v>3.5</v>
      </c>
      <c r="G504" s="135">
        <v>144380379</v>
      </c>
    </row>
    <row r="505" spans="1:7" x14ac:dyDescent="0.25">
      <c r="A505" t="s">
        <v>526</v>
      </c>
      <c r="B505" s="123">
        <v>64680</v>
      </c>
      <c r="C505" s="153">
        <v>-2.78</v>
      </c>
      <c r="D505">
        <v>18.399999999999999</v>
      </c>
      <c r="E505" s="134">
        <v>50512</v>
      </c>
      <c r="F505" s="2">
        <v>4.8</v>
      </c>
      <c r="G505" s="135">
        <v>8036287563</v>
      </c>
    </row>
    <row r="506" spans="1:7" x14ac:dyDescent="0.25">
      <c r="A506" t="s">
        <v>527</v>
      </c>
      <c r="B506" s="123">
        <v>3671</v>
      </c>
      <c r="C506" s="153">
        <v>-9.2200000000000006</v>
      </c>
      <c r="D506">
        <v>16.8</v>
      </c>
      <c r="E506" s="134">
        <v>58913</v>
      </c>
      <c r="F506" s="2">
        <v>4.8</v>
      </c>
      <c r="G506" s="135">
        <v>412155423</v>
      </c>
    </row>
    <row r="507" spans="1:7" x14ac:dyDescent="0.25">
      <c r="A507" t="s">
        <v>528</v>
      </c>
      <c r="B507" s="123">
        <v>465</v>
      </c>
      <c r="C507" s="153">
        <v>19.850000000000001</v>
      </c>
      <c r="D507">
        <v>6.8</v>
      </c>
      <c r="E507" s="134">
        <v>73571</v>
      </c>
      <c r="F507" s="2">
        <v>3.5</v>
      </c>
      <c r="G507" s="135">
        <v>45734621</v>
      </c>
    </row>
    <row r="508" spans="1:7" x14ac:dyDescent="0.25">
      <c r="A508" t="s">
        <v>529</v>
      </c>
      <c r="B508" s="123">
        <v>6566</v>
      </c>
      <c r="C508" s="153">
        <v>27.92</v>
      </c>
      <c r="D508">
        <v>2.5</v>
      </c>
      <c r="E508" s="134">
        <v>113507</v>
      </c>
      <c r="F508" s="2">
        <v>4.7</v>
      </c>
      <c r="G508" s="135">
        <v>2306929817</v>
      </c>
    </row>
    <row r="509" spans="1:7" x14ac:dyDescent="0.25">
      <c r="A509" t="s">
        <v>530</v>
      </c>
      <c r="B509" s="123">
        <v>2261</v>
      </c>
      <c r="C509" s="153">
        <v>17.45</v>
      </c>
      <c r="D509">
        <v>34.5</v>
      </c>
      <c r="E509" s="134">
        <v>36490</v>
      </c>
      <c r="F509" s="2">
        <v>5.6</v>
      </c>
      <c r="G509" s="135">
        <v>241603251</v>
      </c>
    </row>
    <row r="510" spans="1:7" x14ac:dyDescent="0.25">
      <c r="A510" t="s">
        <v>531</v>
      </c>
      <c r="B510" s="123">
        <v>330</v>
      </c>
      <c r="C510" s="153">
        <v>-20.48</v>
      </c>
      <c r="D510">
        <v>16</v>
      </c>
      <c r="E510" s="134">
        <v>46071</v>
      </c>
      <c r="F510" s="2">
        <v>3.8</v>
      </c>
      <c r="G510" s="135">
        <v>37604091</v>
      </c>
    </row>
    <row r="511" spans="1:7" x14ac:dyDescent="0.25">
      <c r="A511" t="s">
        <v>532</v>
      </c>
      <c r="B511" s="123">
        <v>35437</v>
      </c>
      <c r="C511" s="153">
        <v>5.3</v>
      </c>
      <c r="D511">
        <v>23.3</v>
      </c>
      <c r="E511" s="134">
        <v>48888</v>
      </c>
      <c r="F511" s="2">
        <v>3.7</v>
      </c>
      <c r="G511" s="135">
        <v>3265823769</v>
      </c>
    </row>
    <row r="512" spans="1:7" x14ac:dyDescent="0.25">
      <c r="A512" t="s">
        <v>533</v>
      </c>
      <c r="B512" s="123">
        <v>617</v>
      </c>
      <c r="C512" s="153">
        <v>-28.59</v>
      </c>
      <c r="D512">
        <v>9.5</v>
      </c>
      <c r="E512" s="134">
        <v>51429</v>
      </c>
      <c r="F512" s="2">
        <v>3.5</v>
      </c>
      <c r="G512" s="135">
        <v>145235439</v>
      </c>
    </row>
    <row r="513" spans="1:7" x14ac:dyDescent="0.25">
      <c r="A513" t="s">
        <v>534</v>
      </c>
      <c r="B513" s="123">
        <v>59317</v>
      </c>
      <c r="C513" s="153">
        <v>-6.68</v>
      </c>
      <c r="D513">
        <v>22.3</v>
      </c>
      <c r="E513" s="134">
        <v>49963</v>
      </c>
      <c r="F513" s="2">
        <v>3.8</v>
      </c>
      <c r="G513" s="135">
        <v>5212777224</v>
      </c>
    </row>
    <row r="514" spans="1:7" x14ac:dyDescent="0.25">
      <c r="A514" t="s">
        <v>535</v>
      </c>
      <c r="B514" s="123">
        <v>304</v>
      </c>
      <c r="C514" s="153">
        <v>35.71</v>
      </c>
      <c r="D514">
        <v>15.8</v>
      </c>
      <c r="E514" s="134">
        <v>56250</v>
      </c>
      <c r="F514" s="2">
        <v>4.7</v>
      </c>
      <c r="G514" s="135">
        <v>19190269</v>
      </c>
    </row>
    <row r="515" spans="1:7" x14ac:dyDescent="0.25">
      <c r="A515" t="s">
        <v>536</v>
      </c>
      <c r="B515" s="123">
        <v>625</v>
      </c>
      <c r="C515" s="153">
        <v>68.459999999999994</v>
      </c>
      <c r="D515">
        <v>43.3</v>
      </c>
      <c r="E515" s="134">
        <v>29722</v>
      </c>
      <c r="F515" s="2">
        <v>4.3</v>
      </c>
      <c r="G515" s="135">
        <v>20775944</v>
      </c>
    </row>
    <row r="516" spans="1:7" x14ac:dyDescent="0.25">
      <c r="A516" t="s">
        <v>537</v>
      </c>
      <c r="B516" s="123">
        <v>30373</v>
      </c>
      <c r="C516" s="153">
        <v>3.75</v>
      </c>
      <c r="D516">
        <v>21.5</v>
      </c>
      <c r="E516" s="134">
        <v>52951</v>
      </c>
      <c r="F516" s="2">
        <v>4.3</v>
      </c>
      <c r="G516" s="135">
        <v>3168091731</v>
      </c>
    </row>
    <row r="517" spans="1:7" x14ac:dyDescent="0.25">
      <c r="A517" t="s">
        <v>538</v>
      </c>
      <c r="B517" s="123">
        <v>345</v>
      </c>
      <c r="C517" s="153">
        <v>-31.27</v>
      </c>
      <c r="D517">
        <v>34.200000000000003</v>
      </c>
      <c r="E517" s="134">
        <v>31250</v>
      </c>
      <c r="F517" s="2">
        <v>5.2</v>
      </c>
      <c r="G517" s="135">
        <v>24764151</v>
      </c>
    </row>
    <row r="518" spans="1:7" x14ac:dyDescent="0.25">
      <c r="A518" t="s">
        <v>539</v>
      </c>
      <c r="B518" s="123">
        <v>5026</v>
      </c>
      <c r="C518" s="153">
        <v>-2.58</v>
      </c>
      <c r="D518">
        <v>14.7</v>
      </c>
      <c r="E518" s="134">
        <v>63388</v>
      </c>
      <c r="F518" s="2">
        <v>3.6</v>
      </c>
      <c r="G518" s="135">
        <v>308743167</v>
      </c>
    </row>
    <row r="519" spans="1:7" x14ac:dyDescent="0.25">
      <c r="A519" t="s">
        <v>540</v>
      </c>
      <c r="B519" s="123">
        <v>34222</v>
      </c>
      <c r="C519" s="153">
        <v>-2.95</v>
      </c>
      <c r="D519">
        <v>26.1</v>
      </c>
      <c r="E519" s="134">
        <v>41948</v>
      </c>
      <c r="F519" s="2">
        <v>6.5</v>
      </c>
      <c r="G519" s="135">
        <v>2524418573</v>
      </c>
    </row>
    <row r="520" spans="1:7" x14ac:dyDescent="0.25">
      <c r="A520" t="s">
        <v>541</v>
      </c>
      <c r="B520" s="123">
        <v>1861</v>
      </c>
      <c r="C520" s="153">
        <v>34.86</v>
      </c>
      <c r="D520">
        <v>45.4</v>
      </c>
      <c r="E520" s="134">
        <v>17271</v>
      </c>
      <c r="F520" s="2">
        <v>5.7</v>
      </c>
      <c r="G520" s="135">
        <v>99226624</v>
      </c>
    </row>
    <row r="521" spans="1:7" x14ac:dyDescent="0.25">
      <c r="A521" t="s">
        <v>542</v>
      </c>
      <c r="B521" s="123">
        <v>603</v>
      </c>
      <c r="C521" s="153">
        <v>-18.07</v>
      </c>
      <c r="D521">
        <v>23.2</v>
      </c>
      <c r="E521" s="134">
        <v>24531</v>
      </c>
      <c r="F521" s="2">
        <v>4.9000000000000004</v>
      </c>
      <c r="G521" s="135">
        <v>28920327</v>
      </c>
    </row>
    <row r="522" spans="1:7" x14ac:dyDescent="0.25">
      <c r="A522" t="s">
        <v>543</v>
      </c>
      <c r="B522" s="123">
        <v>405</v>
      </c>
      <c r="C522" s="153">
        <v>16.38</v>
      </c>
      <c r="D522">
        <v>5.7</v>
      </c>
      <c r="E522" s="134">
        <v>65000</v>
      </c>
      <c r="F522" s="2">
        <v>3.7</v>
      </c>
      <c r="G522" s="135">
        <v>49202582</v>
      </c>
    </row>
    <row r="523" spans="1:7" x14ac:dyDescent="0.25">
      <c r="A523" t="s">
        <v>545</v>
      </c>
      <c r="B523" s="123">
        <v>529</v>
      </c>
      <c r="C523" s="153">
        <v>3.12</v>
      </c>
      <c r="D523">
        <v>12.1</v>
      </c>
      <c r="E523" s="134">
        <v>41563</v>
      </c>
      <c r="F523" s="2">
        <v>4.0999999999999996</v>
      </c>
      <c r="G523" s="135">
        <v>69996182</v>
      </c>
    </row>
    <row r="524" spans="1:7" x14ac:dyDescent="0.25">
      <c r="A524" t="s">
        <v>547</v>
      </c>
      <c r="B524" s="123">
        <v>6449</v>
      </c>
      <c r="C524" s="153">
        <v>-1.95</v>
      </c>
      <c r="D524">
        <v>27.3</v>
      </c>
      <c r="E524" s="134">
        <v>29325</v>
      </c>
      <c r="F524" s="2">
        <v>3.3</v>
      </c>
      <c r="G524" s="135">
        <v>574109619</v>
      </c>
    </row>
    <row r="525" spans="1:7" x14ac:dyDescent="0.25">
      <c r="A525" t="s">
        <v>548</v>
      </c>
      <c r="B525" s="123">
        <v>422</v>
      </c>
      <c r="C525" s="153">
        <v>38.82</v>
      </c>
      <c r="D525">
        <v>3.3</v>
      </c>
      <c r="E525" s="134">
        <v>94167</v>
      </c>
      <c r="F525" s="2">
        <v>3.3</v>
      </c>
      <c r="G525" s="135">
        <v>244516111</v>
      </c>
    </row>
    <row r="526" spans="1:7" x14ac:dyDescent="0.25">
      <c r="A526" t="s">
        <v>549</v>
      </c>
      <c r="B526" s="123">
        <v>17</v>
      </c>
      <c r="C526" s="153">
        <v>-75.709999999999994</v>
      </c>
      <c r="D526">
        <v>41.7</v>
      </c>
      <c r="E526" s="134">
        <v>47083</v>
      </c>
      <c r="F526" s="2">
        <v>4.0999999999999996</v>
      </c>
      <c r="G526" s="135">
        <v>2783624</v>
      </c>
    </row>
    <row r="527" spans="1:7" x14ac:dyDescent="0.25">
      <c r="A527" t="s">
        <v>550</v>
      </c>
      <c r="B527" s="123">
        <v>177</v>
      </c>
      <c r="C527" s="153">
        <v>-25.32</v>
      </c>
      <c r="D527">
        <v>6.2</v>
      </c>
      <c r="E527" s="134">
        <v>41667</v>
      </c>
      <c r="F527" s="2">
        <v>4.9000000000000004</v>
      </c>
      <c r="G527" s="135">
        <v>64288865</v>
      </c>
    </row>
    <row r="528" spans="1:7" x14ac:dyDescent="0.25">
      <c r="A528" t="s">
        <v>551</v>
      </c>
      <c r="B528" s="123">
        <v>4213</v>
      </c>
      <c r="C528" s="153">
        <v>6.36</v>
      </c>
      <c r="D528">
        <v>10.4</v>
      </c>
      <c r="E528" s="134">
        <v>71659</v>
      </c>
      <c r="F528" s="2">
        <v>4.7</v>
      </c>
      <c r="G528" s="135">
        <v>751722658</v>
      </c>
    </row>
    <row r="529" spans="1:7" x14ac:dyDescent="0.25">
      <c r="A529" t="s">
        <v>552</v>
      </c>
      <c r="B529" s="123">
        <v>1504</v>
      </c>
      <c r="C529" s="153">
        <v>-30.31</v>
      </c>
      <c r="D529">
        <v>17.100000000000001</v>
      </c>
      <c r="E529" s="134">
        <v>35521</v>
      </c>
      <c r="F529" s="2">
        <v>5.6333333333333329</v>
      </c>
      <c r="G529" s="135">
        <v>71557055</v>
      </c>
    </row>
    <row r="530" spans="1:7" x14ac:dyDescent="0.25">
      <c r="A530" t="s">
        <v>553</v>
      </c>
      <c r="B530" s="123">
        <v>21712</v>
      </c>
      <c r="C530" s="153">
        <v>8.27</v>
      </c>
      <c r="D530">
        <v>18.3</v>
      </c>
      <c r="E530" s="134">
        <v>46176</v>
      </c>
      <c r="F530" s="2">
        <v>3.9</v>
      </c>
      <c r="G530" s="135">
        <v>2705165243</v>
      </c>
    </row>
    <row r="531" spans="1:7" x14ac:dyDescent="0.25">
      <c r="A531" t="s">
        <v>554</v>
      </c>
      <c r="B531" s="123">
        <v>7847</v>
      </c>
      <c r="C531" s="153">
        <v>-3.2</v>
      </c>
      <c r="D531">
        <v>28.9</v>
      </c>
      <c r="E531" s="134">
        <v>48374</v>
      </c>
      <c r="F531" s="2">
        <v>3.1</v>
      </c>
      <c r="G531" s="135">
        <v>632623626</v>
      </c>
    </row>
    <row r="532" spans="1:7" x14ac:dyDescent="0.25">
      <c r="A532" t="s">
        <v>555</v>
      </c>
      <c r="B532" s="123">
        <v>386</v>
      </c>
      <c r="C532" s="153">
        <v>-9.81</v>
      </c>
      <c r="D532">
        <v>26.8</v>
      </c>
      <c r="E532" s="134">
        <v>57500</v>
      </c>
      <c r="F532" s="2">
        <v>4.0999999999999996</v>
      </c>
      <c r="G532" s="135">
        <v>26140776</v>
      </c>
    </row>
    <row r="533" spans="1:7" x14ac:dyDescent="0.25">
      <c r="A533" t="s">
        <v>556</v>
      </c>
      <c r="B533" s="123">
        <v>406</v>
      </c>
      <c r="C533" s="153">
        <v>-20.39</v>
      </c>
      <c r="D533">
        <v>12.1</v>
      </c>
      <c r="E533" s="134">
        <v>61042</v>
      </c>
      <c r="F533" s="2">
        <v>5.2</v>
      </c>
      <c r="G533" s="135">
        <v>27272191</v>
      </c>
    </row>
    <row r="534" spans="1:7" x14ac:dyDescent="0.25">
      <c r="A534" t="s">
        <v>557</v>
      </c>
      <c r="B534" s="141">
        <v>11527</v>
      </c>
      <c r="C534" s="154">
        <v>-4.87</v>
      </c>
      <c r="D534" s="134">
        <v>27.8</v>
      </c>
      <c r="E534" s="134">
        <v>37000</v>
      </c>
      <c r="F534" s="2">
        <v>3.3</v>
      </c>
      <c r="G534" s="134">
        <v>1466143071</v>
      </c>
    </row>
    <row r="535" spans="1:7" x14ac:dyDescent="0.25">
      <c r="A535" t="s">
        <v>558</v>
      </c>
      <c r="B535" s="123">
        <v>2092</v>
      </c>
      <c r="C535" s="153">
        <v>30.42</v>
      </c>
      <c r="D535">
        <v>35.6</v>
      </c>
      <c r="E535" s="134">
        <v>34583</v>
      </c>
      <c r="F535" s="2">
        <v>3.3</v>
      </c>
      <c r="G535" s="135">
        <v>128728344</v>
      </c>
    </row>
    <row r="536" spans="1:7" x14ac:dyDescent="0.25">
      <c r="A536" t="s">
        <v>562</v>
      </c>
      <c r="B536" s="123">
        <v>15701</v>
      </c>
      <c r="C536" s="153">
        <v>14.66</v>
      </c>
      <c r="D536">
        <v>9.6999999999999993</v>
      </c>
      <c r="E536" s="134">
        <v>81867</v>
      </c>
      <c r="F536" s="2">
        <v>3.7</v>
      </c>
      <c r="G536" s="135">
        <v>3043273684</v>
      </c>
    </row>
    <row r="537" spans="1:7" x14ac:dyDescent="0.25">
      <c r="A537" t="s">
        <v>563</v>
      </c>
      <c r="B537" s="123">
        <v>3098</v>
      </c>
      <c r="C537" s="153">
        <v>8.6999999999999993</v>
      </c>
      <c r="D537">
        <v>0.8</v>
      </c>
      <c r="E537" s="134">
        <v>112371</v>
      </c>
      <c r="F537" s="2">
        <v>4.4000000000000004</v>
      </c>
      <c r="G537" s="135">
        <v>1677420088</v>
      </c>
    </row>
    <row r="538" spans="1:7" x14ac:dyDescent="0.25">
      <c r="A538" t="s">
        <v>565</v>
      </c>
      <c r="B538" s="123">
        <v>4015</v>
      </c>
      <c r="C538" s="153">
        <v>11.99</v>
      </c>
      <c r="D538">
        <v>5.3</v>
      </c>
      <c r="E538" s="134">
        <v>78287</v>
      </c>
      <c r="F538" s="2">
        <v>4.7</v>
      </c>
      <c r="G538" s="135">
        <v>1143095049</v>
      </c>
    </row>
    <row r="539" spans="1:7" x14ac:dyDescent="0.25">
      <c r="A539" t="s">
        <v>567</v>
      </c>
      <c r="B539" s="123">
        <v>1795</v>
      </c>
      <c r="C539" s="153">
        <v>-3.03</v>
      </c>
      <c r="D539">
        <v>23</v>
      </c>
      <c r="E539" s="134">
        <v>38045</v>
      </c>
      <c r="F539" s="2">
        <v>4</v>
      </c>
      <c r="G539" s="135">
        <v>181214117</v>
      </c>
    </row>
    <row r="540" spans="1:7" x14ac:dyDescent="0.25">
      <c r="A540" t="s">
        <v>568</v>
      </c>
      <c r="B540" s="123">
        <v>59</v>
      </c>
      <c r="C540" s="153">
        <v>-19.18</v>
      </c>
      <c r="D540">
        <v>0</v>
      </c>
      <c r="E540" s="134" t="e">
        <f>NA()</f>
        <v>#N/A</v>
      </c>
      <c r="F540" s="2">
        <v>6.6</v>
      </c>
      <c r="G540" s="135">
        <v>4022942</v>
      </c>
    </row>
    <row r="541" spans="1:7" x14ac:dyDescent="0.25">
      <c r="A541" t="s">
        <v>569</v>
      </c>
      <c r="B541" s="162" t="e">
        <f>NA()</f>
        <v>#N/A</v>
      </c>
      <c r="C541" s="162" t="e">
        <f>NA()</f>
        <v>#N/A</v>
      </c>
      <c r="D541" s="162" t="e">
        <f>NA()</f>
        <v>#N/A</v>
      </c>
      <c r="E541" s="162" t="e">
        <f>NA()</f>
        <v>#N/A</v>
      </c>
      <c r="F541" s="2">
        <v>3.7</v>
      </c>
      <c r="G541" s="162" t="e">
        <f>NA()</f>
        <v>#N/A</v>
      </c>
    </row>
    <row r="542" spans="1:7" x14ac:dyDescent="0.25">
      <c r="A542" t="s">
        <v>570</v>
      </c>
      <c r="B542" s="123">
        <v>3296</v>
      </c>
      <c r="C542" s="153">
        <v>2.0099999999999998</v>
      </c>
      <c r="D542">
        <v>17.2</v>
      </c>
      <c r="E542" s="134">
        <v>61079</v>
      </c>
      <c r="F542" s="2">
        <v>3.7</v>
      </c>
      <c r="G542" s="135">
        <v>265876343</v>
      </c>
    </row>
    <row r="543" spans="1:7" x14ac:dyDescent="0.25">
      <c r="A543" t="s">
        <v>571</v>
      </c>
      <c r="B543" s="123">
        <v>4218</v>
      </c>
      <c r="C543" s="153">
        <v>-0.31</v>
      </c>
      <c r="D543">
        <v>14.7</v>
      </c>
      <c r="E543" s="134">
        <v>38857</v>
      </c>
      <c r="F543" s="2">
        <v>4.8</v>
      </c>
      <c r="G543" s="135">
        <v>267653078</v>
      </c>
    </row>
    <row r="544" spans="1:7" x14ac:dyDescent="0.25">
      <c r="A544" t="s">
        <v>572</v>
      </c>
      <c r="B544" s="123">
        <v>1441</v>
      </c>
      <c r="C544" s="153">
        <v>-10.11</v>
      </c>
      <c r="D544">
        <v>21</v>
      </c>
      <c r="E544" s="134">
        <v>29699</v>
      </c>
      <c r="F544" s="2">
        <v>5.0999999999999996</v>
      </c>
      <c r="G544" s="135">
        <v>88927043</v>
      </c>
    </row>
    <row r="545" spans="1:7" x14ac:dyDescent="0.25">
      <c r="A545" t="s">
        <v>573</v>
      </c>
      <c r="B545" s="123">
        <v>11710</v>
      </c>
      <c r="C545" s="153">
        <v>-4.67</v>
      </c>
      <c r="D545">
        <v>21.4</v>
      </c>
      <c r="E545" s="134">
        <v>44447</v>
      </c>
      <c r="F545" s="2">
        <v>5.2</v>
      </c>
      <c r="G545" s="135">
        <v>466364127</v>
      </c>
    </row>
    <row r="546" spans="1:7" x14ac:dyDescent="0.25">
      <c r="A546" t="s">
        <v>574</v>
      </c>
      <c r="B546" s="123">
        <v>2637</v>
      </c>
      <c r="C546" s="153">
        <v>19.649999999999999</v>
      </c>
      <c r="D546">
        <v>21.5</v>
      </c>
      <c r="E546" s="134">
        <v>44596</v>
      </c>
      <c r="F546" s="2">
        <v>4.2</v>
      </c>
      <c r="G546" s="135">
        <v>327292940</v>
      </c>
    </row>
    <row r="547" spans="1:7" x14ac:dyDescent="0.25">
      <c r="A547" t="s">
        <v>575</v>
      </c>
      <c r="B547" s="123">
        <v>505</v>
      </c>
      <c r="C547" s="153">
        <v>70.03</v>
      </c>
      <c r="D547">
        <v>11.7</v>
      </c>
      <c r="E547" s="134">
        <v>54107</v>
      </c>
      <c r="F547" s="2">
        <v>3.7</v>
      </c>
      <c r="G547" s="135">
        <v>23428193</v>
      </c>
    </row>
    <row r="548" spans="1:7" x14ac:dyDescent="0.25">
      <c r="A548" t="s">
        <v>576</v>
      </c>
      <c r="B548" s="123">
        <v>16193</v>
      </c>
      <c r="C548" s="153">
        <v>6.25</v>
      </c>
      <c r="D548">
        <v>4.5999999999999996</v>
      </c>
      <c r="E548" s="134">
        <v>99451</v>
      </c>
      <c r="F548" s="2">
        <v>3.2</v>
      </c>
      <c r="G548" s="135">
        <v>2665075794</v>
      </c>
    </row>
    <row r="549" spans="1:7" x14ac:dyDescent="0.25">
      <c r="A549" t="s">
        <v>577</v>
      </c>
      <c r="B549" s="123">
        <v>1463</v>
      </c>
      <c r="C549" s="153">
        <v>-2.34</v>
      </c>
      <c r="D549">
        <v>9.3000000000000007</v>
      </c>
      <c r="E549" s="134">
        <v>79946</v>
      </c>
      <c r="F549" s="2">
        <v>3.3499999999999996</v>
      </c>
      <c r="G549" s="135">
        <v>181879416</v>
      </c>
    </row>
    <row r="550" spans="1:7" x14ac:dyDescent="0.25">
      <c r="A550" t="s">
        <v>578</v>
      </c>
      <c r="B550" s="123">
        <v>3967</v>
      </c>
      <c r="C550" s="153">
        <v>8.89</v>
      </c>
      <c r="D550">
        <v>3.1</v>
      </c>
      <c r="E550" s="134">
        <v>61723</v>
      </c>
      <c r="F550" s="2">
        <v>3.7</v>
      </c>
      <c r="G550" s="135">
        <v>409774469</v>
      </c>
    </row>
    <row r="551" spans="1:7" x14ac:dyDescent="0.25">
      <c r="A551" t="s">
        <v>579</v>
      </c>
      <c r="B551" s="123">
        <v>62723</v>
      </c>
      <c r="C551" s="153">
        <v>2.63</v>
      </c>
      <c r="D551">
        <v>13.8</v>
      </c>
      <c r="E551" s="134">
        <v>60634</v>
      </c>
      <c r="F551" s="2">
        <v>3.3</v>
      </c>
      <c r="G551" s="135">
        <v>6472546279</v>
      </c>
    </row>
    <row r="552" spans="1:7" x14ac:dyDescent="0.25">
      <c r="A552" t="s">
        <v>581</v>
      </c>
      <c r="B552" s="123">
        <v>632</v>
      </c>
      <c r="C552" s="153">
        <v>-7.47</v>
      </c>
      <c r="D552">
        <v>11.9</v>
      </c>
      <c r="E552" s="134">
        <v>55938</v>
      </c>
      <c r="F552" s="2">
        <v>5.2</v>
      </c>
      <c r="G552" s="135">
        <v>44527411</v>
      </c>
    </row>
    <row r="553" spans="1:7" x14ac:dyDescent="0.25">
      <c r="A553" t="s">
        <v>582</v>
      </c>
      <c r="B553" s="123">
        <v>1208</v>
      </c>
      <c r="C553" s="153">
        <v>45.54</v>
      </c>
      <c r="D553">
        <v>14.1</v>
      </c>
      <c r="E553" s="134">
        <v>35750</v>
      </c>
      <c r="F553" s="2">
        <v>3.7</v>
      </c>
      <c r="G553" s="135">
        <v>52306222</v>
      </c>
    </row>
    <row r="554" spans="1:7" x14ac:dyDescent="0.25">
      <c r="A554" t="s">
        <v>583</v>
      </c>
      <c r="B554" s="123">
        <v>28576</v>
      </c>
      <c r="C554" s="153">
        <v>8.81</v>
      </c>
      <c r="D554">
        <v>18.5</v>
      </c>
      <c r="E554" s="134">
        <v>51784</v>
      </c>
      <c r="F554" s="2">
        <v>3.4</v>
      </c>
      <c r="G554" s="135">
        <v>3503975575</v>
      </c>
    </row>
    <row r="555" spans="1:7" x14ac:dyDescent="0.25">
      <c r="A555" t="s">
        <v>584</v>
      </c>
      <c r="B555" s="123">
        <v>1479</v>
      </c>
      <c r="C555" s="153">
        <v>11.62</v>
      </c>
      <c r="D555">
        <v>3.9</v>
      </c>
      <c r="E555" s="134">
        <v>98615</v>
      </c>
      <c r="F555" s="2">
        <v>5.2</v>
      </c>
      <c r="G555" s="135">
        <v>112477874</v>
      </c>
    </row>
    <row r="556" spans="1:7" x14ac:dyDescent="0.25">
      <c r="A556" t="s">
        <v>585</v>
      </c>
      <c r="B556" s="123">
        <v>1071</v>
      </c>
      <c r="C556" s="153">
        <v>2.19</v>
      </c>
      <c r="D556">
        <v>2.2000000000000002</v>
      </c>
      <c r="E556" s="134">
        <v>82212</v>
      </c>
      <c r="F556" s="2">
        <v>3.2</v>
      </c>
      <c r="G556" s="135">
        <v>78391424</v>
      </c>
    </row>
    <row r="557" spans="1:7" x14ac:dyDescent="0.25">
      <c r="A557" t="s">
        <v>586</v>
      </c>
      <c r="B557" s="123">
        <v>44696</v>
      </c>
      <c r="C557" s="153">
        <v>-2.63</v>
      </c>
      <c r="D557">
        <v>12</v>
      </c>
      <c r="E557" s="134">
        <v>57539</v>
      </c>
      <c r="F557" s="2">
        <v>3.4</v>
      </c>
      <c r="G557" s="135">
        <v>4828403389</v>
      </c>
    </row>
    <row r="558" spans="1:7" x14ac:dyDescent="0.25">
      <c r="A558" t="s">
        <v>588</v>
      </c>
      <c r="B558" s="123">
        <v>5900</v>
      </c>
      <c r="C558" s="153">
        <v>9.93</v>
      </c>
      <c r="D558">
        <v>4.7</v>
      </c>
      <c r="E558" s="134">
        <v>118159</v>
      </c>
      <c r="F558" s="2">
        <v>4.0999999999999996</v>
      </c>
      <c r="G558" s="134" t="e">
        <f>NA()</f>
        <v>#N/A</v>
      </c>
    </row>
    <row r="559" spans="1:7" x14ac:dyDescent="0.25">
      <c r="A559" t="s">
        <v>589</v>
      </c>
      <c r="B559" s="123">
        <v>1052</v>
      </c>
      <c r="C559" s="153">
        <v>-19.079999999999998</v>
      </c>
      <c r="D559">
        <v>23.9</v>
      </c>
      <c r="E559" s="134">
        <v>50661</v>
      </c>
      <c r="F559" s="2">
        <v>4.2</v>
      </c>
      <c r="G559" s="135">
        <v>89776059</v>
      </c>
    </row>
    <row r="560" spans="1:7" x14ac:dyDescent="0.25">
      <c r="A560" t="s">
        <v>590</v>
      </c>
      <c r="B560" s="123">
        <v>229</v>
      </c>
      <c r="C560" s="153">
        <v>-17.920000000000002</v>
      </c>
      <c r="D560">
        <v>9.1999999999999993</v>
      </c>
      <c r="E560" s="134" t="e">
        <f>NA()</f>
        <v>#N/A</v>
      </c>
      <c r="F560" s="2">
        <v>3.7</v>
      </c>
      <c r="G560" s="135">
        <v>24356299</v>
      </c>
    </row>
    <row r="561" spans="1:7" x14ac:dyDescent="0.25">
      <c r="A561" t="s">
        <v>591</v>
      </c>
      <c r="B561" s="123">
        <v>374</v>
      </c>
      <c r="C561" s="153">
        <v>3.31</v>
      </c>
      <c r="D561">
        <v>8.1</v>
      </c>
      <c r="E561" s="134">
        <v>48214</v>
      </c>
      <c r="F561" s="2">
        <v>3.2</v>
      </c>
      <c r="G561" s="135">
        <v>18467943</v>
      </c>
    </row>
    <row r="562" spans="1:7" x14ac:dyDescent="0.25">
      <c r="A562" t="s">
        <v>592</v>
      </c>
      <c r="B562" s="123">
        <v>489</v>
      </c>
      <c r="C562" s="153">
        <v>-14.21</v>
      </c>
      <c r="D562">
        <v>6.3</v>
      </c>
      <c r="E562" s="134">
        <v>111250</v>
      </c>
      <c r="F562" s="2">
        <v>3.3</v>
      </c>
      <c r="G562" s="135">
        <v>500806505</v>
      </c>
    </row>
    <row r="563" spans="1:7" x14ac:dyDescent="0.25">
      <c r="A563" t="s">
        <v>593</v>
      </c>
      <c r="B563" s="123">
        <v>10986</v>
      </c>
      <c r="C563" s="153">
        <v>-0.53</v>
      </c>
      <c r="D563">
        <v>9.1999999999999993</v>
      </c>
      <c r="E563" s="134">
        <v>148182</v>
      </c>
      <c r="F563" s="2">
        <v>4.0999999999999996</v>
      </c>
      <c r="G563" s="135">
        <v>2022126853</v>
      </c>
    </row>
    <row r="564" spans="1:7" x14ac:dyDescent="0.25">
      <c r="A564" t="s">
        <v>594</v>
      </c>
      <c r="B564" s="123">
        <v>4189</v>
      </c>
      <c r="C564" s="153">
        <v>9.49</v>
      </c>
      <c r="D564">
        <v>5.6</v>
      </c>
      <c r="E564" s="134">
        <v>82261</v>
      </c>
      <c r="F564" s="2">
        <v>4.7</v>
      </c>
      <c r="G564" s="135">
        <v>1843849949</v>
      </c>
    </row>
    <row r="565" spans="1:7" x14ac:dyDescent="0.25">
      <c r="A565" t="s">
        <v>595</v>
      </c>
      <c r="B565" s="123">
        <v>3888</v>
      </c>
      <c r="C565" s="153">
        <v>19.12</v>
      </c>
      <c r="D565">
        <v>4.8</v>
      </c>
      <c r="E565" s="134">
        <v>85714</v>
      </c>
      <c r="F565" s="2">
        <v>3.9</v>
      </c>
      <c r="G565" s="135">
        <v>1875693103</v>
      </c>
    </row>
    <row r="566" spans="1:7" x14ac:dyDescent="0.25">
      <c r="A566" t="s">
        <v>596</v>
      </c>
      <c r="B566" s="123">
        <v>71429</v>
      </c>
      <c r="C566" s="153">
        <v>-0.93</v>
      </c>
      <c r="D566">
        <v>17.899999999999999</v>
      </c>
      <c r="E566" s="134">
        <v>52743</v>
      </c>
      <c r="F566" s="2">
        <v>3.5</v>
      </c>
      <c r="G566" s="135">
        <v>7264971852</v>
      </c>
    </row>
    <row r="567" spans="1:7" x14ac:dyDescent="0.25">
      <c r="A567" t="s">
        <v>597</v>
      </c>
      <c r="B567" s="123">
        <v>14130</v>
      </c>
      <c r="C567" s="153">
        <v>-0.87</v>
      </c>
      <c r="D567">
        <v>19.8</v>
      </c>
      <c r="E567" s="134">
        <v>52818</v>
      </c>
      <c r="F567" s="2">
        <v>3.3</v>
      </c>
      <c r="G567" s="135">
        <v>2035219732</v>
      </c>
    </row>
    <row r="568" spans="1:7" x14ac:dyDescent="0.25">
      <c r="A568" t="s">
        <v>599</v>
      </c>
      <c r="B568" s="123">
        <v>3759</v>
      </c>
      <c r="C568" s="153">
        <v>19.52</v>
      </c>
      <c r="D568">
        <v>13.8</v>
      </c>
      <c r="E568" s="134">
        <v>105779</v>
      </c>
      <c r="F568" s="2">
        <v>4.3</v>
      </c>
      <c r="G568" s="135">
        <v>693045131</v>
      </c>
    </row>
    <row r="569" spans="1:7" x14ac:dyDescent="0.25">
      <c r="A569" t="s">
        <v>600</v>
      </c>
      <c r="B569" s="123">
        <v>2464</v>
      </c>
      <c r="C569" s="153">
        <v>33.619999999999997</v>
      </c>
      <c r="D569">
        <v>4.5999999999999996</v>
      </c>
      <c r="E569" s="134">
        <v>84737</v>
      </c>
      <c r="F569" s="2">
        <v>3.7</v>
      </c>
      <c r="G569" s="134" t="e">
        <f>NA()</f>
        <v>#N/A</v>
      </c>
    </row>
    <row r="570" spans="1:7" x14ac:dyDescent="0.25">
      <c r="A570" t="s">
        <v>601</v>
      </c>
      <c r="B570" s="123">
        <v>2601</v>
      </c>
      <c r="C570" s="153">
        <v>-2.66</v>
      </c>
      <c r="D570">
        <v>29.1</v>
      </c>
      <c r="E570" s="134">
        <v>38704</v>
      </c>
      <c r="F570" s="2">
        <v>3.9</v>
      </c>
      <c r="G570" s="135">
        <v>518937542</v>
      </c>
    </row>
    <row r="571" spans="1:7" x14ac:dyDescent="0.25">
      <c r="A571" t="s">
        <v>602</v>
      </c>
      <c r="B571" s="123">
        <v>3709</v>
      </c>
      <c r="C571" s="153">
        <v>-7.04</v>
      </c>
      <c r="D571">
        <v>44.8</v>
      </c>
      <c r="E571" s="134">
        <v>34722</v>
      </c>
      <c r="F571" s="2">
        <v>4.3</v>
      </c>
      <c r="G571" s="135">
        <v>188810737</v>
      </c>
    </row>
    <row r="572" spans="1:7" x14ac:dyDescent="0.25">
      <c r="A572" t="s">
        <v>603</v>
      </c>
      <c r="B572" s="123">
        <v>104</v>
      </c>
      <c r="C572" s="153">
        <v>-54.39</v>
      </c>
      <c r="D572">
        <v>37.5</v>
      </c>
      <c r="E572" s="134" t="e">
        <f>NA()</f>
        <v>#N/A</v>
      </c>
      <c r="F572" s="2">
        <v>4.4000000000000004</v>
      </c>
      <c r="G572" s="135">
        <v>8447664</v>
      </c>
    </row>
    <row r="573" spans="1:7" x14ac:dyDescent="0.25">
      <c r="A573" t="s">
        <v>604</v>
      </c>
      <c r="B573" s="123">
        <v>10696</v>
      </c>
      <c r="C573" s="153">
        <v>-3.16</v>
      </c>
      <c r="D573">
        <v>24</v>
      </c>
      <c r="E573" s="134">
        <v>43523</v>
      </c>
      <c r="F573" s="2">
        <v>6.6</v>
      </c>
      <c r="G573" s="135">
        <v>974429218</v>
      </c>
    </row>
    <row r="574" spans="1:7" x14ac:dyDescent="0.25">
      <c r="A574" t="s">
        <v>605</v>
      </c>
      <c r="B574" s="123">
        <v>2198</v>
      </c>
      <c r="C574" s="153">
        <v>-3.51</v>
      </c>
      <c r="D574">
        <v>30.6</v>
      </c>
      <c r="E574" s="134">
        <v>43681</v>
      </c>
      <c r="F574" s="2">
        <v>3.3</v>
      </c>
      <c r="G574" s="135">
        <v>198225651</v>
      </c>
    </row>
    <row r="575" spans="1:7" x14ac:dyDescent="0.25">
      <c r="A575" t="s">
        <v>606</v>
      </c>
      <c r="B575" s="123">
        <v>820</v>
      </c>
      <c r="C575" s="153">
        <v>4.8600000000000003</v>
      </c>
      <c r="D575">
        <v>8.1999999999999993</v>
      </c>
      <c r="E575" s="134">
        <v>47431</v>
      </c>
      <c r="F575" s="2">
        <v>3.7</v>
      </c>
      <c r="G575" s="135">
        <v>127885641</v>
      </c>
    </row>
    <row r="576" spans="1:7" x14ac:dyDescent="0.25">
      <c r="A576" t="s">
        <v>607</v>
      </c>
      <c r="B576" s="123">
        <v>574</v>
      </c>
      <c r="C576" s="153">
        <v>46.43</v>
      </c>
      <c r="D576">
        <v>20.2</v>
      </c>
      <c r="E576" s="134">
        <v>51875</v>
      </c>
      <c r="F576" s="2">
        <v>3.7</v>
      </c>
      <c r="G576" s="135">
        <v>30545541</v>
      </c>
    </row>
    <row r="577" spans="1:7" x14ac:dyDescent="0.25">
      <c r="A577" t="s">
        <v>608</v>
      </c>
      <c r="B577" s="123">
        <v>27130</v>
      </c>
      <c r="C577" s="153">
        <v>1.08</v>
      </c>
      <c r="D577">
        <v>20.7</v>
      </c>
      <c r="E577" s="134">
        <v>48457</v>
      </c>
      <c r="F577" s="2">
        <v>3.6</v>
      </c>
      <c r="G577" s="135">
        <v>2276806128</v>
      </c>
    </row>
    <row r="578" spans="1:7" x14ac:dyDescent="0.25">
      <c r="A578" t="s">
        <v>609</v>
      </c>
      <c r="B578" s="123">
        <v>2602</v>
      </c>
      <c r="C578" s="153">
        <v>-0.56999999999999995</v>
      </c>
      <c r="D578">
        <v>9.8000000000000007</v>
      </c>
      <c r="E578" s="134">
        <v>75673</v>
      </c>
      <c r="F578" s="2">
        <v>3.8</v>
      </c>
      <c r="G578" s="135">
        <v>258618707</v>
      </c>
    </row>
    <row r="579" spans="1:7" x14ac:dyDescent="0.25">
      <c r="A579" t="s">
        <v>610</v>
      </c>
      <c r="B579" s="123">
        <v>471</v>
      </c>
      <c r="C579" s="153">
        <v>25.27</v>
      </c>
      <c r="D579">
        <v>8.1</v>
      </c>
      <c r="E579" s="134">
        <v>112708</v>
      </c>
      <c r="F579" s="2">
        <v>3.5</v>
      </c>
      <c r="G579" s="135">
        <v>809478357</v>
      </c>
    </row>
    <row r="580" spans="1:7" x14ac:dyDescent="0.25">
      <c r="A580" t="s">
        <v>611</v>
      </c>
      <c r="B580" s="123">
        <v>33131</v>
      </c>
      <c r="C580" s="153">
        <v>-1.1399999999999999</v>
      </c>
      <c r="D580">
        <v>13.4</v>
      </c>
      <c r="E580" s="134">
        <v>62056</v>
      </c>
      <c r="F580" s="2">
        <v>3.5</v>
      </c>
      <c r="G580" s="135">
        <v>7108683878</v>
      </c>
    </row>
    <row r="581" spans="1:7" x14ac:dyDescent="0.25">
      <c r="A581" t="s">
        <v>612</v>
      </c>
      <c r="B581" s="123">
        <v>4086</v>
      </c>
      <c r="C581" s="153">
        <v>0.12</v>
      </c>
      <c r="D581">
        <v>1.1000000000000001</v>
      </c>
      <c r="E581" s="134">
        <v>112679</v>
      </c>
      <c r="F581" s="2">
        <v>3.7</v>
      </c>
      <c r="G581" s="135">
        <v>622962692</v>
      </c>
    </row>
    <row r="582" spans="1:7" x14ac:dyDescent="0.25">
      <c r="A582" t="s">
        <v>613</v>
      </c>
      <c r="B582" s="123">
        <v>161</v>
      </c>
      <c r="C582" s="153">
        <v>-60.54</v>
      </c>
      <c r="D582">
        <v>17.100000000000001</v>
      </c>
      <c r="E582" s="134">
        <v>45417</v>
      </c>
      <c r="F582" s="2">
        <v>3.5</v>
      </c>
      <c r="G582" s="135">
        <v>23306088</v>
      </c>
    </row>
    <row r="583" spans="1:7" x14ac:dyDescent="0.25">
      <c r="A583" t="s">
        <v>614</v>
      </c>
      <c r="B583" s="123">
        <v>7012</v>
      </c>
      <c r="C583" s="153">
        <v>5.91</v>
      </c>
      <c r="D583">
        <v>10.4</v>
      </c>
      <c r="E583" s="134">
        <v>70368</v>
      </c>
      <c r="F583" s="2">
        <v>3.7</v>
      </c>
      <c r="G583" s="135">
        <v>702782991</v>
      </c>
    </row>
    <row r="584" spans="1:7" x14ac:dyDescent="0.25">
      <c r="A584" t="s">
        <v>615</v>
      </c>
      <c r="B584" s="123">
        <v>3689</v>
      </c>
      <c r="C584" s="153">
        <v>40.049999999999997</v>
      </c>
      <c r="D584">
        <v>4.0999999999999996</v>
      </c>
      <c r="E584" s="134">
        <v>74219</v>
      </c>
      <c r="F584" s="2">
        <v>3.4</v>
      </c>
      <c r="G584" s="135">
        <v>777035391</v>
      </c>
    </row>
    <row r="585" spans="1:7" x14ac:dyDescent="0.25">
      <c r="A585" t="s">
        <v>616</v>
      </c>
      <c r="B585" s="123">
        <v>2921</v>
      </c>
      <c r="C585" s="153">
        <v>-12.75</v>
      </c>
      <c r="D585">
        <v>27.5</v>
      </c>
      <c r="E585" s="134">
        <v>44261</v>
      </c>
      <c r="F585" s="2">
        <v>3.7</v>
      </c>
      <c r="G585" s="135">
        <v>278169314</v>
      </c>
    </row>
    <row r="586" spans="1:7" x14ac:dyDescent="0.25">
      <c r="A586" t="s">
        <v>617</v>
      </c>
      <c r="B586" s="123">
        <v>1516</v>
      </c>
      <c r="C586" s="153">
        <v>-3.93</v>
      </c>
      <c r="D586">
        <v>18</v>
      </c>
      <c r="E586" s="134">
        <v>50398</v>
      </c>
      <c r="F586" s="2">
        <v>3.8</v>
      </c>
      <c r="G586" s="135">
        <v>222108026</v>
      </c>
    </row>
    <row r="587" spans="1:7" x14ac:dyDescent="0.25">
      <c r="A587" t="s">
        <v>619</v>
      </c>
      <c r="B587" s="123">
        <v>420</v>
      </c>
      <c r="C587" s="153">
        <v>61.54</v>
      </c>
      <c r="D587">
        <v>6.7</v>
      </c>
      <c r="E587" s="134" t="e">
        <f>NA()</f>
        <v>#N/A</v>
      </c>
      <c r="F587" s="2">
        <v>3.8</v>
      </c>
      <c r="G587" s="135">
        <v>12836708</v>
      </c>
    </row>
    <row r="588" spans="1:7" x14ac:dyDescent="0.25">
      <c r="A588" t="s">
        <v>620</v>
      </c>
      <c r="B588" s="123">
        <v>3389</v>
      </c>
      <c r="C588" s="153">
        <v>-17.72</v>
      </c>
      <c r="D588">
        <v>16</v>
      </c>
      <c r="E588" s="134">
        <v>55341</v>
      </c>
      <c r="F588" s="2">
        <v>5.3</v>
      </c>
      <c r="G588" s="135">
        <v>443789177</v>
      </c>
    </row>
    <row r="589" spans="1:7" x14ac:dyDescent="0.25">
      <c r="A589" t="s">
        <v>621</v>
      </c>
      <c r="B589" s="123">
        <v>240109</v>
      </c>
      <c r="C589" s="153">
        <v>5.92</v>
      </c>
      <c r="D589">
        <v>6.8</v>
      </c>
      <c r="E589" s="134">
        <v>95533</v>
      </c>
      <c r="F589" s="2">
        <v>3.2</v>
      </c>
      <c r="G589" s="135">
        <v>38255044599</v>
      </c>
    </row>
    <row r="590" spans="1:7" x14ac:dyDescent="0.25">
      <c r="A590" t="s">
        <v>622</v>
      </c>
      <c r="B590" s="123">
        <v>6694</v>
      </c>
      <c r="C590" s="153">
        <v>-1.93</v>
      </c>
      <c r="D590">
        <v>6.1</v>
      </c>
      <c r="E590" s="134">
        <v>90904</v>
      </c>
      <c r="F590" s="2">
        <v>3.2</v>
      </c>
      <c r="G590" s="135">
        <v>880115824</v>
      </c>
    </row>
    <row r="591" spans="1:7" x14ac:dyDescent="0.25">
      <c r="A591" t="s">
        <v>623</v>
      </c>
      <c r="B591" s="123">
        <v>4682</v>
      </c>
      <c r="C591" s="153">
        <v>5.98</v>
      </c>
      <c r="D591">
        <v>6.5</v>
      </c>
      <c r="E591" s="134">
        <v>66745</v>
      </c>
      <c r="F591" s="2">
        <v>3.5</v>
      </c>
      <c r="G591" s="135">
        <v>443696254</v>
      </c>
    </row>
    <row r="592" spans="1:7" x14ac:dyDescent="0.25">
      <c r="A592" t="s">
        <v>624</v>
      </c>
      <c r="B592" s="123">
        <v>42492</v>
      </c>
      <c r="C592" s="153">
        <v>-4.47</v>
      </c>
      <c r="D592">
        <v>18.7</v>
      </c>
      <c r="E592" s="134">
        <v>48340</v>
      </c>
      <c r="F592" s="2">
        <v>5.9</v>
      </c>
      <c r="G592" s="135">
        <v>2986937451</v>
      </c>
    </row>
    <row r="593" spans="1:7" x14ac:dyDescent="0.25">
      <c r="A593" t="s">
        <v>625</v>
      </c>
      <c r="B593" s="123">
        <v>958</v>
      </c>
      <c r="C593" s="153">
        <v>-25.79</v>
      </c>
      <c r="D593">
        <v>26.4</v>
      </c>
      <c r="E593" s="134">
        <v>38646</v>
      </c>
      <c r="F593" s="2">
        <v>3.7</v>
      </c>
      <c r="G593" s="135">
        <v>58558530</v>
      </c>
    </row>
    <row r="594" spans="1:7" x14ac:dyDescent="0.25">
      <c r="A594" t="s">
        <v>626</v>
      </c>
      <c r="B594" s="123">
        <v>214</v>
      </c>
      <c r="C594" s="153">
        <v>-21.03</v>
      </c>
      <c r="D594">
        <v>25.7</v>
      </c>
      <c r="E594" s="134">
        <v>31250</v>
      </c>
      <c r="F594" s="2">
        <v>3.7</v>
      </c>
      <c r="G594" s="135">
        <v>24970183</v>
      </c>
    </row>
    <row r="595" spans="1:7" x14ac:dyDescent="0.25">
      <c r="A595" t="s">
        <v>627</v>
      </c>
      <c r="B595" s="123">
        <v>830</v>
      </c>
      <c r="C595" s="153">
        <v>74.37</v>
      </c>
      <c r="D595">
        <v>19.600000000000001</v>
      </c>
      <c r="E595" s="134">
        <v>69063</v>
      </c>
      <c r="F595" s="2">
        <v>4.7</v>
      </c>
      <c r="G595" s="135">
        <v>56607349</v>
      </c>
    </row>
    <row r="596" spans="1:7" x14ac:dyDescent="0.25">
      <c r="A596" t="s">
        <v>628</v>
      </c>
      <c r="B596" s="123">
        <v>1276</v>
      </c>
      <c r="C596" s="153">
        <v>93.92</v>
      </c>
      <c r="D596">
        <v>5.7</v>
      </c>
      <c r="E596" s="134">
        <v>59375</v>
      </c>
      <c r="F596" s="2">
        <v>3.7</v>
      </c>
      <c r="G596" s="135">
        <v>117779474</v>
      </c>
    </row>
    <row r="597" spans="1:7" x14ac:dyDescent="0.25">
      <c r="A597" t="s">
        <v>629</v>
      </c>
      <c r="B597" s="123">
        <v>278</v>
      </c>
      <c r="C597" s="153">
        <v>-7.33</v>
      </c>
      <c r="D597">
        <v>7.6</v>
      </c>
      <c r="E597" s="134">
        <v>41875</v>
      </c>
      <c r="F597" s="2">
        <v>3.9</v>
      </c>
      <c r="G597" s="135">
        <v>17297302</v>
      </c>
    </row>
    <row r="598" spans="1:7" x14ac:dyDescent="0.25">
      <c r="A598" t="s">
        <v>630</v>
      </c>
      <c r="B598" s="123">
        <v>595</v>
      </c>
      <c r="C598" s="153">
        <v>-18.38</v>
      </c>
      <c r="D598">
        <v>15.1</v>
      </c>
      <c r="E598" s="134">
        <v>62500</v>
      </c>
      <c r="F598" s="2">
        <v>5.2</v>
      </c>
      <c r="G598" s="135">
        <v>45852736</v>
      </c>
    </row>
    <row r="599" spans="1:7" x14ac:dyDescent="0.25">
      <c r="A599" t="s">
        <v>631</v>
      </c>
      <c r="B599" s="123">
        <v>5004</v>
      </c>
      <c r="C599" s="153">
        <v>-6.48</v>
      </c>
      <c r="D599">
        <v>24.2</v>
      </c>
      <c r="E599" s="134">
        <v>32022</v>
      </c>
      <c r="F599" s="2">
        <v>4.4000000000000004</v>
      </c>
      <c r="G599" s="135">
        <v>366228143</v>
      </c>
    </row>
    <row r="600" spans="1:7" x14ac:dyDescent="0.25">
      <c r="A600" t="s">
        <v>632</v>
      </c>
      <c r="B600" s="123">
        <v>946</v>
      </c>
      <c r="C600" s="153">
        <v>21.75</v>
      </c>
      <c r="D600">
        <v>13.7</v>
      </c>
      <c r="E600" s="134">
        <v>51304</v>
      </c>
      <c r="F600" s="2">
        <v>6.5</v>
      </c>
      <c r="G600" s="135">
        <v>29457387</v>
      </c>
    </row>
    <row r="601" spans="1:7" x14ac:dyDescent="0.25">
      <c r="A601" t="s">
        <v>633</v>
      </c>
      <c r="B601" s="123">
        <v>1132103</v>
      </c>
      <c r="C601" s="153">
        <v>8.17</v>
      </c>
      <c r="D601">
        <v>8.1999999999999993</v>
      </c>
      <c r="E601" s="134">
        <v>96734</v>
      </c>
      <c r="F601" s="2">
        <v>3.1</v>
      </c>
      <c r="G601" s="135">
        <v>199136439367</v>
      </c>
    </row>
    <row r="602" spans="1:7" x14ac:dyDescent="0.25">
      <c r="A602" t="s">
        <v>634</v>
      </c>
      <c r="B602" s="123">
        <v>48047</v>
      </c>
      <c r="C602" s="153">
        <v>19.64</v>
      </c>
      <c r="D602">
        <v>3</v>
      </c>
      <c r="E602" s="134">
        <v>115159</v>
      </c>
      <c r="F602" s="2">
        <v>3.1</v>
      </c>
      <c r="G602" s="135">
        <v>7430577948</v>
      </c>
    </row>
    <row r="603" spans="1:7" x14ac:dyDescent="0.25">
      <c r="A603" t="s">
        <v>635</v>
      </c>
      <c r="B603" s="123">
        <v>5706</v>
      </c>
      <c r="C603" s="153">
        <v>13.15</v>
      </c>
      <c r="D603">
        <v>9</v>
      </c>
      <c r="E603" s="134">
        <v>58900</v>
      </c>
      <c r="F603" s="2">
        <v>3.8</v>
      </c>
      <c r="G603" s="135">
        <v>648257469</v>
      </c>
    </row>
    <row r="604" spans="1:7" x14ac:dyDescent="0.25">
      <c r="A604" t="s">
        <v>636</v>
      </c>
      <c r="B604" s="123">
        <v>3443</v>
      </c>
      <c r="C604" s="153">
        <v>-12.21</v>
      </c>
      <c r="D604">
        <v>9.8000000000000007</v>
      </c>
      <c r="E604" s="134">
        <v>47318</v>
      </c>
      <c r="F604" s="2">
        <v>3.6</v>
      </c>
      <c r="G604" s="135">
        <v>271817328</v>
      </c>
    </row>
    <row r="605" spans="1:7" x14ac:dyDescent="0.25">
      <c r="A605" t="s">
        <v>637</v>
      </c>
      <c r="B605" s="123">
        <v>3081</v>
      </c>
      <c r="C605" s="153">
        <v>1.72</v>
      </c>
      <c r="D605">
        <v>9.3000000000000007</v>
      </c>
      <c r="E605" s="134">
        <v>80592</v>
      </c>
      <c r="F605" s="2">
        <v>3.6</v>
      </c>
      <c r="G605" s="135">
        <v>356713124</v>
      </c>
    </row>
    <row r="606" spans="1:7" x14ac:dyDescent="0.25">
      <c r="A606" t="s">
        <v>638</v>
      </c>
      <c r="B606" s="123">
        <v>2028</v>
      </c>
      <c r="C606" s="153">
        <v>26.83</v>
      </c>
      <c r="D606">
        <v>12.6</v>
      </c>
      <c r="E606" s="134">
        <v>42398</v>
      </c>
      <c r="F606" s="2">
        <v>3.4</v>
      </c>
      <c r="G606" s="135">
        <v>152149869</v>
      </c>
    </row>
    <row r="607" spans="1:7" x14ac:dyDescent="0.25">
      <c r="A607" t="s">
        <v>639</v>
      </c>
      <c r="B607" s="123">
        <v>1570</v>
      </c>
      <c r="C607" s="153">
        <v>38.94</v>
      </c>
      <c r="D607">
        <v>5.7</v>
      </c>
      <c r="E607" s="134">
        <v>149875</v>
      </c>
      <c r="F607" s="2">
        <v>4.0999999999999996</v>
      </c>
      <c r="G607" s="135">
        <v>202387546</v>
      </c>
    </row>
    <row r="608" spans="1:7" x14ac:dyDescent="0.25">
      <c r="A608" t="s">
        <v>640</v>
      </c>
      <c r="B608" s="123">
        <v>247</v>
      </c>
      <c r="C608" s="153">
        <v>35.71</v>
      </c>
      <c r="D608">
        <v>21.9</v>
      </c>
      <c r="E608" s="134">
        <v>40000</v>
      </c>
      <c r="F608" s="2">
        <v>3.3</v>
      </c>
      <c r="G608" s="135">
        <v>13992199</v>
      </c>
    </row>
    <row r="609" spans="1:7" x14ac:dyDescent="0.25">
      <c r="A609" t="s">
        <v>641</v>
      </c>
      <c r="B609" s="123">
        <v>18803</v>
      </c>
      <c r="C609" s="153">
        <v>-6.14</v>
      </c>
      <c r="D609">
        <v>21.2</v>
      </c>
      <c r="E609" s="134">
        <v>42282</v>
      </c>
      <c r="F609" s="2">
        <v>6.4</v>
      </c>
      <c r="G609" s="135">
        <v>2744711148</v>
      </c>
    </row>
    <row r="610" spans="1:7" x14ac:dyDescent="0.25">
      <c r="A610" t="s">
        <v>642</v>
      </c>
      <c r="B610" s="123">
        <v>867</v>
      </c>
      <c r="C610" s="153">
        <v>-17.899999999999999</v>
      </c>
      <c r="D610">
        <v>21.6</v>
      </c>
      <c r="E610" s="134">
        <v>31563</v>
      </c>
      <c r="F610" s="2">
        <v>6.4</v>
      </c>
      <c r="G610" s="135">
        <v>71359759</v>
      </c>
    </row>
    <row r="611" spans="1:7" x14ac:dyDescent="0.25">
      <c r="A611" t="s">
        <v>643</v>
      </c>
      <c r="B611" s="123">
        <v>2743</v>
      </c>
      <c r="C611" s="153">
        <v>-12.39</v>
      </c>
      <c r="D611">
        <v>10.3</v>
      </c>
      <c r="E611" s="134">
        <v>41831</v>
      </c>
      <c r="F611" s="2">
        <v>3.7</v>
      </c>
      <c r="G611" s="135">
        <v>246121164</v>
      </c>
    </row>
    <row r="612" spans="1:7" x14ac:dyDescent="0.25">
      <c r="A612" t="s">
        <v>644</v>
      </c>
      <c r="B612" s="123">
        <v>11051</v>
      </c>
      <c r="C612" s="153">
        <v>-9.09</v>
      </c>
      <c r="D612">
        <v>21.6</v>
      </c>
      <c r="E612" s="134">
        <v>38927</v>
      </c>
      <c r="F612" s="2">
        <v>5.0999999999999996</v>
      </c>
      <c r="G612" s="135">
        <v>979682896</v>
      </c>
    </row>
    <row r="613" spans="1:7" x14ac:dyDescent="0.25">
      <c r="A613" t="s">
        <v>645</v>
      </c>
      <c r="B613" s="123">
        <v>475</v>
      </c>
      <c r="C613" s="153">
        <v>-18.66</v>
      </c>
      <c r="D613">
        <v>7.6</v>
      </c>
      <c r="E613" s="134">
        <v>82250</v>
      </c>
      <c r="F613" s="2">
        <v>4</v>
      </c>
      <c r="G613" s="135">
        <v>56580307</v>
      </c>
    </row>
    <row r="614" spans="1:7" x14ac:dyDescent="0.25">
      <c r="A614" t="s">
        <v>646</v>
      </c>
      <c r="B614" s="123">
        <v>9759</v>
      </c>
      <c r="C614" s="153">
        <v>1.1399999999999999</v>
      </c>
      <c r="D614">
        <v>23</v>
      </c>
      <c r="E614" s="134">
        <v>42821</v>
      </c>
      <c r="F614" s="2">
        <v>4</v>
      </c>
      <c r="G614" s="135">
        <v>927309562</v>
      </c>
    </row>
    <row r="615" spans="1:7" x14ac:dyDescent="0.25">
      <c r="A615" t="s">
        <v>647</v>
      </c>
      <c r="B615" s="123">
        <v>54540</v>
      </c>
      <c r="C615" s="153">
        <v>0.78</v>
      </c>
      <c r="D615">
        <v>24.9</v>
      </c>
      <c r="E615" s="134">
        <v>50034</v>
      </c>
      <c r="F615" s="2">
        <v>3.3</v>
      </c>
      <c r="G615" s="135">
        <v>14977634756</v>
      </c>
    </row>
    <row r="616" spans="1:7" x14ac:dyDescent="0.25">
      <c r="A616" t="s">
        <v>648</v>
      </c>
      <c r="B616" s="123">
        <v>230</v>
      </c>
      <c r="C616" s="153">
        <v>29.21</v>
      </c>
      <c r="D616">
        <v>20.9</v>
      </c>
      <c r="E616" s="134">
        <v>45833</v>
      </c>
      <c r="F616" s="2">
        <v>3.5</v>
      </c>
      <c r="G616" s="135">
        <v>10591057</v>
      </c>
    </row>
    <row r="617" spans="1:7" x14ac:dyDescent="0.25">
      <c r="A617" t="s">
        <v>649</v>
      </c>
      <c r="B617" s="123">
        <v>20665</v>
      </c>
      <c r="C617" s="153">
        <v>43.68</v>
      </c>
      <c r="D617">
        <v>3.8</v>
      </c>
      <c r="E617" s="134">
        <v>124711</v>
      </c>
      <c r="F617" s="2">
        <v>3.2</v>
      </c>
      <c r="G617" s="135">
        <v>3234640732</v>
      </c>
    </row>
    <row r="618" spans="1:7" x14ac:dyDescent="0.25">
      <c r="A618" t="s">
        <v>650</v>
      </c>
      <c r="B618" s="123">
        <v>117480</v>
      </c>
      <c r="C618" s="153">
        <v>-5.26</v>
      </c>
      <c r="D618">
        <v>17.899999999999999</v>
      </c>
      <c r="E618" s="134">
        <v>54323</v>
      </c>
      <c r="F618" s="2">
        <v>4.0999999999999996</v>
      </c>
      <c r="G618" s="135">
        <v>9415103654</v>
      </c>
    </row>
    <row r="619" spans="1:7" x14ac:dyDescent="0.25">
      <c r="A619" t="s">
        <v>651</v>
      </c>
      <c r="B619" s="123">
        <v>10307</v>
      </c>
      <c r="C619" s="153">
        <v>4.13</v>
      </c>
      <c r="D619">
        <v>18.100000000000001</v>
      </c>
      <c r="E619" s="134">
        <v>44920</v>
      </c>
      <c r="F619" s="2">
        <v>3.2</v>
      </c>
      <c r="G619" s="135">
        <v>1599826593</v>
      </c>
    </row>
    <row r="620" spans="1:7" x14ac:dyDescent="0.25">
      <c r="A620" t="s">
        <v>652</v>
      </c>
      <c r="B620" s="123">
        <v>4559</v>
      </c>
      <c r="C620" s="153">
        <v>17.29</v>
      </c>
      <c r="D620">
        <v>5.8</v>
      </c>
      <c r="E620" s="134">
        <v>76310</v>
      </c>
      <c r="F620" s="2">
        <v>3</v>
      </c>
      <c r="G620" s="135">
        <v>1199486053</v>
      </c>
    </row>
    <row r="621" spans="1:7" x14ac:dyDescent="0.25">
      <c r="A621" t="s">
        <v>653</v>
      </c>
      <c r="B621" s="123">
        <v>470</v>
      </c>
      <c r="C621" s="153">
        <v>5.86</v>
      </c>
      <c r="D621">
        <v>36</v>
      </c>
      <c r="E621" s="134">
        <v>40833</v>
      </c>
      <c r="F621" s="2">
        <v>3.9</v>
      </c>
      <c r="G621" s="135">
        <v>55007192</v>
      </c>
    </row>
    <row r="622" spans="1:7" x14ac:dyDescent="0.25">
      <c r="A622" t="s">
        <v>654</v>
      </c>
      <c r="B622" s="123">
        <v>13173</v>
      </c>
      <c r="C622" s="153">
        <v>24.58</v>
      </c>
      <c r="D622">
        <v>2.2000000000000002</v>
      </c>
      <c r="E622" s="134">
        <v>171810</v>
      </c>
      <c r="F622" s="2">
        <v>3.35</v>
      </c>
      <c r="G622" s="135">
        <v>3369401275</v>
      </c>
    </row>
    <row r="623" spans="1:7" x14ac:dyDescent="0.25">
      <c r="A623" t="s">
        <v>655</v>
      </c>
      <c r="B623" s="123">
        <v>1536</v>
      </c>
      <c r="C623" s="153">
        <v>-8.52</v>
      </c>
      <c r="D623">
        <v>29.4</v>
      </c>
      <c r="E623" s="134">
        <v>37330</v>
      </c>
      <c r="F623" s="2">
        <v>5.7</v>
      </c>
      <c r="G623" s="135">
        <v>87344744</v>
      </c>
    </row>
    <row r="624" spans="1:7" x14ac:dyDescent="0.25">
      <c r="A624" t="s">
        <v>656</v>
      </c>
      <c r="B624" s="123">
        <v>10575</v>
      </c>
      <c r="C624" s="153">
        <v>54.88</v>
      </c>
      <c r="D624">
        <v>5.7</v>
      </c>
      <c r="E624" s="134">
        <v>91316</v>
      </c>
      <c r="F624" s="2">
        <v>3.1</v>
      </c>
      <c r="G624" s="135">
        <v>1401209838</v>
      </c>
    </row>
    <row r="625" spans="1:7" x14ac:dyDescent="0.25">
      <c r="A625" t="s">
        <v>657</v>
      </c>
      <c r="B625" s="123">
        <v>2664</v>
      </c>
      <c r="C625" s="153">
        <v>-2.2000000000000002</v>
      </c>
      <c r="D625">
        <v>19.8</v>
      </c>
      <c r="E625" s="134">
        <v>71806</v>
      </c>
      <c r="F625" s="2">
        <v>4.2</v>
      </c>
      <c r="G625" s="134" t="e">
        <f>NA()</f>
        <v>#N/A</v>
      </c>
    </row>
    <row r="626" spans="1:7" x14ac:dyDescent="0.25">
      <c r="A626" t="s">
        <v>658</v>
      </c>
      <c r="B626" s="123">
        <v>8763</v>
      </c>
      <c r="C626" s="153">
        <v>1.51</v>
      </c>
      <c r="D626">
        <v>3.3</v>
      </c>
      <c r="E626" s="134">
        <v>133333</v>
      </c>
      <c r="F626" s="2">
        <v>3.2</v>
      </c>
      <c r="G626" s="135">
        <v>1582040774</v>
      </c>
    </row>
    <row r="627" spans="1:7" x14ac:dyDescent="0.25">
      <c r="A627" t="s">
        <v>659</v>
      </c>
      <c r="B627" s="123">
        <v>1508</v>
      </c>
      <c r="C627" s="153">
        <v>1.55</v>
      </c>
      <c r="D627">
        <v>17.100000000000001</v>
      </c>
      <c r="E627" s="134">
        <v>41036</v>
      </c>
      <c r="F627" s="2">
        <v>3.4</v>
      </c>
      <c r="G627" s="135">
        <v>359327840</v>
      </c>
    </row>
    <row r="628" spans="1:7" x14ac:dyDescent="0.25">
      <c r="A628" t="s">
        <v>661</v>
      </c>
      <c r="B628" s="123">
        <v>4938</v>
      </c>
      <c r="C628" s="153">
        <v>53.31</v>
      </c>
      <c r="D628">
        <v>4.9000000000000004</v>
      </c>
      <c r="E628" s="134">
        <v>105707</v>
      </c>
      <c r="F628" s="2">
        <v>3.7</v>
      </c>
      <c r="G628" s="135">
        <v>671195224</v>
      </c>
    </row>
    <row r="629" spans="1:7" x14ac:dyDescent="0.25">
      <c r="A629" t="s">
        <v>662</v>
      </c>
      <c r="B629" s="123">
        <v>462</v>
      </c>
      <c r="C629" s="153">
        <v>-49.84</v>
      </c>
      <c r="D629">
        <v>22.5</v>
      </c>
      <c r="E629" s="134">
        <v>34375</v>
      </c>
      <c r="F629" s="2">
        <v>5.85</v>
      </c>
      <c r="G629" s="135">
        <v>38776688</v>
      </c>
    </row>
    <row r="630" spans="1:7" x14ac:dyDescent="0.25">
      <c r="A630" t="s">
        <v>663</v>
      </c>
      <c r="B630" s="123">
        <v>997</v>
      </c>
      <c r="C630" s="153">
        <v>-7</v>
      </c>
      <c r="D630">
        <v>19.899999999999999</v>
      </c>
      <c r="E630" s="134">
        <v>58421</v>
      </c>
      <c r="F630" s="2">
        <v>4.4000000000000004</v>
      </c>
      <c r="G630" s="135">
        <v>318130919</v>
      </c>
    </row>
    <row r="631" spans="1:7" x14ac:dyDescent="0.25">
      <c r="A631" t="s">
        <v>664</v>
      </c>
      <c r="B631" s="123">
        <v>4761</v>
      </c>
      <c r="C631" s="153">
        <v>-12.64</v>
      </c>
      <c r="D631">
        <v>20.100000000000001</v>
      </c>
      <c r="E631" s="134">
        <v>34121</v>
      </c>
      <c r="F631" s="2">
        <v>4.3</v>
      </c>
      <c r="G631" s="135">
        <v>544398371</v>
      </c>
    </row>
    <row r="632" spans="1:7" x14ac:dyDescent="0.25">
      <c r="A632" t="s">
        <v>665</v>
      </c>
      <c r="B632" s="123">
        <v>579</v>
      </c>
      <c r="C632" s="153">
        <v>-43.12</v>
      </c>
      <c r="D632">
        <v>3.5</v>
      </c>
      <c r="E632" s="134">
        <v>68393</v>
      </c>
      <c r="F632" s="2">
        <v>4.0999999999999996</v>
      </c>
      <c r="G632" s="135">
        <v>78682591</v>
      </c>
    </row>
    <row r="633" spans="1:7" x14ac:dyDescent="0.25">
      <c r="A633" t="s">
        <v>667</v>
      </c>
      <c r="B633" s="123">
        <v>66125</v>
      </c>
      <c r="C633" s="153">
        <v>-3.41</v>
      </c>
      <c r="D633">
        <v>17.100000000000001</v>
      </c>
      <c r="E633" s="134">
        <v>49119</v>
      </c>
      <c r="F633" s="2">
        <v>3.9</v>
      </c>
      <c r="G633" s="135">
        <v>6158075478</v>
      </c>
    </row>
    <row r="634" spans="1:7" x14ac:dyDescent="0.25">
      <c r="A634" t="s">
        <v>668</v>
      </c>
      <c r="B634" s="123">
        <v>3674</v>
      </c>
      <c r="C634" s="153">
        <v>4.82</v>
      </c>
      <c r="D634">
        <v>22.2</v>
      </c>
      <c r="E634" s="134">
        <v>43480</v>
      </c>
      <c r="F634" s="2">
        <v>3.9</v>
      </c>
      <c r="G634" s="135">
        <v>723279190</v>
      </c>
    </row>
    <row r="635" spans="1:7" x14ac:dyDescent="0.25">
      <c r="A635" t="s">
        <v>669</v>
      </c>
      <c r="B635" s="123">
        <v>5224</v>
      </c>
      <c r="C635" s="153">
        <v>-2.81</v>
      </c>
      <c r="D635">
        <v>32.799999999999997</v>
      </c>
      <c r="E635" s="134">
        <v>41182</v>
      </c>
      <c r="F635" s="2">
        <v>4.5</v>
      </c>
      <c r="G635" s="135">
        <v>405950045</v>
      </c>
    </row>
    <row r="636" spans="1:7" x14ac:dyDescent="0.25">
      <c r="A636" t="s">
        <v>670</v>
      </c>
      <c r="B636" s="123">
        <v>116933</v>
      </c>
      <c r="C636" s="153">
        <v>-0.98</v>
      </c>
      <c r="D636">
        <v>17.8</v>
      </c>
      <c r="E636" s="134">
        <v>58908</v>
      </c>
      <c r="F636" s="2">
        <v>3.3</v>
      </c>
      <c r="G636" s="135">
        <v>21841487122</v>
      </c>
    </row>
    <row r="637" spans="1:7" x14ac:dyDescent="0.25">
      <c r="A637" t="s">
        <v>671</v>
      </c>
      <c r="B637" s="123">
        <v>78667</v>
      </c>
      <c r="C637" s="153">
        <v>-3.28</v>
      </c>
      <c r="D637">
        <v>20.399999999999999</v>
      </c>
      <c r="E637" s="134">
        <v>49827</v>
      </c>
      <c r="F637" s="2">
        <v>5.2</v>
      </c>
      <c r="G637" s="135">
        <v>8003641071</v>
      </c>
    </row>
    <row r="638" spans="1:7" x14ac:dyDescent="0.25">
      <c r="A638" t="s">
        <v>673</v>
      </c>
      <c r="B638" s="123">
        <v>2581</v>
      </c>
      <c r="C638" s="153">
        <v>1.1399999999999999</v>
      </c>
      <c r="D638">
        <v>35.700000000000003</v>
      </c>
      <c r="E638" s="134">
        <v>59309</v>
      </c>
      <c r="F638" s="2">
        <v>3.3</v>
      </c>
      <c r="G638" s="135">
        <v>286455231</v>
      </c>
    </row>
    <row r="639" spans="1:7" x14ac:dyDescent="0.25">
      <c r="A639" t="s">
        <v>672</v>
      </c>
      <c r="B639" s="123">
        <v>47767</v>
      </c>
      <c r="C639" s="153">
        <v>-2.97</v>
      </c>
      <c r="D639">
        <v>23.9</v>
      </c>
      <c r="E639" s="134">
        <v>46891</v>
      </c>
      <c r="F639" s="2">
        <v>5.2</v>
      </c>
      <c r="G639" s="135">
        <v>4729567072</v>
      </c>
    </row>
    <row r="640" spans="1:7" x14ac:dyDescent="0.25">
      <c r="A640" t="s">
        <v>674</v>
      </c>
      <c r="B640" s="123">
        <v>3494</v>
      </c>
      <c r="C640" s="153">
        <v>-0.82</v>
      </c>
      <c r="D640">
        <v>15.8</v>
      </c>
      <c r="E640" s="134">
        <v>46786</v>
      </c>
      <c r="F640" s="2">
        <v>4.9000000000000004</v>
      </c>
      <c r="G640" s="135">
        <v>146608713</v>
      </c>
    </row>
    <row r="641" spans="1:7" x14ac:dyDescent="0.25">
      <c r="A641" t="s">
        <v>675</v>
      </c>
      <c r="B641" s="123">
        <v>900</v>
      </c>
      <c r="C641" s="153">
        <v>37.83</v>
      </c>
      <c r="D641">
        <v>24.9</v>
      </c>
      <c r="E641" s="134">
        <v>59732</v>
      </c>
      <c r="F641" s="2">
        <v>4.5</v>
      </c>
      <c r="G641" s="135">
        <v>48954189</v>
      </c>
    </row>
    <row r="642" spans="1:7" x14ac:dyDescent="0.25">
      <c r="A642" t="s">
        <v>676</v>
      </c>
      <c r="B642" s="123">
        <v>4061</v>
      </c>
      <c r="C642" s="153">
        <v>-0.42</v>
      </c>
      <c r="D642">
        <v>14.1</v>
      </c>
      <c r="E642" s="134">
        <v>72188</v>
      </c>
      <c r="F642" s="2">
        <v>3.2</v>
      </c>
      <c r="G642" s="135">
        <v>188072798</v>
      </c>
    </row>
    <row r="643" spans="1:7" x14ac:dyDescent="0.25">
      <c r="A643" t="s">
        <v>677</v>
      </c>
      <c r="B643" s="123">
        <v>249571</v>
      </c>
      <c r="C643" s="153">
        <v>3.08</v>
      </c>
      <c r="D643">
        <v>18.399999999999999</v>
      </c>
      <c r="E643" s="134">
        <v>54416</v>
      </c>
      <c r="F643" s="2">
        <v>3.8</v>
      </c>
      <c r="G643" s="135">
        <v>27032607127</v>
      </c>
    </row>
    <row r="644" spans="1:7" x14ac:dyDescent="0.25">
      <c r="A644" t="s">
        <v>678</v>
      </c>
      <c r="B644" s="123">
        <v>10510</v>
      </c>
      <c r="C644" s="153">
        <v>10.1</v>
      </c>
      <c r="D644">
        <v>7.1</v>
      </c>
      <c r="E644" s="134">
        <v>82969</v>
      </c>
      <c r="F644" s="2">
        <v>4.0999999999999996</v>
      </c>
      <c r="G644" s="135">
        <v>1003286780</v>
      </c>
    </row>
    <row r="645" spans="1:7" x14ac:dyDescent="0.25">
      <c r="A645" t="s">
        <v>679</v>
      </c>
      <c r="B645" s="123">
        <v>674</v>
      </c>
      <c r="C645" s="153">
        <v>-20.61</v>
      </c>
      <c r="D645">
        <v>27.3</v>
      </c>
      <c r="E645" s="134">
        <v>38333</v>
      </c>
      <c r="F645" s="2">
        <v>5.2</v>
      </c>
      <c r="G645" s="135">
        <v>51997940</v>
      </c>
    </row>
    <row r="646" spans="1:7" x14ac:dyDescent="0.25">
      <c r="A646" t="s">
        <v>681</v>
      </c>
      <c r="B646" s="123">
        <v>7901</v>
      </c>
      <c r="C646" s="153">
        <v>21.8</v>
      </c>
      <c r="D646">
        <v>14.4</v>
      </c>
      <c r="E646" s="134">
        <v>59144</v>
      </c>
      <c r="F646" s="2">
        <v>3</v>
      </c>
      <c r="G646" s="135">
        <v>1243272540</v>
      </c>
    </row>
    <row r="647" spans="1:7" x14ac:dyDescent="0.25">
      <c r="A647" t="s">
        <v>682</v>
      </c>
      <c r="B647" s="123">
        <v>630</v>
      </c>
      <c r="C647" s="153">
        <v>-28.41</v>
      </c>
      <c r="D647">
        <v>25.3</v>
      </c>
      <c r="E647" s="134">
        <v>40489</v>
      </c>
      <c r="F647" s="2">
        <v>4.9000000000000004</v>
      </c>
      <c r="G647" s="135">
        <v>27301482</v>
      </c>
    </row>
    <row r="648" spans="1:7" x14ac:dyDescent="0.25">
      <c r="A648" t="s">
        <v>683</v>
      </c>
      <c r="B648" s="123">
        <v>2848</v>
      </c>
      <c r="C648" s="153">
        <v>12.3</v>
      </c>
      <c r="D648">
        <v>6.9</v>
      </c>
      <c r="E648" s="134">
        <v>125074</v>
      </c>
      <c r="F648" s="2">
        <v>3.3</v>
      </c>
      <c r="G648" s="135">
        <v>3803711954</v>
      </c>
    </row>
    <row r="649" spans="1:7" x14ac:dyDescent="0.25">
      <c r="A649" t="s">
        <v>684</v>
      </c>
      <c r="B649" s="123">
        <v>37280</v>
      </c>
      <c r="C649" s="153">
        <v>-1.02</v>
      </c>
      <c r="D649">
        <v>13.8</v>
      </c>
      <c r="E649" s="134">
        <v>57486</v>
      </c>
      <c r="F649" s="2">
        <v>3.4</v>
      </c>
      <c r="G649" s="135">
        <v>3288777719</v>
      </c>
    </row>
    <row r="650" spans="1:7" x14ac:dyDescent="0.25">
      <c r="A650" t="s">
        <v>686</v>
      </c>
      <c r="B650" s="123">
        <v>2971</v>
      </c>
      <c r="C650" s="153">
        <v>2.17</v>
      </c>
      <c r="D650">
        <v>22.5</v>
      </c>
      <c r="E650" s="134">
        <v>41148</v>
      </c>
      <c r="F650" s="2">
        <v>3.4</v>
      </c>
      <c r="G650" s="135">
        <v>331777457</v>
      </c>
    </row>
    <row r="651" spans="1:7" x14ac:dyDescent="0.25">
      <c r="A651" t="s">
        <v>687</v>
      </c>
      <c r="B651" s="124">
        <v>18538</v>
      </c>
      <c r="C651" s="155">
        <v>4.93</v>
      </c>
      <c r="D651">
        <v>15.3</v>
      </c>
      <c r="E651" s="134">
        <v>53103</v>
      </c>
      <c r="F651" s="121">
        <v>3.6</v>
      </c>
      <c r="G651" s="135">
        <v>2448458387</v>
      </c>
    </row>
    <row r="652" spans="1:7" x14ac:dyDescent="0.25">
      <c r="A652" t="s">
        <v>688</v>
      </c>
      <c r="B652" s="124">
        <v>2576</v>
      </c>
      <c r="C652" s="155">
        <v>14.59</v>
      </c>
      <c r="D652">
        <v>36.1</v>
      </c>
      <c r="E652" s="134">
        <v>26693</v>
      </c>
      <c r="F652" s="121">
        <v>4.0999999999999996</v>
      </c>
      <c r="G652" s="135">
        <v>103834462</v>
      </c>
    </row>
    <row r="653" spans="1:7" x14ac:dyDescent="0.25">
      <c r="A653" t="s">
        <v>689</v>
      </c>
      <c r="B653" s="124">
        <v>2421</v>
      </c>
      <c r="C653" s="155">
        <v>37.090000000000003</v>
      </c>
      <c r="D653">
        <v>8.6</v>
      </c>
      <c r="E653" s="134">
        <v>73472</v>
      </c>
      <c r="F653" s="121">
        <v>3.7</v>
      </c>
      <c r="G653" s="135">
        <v>309191263</v>
      </c>
    </row>
    <row r="654" spans="1:7" x14ac:dyDescent="0.25">
      <c r="A654" t="s">
        <v>690</v>
      </c>
      <c r="B654" s="124">
        <v>7421</v>
      </c>
      <c r="C654" s="155">
        <v>43.65</v>
      </c>
      <c r="D654">
        <v>11.6</v>
      </c>
      <c r="E654" s="134">
        <v>50934</v>
      </c>
      <c r="F654" s="121">
        <v>3.1</v>
      </c>
      <c r="G654" s="135">
        <v>1792725889</v>
      </c>
    </row>
  </sheetData>
  <sheetProtection algorithmName="SHA-512" hashValue="Vp77XXACqDIk/7RlV0Yt3B1awakmIw4CXrr4VvkJVNBY/1nPclRpIlRd1lbQT/xKq7SqgQDky5woNU7NwVnSbQ==" saltValue="YZO+QqpeLfY4YQ89+T2Txg==" spinCount="100000" sheet="1" objects="1" scenarios="1" formatRows="0" insertHyperlinks="0"/>
  <phoneticPr fontId="37" type="noConversion"/>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53</vt:i4>
      </vt:variant>
    </vt:vector>
  </HeadingPairs>
  <TitlesOfParts>
    <vt:vector size="55" baseType="lpstr">
      <vt:lpstr>Affordability Calculator</vt:lpstr>
      <vt:lpstr>Units Data Tables</vt:lpstr>
      <vt:lpstr>AC_Connections</vt:lpstr>
      <vt:lpstr>AC_Grant_Eligibility</vt:lpstr>
      <vt:lpstr>AC_IWSB</vt:lpstr>
      <vt:lpstr>AC_Operating_Ratio_Future</vt:lpstr>
      <vt:lpstr>AC_PCPCPM</vt:lpstr>
      <vt:lpstr>AC_Step1_Completed</vt:lpstr>
      <vt:lpstr>AC_Step1_Passed</vt:lpstr>
      <vt:lpstr>AC_Step1_Running_Total_Passed</vt:lpstr>
      <vt:lpstr>AC_Step2_Completed</vt:lpstr>
      <vt:lpstr>AC_Step2_Passed</vt:lpstr>
      <vt:lpstr>AC_Step2_Running_Total_Passed</vt:lpstr>
      <vt:lpstr>AC_Step3_Completed</vt:lpstr>
      <vt:lpstr>AC_Step3_Passed</vt:lpstr>
      <vt:lpstr>AC_Step3_Running_Total_Passed</vt:lpstr>
      <vt:lpstr>AC_Step4_Completed</vt:lpstr>
      <vt:lpstr>AC_Step4_Passed</vt:lpstr>
      <vt:lpstr>AC_Step4_Running_Total_Passed</vt:lpstr>
      <vt:lpstr>AC_Step5_Completed</vt:lpstr>
      <vt:lpstr>AC_Step5_Passed</vt:lpstr>
      <vt:lpstr>AC_Step5_Running_Total_Passed</vt:lpstr>
      <vt:lpstr>AC_X</vt:lpstr>
      <vt:lpstr>AC_X_truncated</vt:lpstr>
      <vt:lpstr>AC_Xmax</vt:lpstr>
      <vt:lpstr>AC_Xmin</vt:lpstr>
      <vt:lpstr>AC_Y</vt:lpstr>
      <vt:lpstr>AC_Y_truncated</vt:lpstr>
      <vt:lpstr>AC_Ymax</vt:lpstr>
      <vt:lpstr>AC_Ymin</vt:lpstr>
      <vt:lpstr>AI_Applicant</vt:lpstr>
      <vt:lpstr>AI_Connections_NonRes.</vt:lpstr>
      <vt:lpstr>AI_Connections_Res.</vt:lpstr>
      <vt:lpstr>AI_Effective_Combined_Bill</vt:lpstr>
      <vt:lpstr>AI_Project_Cost</vt:lpstr>
      <vt:lpstr>AI_Project_Type</vt:lpstr>
      <vt:lpstr>AI_Provider_Type</vt:lpstr>
      <vt:lpstr>AI_Rate_Sewer</vt:lpstr>
      <vt:lpstr>AI_Rate_Water</vt:lpstr>
      <vt:lpstr>Economic_Unit_Names</vt:lpstr>
      <vt:lpstr>EFC_50P</vt:lpstr>
      <vt:lpstr>EFC_70P</vt:lpstr>
      <vt:lpstr>EFC_85P</vt:lpstr>
      <vt:lpstr>EFC_95P</vt:lpstr>
      <vt:lpstr>EFC_99P</vt:lpstr>
      <vt:lpstr>FIF_Dept_Principal</vt:lpstr>
      <vt:lpstr>FIF_Interest</vt:lpstr>
      <vt:lpstr>FIF_Operating_Revenues</vt:lpstr>
      <vt:lpstr>FIF_Total_Expenditures</vt:lpstr>
      <vt:lpstr>'Affordability Calculator'!Print_Area</vt:lpstr>
      <vt:lpstr>VU_D1</vt:lpstr>
      <vt:lpstr>VU_Distressed</vt:lpstr>
      <vt:lpstr>VU_Score</vt:lpstr>
      <vt:lpstr>VU_Unit_Names</vt:lpstr>
      <vt:lpstr>VU_Wholesale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Ajami, Ali</dc:creator>
  <cp:lastModifiedBy>Ajami, Ali</cp:lastModifiedBy>
  <cp:lastPrinted>2023-07-24T02:25:33Z</cp:lastPrinted>
  <dcterms:created xsi:type="dcterms:W3CDTF">2022-08-10T10:20:26Z</dcterms:created>
  <dcterms:modified xsi:type="dcterms:W3CDTF">2024-08-15T20:35:32Z</dcterms:modified>
</cp:coreProperties>
</file>