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sckubacki\Documents\Funding Services\Affordability Calculator\"/>
    </mc:Choice>
  </mc:AlternateContent>
  <xr:revisionPtr revIDLastSave="0" documentId="13_ncr:1_{6F2A329E-E6A3-497C-916F-E756975D63E8}" xr6:coauthVersionLast="47" xr6:coauthVersionMax="47" xr10:uidLastSave="{00000000-0000-0000-0000-000000000000}"/>
  <workbookProtection workbookAlgorithmName="SHA-512" workbookHashValue="Z59mGFK2GHMAFYI7DaCbKsQNeDlppxgEcCL8DEAH0s9qPiOjhE5f65JzAk1nOxmKdyZe+/FwSYj4Q74BFH7Lfg==" workbookSaltValue="KTQJZFK8Csb5BUOqcnQigA==" workbookSpinCount="100000" lockStructure="1"/>
  <bookViews>
    <workbookView xWindow="-120" yWindow="-120" windowWidth="29040" windowHeight="15720" xr2:uid="{A6DF553D-9762-465B-8A14-CAF3CA00213B}"/>
  </bookViews>
  <sheets>
    <sheet name="Affordability Calculator" sheetId="3" r:id="rId1"/>
    <sheet name="Units Data Tables" sheetId="1" state="hidden" r:id="rId2"/>
  </sheets>
  <definedNames>
    <definedName name="AC_Chart_X">IF(AI_Project_Type="Water",Data_Points_DW[X: Project Cost Per conn. per Month],IF(AI_Project_Type="Wastewater",Data_Points_CW[X: Project Cost Per conn. per Month],0))</definedName>
    <definedName name="AC_Chart_Y">IF(AI_Project_Type="Water",Data_Points_DW[Y: Effective Combined Bill ($/5,000 gal.)],IF(AI_Project_Type="Wastewater",Data_Points_CW[Y: Effective Combined Bill ($/5,000 gal.)],0))</definedName>
    <definedName name="AC_Connections">'Affordability Calculator'!$C$52</definedName>
    <definedName name="AC_Grant_Eligibility">'Affordability Calculator'!$AE$34</definedName>
    <definedName name="AC_IWSB">'Affordability Calculator'!$I$32</definedName>
    <definedName name="AC_Operating_Ratio_Future">'Affordability Calculator'!$B$41</definedName>
    <definedName name="AC_PCPCPM">'Affordability Calculator'!$C$54</definedName>
    <definedName name="AC_Step1_Completed">'Affordability Calculator'!$AE$4</definedName>
    <definedName name="AC_Step1_Passed">'Affordability Calculator'!$AF$4</definedName>
    <definedName name="AC_Step1_Running_Total_Passed">'Affordability Calculator'!$AG$4</definedName>
    <definedName name="AC_Step2_Completed">'Affordability Calculator'!$AE$5</definedName>
    <definedName name="AC_Step2_Passed">'Affordability Calculator'!$AF$5</definedName>
    <definedName name="AC_Step2_Running_Total_Passed">'Affordability Calculator'!$AG$5</definedName>
    <definedName name="AC_Step3_Completed">'Affordability Calculator'!$AE$6</definedName>
    <definedName name="AC_Step3_Passed">'Affordability Calculator'!$AF$6</definedName>
    <definedName name="AC_Step3_Running_Total_Passed">'Affordability Calculator'!$AG$6</definedName>
    <definedName name="AC_Step4_Completed">'Affordability Calculator'!$AE$7</definedName>
    <definedName name="AC_Step4_Passed">'Affordability Calculator'!$AF$7</definedName>
    <definedName name="AC_Step4_Running_Total_Passed">'Affordability Calculator'!$AG$7</definedName>
    <definedName name="AC_Step5_Completed">'Affordability Calculator'!$AE$8</definedName>
    <definedName name="AC_Step5_Passed">'Affordability Calculator'!$AF$8</definedName>
    <definedName name="AC_Step5_Running_Total_Passed">'Affordability Calculator'!$AG$8</definedName>
    <definedName name="AC_X">'Affordability Calculator'!$AE$11</definedName>
    <definedName name="AC_X_truncated">'Affordability Calculator'!$AD$13</definedName>
    <definedName name="AC_Xmax">'Affordability Calculator'!$AE$13</definedName>
    <definedName name="AC_Xmin">'Affordability Calculator'!$AC$13</definedName>
    <definedName name="AC_Y">'Affordability Calculator'!$AE$10</definedName>
    <definedName name="AC_Y_truncated">'Affordability Calculator'!$AB$11</definedName>
    <definedName name="AC_Ymax">'Affordability Calculator'!$AB$10</definedName>
    <definedName name="AC_Ymin">'Affordability Calculator'!$AB$12</definedName>
    <definedName name="AI_Applicant">'Affordability Calculator'!$B$5</definedName>
    <definedName name="AI_Connections_NonRes.">'Affordability Calculator'!$C$51</definedName>
    <definedName name="AI_Connections_Res.">'Affordability Calculator'!$E$16</definedName>
    <definedName name="AI_Effective_Combined_Bill">'Affordability Calculator'!$C$49</definedName>
    <definedName name="AI_Pop._Source">'Affordability Calculator'!$AA$27</definedName>
    <definedName name="AI_Project_Cost">'Affordability Calculator'!$B$40</definedName>
    <definedName name="AI_Project_Type">'Affordability Calculator'!$C$48</definedName>
    <definedName name="AI_Provider_Type">'Affordability Calculator'!$C$47</definedName>
    <definedName name="AI_Rate_Sewer">'Affordability Calculator'!$F$48</definedName>
    <definedName name="AI_Rate_Water">'Affordability Calculator'!$E$48</definedName>
    <definedName name="Condition1">'Affordability Calculator'!$V$102</definedName>
    <definedName name="Condition2">'Affordability Calculator'!$V$103</definedName>
    <definedName name="Condition3">'Affordability Calculator'!$V$104</definedName>
    <definedName name="Economic_Unit_Names">DataTable_Economic[LGU]</definedName>
    <definedName name="EFC_50P">'Affordability Calculator'!$AE$16</definedName>
    <definedName name="EFC_70P">'Affordability Calculator'!$AE$17</definedName>
    <definedName name="EFC_85P">'Affordability Calculator'!$AE$18</definedName>
    <definedName name="EFC_95P">'Affordability Calculator'!$AE$19</definedName>
    <definedName name="EFC_99P">'Affordability Calculator'!$AE$20</definedName>
    <definedName name="FIF_Dept_Principal">'Affordability Calculator'!$B$38</definedName>
    <definedName name="FIF_Interest">'Affordability Calculator'!$B$39</definedName>
    <definedName name="FIF_Operating_Revenues">'Affordability Calculator'!$B$36</definedName>
    <definedName name="FIF_Total_Expenditures">'Affordability Calculator'!$B$37</definedName>
    <definedName name="Initial1">'Affordability Calculator'!$V$107</definedName>
    <definedName name="Initial2">'Affordability Calculator'!$V$108</definedName>
    <definedName name="Initial3">'Affordability Calculator'!$V$109</definedName>
    <definedName name="_xlnm.Print_Area" localSheetId="0">'Affordability Calculator'!$A$1:$J$115</definedName>
    <definedName name="SB_MHI">'Units Data Tables'!$H$2</definedName>
    <definedName name="SB_PCh_ACS">'Units Data Tables'!$D$2</definedName>
    <definedName name="SB_PCh_OSBM">'Units Data Tables'!$E$2</definedName>
    <definedName name="SB_PR">'Units Data Tables'!$F$2</definedName>
    <definedName name="SB_PVPC_ACS">'Units Data Tables'!$I$2</definedName>
    <definedName name="SB_PVPC_OSBM">'Units Data Tables'!$J$2</definedName>
    <definedName name="SB_UR">'Units Data Tables'!$G$2</definedName>
    <definedName name="Service_Population">'Affordability Calculator'!$D$89</definedName>
    <definedName name="VU_D1">'Affordability Calculator'!$B$12</definedName>
    <definedName name="VU_Distressed">'Affordability Calculator'!$B$9</definedName>
    <definedName name="VU_Score">'Affordability Calculator'!$B$10</definedName>
    <definedName name="VU_Unit_Names">DataTable_VUR[Unit Name]</definedName>
    <definedName name="VU_Wholesale">'Affordability Calculator'!$B$11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7" i="3" l="1" a="1"/>
  <c r="E27" i="3"/>
  <c r="D89" i="3" l="1"/>
  <c r="V109" i="3" s="1"/>
  <c r="A26" i="3"/>
  <c r="G26" i="3" s="1"/>
  <c r="G31" i="3"/>
  <c r="B22" i="3"/>
  <c r="A25" i="3"/>
  <c r="A24" i="3"/>
  <c r="C25" i="3" a="1"/>
  <c r="E25" i="3" a="1"/>
  <c r="D25" i="3" a="1"/>
  <c r="E25" i="3" l="1"/>
  <c r="D25" i="3"/>
  <c r="C25" i="3"/>
  <c r="A30" i="3" l="1"/>
  <c r="A29" i="3"/>
  <c r="G29" i="3" s="1"/>
  <c r="A28" i="3"/>
  <c r="G28" i="3" s="1"/>
  <c r="A27" i="3"/>
  <c r="G27" i="3" s="1"/>
  <c r="H31" i="3" l="1"/>
  <c r="H26" i="3"/>
  <c r="H29" i="3"/>
  <c r="H28" i="3"/>
  <c r="H27" i="3"/>
  <c r="AO4" i="3"/>
  <c r="AO5" i="3"/>
  <c r="AO6" i="3"/>
  <c r="AO7" i="3"/>
  <c r="AO8" i="3"/>
  <c r="AO9" i="3"/>
  <c r="AO10" i="3"/>
  <c r="AO11" i="3"/>
  <c r="AO12" i="3"/>
  <c r="AO13" i="3"/>
  <c r="AO14" i="3"/>
  <c r="AO15" i="3"/>
  <c r="AO16" i="3"/>
  <c r="AO17" i="3"/>
  <c r="AO18" i="3"/>
  <c r="AO19" i="3"/>
  <c r="AO20" i="3"/>
  <c r="AO21" i="3"/>
  <c r="AO22" i="3"/>
  <c r="AO23" i="3"/>
  <c r="AO24" i="3"/>
  <c r="AO25" i="3"/>
  <c r="AO26" i="3"/>
  <c r="AO27" i="3"/>
  <c r="AO28" i="3"/>
  <c r="AO29" i="3"/>
  <c r="AO30" i="3"/>
  <c r="AO31" i="3"/>
  <c r="AO32" i="3"/>
  <c r="AO33" i="3"/>
  <c r="AO34" i="3"/>
  <c r="AO35" i="3"/>
  <c r="AO36" i="3"/>
  <c r="AO37" i="3"/>
  <c r="AO38" i="3"/>
  <c r="AO39" i="3"/>
  <c r="AO40" i="3"/>
  <c r="AO41" i="3"/>
  <c r="AO42" i="3"/>
  <c r="AO43" i="3"/>
  <c r="AO44" i="3"/>
  <c r="AO45" i="3"/>
  <c r="AO46" i="3"/>
  <c r="AO47" i="3"/>
  <c r="AO48" i="3"/>
  <c r="AO49" i="3"/>
  <c r="AO50" i="3"/>
  <c r="AO51" i="3"/>
  <c r="AO52" i="3"/>
  <c r="AO53" i="3"/>
  <c r="AO54" i="3"/>
  <c r="AO55" i="3"/>
  <c r="AO56" i="3"/>
  <c r="AO57" i="3"/>
  <c r="AO58" i="3"/>
  <c r="AO59" i="3"/>
  <c r="AO60" i="3"/>
  <c r="AO61" i="3"/>
  <c r="AO62" i="3"/>
  <c r="AO63" i="3"/>
  <c r="AO64" i="3"/>
  <c r="AO65" i="3"/>
  <c r="AO66" i="3"/>
  <c r="AO67" i="3"/>
  <c r="AO68" i="3"/>
  <c r="AO69" i="3"/>
  <c r="AO70" i="3"/>
  <c r="AO71" i="3"/>
  <c r="AO72" i="3"/>
  <c r="AO73" i="3"/>
  <c r="AO74" i="3"/>
  <c r="AO75" i="3"/>
  <c r="AO76" i="3"/>
  <c r="AO77" i="3"/>
  <c r="AO78" i="3"/>
  <c r="AO79" i="3"/>
  <c r="AO80" i="3"/>
  <c r="AO81" i="3"/>
  <c r="AO82" i="3"/>
  <c r="AO83" i="3"/>
  <c r="AO84" i="3"/>
  <c r="AO85" i="3"/>
  <c r="AO86" i="3"/>
  <c r="AO87" i="3"/>
  <c r="AO88" i="3"/>
  <c r="AO89" i="3"/>
  <c r="AO90" i="3"/>
  <c r="AO91" i="3"/>
  <c r="AO92" i="3"/>
  <c r="AO93" i="3"/>
  <c r="AO94" i="3"/>
  <c r="AO95" i="3"/>
  <c r="AO96" i="3"/>
  <c r="AO97" i="3"/>
  <c r="AO98" i="3"/>
  <c r="AO99" i="3"/>
  <c r="AO100" i="3"/>
  <c r="AO101" i="3"/>
  <c r="AO102" i="3"/>
  <c r="AO103" i="3"/>
  <c r="AO104" i="3"/>
  <c r="AO105" i="3"/>
  <c r="AO106" i="3"/>
  <c r="AO107" i="3"/>
  <c r="AO108" i="3"/>
  <c r="AO109" i="3"/>
  <c r="AO110" i="3"/>
  <c r="AO111" i="3"/>
  <c r="AO112" i="3"/>
  <c r="AO113" i="3"/>
  <c r="AO114" i="3"/>
  <c r="AO115" i="3"/>
  <c r="AO116" i="3"/>
  <c r="AO117" i="3"/>
  <c r="AO118" i="3"/>
  <c r="AO119" i="3"/>
  <c r="AO120" i="3"/>
  <c r="AO121" i="3"/>
  <c r="AO122" i="3"/>
  <c r="AO123" i="3"/>
  <c r="AO124" i="3"/>
  <c r="AO125" i="3"/>
  <c r="AO126" i="3"/>
  <c r="AO127" i="3"/>
  <c r="AO128" i="3"/>
  <c r="AO129" i="3"/>
  <c r="AO130" i="3"/>
  <c r="AO131" i="3"/>
  <c r="AO132" i="3"/>
  <c r="AO133" i="3"/>
  <c r="AO134" i="3"/>
  <c r="AO135" i="3"/>
  <c r="AO136" i="3"/>
  <c r="AO137" i="3"/>
  <c r="AO138" i="3"/>
  <c r="AO139" i="3"/>
  <c r="AO140" i="3"/>
  <c r="AO141" i="3"/>
  <c r="AO142" i="3"/>
  <c r="AO143" i="3"/>
  <c r="AO144" i="3"/>
  <c r="AO145" i="3"/>
  <c r="AO146" i="3"/>
  <c r="AO147" i="3"/>
  <c r="AO148" i="3"/>
  <c r="AO149" i="3"/>
  <c r="AO150" i="3"/>
  <c r="AO151" i="3"/>
  <c r="AO152" i="3"/>
  <c r="AO153" i="3"/>
  <c r="AO154" i="3"/>
  <c r="AO155" i="3"/>
  <c r="AO156" i="3"/>
  <c r="AO157" i="3"/>
  <c r="AO158" i="3"/>
  <c r="AO159" i="3"/>
  <c r="AO160" i="3"/>
  <c r="AO161" i="3"/>
  <c r="AO162" i="3"/>
  <c r="AO163" i="3"/>
  <c r="AO164" i="3"/>
  <c r="AO165" i="3"/>
  <c r="AO166" i="3"/>
  <c r="AO167" i="3"/>
  <c r="AO168" i="3"/>
  <c r="AO169" i="3"/>
  <c r="AO170" i="3"/>
  <c r="AO171" i="3"/>
  <c r="AO172" i="3"/>
  <c r="AO173" i="3"/>
  <c r="AO174" i="3"/>
  <c r="AO175" i="3"/>
  <c r="AO176" i="3"/>
  <c r="AO177" i="3"/>
  <c r="AO178" i="3"/>
  <c r="AO179" i="3"/>
  <c r="AO180" i="3"/>
  <c r="AO181" i="3"/>
  <c r="AO182" i="3"/>
  <c r="AO183" i="3"/>
  <c r="AO184" i="3"/>
  <c r="AO185" i="3"/>
  <c r="AO186" i="3"/>
  <c r="AO187" i="3"/>
  <c r="AO188" i="3"/>
  <c r="AO189" i="3"/>
  <c r="AO190" i="3"/>
  <c r="AO191" i="3"/>
  <c r="AO192" i="3"/>
  <c r="AO193" i="3"/>
  <c r="AO194" i="3"/>
  <c r="AO195" i="3"/>
  <c r="AO196" i="3"/>
  <c r="AO197" i="3"/>
  <c r="AO198" i="3"/>
  <c r="AO199" i="3"/>
  <c r="AO200" i="3"/>
  <c r="AO201" i="3"/>
  <c r="AO202" i="3"/>
  <c r="AO203" i="3"/>
  <c r="AO204" i="3"/>
  <c r="AO205" i="3"/>
  <c r="AO206" i="3"/>
  <c r="AO207" i="3"/>
  <c r="AO208" i="3"/>
  <c r="AO209" i="3"/>
  <c r="AO210" i="3"/>
  <c r="AO211" i="3"/>
  <c r="AO212" i="3"/>
  <c r="AO213" i="3"/>
  <c r="AO214" i="3"/>
  <c r="AO215" i="3"/>
  <c r="AO216" i="3"/>
  <c r="AO217" i="3"/>
  <c r="AO218" i="3"/>
  <c r="AO219" i="3"/>
  <c r="AO220" i="3"/>
  <c r="AO221" i="3"/>
  <c r="AO222" i="3"/>
  <c r="AO223" i="3"/>
  <c r="AO224" i="3"/>
  <c r="AO225" i="3"/>
  <c r="AO226" i="3"/>
  <c r="AO227" i="3"/>
  <c r="AO228" i="3"/>
  <c r="AO229" i="3"/>
  <c r="AO230" i="3"/>
  <c r="AO231" i="3"/>
  <c r="AO232" i="3"/>
  <c r="AO233" i="3"/>
  <c r="AO234" i="3"/>
  <c r="AO235" i="3"/>
  <c r="AO236" i="3"/>
  <c r="AO237" i="3"/>
  <c r="AO238" i="3"/>
  <c r="AO239" i="3"/>
  <c r="AO240" i="3"/>
  <c r="AO241" i="3"/>
  <c r="AO242" i="3"/>
  <c r="AO243" i="3"/>
  <c r="AO244" i="3"/>
  <c r="AO245" i="3"/>
  <c r="AO246" i="3"/>
  <c r="AO247" i="3"/>
  <c r="AO248" i="3"/>
  <c r="AO249" i="3"/>
  <c r="AO250" i="3"/>
  <c r="AO251" i="3"/>
  <c r="AO252" i="3"/>
  <c r="AO253" i="3"/>
  <c r="AO254" i="3"/>
  <c r="AO255" i="3"/>
  <c r="AO256" i="3"/>
  <c r="AO257" i="3"/>
  <c r="AO258" i="3"/>
  <c r="AO259" i="3"/>
  <c r="AO260" i="3"/>
  <c r="AO261" i="3"/>
  <c r="AO262" i="3"/>
  <c r="AO263" i="3"/>
  <c r="AO264" i="3"/>
  <c r="AO265" i="3"/>
  <c r="AO266" i="3"/>
  <c r="AO267" i="3"/>
  <c r="AO268" i="3"/>
  <c r="AO269" i="3"/>
  <c r="AO270" i="3"/>
  <c r="AO271" i="3"/>
  <c r="AO272" i="3"/>
  <c r="AO273" i="3"/>
  <c r="AO274" i="3"/>
  <c r="AO275" i="3"/>
  <c r="AO276" i="3"/>
  <c r="AO277" i="3"/>
  <c r="AO278" i="3"/>
  <c r="AO279" i="3"/>
  <c r="AO280" i="3"/>
  <c r="AO281" i="3"/>
  <c r="AO282" i="3"/>
  <c r="AO283" i="3"/>
  <c r="AO284" i="3"/>
  <c r="AO285" i="3"/>
  <c r="AO286" i="3"/>
  <c r="AO287" i="3"/>
  <c r="AO288" i="3"/>
  <c r="AO289" i="3"/>
  <c r="AO290" i="3"/>
  <c r="AO291" i="3"/>
  <c r="AO292" i="3"/>
  <c r="AO293" i="3"/>
  <c r="AO294" i="3"/>
  <c r="AO295" i="3"/>
  <c r="AO296" i="3"/>
  <c r="AO297" i="3"/>
  <c r="AO298" i="3"/>
  <c r="AO299" i="3"/>
  <c r="AO300" i="3"/>
  <c r="AO301" i="3"/>
  <c r="AO302" i="3"/>
  <c r="AO303" i="3"/>
  <c r="AO304" i="3"/>
  <c r="AJ5" i="3" l="1"/>
  <c r="AJ6" i="3" s="1"/>
  <c r="AJ7" i="3" s="1"/>
  <c r="AJ8" i="3" s="1"/>
  <c r="AJ9" i="3" s="1"/>
  <c r="AJ10" i="3" s="1"/>
  <c r="AL10" i="3" s="1"/>
  <c r="AJ11" i="3" l="1"/>
  <c r="AM10" i="3"/>
  <c r="AK10" i="3"/>
  <c r="AN10" i="3"/>
  <c r="AK5" i="3"/>
  <c r="AM5" i="3"/>
  <c r="AL5" i="3"/>
  <c r="AN5" i="3"/>
  <c r="AN4" i="3"/>
  <c r="AK4" i="3"/>
  <c r="AM4" i="3"/>
  <c r="AL4" i="3"/>
  <c r="C27" i="3" a="1"/>
  <c r="C29" i="3" a="1"/>
  <c r="E29" i="3" a="1"/>
  <c r="C28" i="3" a="1"/>
  <c r="D27" i="3" a="1"/>
  <c r="D28" i="3" a="1"/>
  <c r="D29" i="3" a="1"/>
  <c r="E28" i="3" a="1"/>
  <c r="AJ12" i="3" l="1"/>
  <c r="AL11" i="3"/>
  <c r="AM11" i="3"/>
  <c r="AN11" i="3"/>
  <c r="AK11" i="3"/>
  <c r="AL6" i="3"/>
  <c r="AN6" i="3"/>
  <c r="AK6" i="3"/>
  <c r="AM6" i="3"/>
  <c r="E28" i="3"/>
  <c r="E29" i="3"/>
  <c r="D29" i="3"/>
  <c r="D28" i="3"/>
  <c r="D27" i="3"/>
  <c r="C28" i="3"/>
  <c r="C27" i="3"/>
  <c r="C29" i="3"/>
  <c r="C24" i="3" a="1"/>
  <c r="D24" i="3" a="1"/>
  <c r="E30" i="3" a="1"/>
  <c r="C30" i="3" a="1"/>
  <c r="D30" i="3" a="1"/>
  <c r="E24" i="3" a="1"/>
  <c r="AJ13" i="3" l="1"/>
  <c r="AK12" i="3"/>
  <c r="AL12" i="3"/>
  <c r="AM12" i="3"/>
  <c r="AN12" i="3"/>
  <c r="AK7" i="3"/>
  <c r="AL7" i="3"/>
  <c r="AN7" i="3"/>
  <c r="AM7" i="3"/>
  <c r="E24" i="3"/>
  <c r="E26" i="3" s="1"/>
  <c r="D24" i="3"/>
  <c r="D26" i="3" s="1"/>
  <c r="C24" i="3"/>
  <c r="C26" i="3" s="1"/>
  <c r="E30" i="3"/>
  <c r="E31" i="3" s="1"/>
  <c r="D30" i="3"/>
  <c r="D31" i="3" s="1"/>
  <c r="C30" i="3"/>
  <c r="C31" i="3" s="1"/>
  <c r="AJ14" i="3" l="1"/>
  <c r="AK13" i="3"/>
  <c r="AL13" i="3"/>
  <c r="AM13" i="3"/>
  <c r="AN13" i="3"/>
  <c r="AK8" i="3"/>
  <c r="AM8" i="3"/>
  <c r="AN8" i="3"/>
  <c r="AL8" i="3"/>
  <c r="B8" i="3"/>
  <c r="B27" i="3" a="1"/>
  <c r="B25" i="3" a="1"/>
  <c r="B30" i="3" a="1"/>
  <c r="B24" i="3" a="1"/>
  <c r="B29" i="3" a="1"/>
  <c r="B28" i="3" a="1"/>
  <c r="B25" i="3" l="1"/>
  <c r="B12" i="3"/>
  <c r="B11" i="3"/>
  <c r="AJ15" i="3"/>
  <c r="AK14" i="3"/>
  <c r="AL14" i="3"/>
  <c r="AM14" i="3"/>
  <c r="AN14" i="3"/>
  <c r="AK9" i="3"/>
  <c r="AM9" i="3"/>
  <c r="AL9" i="3"/>
  <c r="AN9" i="3"/>
  <c r="B27" i="3"/>
  <c r="B29" i="3"/>
  <c r="B30" i="3"/>
  <c r="B28" i="3"/>
  <c r="B24" i="3"/>
  <c r="F16" i="3"/>
  <c r="AE7" i="3"/>
  <c r="AE5" i="3"/>
  <c r="B31" i="3" l="1"/>
  <c r="B26" i="3"/>
  <c r="AJ16" i="3"/>
  <c r="AK15" i="3"/>
  <c r="AL15" i="3"/>
  <c r="AM15" i="3"/>
  <c r="AN15" i="3"/>
  <c r="B9" i="3"/>
  <c r="B41" i="3"/>
  <c r="V102" i="3" l="1"/>
  <c r="V107" i="3"/>
  <c r="AJ17" i="3"/>
  <c r="AK16" i="3"/>
  <c r="AL16" i="3"/>
  <c r="AM16" i="3"/>
  <c r="AN16" i="3"/>
  <c r="AF7" i="3"/>
  <c r="AF5" i="3"/>
  <c r="B10" i="3"/>
  <c r="C52" i="3"/>
  <c r="AJ18" i="3" l="1"/>
  <c r="AK17" i="3"/>
  <c r="AL17" i="3"/>
  <c r="AN17" i="3"/>
  <c r="AM17" i="3"/>
  <c r="F23" i="3" a="1"/>
  <c r="F23" i="3" s="1"/>
  <c r="F26" i="3" s="1" a="1"/>
  <c r="F26" i="3" s="1"/>
  <c r="I26" i="3" l="1" a="1"/>
  <c r="I26" i="3" s="1"/>
  <c r="F27" i="3" a="1"/>
  <c r="F27" i="3" s="1"/>
  <c r="I27" i="3" s="1" a="1"/>
  <c r="I27" i="3" s="1"/>
  <c r="F29" i="3" a="1"/>
  <c r="F29" i="3" s="1"/>
  <c r="I29" i="3" s="1" a="1"/>
  <c r="I29" i="3" s="1"/>
  <c r="F28" i="3" a="1"/>
  <c r="F28" i="3" s="1"/>
  <c r="I28" i="3" s="1" a="1"/>
  <c r="I28" i="3" s="1"/>
  <c r="AJ19" i="3"/>
  <c r="AM18" i="3"/>
  <c r="AK18" i="3"/>
  <c r="AN18" i="3"/>
  <c r="AL18" i="3"/>
  <c r="BD5" i="3"/>
  <c r="BD6" i="3"/>
  <c r="BD7" i="3"/>
  <c r="BD8" i="3"/>
  <c r="BD9" i="3"/>
  <c r="BD10" i="3"/>
  <c r="BD11" i="3"/>
  <c r="BD12" i="3"/>
  <c r="BD13" i="3"/>
  <c r="BD14" i="3"/>
  <c r="BD15" i="3"/>
  <c r="BD16" i="3"/>
  <c r="BD17" i="3"/>
  <c r="BD18" i="3"/>
  <c r="BD19" i="3"/>
  <c r="BD20" i="3"/>
  <c r="BD21" i="3"/>
  <c r="BD22" i="3"/>
  <c r="BD23" i="3"/>
  <c r="BD24" i="3"/>
  <c r="BD25" i="3"/>
  <c r="BD26" i="3"/>
  <c r="BD27" i="3"/>
  <c r="BD28" i="3"/>
  <c r="BD29" i="3"/>
  <c r="BD30" i="3"/>
  <c r="BD31" i="3"/>
  <c r="BD32" i="3"/>
  <c r="BD33" i="3"/>
  <c r="BD34" i="3"/>
  <c r="BD35" i="3"/>
  <c r="BD36" i="3"/>
  <c r="BD37" i="3"/>
  <c r="BD38" i="3"/>
  <c r="BD39" i="3"/>
  <c r="BD40" i="3"/>
  <c r="BD41" i="3"/>
  <c r="BD42" i="3"/>
  <c r="BD43" i="3"/>
  <c r="BD44" i="3"/>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74" i="3"/>
  <c r="BD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90" i="3"/>
  <c r="AZ4" i="3"/>
  <c r="AJ20" i="3" l="1"/>
  <c r="AL19" i="3"/>
  <c r="AM19" i="3"/>
  <c r="AN19" i="3"/>
  <c r="AK19" i="3"/>
  <c r="AE27" i="3"/>
  <c r="AG27" i="3"/>
  <c r="AE28" i="3"/>
  <c r="AG28" i="3"/>
  <c r="AE29" i="3"/>
  <c r="AG29" i="3"/>
  <c r="AE30" i="3"/>
  <c r="AG30" i="3"/>
  <c r="AE31" i="3"/>
  <c r="AG31" i="3"/>
  <c r="AE32" i="3"/>
  <c r="AG32" i="3"/>
  <c r="AJ21" i="3" l="1"/>
  <c r="AK20" i="3"/>
  <c r="AL20" i="3"/>
  <c r="AM20" i="3"/>
  <c r="AN20" i="3"/>
  <c r="A52" i="3"/>
  <c r="A51" i="3"/>
  <c r="D16" i="3"/>
  <c r="AJ22" i="3" l="1"/>
  <c r="AK21" i="3"/>
  <c r="AL21" i="3"/>
  <c r="AM21" i="3"/>
  <c r="AN21" i="3"/>
  <c r="AJ23" i="3" l="1"/>
  <c r="AK22" i="3"/>
  <c r="AL22" i="3"/>
  <c r="AM22" i="3"/>
  <c r="AN22" i="3"/>
  <c r="F31" i="3" a="1"/>
  <c r="F31" i="3" s="1"/>
  <c r="I31" i="3" s="1" a="1"/>
  <c r="I31" i="3" s="1"/>
  <c r="AJ24" i="3" l="1"/>
  <c r="AK23" i="3"/>
  <c r="AL23" i="3"/>
  <c r="AM23" i="3"/>
  <c r="AN23" i="3"/>
  <c r="I32" i="3" a="1"/>
  <c r="I32" i="3" s="1"/>
  <c r="AE4" i="3"/>
  <c r="V104" i="3" l="1"/>
  <c r="V108" i="3"/>
  <c r="C102" i="3" s="1" a="1"/>
  <c r="C102" i="3" s="1"/>
  <c r="V103" i="3"/>
  <c r="AJ25" i="3"/>
  <c r="AK24" i="3"/>
  <c r="AL24" i="3"/>
  <c r="AM24" i="3"/>
  <c r="AN24" i="3"/>
  <c r="AF4" i="3"/>
  <c r="A13" i="3" s="1"/>
  <c r="A102" i="3" l="1" a="1"/>
  <c r="A102" i="3" s="1"/>
  <c r="AJ26" i="3"/>
  <c r="AK25" i="3"/>
  <c r="AL25" i="3"/>
  <c r="AN25" i="3"/>
  <c r="AM25" i="3"/>
  <c r="AG4" i="3"/>
  <c r="AG5" i="3"/>
  <c r="AJ27" i="3" l="1"/>
  <c r="AM26" i="3"/>
  <c r="AK26" i="3"/>
  <c r="AN26" i="3"/>
  <c r="AL26" i="3"/>
  <c r="AE6" i="3"/>
  <c r="AF6" i="3" s="1"/>
  <c r="AJ28" i="3" l="1"/>
  <c r="AL27" i="3"/>
  <c r="AM27" i="3"/>
  <c r="AK27" i="3"/>
  <c r="AN27" i="3"/>
  <c r="A32" i="3"/>
  <c r="AG6" i="3"/>
  <c r="A42" i="3" s="1"/>
  <c r="AG7" i="3"/>
  <c r="C49" i="3" s="1"/>
  <c r="AE8" i="3" s="1"/>
  <c r="AF8" i="3" s="1"/>
  <c r="AG8" i="3" s="1"/>
  <c r="AB11" i="3" l="1"/>
  <c r="A63" i="3" a="1"/>
  <c r="A63" i="3" s="1"/>
  <c r="AJ29" i="3"/>
  <c r="AK28" i="3"/>
  <c r="AL28" i="3"/>
  <c r="AM28" i="3"/>
  <c r="AN28" i="3"/>
  <c r="AE10" i="3"/>
  <c r="AE33" i="3"/>
  <c r="C54" i="3"/>
  <c r="AE11" i="3" s="1"/>
  <c r="AJ30" i="3" l="1"/>
  <c r="AK29" i="3"/>
  <c r="AL29" i="3"/>
  <c r="AM29" i="3"/>
  <c r="AN29" i="3"/>
  <c r="AD13" i="3"/>
  <c r="AG33" i="3"/>
  <c r="AE34" i="3" s="1"/>
  <c r="AJ31" i="3" l="1"/>
  <c r="AK30" i="3"/>
  <c r="AL30" i="3"/>
  <c r="AM30" i="3"/>
  <c r="AN30" i="3"/>
  <c r="AJ32" i="3" l="1"/>
  <c r="AK31" i="3"/>
  <c r="AL31" i="3"/>
  <c r="AM31" i="3"/>
  <c r="AN31" i="3"/>
  <c r="AJ33" i="3" l="1"/>
  <c r="AK32" i="3"/>
  <c r="AL32" i="3"/>
  <c r="AM32" i="3"/>
  <c r="AN32" i="3"/>
  <c r="AJ34" i="3" l="1"/>
  <c r="AK33" i="3"/>
  <c r="AL33" i="3"/>
  <c r="AN33" i="3"/>
  <c r="AM33" i="3"/>
  <c r="AJ35" i="3" l="1"/>
  <c r="AM34" i="3"/>
  <c r="AK34" i="3"/>
  <c r="AL34" i="3"/>
  <c r="AN34" i="3"/>
  <c r="AJ36" i="3" l="1"/>
  <c r="AL35" i="3"/>
  <c r="AM35" i="3"/>
  <c r="AK35" i="3"/>
  <c r="AN35" i="3"/>
  <c r="AJ37" i="3" l="1"/>
  <c r="AK36" i="3"/>
  <c r="AL36" i="3"/>
  <c r="AM36" i="3"/>
  <c r="AN36" i="3"/>
  <c r="AJ38" i="3" l="1"/>
  <c r="AK37" i="3"/>
  <c r="AL37" i="3"/>
  <c r="AM37" i="3"/>
  <c r="AN37" i="3"/>
  <c r="AJ39" i="3" l="1"/>
  <c r="AK38" i="3"/>
  <c r="AL38" i="3"/>
  <c r="AM38" i="3"/>
  <c r="AN38" i="3"/>
  <c r="AJ40" i="3" l="1"/>
  <c r="AK39" i="3"/>
  <c r="AL39" i="3"/>
  <c r="AM39" i="3"/>
  <c r="AN39" i="3"/>
  <c r="AJ41" i="3" l="1"/>
  <c r="AK40" i="3"/>
  <c r="AL40" i="3"/>
  <c r="AM40" i="3"/>
  <c r="AN40" i="3"/>
  <c r="AJ42" i="3" l="1"/>
  <c r="AK41" i="3"/>
  <c r="AL41" i="3"/>
  <c r="AM41" i="3"/>
  <c r="AN41" i="3"/>
  <c r="AJ43" i="3" l="1"/>
  <c r="AM42" i="3"/>
  <c r="AK42" i="3"/>
  <c r="AL42" i="3"/>
  <c r="AN42" i="3"/>
  <c r="AJ44" i="3" l="1"/>
  <c r="AL43" i="3"/>
  <c r="AM43" i="3"/>
  <c r="AK43" i="3"/>
  <c r="AN43" i="3"/>
  <c r="AJ45" i="3" l="1"/>
  <c r="AK44" i="3"/>
  <c r="AL44" i="3"/>
  <c r="AM44" i="3"/>
  <c r="AN44" i="3"/>
  <c r="AJ46" i="3" l="1"/>
  <c r="AK45" i="3"/>
  <c r="AL45" i="3"/>
  <c r="AM45" i="3"/>
  <c r="AN45" i="3"/>
  <c r="AJ47" i="3" l="1"/>
  <c r="AK46" i="3"/>
  <c r="AL46" i="3"/>
  <c r="AM46" i="3"/>
  <c r="AN46" i="3"/>
  <c r="AJ48" i="3" l="1"/>
  <c r="AK47" i="3"/>
  <c r="AL47" i="3"/>
  <c r="AM47" i="3"/>
  <c r="AN47" i="3"/>
  <c r="AJ49" i="3" l="1"/>
  <c r="AK48" i="3"/>
  <c r="AL48" i="3"/>
  <c r="AM48" i="3"/>
  <c r="AN48" i="3"/>
  <c r="AJ50" i="3" l="1"/>
  <c r="AK49" i="3"/>
  <c r="AL49" i="3"/>
  <c r="AN49" i="3"/>
  <c r="AM49" i="3"/>
  <c r="AJ51" i="3" l="1"/>
  <c r="AM50" i="3"/>
  <c r="AK50" i="3"/>
  <c r="AN50" i="3"/>
  <c r="AL50" i="3"/>
  <c r="AJ52" i="3" l="1"/>
  <c r="AL51" i="3"/>
  <c r="AM51" i="3"/>
  <c r="AN51" i="3"/>
  <c r="AK51" i="3"/>
  <c r="AJ53" i="3" l="1"/>
  <c r="AK52" i="3"/>
  <c r="AL52" i="3"/>
  <c r="AM52" i="3"/>
  <c r="AN52" i="3"/>
  <c r="AJ54" i="3" l="1"/>
  <c r="AK53" i="3"/>
  <c r="AL53" i="3"/>
  <c r="AM53" i="3"/>
  <c r="AN53" i="3"/>
  <c r="AJ55" i="3" l="1"/>
  <c r="AK54" i="3"/>
  <c r="AL54" i="3"/>
  <c r="AM54" i="3"/>
  <c r="AN54" i="3"/>
  <c r="AJ56" i="3" l="1"/>
  <c r="AK55" i="3"/>
  <c r="AL55" i="3"/>
  <c r="AM55" i="3"/>
  <c r="AN55" i="3"/>
  <c r="AJ57" i="3" l="1"/>
  <c r="AK56" i="3"/>
  <c r="AL56" i="3"/>
  <c r="AM56" i="3"/>
  <c r="AN56" i="3"/>
  <c r="AJ58" i="3" l="1"/>
  <c r="AK57" i="3"/>
  <c r="AL57" i="3"/>
  <c r="AN57" i="3"/>
  <c r="AM57" i="3"/>
  <c r="AJ59" i="3" l="1"/>
  <c r="AM58" i="3"/>
  <c r="AK58" i="3"/>
  <c r="AN58" i="3"/>
  <c r="AL58" i="3"/>
  <c r="AJ60" i="3" l="1"/>
  <c r="AL59" i="3"/>
  <c r="AM59" i="3"/>
  <c r="AN59" i="3"/>
  <c r="AK59" i="3"/>
  <c r="AJ61" i="3" l="1"/>
  <c r="AK60" i="3"/>
  <c r="AL60" i="3"/>
  <c r="AM60" i="3"/>
  <c r="AN60" i="3"/>
  <c r="AJ62" i="3" l="1"/>
  <c r="AK61" i="3"/>
  <c r="AL61" i="3"/>
  <c r="AM61" i="3"/>
  <c r="AN61" i="3"/>
  <c r="AJ63" i="3" l="1"/>
  <c r="AK62" i="3"/>
  <c r="AL62" i="3"/>
  <c r="AM62" i="3"/>
  <c r="AN62" i="3"/>
  <c r="AJ64" i="3" l="1"/>
  <c r="AK63" i="3"/>
  <c r="AL63" i="3"/>
  <c r="AM63" i="3"/>
  <c r="AN63" i="3"/>
  <c r="AJ65" i="3" l="1"/>
  <c r="AK64" i="3"/>
  <c r="AL64" i="3"/>
  <c r="AM64" i="3"/>
  <c r="AN64" i="3"/>
  <c r="AJ66" i="3" l="1"/>
  <c r="AK65" i="3"/>
  <c r="AL65" i="3"/>
  <c r="AN65" i="3"/>
  <c r="AM65" i="3"/>
  <c r="AJ67" i="3" l="1"/>
  <c r="AM66" i="3"/>
  <c r="AK66" i="3"/>
  <c r="AN66" i="3"/>
  <c r="AL66" i="3"/>
  <c r="AJ68" i="3" l="1"/>
  <c r="AL67" i="3"/>
  <c r="AM67" i="3"/>
  <c r="AN67" i="3"/>
  <c r="AK67" i="3"/>
  <c r="AJ69" i="3" l="1"/>
  <c r="AK68" i="3"/>
  <c r="AL68" i="3"/>
  <c r="AM68" i="3"/>
  <c r="AN68" i="3"/>
  <c r="AJ70" i="3" l="1"/>
  <c r="AK69" i="3"/>
  <c r="AL69" i="3"/>
  <c r="AM69" i="3"/>
  <c r="AN69" i="3"/>
  <c r="AJ71" i="3" l="1"/>
  <c r="AK70" i="3"/>
  <c r="AL70" i="3"/>
  <c r="AM70" i="3"/>
  <c r="AN70" i="3"/>
  <c r="AJ72" i="3" l="1"/>
  <c r="AK71" i="3"/>
  <c r="AL71" i="3"/>
  <c r="AM71" i="3"/>
  <c r="AN71" i="3"/>
  <c r="AJ73" i="3" l="1"/>
  <c r="AK72" i="3"/>
  <c r="AL72" i="3"/>
  <c r="AM72" i="3"/>
  <c r="AN72" i="3"/>
  <c r="AJ74" i="3" l="1"/>
  <c r="AK73" i="3"/>
  <c r="AL73" i="3"/>
  <c r="AN73" i="3"/>
  <c r="AM73" i="3"/>
  <c r="AJ75" i="3" l="1"/>
  <c r="AM74" i="3"/>
  <c r="AK74" i="3"/>
  <c r="AN74" i="3"/>
  <c r="AL74" i="3"/>
  <c r="AJ76" i="3" l="1"/>
  <c r="AL75" i="3"/>
  <c r="AM75" i="3"/>
  <c r="AN75" i="3"/>
  <c r="AK75" i="3"/>
  <c r="AJ77" i="3" l="1"/>
  <c r="AK76" i="3"/>
  <c r="AL76" i="3"/>
  <c r="AM76" i="3"/>
  <c r="AN76" i="3"/>
  <c r="AJ78" i="3" l="1"/>
  <c r="AK77" i="3"/>
  <c r="AL77" i="3"/>
  <c r="AM77" i="3"/>
  <c r="AN77" i="3"/>
  <c r="AJ79" i="3" l="1"/>
  <c r="AK78" i="3"/>
  <c r="AL78" i="3"/>
  <c r="AM78" i="3"/>
  <c r="AN78" i="3"/>
  <c r="AJ80" i="3" l="1"/>
  <c r="AK79" i="3"/>
  <c r="AL79" i="3"/>
  <c r="AM79" i="3"/>
  <c r="AN79" i="3"/>
  <c r="AJ81" i="3" l="1"/>
  <c r="AK80" i="3"/>
  <c r="AL80" i="3"/>
  <c r="AM80" i="3"/>
  <c r="AN80" i="3"/>
  <c r="AJ82" i="3" l="1"/>
  <c r="AK81" i="3"/>
  <c r="AL81" i="3"/>
  <c r="AN81" i="3"/>
  <c r="AM81" i="3"/>
  <c r="AJ83" i="3" l="1"/>
  <c r="AM82" i="3"/>
  <c r="AK82" i="3"/>
  <c r="AN82" i="3"/>
  <c r="AL82" i="3"/>
  <c r="AJ84" i="3" l="1"/>
  <c r="AL83" i="3"/>
  <c r="AM83" i="3"/>
  <c r="AN83" i="3"/>
  <c r="AK83" i="3"/>
  <c r="AJ85" i="3" l="1"/>
  <c r="AK84" i="3"/>
  <c r="AL84" i="3"/>
  <c r="AM84" i="3"/>
  <c r="AN84" i="3"/>
  <c r="AJ86" i="3" l="1"/>
  <c r="AK85" i="3"/>
  <c r="AL85" i="3"/>
  <c r="AM85" i="3"/>
  <c r="AN85" i="3"/>
  <c r="AJ87" i="3" l="1"/>
  <c r="AK86" i="3"/>
  <c r="AL86" i="3"/>
  <c r="AM86" i="3"/>
  <c r="AN86" i="3"/>
  <c r="AJ88" i="3" l="1"/>
  <c r="AK87" i="3"/>
  <c r="AL87" i="3"/>
  <c r="AM87" i="3"/>
  <c r="AN87" i="3"/>
  <c r="AJ89" i="3" l="1"/>
  <c r="AK88" i="3"/>
  <c r="AL88" i="3"/>
  <c r="AM88" i="3"/>
  <c r="AN88" i="3"/>
  <c r="AJ90" i="3" l="1"/>
  <c r="AK89" i="3"/>
  <c r="AL89" i="3"/>
  <c r="AN89" i="3"/>
  <c r="AM89" i="3"/>
  <c r="AJ91" i="3" l="1"/>
  <c r="AM90" i="3"/>
  <c r="AK90" i="3"/>
  <c r="AN90" i="3"/>
  <c r="AL90" i="3"/>
  <c r="AJ92" i="3" l="1"/>
  <c r="AL91" i="3"/>
  <c r="AM91" i="3"/>
  <c r="AK91" i="3"/>
  <c r="AN91" i="3"/>
  <c r="AJ93" i="3" l="1"/>
  <c r="AK92" i="3"/>
  <c r="AL92" i="3"/>
  <c r="AM92" i="3"/>
  <c r="AN92" i="3"/>
  <c r="AJ94" i="3" l="1"/>
  <c r="AK93" i="3"/>
  <c r="AL93" i="3"/>
  <c r="AM93" i="3"/>
  <c r="AN93" i="3"/>
  <c r="AJ95" i="3" l="1"/>
  <c r="AK94" i="3"/>
  <c r="AL94" i="3"/>
  <c r="AM94" i="3"/>
  <c r="AN94" i="3"/>
  <c r="AJ96" i="3" l="1"/>
  <c r="AK95" i="3"/>
  <c r="AL95" i="3"/>
  <c r="AM95" i="3"/>
  <c r="AN95" i="3"/>
  <c r="AJ97" i="3" l="1"/>
  <c r="AK96" i="3"/>
  <c r="AL96" i="3"/>
  <c r="AM96" i="3"/>
  <c r="AN96" i="3"/>
  <c r="AJ98" i="3" l="1"/>
  <c r="AK97" i="3"/>
  <c r="AL97" i="3"/>
  <c r="AN97" i="3"/>
  <c r="AM97" i="3"/>
  <c r="AJ99" i="3" l="1"/>
  <c r="AM98" i="3"/>
  <c r="AK98" i="3"/>
  <c r="AL98" i="3"/>
  <c r="AN98" i="3"/>
  <c r="AJ100" i="3" l="1"/>
  <c r="AL99" i="3"/>
  <c r="AM99" i="3"/>
  <c r="AK99" i="3"/>
  <c r="AN99" i="3"/>
  <c r="AJ101" i="3" l="1"/>
  <c r="AK100" i="3"/>
  <c r="AL100" i="3"/>
  <c r="AM100" i="3"/>
  <c r="AN100" i="3"/>
  <c r="AJ102" i="3" l="1"/>
  <c r="AK101" i="3"/>
  <c r="AL101" i="3"/>
  <c r="AM101" i="3"/>
  <c r="AN101" i="3"/>
  <c r="AJ103" i="3" l="1"/>
  <c r="AK102" i="3"/>
  <c r="AL102" i="3"/>
  <c r="AM102" i="3"/>
  <c r="AN102" i="3"/>
  <c r="AJ104" i="3" l="1"/>
  <c r="AK103" i="3"/>
  <c r="AL103" i="3"/>
  <c r="AM103" i="3"/>
  <c r="AN103" i="3"/>
  <c r="AJ105" i="3" l="1"/>
  <c r="AK104" i="3"/>
  <c r="AL104" i="3"/>
  <c r="AM104" i="3"/>
  <c r="AN104" i="3"/>
  <c r="AJ106" i="3" l="1"/>
  <c r="AK105" i="3"/>
  <c r="AL105" i="3"/>
  <c r="AM105" i="3"/>
  <c r="AN105" i="3"/>
  <c r="AJ107" i="3" l="1"/>
  <c r="AM106" i="3"/>
  <c r="AK106" i="3"/>
  <c r="AL106" i="3"/>
  <c r="AN106" i="3"/>
  <c r="AJ108" i="3" l="1"/>
  <c r="AL107" i="3"/>
  <c r="AM107" i="3"/>
  <c r="AK107" i="3"/>
  <c r="AN107" i="3"/>
  <c r="AJ109" i="3" l="1"/>
  <c r="AK108" i="3"/>
  <c r="AL108" i="3"/>
  <c r="AM108" i="3"/>
  <c r="AN108" i="3"/>
  <c r="AJ110" i="3" l="1"/>
  <c r="AK109" i="3"/>
  <c r="AL109" i="3"/>
  <c r="AM109" i="3"/>
  <c r="AN109" i="3"/>
  <c r="AJ111" i="3" l="1"/>
  <c r="AK110" i="3"/>
  <c r="AL110" i="3"/>
  <c r="AM110" i="3"/>
  <c r="AN110" i="3"/>
  <c r="AJ112" i="3" l="1"/>
  <c r="AK111" i="3"/>
  <c r="AL111" i="3"/>
  <c r="AM111" i="3"/>
  <c r="AN111" i="3"/>
  <c r="AJ113" i="3" l="1"/>
  <c r="AK112" i="3"/>
  <c r="AL112" i="3"/>
  <c r="AM112" i="3"/>
  <c r="AN112" i="3"/>
  <c r="AJ114" i="3" l="1"/>
  <c r="AK113" i="3"/>
  <c r="AL113" i="3"/>
  <c r="AN113" i="3"/>
  <c r="AM113" i="3"/>
  <c r="AJ115" i="3" l="1"/>
  <c r="AK114" i="3"/>
  <c r="AN114" i="3"/>
  <c r="AL114" i="3"/>
  <c r="AM114" i="3"/>
  <c r="AJ116" i="3" l="1"/>
  <c r="AL115" i="3"/>
  <c r="AM115" i="3"/>
  <c r="AN115" i="3"/>
  <c r="AK115" i="3"/>
  <c r="AJ117" i="3" l="1"/>
  <c r="AK116" i="3"/>
  <c r="AL116" i="3"/>
  <c r="AM116" i="3"/>
  <c r="AN116" i="3"/>
  <c r="AJ118" i="3" l="1"/>
  <c r="AK117" i="3"/>
  <c r="AL117" i="3"/>
  <c r="AM117" i="3"/>
  <c r="AN117" i="3"/>
  <c r="AJ119" i="3" l="1"/>
  <c r="AK118" i="3"/>
  <c r="AL118" i="3"/>
  <c r="AM118" i="3"/>
  <c r="AN118" i="3"/>
  <c r="AJ120" i="3" l="1"/>
  <c r="AK119" i="3"/>
  <c r="AL119" i="3"/>
  <c r="AM119" i="3"/>
  <c r="AN119" i="3"/>
  <c r="AJ121" i="3" l="1"/>
  <c r="AK120" i="3"/>
  <c r="AL120" i="3"/>
  <c r="AM120" i="3"/>
  <c r="AN120" i="3"/>
  <c r="AJ122" i="3" l="1"/>
  <c r="AK121" i="3"/>
  <c r="AL121" i="3"/>
  <c r="AN121" i="3"/>
  <c r="AM121" i="3"/>
  <c r="AJ123" i="3" l="1"/>
  <c r="AK122" i="3"/>
  <c r="AN122" i="3"/>
  <c r="AL122" i="3"/>
  <c r="AM122" i="3"/>
  <c r="AJ124" i="3" l="1"/>
  <c r="AL123" i="3"/>
  <c r="AM123" i="3"/>
  <c r="AN123" i="3"/>
  <c r="AK123" i="3"/>
  <c r="AJ125" i="3" l="1"/>
  <c r="AK124" i="3"/>
  <c r="AL124" i="3"/>
  <c r="AM124" i="3"/>
  <c r="AN124" i="3"/>
  <c r="AJ126" i="3" l="1"/>
  <c r="AK125" i="3"/>
  <c r="AL125" i="3"/>
  <c r="AM125" i="3"/>
  <c r="AN125" i="3"/>
  <c r="AJ127" i="3" l="1"/>
  <c r="AK126" i="3"/>
  <c r="AL126" i="3"/>
  <c r="AM126" i="3"/>
  <c r="AN126" i="3"/>
  <c r="AJ128" i="3" l="1"/>
  <c r="AK127" i="3"/>
  <c r="AL127" i="3"/>
  <c r="AM127" i="3"/>
  <c r="AN127" i="3"/>
  <c r="AJ129" i="3" l="1"/>
  <c r="AK128" i="3"/>
  <c r="AL128" i="3"/>
  <c r="AM128" i="3"/>
  <c r="AN128" i="3"/>
  <c r="AJ130" i="3" l="1"/>
  <c r="AK129" i="3"/>
  <c r="AL129" i="3"/>
  <c r="AN129" i="3"/>
  <c r="AM129" i="3"/>
  <c r="AJ131" i="3" l="1"/>
  <c r="AK130" i="3"/>
  <c r="AN130" i="3"/>
  <c r="AL130" i="3"/>
  <c r="AM130" i="3"/>
  <c r="AJ132" i="3" l="1"/>
  <c r="AL131" i="3"/>
  <c r="AM131" i="3"/>
  <c r="AN131" i="3"/>
  <c r="AK131" i="3"/>
  <c r="AJ133" i="3" l="1"/>
  <c r="AK132" i="3"/>
  <c r="AL132" i="3"/>
  <c r="AM132" i="3"/>
  <c r="AN132" i="3"/>
  <c r="AJ134" i="3" l="1"/>
  <c r="AK133" i="3"/>
  <c r="AL133" i="3"/>
  <c r="AM133" i="3"/>
  <c r="AN133" i="3"/>
  <c r="AJ135" i="3" l="1"/>
  <c r="AK134" i="3"/>
  <c r="AL134" i="3"/>
  <c r="AM134" i="3"/>
  <c r="AN134" i="3"/>
  <c r="AJ136" i="3" l="1"/>
  <c r="AK135" i="3"/>
  <c r="AL135" i="3"/>
  <c r="AM135" i="3"/>
  <c r="AN135" i="3"/>
  <c r="AJ137" i="3" l="1"/>
  <c r="AK136" i="3"/>
  <c r="AL136" i="3"/>
  <c r="AM136" i="3"/>
  <c r="AN136" i="3"/>
  <c r="AJ138" i="3" l="1"/>
  <c r="AK137" i="3"/>
  <c r="AL137" i="3"/>
  <c r="AN137" i="3"/>
  <c r="AM137" i="3"/>
  <c r="AJ139" i="3" l="1"/>
  <c r="AK138" i="3"/>
  <c r="AM138" i="3"/>
  <c r="AN138" i="3"/>
  <c r="AL138" i="3"/>
  <c r="AJ140" i="3" l="1"/>
  <c r="AL139" i="3"/>
  <c r="AM139" i="3"/>
  <c r="AN139" i="3"/>
  <c r="AK139" i="3"/>
  <c r="AJ141" i="3" l="1"/>
  <c r="AK140" i="3"/>
  <c r="AL140" i="3"/>
  <c r="AM140" i="3"/>
  <c r="AN140" i="3"/>
  <c r="AJ142" i="3" l="1"/>
  <c r="AK141" i="3"/>
  <c r="AL141" i="3"/>
  <c r="AM141" i="3"/>
  <c r="AN141" i="3"/>
  <c r="AJ143" i="3" l="1"/>
  <c r="AK142" i="3"/>
  <c r="AL142" i="3"/>
  <c r="AM142" i="3"/>
  <c r="AN142" i="3"/>
  <c r="AJ144" i="3" l="1"/>
  <c r="AK143" i="3"/>
  <c r="AL143" i="3"/>
  <c r="AM143" i="3"/>
  <c r="AN143" i="3"/>
  <c r="AJ145" i="3" l="1"/>
  <c r="AK144" i="3"/>
  <c r="AL144" i="3"/>
  <c r="AM144" i="3"/>
  <c r="AN144" i="3"/>
  <c r="AJ146" i="3" l="1"/>
  <c r="AK145" i="3"/>
  <c r="AL145" i="3"/>
  <c r="AN145" i="3"/>
  <c r="AM145" i="3"/>
  <c r="AJ147" i="3" l="1"/>
  <c r="AK146" i="3"/>
  <c r="AN146" i="3"/>
  <c r="AM146" i="3"/>
  <c r="AL146" i="3"/>
  <c r="AJ148" i="3" l="1"/>
  <c r="AL147" i="3"/>
  <c r="AM147" i="3"/>
  <c r="AN147" i="3"/>
  <c r="AK147" i="3"/>
  <c r="AJ149" i="3" l="1"/>
  <c r="AK148" i="3"/>
  <c r="AL148" i="3"/>
  <c r="AM148" i="3"/>
  <c r="AN148" i="3"/>
  <c r="AJ150" i="3" l="1"/>
  <c r="AK149" i="3"/>
  <c r="AL149" i="3"/>
  <c r="AM149" i="3"/>
  <c r="AN149" i="3"/>
  <c r="AJ151" i="3" l="1"/>
  <c r="AK150" i="3"/>
  <c r="AL150" i="3"/>
  <c r="AM150" i="3"/>
  <c r="AN150" i="3"/>
  <c r="AJ152" i="3" l="1"/>
  <c r="AK151" i="3"/>
  <c r="AL151" i="3"/>
  <c r="AM151" i="3"/>
  <c r="AN151" i="3"/>
  <c r="AJ153" i="3" l="1"/>
  <c r="AK152" i="3"/>
  <c r="AL152" i="3"/>
  <c r="AM152" i="3"/>
  <c r="AN152" i="3"/>
  <c r="AJ154" i="3" l="1"/>
  <c r="AK153" i="3"/>
  <c r="AL153" i="3"/>
  <c r="AN153" i="3"/>
  <c r="AM153" i="3"/>
  <c r="AJ155" i="3" l="1"/>
  <c r="AK154" i="3"/>
  <c r="AN154" i="3"/>
  <c r="AM154" i="3"/>
  <c r="AL154" i="3"/>
  <c r="AJ156" i="3" l="1"/>
  <c r="AL155" i="3"/>
  <c r="AM155" i="3"/>
  <c r="AK155" i="3"/>
  <c r="AN155" i="3"/>
  <c r="AJ157" i="3" l="1"/>
  <c r="AK156" i="3"/>
  <c r="AL156" i="3"/>
  <c r="AN156" i="3"/>
  <c r="AM156" i="3"/>
  <c r="AJ158" i="3" l="1"/>
  <c r="AK157" i="3"/>
  <c r="AL157" i="3"/>
  <c r="AM157" i="3"/>
  <c r="AN157" i="3"/>
  <c r="AJ159" i="3" l="1"/>
  <c r="AK158" i="3"/>
  <c r="AL158" i="3"/>
  <c r="AM158" i="3"/>
  <c r="AN158" i="3"/>
  <c r="AJ160" i="3" l="1"/>
  <c r="AK159" i="3"/>
  <c r="AL159" i="3"/>
  <c r="AM159" i="3"/>
  <c r="AN159" i="3"/>
  <c r="AJ161" i="3" l="1"/>
  <c r="AK160" i="3"/>
  <c r="AL160" i="3"/>
  <c r="AN160" i="3"/>
  <c r="AM160" i="3"/>
  <c r="AJ162" i="3" l="1"/>
  <c r="AK161" i="3"/>
  <c r="AL161" i="3"/>
  <c r="AN161" i="3"/>
  <c r="AM161" i="3"/>
  <c r="AJ163" i="3" l="1"/>
  <c r="AK162" i="3"/>
  <c r="AL162" i="3"/>
  <c r="AM162" i="3"/>
  <c r="AN162" i="3"/>
  <c r="AJ164" i="3" l="1"/>
  <c r="AL163" i="3"/>
  <c r="AM163" i="3"/>
  <c r="AK163" i="3"/>
  <c r="AN163" i="3"/>
  <c r="AJ165" i="3" l="1"/>
  <c r="AK164" i="3"/>
  <c r="AL164" i="3"/>
  <c r="AM164" i="3"/>
  <c r="AN164" i="3"/>
  <c r="AJ166" i="3" l="1"/>
  <c r="AK165" i="3"/>
  <c r="AL165" i="3"/>
  <c r="AM165" i="3"/>
  <c r="AN165" i="3"/>
  <c r="AJ167" i="3" l="1"/>
  <c r="AK166" i="3"/>
  <c r="AL166" i="3"/>
  <c r="AM166" i="3"/>
  <c r="AN166" i="3"/>
  <c r="AJ168" i="3" l="1"/>
  <c r="AK167" i="3"/>
  <c r="AL167" i="3"/>
  <c r="AM167" i="3"/>
  <c r="AN167" i="3"/>
  <c r="AJ169" i="3" l="1"/>
  <c r="AK168" i="3"/>
  <c r="AL168" i="3"/>
  <c r="AN168" i="3"/>
  <c r="AM168" i="3"/>
  <c r="AJ170" i="3" l="1"/>
  <c r="AK169" i="3"/>
  <c r="AL169" i="3"/>
  <c r="AN169" i="3"/>
  <c r="AM169" i="3"/>
  <c r="AJ171" i="3" l="1"/>
  <c r="AK170" i="3"/>
  <c r="AL170" i="3"/>
  <c r="AN170" i="3"/>
  <c r="AM170" i="3"/>
  <c r="AJ172" i="3" l="1"/>
  <c r="AL171" i="3"/>
  <c r="AM171" i="3"/>
  <c r="AK171" i="3"/>
  <c r="AN171" i="3"/>
  <c r="AJ173" i="3" l="1"/>
  <c r="AK172" i="3"/>
  <c r="AL172" i="3"/>
  <c r="AM172" i="3"/>
  <c r="AN172" i="3"/>
  <c r="AJ174" i="3" l="1"/>
  <c r="AK173" i="3"/>
  <c r="AL173" i="3"/>
  <c r="AM173" i="3"/>
  <c r="AN173" i="3"/>
  <c r="AJ175" i="3" l="1"/>
  <c r="AK174" i="3"/>
  <c r="AL174" i="3"/>
  <c r="AM174" i="3"/>
  <c r="AN174" i="3"/>
  <c r="AJ176" i="3" l="1"/>
  <c r="AK175" i="3"/>
  <c r="AL175" i="3"/>
  <c r="AM175" i="3"/>
  <c r="AN175" i="3"/>
  <c r="AJ177" i="3" l="1"/>
  <c r="AK176" i="3"/>
  <c r="AL176" i="3"/>
  <c r="AM176" i="3"/>
  <c r="AN176" i="3"/>
  <c r="AJ178" i="3" l="1"/>
  <c r="AK177" i="3"/>
  <c r="AL177" i="3"/>
  <c r="AN177" i="3"/>
  <c r="AM177" i="3"/>
  <c r="AJ179" i="3" l="1"/>
  <c r="AK178" i="3"/>
  <c r="AN178" i="3"/>
  <c r="AL178" i="3"/>
  <c r="AM178" i="3"/>
  <c r="AJ180" i="3" l="1"/>
  <c r="AL179" i="3"/>
  <c r="AM179" i="3"/>
  <c r="AN179" i="3"/>
  <c r="AK179" i="3"/>
  <c r="AJ181" i="3" l="1"/>
  <c r="AK180" i="3"/>
  <c r="AL180" i="3"/>
  <c r="AN180" i="3"/>
  <c r="AM180" i="3"/>
  <c r="AJ182" i="3" l="1"/>
  <c r="AK181" i="3"/>
  <c r="AL181" i="3"/>
  <c r="AM181" i="3"/>
  <c r="AN181" i="3"/>
  <c r="AJ183" i="3" l="1"/>
  <c r="AK182" i="3"/>
  <c r="AL182" i="3"/>
  <c r="AN182" i="3"/>
  <c r="AM182" i="3"/>
  <c r="AJ184" i="3" l="1"/>
  <c r="AK183" i="3"/>
  <c r="AL183" i="3"/>
  <c r="AN183" i="3"/>
  <c r="AM183" i="3"/>
  <c r="AJ185" i="3" l="1"/>
  <c r="AK184" i="3"/>
  <c r="AL184" i="3"/>
  <c r="AM184" i="3"/>
  <c r="AN184" i="3"/>
  <c r="AJ186" i="3" l="1"/>
  <c r="AK185" i="3"/>
  <c r="AL185" i="3"/>
  <c r="AN185" i="3"/>
  <c r="AM185" i="3"/>
  <c r="AJ187" i="3" l="1"/>
  <c r="AK186" i="3"/>
  <c r="AN186" i="3"/>
  <c r="AM186" i="3"/>
  <c r="AL186" i="3"/>
  <c r="AJ188" i="3" l="1"/>
  <c r="AL187" i="3"/>
  <c r="AN187" i="3"/>
  <c r="AM187" i="3"/>
  <c r="AK187" i="3"/>
  <c r="AJ189" i="3" l="1"/>
  <c r="AK188" i="3"/>
  <c r="AL188" i="3"/>
  <c r="AN188" i="3"/>
  <c r="AM188" i="3"/>
  <c r="AJ190" i="3" l="1"/>
  <c r="AK189" i="3"/>
  <c r="AL189" i="3"/>
  <c r="AM189" i="3"/>
  <c r="AN189" i="3"/>
  <c r="AJ191" i="3" l="1"/>
  <c r="AK190" i="3"/>
  <c r="AL190" i="3"/>
  <c r="AN190" i="3"/>
  <c r="AM190" i="3"/>
  <c r="AJ192" i="3" l="1"/>
  <c r="AK191" i="3"/>
  <c r="AL191" i="3"/>
  <c r="AM191" i="3"/>
  <c r="AN191" i="3"/>
  <c r="AJ193" i="3" l="1"/>
  <c r="AK192" i="3"/>
  <c r="AL192" i="3"/>
  <c r="AN192" i="3"/>
  <c r="AM192" i="3"/>
  <c r="AJ194" i="3" l="1"/>
  <c r="AK193" i="3"/>
  <c r="AL193" i="3"/>
  <c r="AM193" i="3"/>
  <c r="AN193" i="3"/>
  <c r="AJ195" i="3" l="1"/>
  <c r="AK194" i="3"/>
  <c r="AM194" i="3"/>
  <c r="AN194" i="3"/>
  <c r="AL194" i="3"/>
  <c r="AJ196" i="3" l="1"/>
  <c r="AK195" i="3"/>
  <c r="AN195" i="3"/>
  <c r="AM195" i="3"/>
  <c r="AL195" i="3"/>
  <c r="AJ197" i="3" l="1"/>
  <c r="AN196" i="3"/>
  <c r="AL196" i="3"/>
  <c r="AM196" i="3"/>
  <c r="AK196" i="3"/>
  <c r="AJ198" i="3" l="1"/>
  <c r="AK197" i="3"/>
  <c r="AN197" i="3"/>
  <c r="AM197" i="3"/>
  <c r="AL197" i="3"/>
  <c r="AJ199" i="3" l="1"/>
  <c r="AK198" i="3"/>
  <c r="AM198" i="3"/>
  <c r="AL198" i="3"/>
  <c r="AN198" i="3"/>
  <c r="AJ200" i="3" l="1"/>
  <c r="AL199" i="3"/>
  <c r="AK199" i="3"/>
  <c r="AN199" i="3"/>
  <c r="AM199" i="3"/>
  <c r="AJ201" i="3" l="1"/>
  <c r="AL200" i="3"/>
  <c r="AM200" i="3"/>
  <c r="AN200" i="3"/>
  <c r="AK200" i="3"/>
  <c r="AJ202" i="3" l="1"/>
  <c r="AM201" i="3"/>
  <c r="AL201" i="3"/>
  <c r="AK201" i="3"/>
  <c r="AN201" i="3"/>
  <c r="AJ203" i="3" l="1"/>
  <c r="AM202" i="3"/>
  <c r="AK202" i="3"/>
  <c r="AL202" i="3"/>
  <c r="AN202" i="3"/>
  <c r="AJ204" i="3" l="1"/>
  <c r="AN203" i="3"/>
  <c r="AM203" i="3"/>
  <c r="AL203" i="3"/>
  <c r="AK203" i="3"/>
  <c r="AJ205" i="3" l="1"/>
  <c r="AN204" i="3"/>
  <c r="AL204" i="3"/>
  <c r="AK204" i="3"/>
  <c r="AM204" i="3"/>
  <c r="AJ206" i="3" l="1"/>
  <c r="AK205" i="3"/>
  <c r="AN205" i="3"/>
  <c r="AM205" i="3"/>
  <c r="AL205" i="3"/>
  <c r="AJ207" i="3" l="1"/>
  <c r="AK206" i="3"/>
  <c r="AM206" i="3"/>
  <c r="AL206" i="3"/>
  <c r="AN206" i="3"/>
  <c r="AJ208" i="3" l="1"/>
  <c r="AL207" i="3"/>
  <c r="AK207" i="3"/>
  <c r="AN207" i="3"/>
  <c r="AM207" i="3"/>
  <c r="AJ209" i="3" l="1"/>
  <c r="AL208" i="3"/>
  <c r="AM208" i="3"/>
  <c r="AK208" i="3"/>
  <c r="AN208" i="3"/>
  <c r="AJ210" i="3" l="1"/>
  <c r="AM209" i="3"/>
  <c r="AL209" i="3"/>
  <c r="AK209" i="3"/>
  <c r="AN209" i="3"/>
  <c r="AJ211" i="3" l="1"/>
  <c r="AM210" i="3"/>
  <c r="AK210" i="3"/>
  <c r="AL210" i="3"/>
  <c r="AN210" i="3"/>
  <c r="AJ212" i="3" l="1"/>
  <c r="AN211" i="3"/>
  <c r="AM211" i="3"/>
  <c r="AL211" i="3"/>
  <c r="AK211" i="3"/>
  <c r="AJ213" i="3" l="1"/>
  <c r="AN212" i="3"/>
  <c r="AL212" i="3"/>
  <c r="AM212" i="3"/>
  <c r="AK212" i="3"/>
  <c r="AJ214" i="3" l="1"/>
  <c r="AK213" i="3"/>
  <c r="AN213" i="3"/>
  <c r="AM213" i="3"/>
  <c r="AL213" i="3"/>
  <c r="AJ215" i="3" l="1"/>
  <c r="AK214" i="3"/>
  <c r="AM214" i="3"/>
  <c r="AL214" i="3"/>
  <c r="AN214" i="3"/>
  <c r="AJ216" i="3" l="1"/>
  <c r="AL215" i="3"/>
  <c r="AK215" i="3"/>
  <c r="AN215" i="3"/>
  <c r="AM215" i="3"/>
  <c r="AJ217" i="3" l="1"/>
  <c r="AL216" i="3"/>
  <c r="AM216" i="3"/>
  <c r="AK216" i="3"/>
  <c r="AN216" i="3"/>
  <c r="AJ218" i="3" l="1"/>
  <c r="AM217" i="3"/>
  <c r="AL217" i="3"/>
  <c r="AK217" i="3"/>
  <c r="AN217" i="3"/>
  <c r="AJ219" i="3" l="1"/>
  <c r="AM218" i="3"/>
  <c r="AK218" i="3"/>
  <c r="AN218" i="3"/>
  <c r="AL218" i="3"/>
  <c r="AJ220" i="3" l="1"/>
  <c r="AN219" i="3"/>
  <c r="AM219" i="3"/>
  <c r="AL219" i="3"/>
  <c r="AK219" i="3"/>
  <c r="AJ221" i="3" l="1"/>
  <c r="AN220" i="3"/>
  <c r="AL220" i="3"/>
  <c r="AK220" i="3"/>
  <c r="AM220" i="3"/>
  <c r="AJ222" i="3" l="1"/>
  <c r="AK221" i="3"/>
  <c r="AN221" i="3"/>
  <c r="AM221" i="3"/>
  <c r="AL221" i="3"/>
  <c r="AJ223" i="3" l="1"/>
  <c r="AK222" i="3"/>
  <c r="AL222" i="3"/>
  <c r="AN222" i="3"/>
  <c r="AM222" i="3"/>
  <c r="AJ224" i="3" l="1"/>
  <c r="AL223" i="3"/>
  <c r="AK223" i="3"/>
  <c r="AN223" i="3"/>
  <c r="AM223" i="3"/>
  <c r="AJ225" i="3" l="1"/>
  <c r="AL224" i="3"/>
  <c r="AK224" i="3"/>
  <c r="AN224" i="3"/>
  <c r="AM224" i="3"/>
  <c r="AJ226" i="3" l="1"/>
  <c r="AM225" i="3"/>
  <c r="AL225" i="3"/>
  <c r="AK225" i="3"/>
  <c r="AN225" i="3"/>
  <c r="AJ227" i="3" l="1"/>
  <c r="AM226" i="3"/>
  <c r="AK226" i="3"/>
  <c r="AL226" i="3"/>
  <c r="AN226" i="3"/>
  <c r="AJ228" i="3" l="1"/>
  <c r="AN227" i="3"/>
  <c r="AM227" i="3"/>
  <c r="AL227" i="3"/>
  <c r="AK227" i="3"/>
  <c r="AJ229" i="3" l="1"/>
  <c r="AN228" i="3"/>
  <c r="AL228" i="3"/>
  <c r="AK228" i="3"/>
  <c r="AM228" i="3"/>
  <c r="AJ230" i="3" l="1"/>
  <c r="AK229" i="3"/>
  <c r="AN229" i="3"/>
  <c r="AM229" i="3"/>
  <c r="AL229" i="3"/>
  <c r="AJ231" i="3" l="1"/>
  <c r="AK230" i="3"/>
  <c r="AN230" i="3"/>
  <c r="AL230" i="3"/>
  <c r="AM230" i="3"/>
  <c r="AJ232" i="3" l="1"/>
  <c r="AL231" i="3"/>
  <c r="AK231" i="3"/>
  <c r="AN231" i="3"/>
  <c r="AM231" i="3"/>
  <c r="AJ233" i="3" l="1"/>
  <c r="AL232" i="3"/>
  <c r="AM232" i="3"/>
  <c r="AN232" i="3"/>
  <c r="AK232" i="3"/>
  <c r="AJ234" i="3" l="1"/>
  <c r="AM233" i="3"/>
  <c r="AL233" i="3"/>
  <c r="AK233" i="3"/>
  <c r="AN233" i="3"/>
  <c r="AJ235" i="3" l="1"/>
  <c r="AM234" i="3"/>
  <c r="AK234" i="3"/>
  <c r="AN234" i="3"/>
  <c r="AL234" i="3"/>
  <c r="AJ236" i="3" l="1"/>
  <c r="AN235" i="3"/>
  <c r="AM235" i="3"/>
  <c r="AL235" i="3"/>
  <c r="AK235" i="3"/>
  <c r="AJ237" i="3" l="1"/>
  <c r="AN236" i="3"/>
  <c r="AL236" i="3"/>
  <c r="AM236" i="3"/>
  <c r="AK236" i="3"/>
  <c r="AJ238" i="3" l="1"/>
  <c r="AK237" i="3"/>
  <c r="AN237" i="3"/>
  <c r="AM237" i="3"/>
  <c r="AL237" i="3"/>
  <c r="AJ239" i="3" l="1"/>
  <c r="AK238" i="3"/>
  <c r="AM238" i="3"/>
  <c r="AN238" i="3"/>
  <c r="AL238" i="3"/>
  <c r="AJ240" i="3" l="1"/>
  <c r="AL239" i="3"/>
  <c r="AK239" i="3"/>
  <c r="AN239" i="3"/>
  <c r="AM239" i="3"/>
  <c r="AJ241" i="3" l="1"/>
  <c r="AL240" i="3"/>
  <c r="AN240" i="3"/>
  <c r="AK240" i="3"/>
  <c r="AM240" i="3"/>
  <c r="AJ242" i="3" l="1"/>
  <c r="AM241" i="3"/>
  <c r="AL241" i="3"/>
  <c r="AK241" i="3"/>
  <c r="AN241" i="3"/>
  <c r="AJ243" i="3" l="1"/>
  <c r="AM242" i="3"/>
  <c r="AK242" i="3"/>
  <c r="AL242" i="3"/>
  <c r="AN242" i="3"/>
  <c r="AJ244" i="3" l="1"/>
  <c r="AN243" i="3"/>
  <c r="AM243" i="3"/>
  <c r="AL243" i="3"/>
  <c r="AK243" i="3"/>
  <c r="AJ245" i="3" l="1"/>
  <c r="AN244" i="3"/>
  <c r="AL244" i="3"/>
  <c r="AK244" i="3"/>
  <c r="AM244" i="3"/>
  <c r="AJ246" i="3" l="1"/>
  <c r="AK245" i="3"/>
  <c r="AN245" i="3"/>
  <c r="AM245" i="3"/>
  <c r="AL245" i="3"/>
  <c r="AJ247" i="3" l="1"/>
  <c r="AK246" i="3"/>
  <c r="AM246" i="3"/>
  <c r="AL246" i="3"/>
  <c r="AN246" i="3"/>
  <c r="AJ248" i="3" l="1"/>
  <c r="AL247" i="3"/>
  <c r="AK247" i="3"/>
  <c r="AN247" i="3"/>
  <c r="AM247" i="3"/>
  <c r="AJ249" i="3" l="1"/>
  <c r="AL248" i="3"/>
  <c r="AK248" i="3"/>
  <c r="AM248" i="3"/>
  <c r="AN248" i="3"/>
  <c r="AJ250" i="3" l="1"/>
  <c r="AM249" i="3"/>
  <c r="AL249" i="3"/>
  <c r="AK249" i="3"/>
  <c r="AN249" i="3"/>
  <c r="AJ251" i="3" l="1"/>
  <c r="AM250" i="3"/>
  <c r="AK250" i="3"/>
  <c r="AN250" i="3"/>
  <c r="AL250" i="3"/>
  <c r="AJ252" i="3" l="1"/>
  <c r="AN251" i="3"/>
  <c r="AM251" i="3"/>
  <c r="AL251" i="3"/>
  <c r="AK251" i="3"/>
  <c r="AJ253" i="3" l="1"/>
  <c r="AN252" i="3"/>
  <c r="AL252" i="3"/>
  <c r="AM252" i="3"/>
  <c r="AK252" i="3"/>
  <c r="AJ254" i="3" l="1"/>
  <c r="AK253" i="3"/>
  <c r="AN253" i="3"/>
  <c r="AM253" i="3"/>
  <c r="AL253" i="3"/>
  <c r="AJ255" i="3" l="1"/>
  <c r="AK254" i="3"/>
  <c r="AN254" i="3"/>
  <c r="AM254" i="3"/>
  <c r="AL254" i="3"/>
  <c r="AJ256" i="3" l="1"/>
  <c r="AL255" i="3"/>
  <c r="AK255" i="3"/>
  <c r="AN255" i="3"/>
  <c r="AM255" i="3"/>
  <c r="AJ257" i="3" l="1"/>
  <c r="AL256" i="3"/>
  <c r="AN256" i="3"/>
  <c r="AK256" i="3"/>
  <c r="AM256" i="3"/>
  <c r="AJ258" i="3" l="1"/>
  <c r="AM257" i="3"/>
  <c r="AL257" i="3"/>
  <c r="AK257" i="3"/>
  <c r="AN257" i="3"/>
  <c r="AJ259" i="3" l="1"/>
  <c r="AM258" i="3"/>
  <c r="AK258" i="3"/>
  <c r="AL258" i="3"/>
  <c r="AN258" i="3"/>
  <c r="AJ260" i="3" l="1"/>
  <c r="AN259" i="3"/>
  <c r="AM259" i="3"/>
  <c r="AL259" i="3"/>
  <c r="AK259" i="3"/>
  <c r="AJ261" i="3" l="1"/>
  <c r="AN260" i="3"/>
  <c r="AL260" i="3"/>
  <c r="AK260" i="3"/>
  <c r="AM260" i="3"/>
  <c r="AJ262" i="3" l="1"/>
  <c r="AK261" i="3"/>
  <c r="AN261" i="3"/>
  <c r="AM261" i="3"/>
  <c r="AL261" i="3"/>
  <c r="AJ263" i="3" l="1"/>
  <c r="AK262" i="3"/>
  <c r="AL262" i="3"/>
  <c r="AN262" i="3"/>
  <c r="AM262" i="3"/>
  <c r="AJ264" i="3" l="1"/>
  <c r="AL263" i="3"/>
  <c r="AK263" i="3"/>
  <c r="AN263" i="3"/>
  <c r="AM263" i="3"/>
  <c r="AJ265" i="3" l="1"/>
  <c r="AL264" i="3"/>
  <c r="AM264" i="3"/>
  <c r="AK264" i="3"/>
  <c r="AN264" i="3"/>
  <c r="AJ266" i="3" l="1"/>
  <c r="AM265" i="3"/>
  <c r="AL265" i="3"/>
  <c r="AK265" i="3"/>
  <c r="AN265" i="3"/>
  <c r="AJ267" i="3" l="1"/>
  <c r="AM266" i="3"/>
  <c r="AK266" i="3"/>
  <c r="AL266" i="3"/>
  <c r="AN266" i="3"/>
  <c r="AJ268" i="3" l="1"/>
  <c r="AN267" i="3"/>
  <c r="AM267" i="3"/>
  <c r="AL267" i="3"/>
  <c r="AK267" i="3"/>
  <c r="AJ269" i="3" l="1"/>
  <c r="AN268" i="3"/>
  <c r="AL268" i="3"/>
  <c r="AK268" i="3"/>
  <c r="AM268" i="3"/>
  <c r="AJ270" i="3" l="1"/>
  <c r="AK269" i="3"/>
  <c r="AN269" i="3"/>
  <c r="AM269" i="3"/>
  <c r="AL269" i="3"/>
  <c r="AJ271" i="3" l="1"/>
  <c r="AK270" i="3"/>
  <c r="AM270" i="3"/>
  <c r="AN270" i="3"/>
  <c r="AL270" i="3"/>
  <c r="AJ272" i="3" l="1"/>
  <c r="AL271" i="3"/>
  <c r="AK271" i="3"/>
  <c r="AN271" i="3"/>
  <c r="AM271" i="3"/>
  <c r="AJ273" i="3" l="1"/>
  <c r="AL272" i="3"/>
  <c r="AK272" i="3"/>
  <c r="AN272" i="3"/>
  <c r="AM272" i="3"/>
  <c r="AJ274" i="3" l="1"/>
  <c r="AM273" i="3"/>
  <c r="AL273" i="3"/>
  <c r="AK273" i="3"/>
  <c r="AN273" i="3"/>
  <c r="AJ275" i="3" l="1"/>
  <c r="AM274" i="3"/>
  <c r="AK274" i="3"/>
  <c r="AN274" i="3"/>
  <c r="AL274" i="3"/>
  <c r="AJ276" i="3" l="1"/>
  <c r="AN275" i="3"/>
  <c r="AM275" i="3"/>
  <c r="AL275" i="3"/>
  <c r="AK275" i="3"/>
  <c r="AJ277" i="3" l="1"/>
  <c r="AN276" i="3"/>
  <c r="AL276" i="3"/>
  <c r="AK276" i="3"/>
  <c r="AM276" i="3"/>
  <c r="AJ278" i="3" l="1"/>
  <c r="AK277" i="3"/>
  <c r="AN277" i="3"/>
  <c r="AM277" i="3"/>
  <c r="AL277" i="3"/>
  <c r="AJ279" i="3" l="1"/>
  <c r="AK278" i="3"/>
  <c r="AN278" i="3"/>
  <c r="AL278" i="3"/>
  <c r="AM278" i="3"/>
  <c r="AJ280" i="3" l="1"/>
  <c r="AL279" i="3"/>
  <c r="AK279" i="3"/>
  <c r="AN279" i="3"/>
  <c r="AM279" i="3"/>
  <c r="AJ281" i="3" l="1"/>
  <c r="AL280" i="3"/>
  <c r="AM280" i="3"/>
  <c r="AN280" i="3"/>
  <c r="AK280" i="3"/>
  <c r="AJ282" i="3" l="1"/>
  <c r="AM281" i="3"/>
  <c r="AL281" i="3"/>
  <c r="AK281" i="3"/>
  <c r="AN281" i="3"/>
  <c r="AJ283" i="3" l="1"/>
  <c r="AM282" i="3"/>
  <c r="AK282" i="3"/>
  <c r="AN282" i="3"/>
  <c r="AL282" i="3"/>
  <c r="AJ284" i="3" l="1"/>
  <c r="AN283" i="3"/>
  <c r="AM283" i="3"/>
  <c r="AL283" i="3"/>
  <c r="AK283" i="3"/>
  <c r="AJ285" i="3" l="1"/>
  <c r="AN284" i="3"/>
  <c r="AL284" i="3"/>
  <c r="AK284" i="3"/>
  <c r="AM284" i="3"/>
  <c r="AJ286" i="3" l="1"/>
  <c r="AK285" i="3"/>
  <c r="AN285" i="3"/>
  <c r="AM285" i="3"/>
  <c r="AL285" i="3"/>
  <c r="AJ287" i="3" l="1"/>
  <c r="AK286" i="3"/>
  <c r="AL286" i="3"/>
  <c r="AN286" i="3"/>
  <c r="AM286" i="3"/>
  <c r="AJ288" i="3" l="1"/>
  <c r="AL287" i="3"/>
  <c r="AK287" i="3"/>
  <c r="AN287" i="3"/>
  <c r="AM287" i="3"/>
  <c r="AJ289" i="3" l="1"/>
  <c r="AL288" i="3"/>
  <c r="AK288" i="3"/>
  <c r="AN288" i="3"/>
  <c r="AM288" i="3"/>
  <c r="AJ290" i="3" l="1"/>
  <c r="AM289" i="3"/>
  <c r="AL289" i="3"/>
  <c r="AK289" i="3"/>
  <c r="AN289" i="3"/>
  <c r="AJ291" i="3" l="1"/>
  <c r="AM290" i="3"/>
  <c r="AK290" i="3"/>
  <c r="AL290" i="3"/>
  <c r="AN290" i="3"/>
  <c r="AJ292" i="3" l="1"/>
  <c r="AN291" i="3"/>
  <c r="AM291" i="3"/>
  <c r="AL291" i="3"/>
  <c r="AK291" i="3"/>
  <c r="AJ293" i="3" l="1"/>
  <c r="AN292" i="3"/>
  <c r="AL292" i="3"/>
  <c r="AK292" i="3"/>
  <c r="AM292" i="3"/>
  <c r="AJ294" i="3" l="1"/>
  <c r="AK293" i="3"/>
  <c r="AN293" i="3"/>
  <c r="AM293" i="3"/>
  <c r="AL293" i="3"/>
  <c r="AJ295" i="3" l="1"/>
  <c r="AK294" i="3"/>
  <c r="AM294" i="3"/>
  <c r="AN294" i="3"/>
  <c r="AL294" i="3"/>
  <c r="AJ296" i="3" l="1"/>
  <c r="AL295" i="3"/>
  <c r="AK295" i="3"/>
  <c r="AN295" i="3"/>
  <c r="AM295" i="3"/>
  <c r="AJ297" i="3" l="1"/>
  <c r="AL296" i="3"/>
  <c r="AM296" i="3"/>
  <c r="AK296" i="3"/>
  <c r="AN296" i="3"/>
  <c r="AJ298" i="3" l="1"/>
  <c r="AM297" i="3"/>
  <c r="AK297" i="3"/>
  <c r="AN297" i="3"/>
  <c r="AL297" i="3"/>
  <c r="AJ299" i="3" l="1"/>
  <c r="AM298" i="3"/>
  <c r="AK298" i="3"/>
  <c r="AN298" i="3"/>
  <c r="AL298" i="3"/>
  <c r="AJ300" i="3" l="1"/>
  <c r="AN299" i="3"/>
  <c r="AM299" i="3"/>
  <c r="AL299" i="3"/>
  <c r="AK299" i="3"/>
  <c r="AJ301" i="3" l="1"/>
  <c r="AN300" i="3"/>
  <c r="AL300" i="3"/>
  <c r="AM300" i="3"/>
  <c r="AK300" i="3"/>
  <c r="AJ302" i="3" l="1"/>
  <c r="AK301" i="3"/>
  <c r="AN301" i="3"/>
  <c r="AM301" i="3"/>
  <c r="AL301" i="3"/>
  <c r="AJ303" i="3" l="1"/>
  <c r="AK302" i="3"/>
  <c r="AL302" i="3"/>
  <c r="AM302" i="3"/>
  <c r="AN302" i="3"/>
  <c r="AJ304" i="3" l="1"/>
  <c r="AL303" i="3"/>
  <c r="AK303" i="3"/>
  <c r="AN303" i="3"/>
  <c r="AM303" i="3"/>
  <c r="AQ4" i="3" l="1" a="1"/>
  <c r="AQ4" i="3" s="1"/>
  <c r="AT4" i="3" a="1"/>
  <c r="AT4" i="3" s="1"/>
  <c r="AU4" i="3" a="1"/>
  <c r="AU4" i="3" s="1"/>
  <c r="AV4" i="3" a="1"/>
  <c r="AV4" i="3" s="1"/>
  <c r="AS4" i="3" a="1"/>
  <c r="AS4" i="3" s="1"/>
  <c r="AR4" i="3" a="1"/>
  <c r="AR4" i="3" s="1"/>
  <c r="AL304" i="3"/>
  <c r="AK304" i="3"/>
  <c r="AN304" i="3"/>
  <c r="AM304"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<sst xmlns="http://schemas.openxmlformats.org/spreadsheetml/2006/main" count="2825" uniqueCount="889">
  <si>
    <t>Aberdeen, Town of</t>
  </si>
  <si>
    <t>Ahoskie, Town of</t>
  </si>
  <si>
    <t>Alamance County</t>
  </si>
  <si>
    <t>Alamance, Town of</t>
  </si>
  <si>
    <t>Albemarle, City of</t>
  </si>
  <si>
    <t>Alexander County</t>
  </si>
  <si>
    <t>Alleghany County</t>
  </si>
  <si>
    <t>Alliance, Town of</t>
  </si>
  <si>
    <t>Andrews, Town of</t>
  </si>
  <si>
    <t>Angier, Town of</t>
  </si>
  <si>
    <t>Anson County</t>
  </si>
  <si>
    <t>Ansonville, Town of</t>
  </si>
  <si>
    <t>Apex, Town of</t>
  </si>
  <si>
    <t>Arapahoe, Town of</t>
  </si>
  <si>
    <t>Archdale, City of</t>
  </si>
  <si>
    <t>Archer Lodge, Town of</t>
  </si>
  <si>
    <t>Ashe County</t>
  </si>
  <si>
    <t>Asheboro, City of</t>
  </si>
  <si>
    <t>Asheville, City of</t>
  </si>
  <si>
    <t>Askewville, Town of</t>
  </si>
  <si>
    <t>Atkinson, Town of</t>
  </si>
  <si>
    <t>Atlantic Beach, Town of</t>
  </si>
  <si>
    <t>Aulander, Town of</t>
  </si>
  <si>
    <t>Aurora, Town of</t>
  </si>
  <si>
    <t>Autryville, Town of</t>
  </si>
  <si>
    <t>Avery County</t>
  </si>
  <si>
    <t>Ayden, Town of</t>
  </si>
  <si>
    <t>Badin, Town of</t>
  </si>
  <si>
    <t>Bailey, Town of</t>
  </si>
  <si>
    <t>Bakersville, Town of</t>
  </si>
  <si>
    <t>Bald Head Island, Town of</t>
  </si>
  <si>
    <t>Banner Elk, Town of</t>
  </si>
  <si>
    <t>Bath, Town of</t>
  </si>
  <si>
    <t>Bay River Metropolitan Sewage District</t>
  </si>
  <si>
    <t>Bayboro, Town of</t>
  </si>
  <si>
    <t>Bear Grass, Town of</t>
  </si>
  <si>
    <t>Beaufort County</t>
  </si>
  <si>
    <t>Beaufort, Town of</t>
  </si>
  <si>
    <t>Beech Mountain, Town of</t>
  </si>
  <si>
    <t>Belfast-Patetown Sanitary District</t>
  </si>
  <si>
    <t>Belhaven, Town of</t>
  </si>
  <si>
    <t>Belmont, City of</t>
  </si>
  <si>
    <t>Belville, Town of</t>
  </si>
  <si>
    <t>Belwood, Town of</t>
  </si>
  <si>
    <t>Benson, Town of</t>
  </si>
  <si>
    <t>Bermuda Run, Town of</t>
  </si>
  <si>
    <t>Bertie County</t>
  </si>
  <si>
    <t>Bessemer City, City of</t>
  </si>
  <si>
    <t>Bethania, Town of</t>
  </si>
  <si>
    <t>Bethel, Town of</t>
  </si>
  <si>
    <t>Beulaville, Town of</t>
  </si>
  <si>
    <t>Biltmore Forest, Town of</t>
  </si>
  <si>
    <t>Biscoe, Town of</t>
  </si>
  <si>
    <t>Black Creek, Town of</t>
  </si>
  <si>
    <t>Black Mountain, Town of</t>
  </si>
  <si>
    <t>Bladen County</t>
  </si>
  <si>
    <t>Bladenboro, Town of</t>
  </si>
  <si>
    <t>Blowing Rock, Town of</t>
  </si>
  <si>
    <t>Boardman, Town of</t>
  </si>
  <si>
    <t>Bogue, Town of</t>
  </si>
  <si>
    <t>Boiling Spring Lakes, City of</t>
  </si>
  <si>
    <t>Boiling Springs, Town of</t>
  </si>
  <si>
    <t>Bolivia, Town of</t>
  </si>
  <si>
    <t>Bolton, Town of</t>
  </si>
  <si>
    <t>Boone, Town of</t>
  </si>
  <si>
    <t>Boonville, Town of</t>
  </si>
  <si>
    <t>Bostic, Town of</t>
  </si>
  <si>
    <t>Brevard, City of</t>
  </si>
  <si>
    <t>Bridgeton, Town of</t>
  </si>
  <si>
    <t>Broad River Water Authority</t>
  </si>
  <si>
    <t>Broadway, Town of</t>
  </si>
  <si>
    <t>Brookford, Town of</t>
  </si>
  <si>
    <t>Brunswick County</t>
  </si>
  <si>
    <t>Brunswick Regional Water and Sewer H2GO</t>
  </si>
  <si>
    <t>Brunswick, Town of</t>
  </si>
  <si>
    <t>Bryson City, Town of</t>
  </si>
  <si>
    <t>Buncombe County</t>
  </si>
  <si>
    <t>Buncombe County Metropolitan Sewerage District</t>
  </si>
  <si>
    <t>Bunn, Town of</t>
  </si>
  <si>
    <t>Burgaw, Town of</t>
  </si>
  <si>
    <t>Burke County</t>
  </si>
  <si>
    <t>Burlington, City of</t>
  </si>
  <si>
    <t>Burnsville, Town of</t>
  </si>
  <si>
    <t>Butner, Town of</t>
  </si>
  <si>
    <t>Cabarrus County</t>
  </si>
  <si>
    <t>Cabarrus County Water and Sewer Authority</t>
  </si>
  <si>
    <t>Cajah's Mountain, Town of</t>
  </si>
  <si>
    <t>Calabash, Town of</t>
  </si>
  <si>
    <t>Caldwell County</t>
  </si>
  <si>
    <t>Calypso, Town of</t>
  </si>
  <si>
    <t>Camden County</t>
  </si>
  <si>
    <t>Cameron, Town of</t>
  </si>
  <si>
    <t>Candor, Town of</t>
  </si>
  <si>
    <t>Canton, Town of</t>
  </si>
  <si>
    <t>Cape Carteret, Town of</t>
  </si>
  <si>
    <t>Cape Fear Public Utility Authority</t>
  </si>
  <si>
    <t>Carolina Beach, Town of</t>
  </si>
  <si>
    <t>Carolina Shores, Town of</t>
  </si>
  <si>
    <t>Carrboro, Town of</t>
  </si>
  <si>
    <t>Carteret County</t>
  </si>
  <si>
    <t>Carthage, Town of</t>
  </si>
  <si>
    <t>Cary, Town of</t>
  </si>
  <si>
    <t>Casar, Town of</t>
  </si>
  <si>
    <t>Castalia, Town of</t>
  </si>
  <si>
    <t>Caswell Beach, Town of</t>
  </si>
  <si>
    <t>Caswell County</t>
  </si>
  <si>
    <t>Catawba County</t>
  </si>
  <si>
    <t>Catawba, Town of</t>
  </si>
  <si>
    <t>Cedar Point, Town of</t>
  </si>
  <si>
    <t>Cedar Rock, Town of</t>
  </si>
  <si>
    <t>Cerro Gordo, Town of</t>
  </si>
  <si>
    <t>Chadbourn, Town of</t>
  </si>
  <si>
    <t>Chapel Hill, Town of</t>
  </si>
  <si>
    <t>Charlotte, City of</t>
  </si>
  <si>
    <t>Chatham County</t>
  </si>
  <si>
    <t>Cherokee County</t>
  </si>
  <si>
    <t>Cherryville, City of</t>
  </si>
  <si>
    <t>Chimney Rock, Town of</t>
  </si>
  <si>
    <t>China Grove, Town of</t>
  </si>
  <si>
    <t>Chocowinity, Town of</t>
  </si>
  <si>
    <t>Chowan County</t>
  </si>
  <si>
    <t>Claremont, City of</t>
  </si>
  <si>
    <t>Clarkton, Town of</t>
  </si>
  <si>
    <t>Clay County</t>
  </si>
  <si>
    <t>Clayton, Town of</t>
  </si>
  <si>
    <t>Clemmons, Town of</t>
  </si>
  <si>
    <t>Cleveland County</t>
  </si>
  <si>
    <t>Cleveland County Water</t>
  </si>
  <si>
    <t>Cleveland, Town of</t>
  </si>
  <si>
    <t>Cliffside Sanitary District</t>
  </si>
  <si>
    <t>Clinton, City of</t>
  </si>
  <si>
    <t>Clyde, Town of</t>
  </si>
  <si>
    <t>Coats, Town of</t>
  </si>
  <si>
    <t>Cofield, Town of</t>
  </si>
  <si>
    <t>Colerain, Town of</t>
  </si>
  <si>
    <t>Columbia, Town of</t>
  </si>
  <si>
    <t>Columbus County</t>
  </si>
  <si>
    <t>Columbus, Town of</t>
  </si>
  <si>
    <t>Como, Town of</t>
  </si>
  <si>
    <t>Concord, City of</t>
  </si>
  <si>
    <t>Conetoe, Town of</t>
  </si>
  <si>
    <t>Connelly Springs, Town of</t>
  </si>
  <si>
    <t>Conover, City of</t>
  </si>
  <si>
    <t>Contentnea Metropolitan Sewage District</t>
  </si>
  <si>
    <t>Conway, Town of</t>
  </si>
  <si>
    <t>Cooleemee, Town of</t>
  </si>
  <si>
    <t>Cornelius, Town of</t>
  </si>
  <si>
    <t>Cove City, Town of</t>
  </si>
  <si>
    <t>Cramerton, Town of</t>
  </si>
  <si>
    <t>Craven County</t>
  </si>
  <si>
    <t>Creedmoor, City of</t>
  </si>
  <si>
    <t>Creswell, Town of</t>
  </si>
  <si>
    <t>Crossnore, Town of</t>
  </si>
  <si>
    <t>Cumberland County</t>
  </si>
  <si>
    <t>Currituck County</t>
  </si>
  <si>
    <t>Dallas, Town of</t>
  </si>
  <si>
    <t>Danbury, Town of</t>
  </si>
  <si>
    <t>Dare County</t>
  </si>
  <si>
    <t>Davidson County</t>
  </si>
  <si>
    <t>Davidson, Town of</t>
  </si>
  <si>
    <t>Davie County</t>
  </si>
  <si>
    <t>Denton, Town of</t>
  </si>
  <si>
    <t>Dillsboro, Town of</t>
  </si>
  <si>
    <t>Dobbins Heights, Town of</t>
  </si>
  <si>
    <t>Dobson, Town of</t>
  </si>
  <si>
    <t>Dortches, Town of</t>
  </si>
  <si>
    <t>Dover, Town of</t>
  </si>
  <si>
    <t>Drexel, Town of</t>
  </si>
  <si>
    <t>Dublin, Town of</t>
  </si>
  <si>
    <t>Duck, Town of</t>
  </si>
  <si>
    <t>Dunn, City of</t>
  </si>
  <si>
    <t>Duplin County</t>
  </si>
  <si>
    <t>Durham County</t>
  </si>
  <si>
    <t>Durham, City of</t>
  </si>
  <si>
    <t>Earl, Town of</t>
  </si>
  <si>
    <t>East Arcadia, Town of</t>
  </si>
  <si>
    <t>East Bend, Town of</t>
  </si>
  <si>
    <t>East Laurinburg, Town of</t>
  </si>
  <si>
    <t>East Spencer, Town of</t>
  </si>
  <si>
    <t>Eden, City of</t>
  </si>
  <si>
    <t>Edenton, Town of</t>
  </si>
  <si>
    <t>Edgecombe County</t>
  </si>
  <si>
    <t>Elizabeth City, City of</t>
  </si>
  <si>
    <t>Elizabethtown, Town of</t>
  </si>
  <si>
    <t>Elk Park, Town of</t>
  </si>
  <si>
    <t>Elkin, Town of</t>
  </si>
  <si>
    <t>Ellenboro, Town of</t>
  </si>
  <si>
    <t>Ellerbe, Town of</t>
  </si>
  <si>
    <t>Elm City, Town of</t>
  </si>
  <si>
    <t>Elon, Town of</t>
  </si>
  <si>
    <t>Emerald Isle, Town of</t>
  </si>
  <si>
    <t>Enfield, Town of</t>
  </si>
  <si>
    <t>Engelhard Sanitary District</t>
  </si>
  <si>
    <t>Erwin, Town of</t>
  </si>
  <si>
    <t>Eureka, Town of</t>
  </si>
  <si>
    <t>Everetts, Town of</t>
  </si>
  <si>
    <t>Fair Bluff, Town of</t>
  </si>
  <si>
    <t>Fairmont, Town of</t>
  </si>
  <si>
    <t>Fairview, Town of</t>
  </si>
  <si>
    <t>Faison, Town of</t>
  </si>
  <si>
    <t>Faith, Town of</t>
  </si>
  <si>
    <t>Falcon, Town of</t>
  </si>
  <si>
    <t>Falkland, Town of</t>
  </si>
  <si>
    <t>Fallston, Town of</t>
  </si>
  <si>
    <t>Farmville, Town of</t>
  </si>
  <si>
    <t>Fayetteville, City of</t>
  </si>
  <si>
    <t>First Craven Sanitary District</t>
  </si>
  <si>
    <t>Flat Rock, Town of</t>
  </si>
  <si>
    <t>Fletcher, Town of</t>
  </si>
  <si>
    <t>Fontana Dam, Town of</t>
  </si>
  <si>
    <t>Forest City, Town of</t>
  </si>
  <si>
    <t>Forest Hills, Town of</t>
  </si>
  <si>
    <t>Fork Township Sanitary District</t>
  </si>
  <si>
    <t>Forsyth County</t>
  </si>
  <si>
    <t>Fountain, Town of</t>
  </si>
  <si>
    <t>Four Oaks, Town of</t>
  </si>
  <si>
    <t>Foxfire, Town of</t>
  </si>
  <si>
    <t>Franklin County</t>
  </si>
  <si>
    <t>Franklin, Town of</t>
  </si>
  <si>
    <t>Franklinton, Town of</t>
  </si>
  <si>
    <t>Franklinville, Town of</t>
  </si>
  <si>
    <t>Fremont, Town of</t>
  </si>
  <si>
    <t>Fuquay-Varina, Town of</t>
  </si>
  <si>
    <t>Gamewell, Town of</t>
  </si>
  <si>
    <t>Garland, Town of</t>
  </si>
  <si>
    <t>Garner, Town of</t>
  </si>
  <si>
    <t>Garysburg, Town of</t>
  </si>
  <si>
    <t>Gaston County</t>
  </si>
  <si>
    <t>Gaston, Town of</t>
  </si>
  <si>
    <t>Gastonia, City of</t>
  </si>
  <si>
    <t>Gates County</t>
  </si>
  <si>
    <t>Gatesville, Town of</t>
  </si>
  <si>
    <t>Gibson, Town of</t>
  </si>
  <si>
    <t>Gibsonville, Town of</t>
  </si>
  <si>
    <t>Glen Alpine, Town of</t>
  </si>
  <si>
    <t>Godwin, Town of</t>
  </si>
  <si>
    <t>Goldsboro, City of</t>
  </si>
  <si>
    <t>Goldston, Town of</t>
  </si>
  <si>
    <t>Goldston/Gulf Sanitary District</t>
  </si>
  <si>
    <t>Graham County</t>
  </si>
  <si>
    <t>Graham, City of</t>
  </si>
  <si>
    <t>Grandfather, Town of</t>
  </si>
  <si>
    <t>Granite Falls, Town of</t>
  </si>
  <si>
    <t>Granite Quarry, Town of</t>
  </si>
  <si>
    <t>Grantsboro, Town of</t>
  </si>
  <si>
    <t>Granville County</t>
  </si>
  <si>
    <t>Green Level, Town of</t>
  </si>
  <si>
    <t>Greene County</t>
  </si>
  <si>
    <t>Greenevers, Town of</t>
  </si>
  <si>
    <t>Greensboro, City of</t>
  </si>
  <si>
    <t>Greenville Utilities Commission</t>
  </si>
  <si>
    <t>Greenville, City of</t>
  </si>
  <si>
    <t>Grifton, Town of</t>
  </si>
  <si>
    <t>Grimesland, Town of</t>
  </si>
  <si>
    <t>Grover, Town of</t>
  </si>
  <si>
    <t>Guilford County</t>
  </si>
  <si>
    <t>Halifax County</t>
  </si>
  <si>
    <t>Halifax, Town of</t>
  </si>
  <si>
    <t>Hamilton, Town of</t>
  </si>
  <si>
    <t>Hamlet, City of</t>
  </si>
  <si>
    <t>Handy Sanitary District</t>
  </si>
  <si>
    <t>Harkers Island Sanitary District</t>
  </si>
  <si>
    <t>Harmony, Town of</t>
  </si>
  <si>
    <t>Harnett County</t>
  </si>
  <si>
    <t>Harrells, Town of</t>
  </si>
  <si>
    <t>Harrellsville, Town of</t>
  </si>
  <si>
    <t>Harrisburg, Town of</t>
  </si>
  <si>
    <t>Hassell, Town of</t>
  </si>
  <si>
    <t>Havelock, City of</t>
  </si>
  <si>
    <t>Haw River, Town of</t>
  </si>
  <si>
    <t>Hayesville, Town of</t>
  </si>
  <si>
    <t>Haywood County</t>
  </si>
  <si>
    <t>Hemby Bridge, Town of</t>
  </si>
  <si>
    <t>Henderson County</t>
  </si>
  <si>
    <t>Henderson, City of</t>
  </si>
  <si>
    <t>Hendersonville, City of</t>
  </si>
  <si>
    <t>Hertford County</t>
  </si>
  <si>
    <t>Hertford, Town of</t>
  </si>
  <si>
    <t>Hickory, City of</t>
  </si>
  <si>
    <t>High Point, City of</t>
  </si>
  <si>
    <t>High Shoals, City of</t>
  </si>
  <si>
    <t>Highlands, Town of</t>
  </si>
  <si>
    <t>Hildebran, Town of</t>
  </si>
  <si>
    <t>Hillsborough, Town of</t>
  </si>
  <si>
    <t>Hobgood, Town of</t>
  </si>
  <si>
    <t>Hoffman, Town of</t>
  </si>
  <si>
    <t>Hoke County</t>
  </si>
  <si>
    <t>Holden Beach, Town of</t>
  </si>
  <si>
    <t>Holly Ridge, Town of</t>
  </si>
  <si>
    <t>Holly Springs, Town of</t>
  </si>
  <si>
    <t>Hookerton, Town of</t>
  </si>
  <si>
    <t>Hope Mills, Town of</t>
  </si>
  <si>
    <t>Hot Springs, Town of</t>
  </si>
  <si>
    <t>Hudson, Town of</t>
  </si>
  <si>
    <t>Huntersville, Town of</t>
  </si>
  <si>
    <t>Hyde County</t>
  </si>
  <si>
    <t>Indian Beach, Town of</t>
  </si>
  <si>
    <t>Indian Trail, Town of</t>
  </si>
  <si>
    <t>Iredell County</t>
  </si>
  <si>
    <t>Jackson County</t>
  </si>
  <si>
    <t>Jackson, Town of</t>
  </si>
  <si>
    <t>Jacksonville, City of</t>
  </si>
  <si>
    <t>Jamestown, Town of</t>
  </si>
  <si>
    <t>Jamesville, Town of</t>
  </si>
  <si>
    <t>Jefferson, Town of</t>
  </si>
  <si>
    <t>Johnston County</t>
  </si>
  <si>
    <t>Jones County</t>
  </si>
  <si>
    <t>Jonesville, Town of</t>
  </si>
  <si>
    <t>Junaluska Sanitary District</t>
  </si>
  <si>
    <t>Kannapolis, City of</t>
  </si>
  <si>
    <t>Kelford, Town of</t>
  </si>
  <si>
    <t>Kenansville, Town of</t>
  </si>
  <si>
    <t>Kenly, Town of</t>
  </si>
  <si>
    <t>Kernersville, Town of</t>
  </si>
  <si>
    <t>Kill Devil Hills, Town of</t>
  </si>
  <si>
    <t>King, City of</t>
  </si>
  <si>
    <t>Kings Mountain, City of</t>
  </si>
  <si>
    <t>Kingstown, Town of</t>
  </si>
  <si>
    <t>Kinston, City of</t>
  </si>
  <si>
    <t>Kittrell, Town of</t>
  </si>
  <si>
    <t>Kitty Hawk, Town of</t>
  </si>
  <si>
    <t>Knightdale, Town of</t>
  </si>
  <si>
    <t>Kure Beach, Town of</t>
  </si>
  <si>
    <t>La Grange, Town of</t>
  </si>
  <si>
    <t>Lake Lure, Town of</t>
  </si>
  <si>
    <t>Lake Park, Town of</t>
  </si>
  <si>
    <t>Lake Santeetlah, Town of</t>
  </si>
  <si>
    <t>Lake Waccamaw, Town of</t>
  </si>
  <si>
    <t>Landis, Town of</t>
  </si>
  <si>
    <t>Lansing, Town of</t>
  </si>
  <si>
    <t>Lasker, Town of</t>
  </si>
  <si>
    <t>Lattimore, Town of</t>
  </si>
  <si>
    <t>Laurel Park, Town of</t>
  </si>
  <si>
    <t>Laurinburg, City of</t>
  </si>
  <si>
    <t>Lawndale, Town of</t>
  </si>
  <si>
    <t>Lee County</t>
  </si>
  <si>
    <t>Leggett, Town of</t>
  </si>
  <si>
    <t>Leland, Town of</t>
  </si>
  <si>
    <t>Lenoir County</t>
  </si>
  <si>
    <t>Lenoir, City of</t>
  </si>
  <si>
    <t>Lewiston Woodville, Town of</t>
  </si>
  <si>
    <t>Lewisville, Town of</t>
  </si>
  <si>
    <t>Lexington, City of</t>
  </si>
  <si>
    <t>Liberty, Town of</t>
  </si>
  <si>
    <t>Lilesville, Town of</t>
  </si>
  <si>
    <t>Lillington, Town of</t>
  </si>
  <si>
    <t>Lincoln County</t>
  </si>
  <si>
    <t>Lincolnton, City of</t>
  </si>
  <si>
    <t>Linden, Town of</t>
  </si>
  <si>
    <t>Littleton, Town of</t>
  </si>
  <si>
    <t>Locust, City of</t>
  </si>
  <si>
    <t>Long View, Town of</t>
  </si>
  <si>
    <t>Louisburg, Town of</t>
  </si>
  <si>
    <t>Love Valley, Town of</t>
  </si>
  <si>
    <t>Lowell, City of</t>
  </si>
  <si>
    <t>Lucama, Town of</t>
  </si>
  <si>
    <t>Lumber Bridge, Town of</t>
  </si>
  <si>
    <t>Lumberton, City of</t>
  </si>
  <si>
    <t>Macclesfield, Town of</t>
  </si>
  <si>
    <t>Macon County</t>
  </si>
  <si>
    <t>Macon, Town of</t>
  </si>
  <si>
    <t>Madison County</t>
  </si>
  <si>
    <t>Madison, Town of</t>
  </si>
  <si>
    <t>Maggie Valley Sanitary District</t>
  </si>
  <si>
    <t>Maggie Valley, Town of</t>
  </si>
  <si>
    <t>Magnolia, Town of</t>
  </si>
  <si>
    <t>Maiden, Town of</t>
  </si>
  <si>
    <t>Manteo, Town of</t>
  </si>
  <si>
    <t>Marietta, Town of</t>
  </si>
  <si>
    <t>Marion, City of</t>
  </si>
  <si>
    <t>Mars Hill, Town of</t>
  </si>
  <si>
    <t>Marshall, Town of</t>
  </si>
  <si>
    <t>Marshville, Town of</t>
  </si>
  <si>
    <t>Martin County</t>
  </si>
  <si>
    <t>Martin County Regional Water and Sewer Authority</t>
  </si>
  <si>
    <t>Marvin, Town of</t>
  </si>
  <si>
    <t>Matthews, Town of</t>
  </si>
  <si>
    <t>Maury Sanitary Land District</t>
  </si>
  <si>
    <t>Maxton, Town of</t>
  </si>
  <si>
    <t>Mayodan, Town of</t>
  </si>
  <si>
    <t>Maysville, Town of</t>
  </si>
  <si>
    <t>McAdenville, Town of</t>
  </si>
  <si>
    <t>McDonald, Town of</t>
  </si>
  <si>
    <t>McDowell County</t>
  </si>
  <si>
    <t>McFarlan, Town of</t>
  </si>
  <si>
    <t>Mebane, City of</t>
  </si>
  <si>
    <t>Mecklenburg County</t>
  </si>
  <si>
    <t>Mesic, Town of</t>
  </si>
  <si>
    <t>Micro, Town of</t>
  </si>
  <si>
    <t>Middleburg, Town of</t>
  </si>
  <si>
    <t>Middlesex, Town of</t>
  </si>
  <si>
    <t>Midland, Town of</t>
  </si>
  <si>
    <t>Midway, Town of</t>
  </si>
  <si>
    <t>Mills River, Town of</t>
  </si>
  <si>
    <t>Milton, Town of</t>
  </si>
  <si>
    <t>Mineral Springs, Town of</t>
  </si>
  <si>
    <t>Minnesott Beach, Town of</t>
  </si>
  <si>
    <t>Mint Hill, Town of</t>
  </si>
  <si>
    <t>Misenheimer, Town of</t>
  </si>
  <si>
    <t>Mitchell County</t>
  </si>
  <si>
    <t>Mocksville, Town of</t>
  </si>
  <si>
    <t>Momeyer, Town of</t>
  </si>
  <si>
    <t>Monroe, City of</t>
  </si>
  <si>
    <t>Montgomery County</t>
  </si>
  <si>
    <t>Montreat, Town of</t>
  </si>
  <si>
    <t>Moore County</t>
  </si>
  <si>
    <t>Mooresboro, Town of</t>
  </si>
  <si>
    <t>Mooresville, Town of</t>
  </si>
  <si>
    <t>Morehead City, Town of</t>
  </si>
  <si>
    <t>Morganton, City of</t>
  </si>
  <si>
    <t>Morrisville, Town of</t>
  </si>
  <si>
    <t>Morven, Town of</t>
  </si>
  <si>
    <t>Mount Airy, City of</t>
  </si>
  <si>
    <t>Mount Gilead, Town of</t>
  </si>
  <si>
    <t>Mount Holly, City of</t>
  </si>
  <si>
    <t>Mount Olive, Town of</t>
  </si>
  <si>
    <t>Mount Pleasant, Town of</t>
  </si>
  <si>
    <t>Murfreesboro, Town of</t>
  </si>
  <si>
    <t>Murphy, Town of</t>
  </si>
  <si>
    <t>Nags Head, Town of</t>
  </si>
  <si>
    <t>Nash County</t>
  </si>
  <si>
    <t>Nashville, Town of</t>
  </si>
  <si>
    <t>Navassa, Town of</t>
  </si>
  <si>
    <t>Neuse Regional Water and Sewer Authority</t>
  </si>
  <si>
    <t>New Bern, City of</t>
  </si>
  <si>
    <t>New Hanover County</t>
  </si>
  <si>
    <t>New London, Town of</t>
  </si>
  <si>
    <t>Newland, Town of</t>
  </si>
  <si>
    <t>Newport, Town of</t>
  </si>
  <si>
    <t>Newton Grove, Town of</t>
  </si>
  <si>
    <t>Newton, City of</t>
  </si>
  <si>
    <t>Norlina, Town of</t>
  </si>
  <si>
    <t>Norman, Town of</t>
  </si>
  <si>
    <t>North Wilkesboro, Town of</t>
  </si>
  <si>
    <t>Northampton County</t>
  </si>
  <si>
    <t>Norwood, Town of</t>
  </si>
  <si>
    <t>Oak City, Town of</t>
  </si>
  <si>
    <t>Oak Island, Town of</t>
  </si>
  <si>
    <t>Oak Ridge, Town of</t>
  </si>
  <si>
    <t>Oakboro, Town of</t>
  </si>
  <si>
    <t>Ocean Isle Beach, Town of</t>
  </si>
  <si>
    <t>Ocracoke Sanitary District</t>
  </si>
  <si>
    <t>Old Fort, Town of</t>
  </si>
  <si>
    <t>Onslow County</t>
  </si>
  <si>
    <t>Onslow Water and Sewer Authority</t>
  </si>
  <si>
    <t>Orange County</t>
  </si>
  <si>
    <t>Orange Water and Sewer Authority</t>
  </si>
  <si>
    <t>Oriental, Town of</t>
  </si>
  <si>
    <t>Orrum, Town of</t>
  </si>
  <si>
    <t>Ossipee, Town of</t>
  </si>
  <si>
    <t>Oxford, City of</t>
  </si>
  <si>
    <t>Pamlico County</t>
  </si>
  <si>
    <t>Pantego, Town of</t>
  </si>
  <si>
    <t>Parkton, Town of</t>
  </si>
  <si>
    <t>Parmele, Town of</t>
  </si>
  <si>
    <t>Pasquotank County</t>
  </si>
  <si>
    <t>Patterson Springs, Town of</t>
  </si>
  <si>
    <t>Peachland, Town of</t>
  </si>
  <si>
    <t>Peletier, Town of</t>
  </si>
  <si>
    <t>Pembroke, Town of</t>
  </si>
  <si>
    <t>Pender County</t>
  </si>
  <si>
    <t>Perquimans County</t>
  </si>
  <si>
    <t>Person County</t>
  </si>
  <si>
    <t>Piedmont Triad Regional Water Authority</t>
  </si>
  <si>
    <t>Pikeville, Town of</t>
  </si>
  <si>
    <t>Pilot Mountain, Town of</t>
  </si>
  <si>
    <t>Pine Knoll Shores, Town of</t>
  </si>
  <si>
    <t>Pine Level, Town of</t>
  </si>
  <si>
    <t>Pinebluff, Town of</t>
  </si>
  <si>
    <t>Pinehurst, Town of</t>
  </si>
  <si>
    <t>Pinetops, Town of</t>
  </si>
  <si>
    <t>Pineville, Town of</t>
  </si>
  <si>
    <t>Pink Hill, Town of</t>
  </si>
  <si>
    <t>Pitt County</t>
  </si>
  <si>
    <t>Pittsboro, Town of</t>
  </si>
  <si>
    <t>Pleasant Garden, Town of</t>
  </si>
  <si>
    <t>Plymouth, Town of</t>
  </si>
  <si>
    <t>Polk County</t>
  </si>
  <si>
    <t>Polkton, Town of</t>
  </si>
  <si>
    <t>Polkville, City of</t>
  </si>
  <si>
    <t>Pollocksville, Town of</t>
  </si>
  <si>
    <t>Powellsville, Town of</t>
  </si>
  <si>
    <t>Princeton, Town of</t>
  </si>
  <si>
    <t>Princeville, Town of</t>
  </si>
  <si>
    <t>Proctorville, Town of</t>
  </si>
  <si>
    <t>Raeford, City of</t>
  </si>
  <si>
    <t>Raleigh, City of</t>
  </si>
  <si>
    <t>Ramseur, Town of</t>
  </si>
  <si>
    <t>Randleman, City of</t>
  </si>
  <si>
    <t>Randolph County</t>
  </si>
  <si>
    <t>Ranlo, Town of</t>
  </si>
  <si>
    <t>Raynham, Town of</t>
  </si>
  <si>
    <t>Red Cross, Town of</t>
  </si>
  <si>
    <t>Red Oak, Town of</t>
  </si>
  <si>
    <t>Red Springs, Town of</t>
  </si>
  <si>
    <t>Reidsville, City of</t>
  </si>
  <si>
    <t>Rennert, Town of</t>
  </si>
  <si>
    <t>Rhodhiss, Town of</t>
  </si>
  <si>
    <t>Rich Square, Town of</t>
  </si>
  <si>
    <t>Richfield, Town of</t>
  </si>
  <si>
    <t>Richlands, Town of</t>
  </si>
  <si>
    <t>Richmond County</t>
  </si>
  <si>
    <t>River Bend, Town of</t>
  </si>
  <si>
    <t>Roanoke Rapids Sanitary District</t>
  </si>
  <si>
    <t>Roanoke Rapids, City of</t>
  </si>
  <si>
    <t>Robbins, Town of</t>
  </si>
  <si>
    <t>Robbinsville, Town of</t>
  </si>
  <si>
    <t>Robersonville, Town of</t>
  </si>
  <si>
    <t>Robeson County</t>
  </si>
  <si>
    <t>Rockingham County</t>
  </si>
  <si>
    <t>Rockingham, City of</t>
  </si>
  <si>
    <t>Rockwell, Town of</t>
  </si>
  <si>
    <t>Rocky Mount, City of</t>
  </si>
  <si>
    <t>Rolesville, Town of</t>
  </si>
  <si>
    <t>Ronda, Town of</t>
  </si>
  <si>
    <t>Roper, Town of</t>
  </si>
  <si>
    <t>Rose Hill, Town of</t>
  </si>
  <si>
    <t>Roseboro, Town of</t>
  </si>
  <si>
    <t>Rosman, Town of</t>
  </si>
  <si>
    <t>Rowan County</t>
  </si>
  <si>
    <t>Rowland, Town of</t>
  </si>
  <si>
    <t>Roxboro, City of</t>
  </si>
  <si>
    <t>Roxobel, Town of</t>
  </si>
  <si>
    <t>Rural Hall, Town of</t>
  </si>
  <si>
    <t>Ruth, Town of</t>
  </si>
  <si>
    <t>Rutherford College, Town of</t>
  </si>
  <si>
    <t>Rutherford County</t>
  </si>
  <si>
    <t>Rutherfordton, Town of</t>
  </si>
  <si>
    <t>Saint Helena, Town of</t>
  </si>
  <si>
    <t>Saint James, Town of</t>
  </si>
  <si>
    <t>Saint Pauls, Town of</t>
  </si>
  <si>
    <t>Salemburg, Town of</t>
  </si>
  <si>
    <t>Salisbury, City of</t>
  </si>
  <si>
    <t>Saluda, City of</t>
  </si>
  <si>
    <t>Sampson County</t>
  </si>
  <si>
    <t>Sandy Creek, Town of</t>
  </si>
  <si>
    <t>Sandyfield, Town of</t>
  </si>
  <si>
    <t>Sanford, City of</t>
  </si>
  <si>
    <t>Saratoga, Town of</t>
  </si>
  <si>
    <t>Sawmills, Town of</t>
  </si>
  <si>
    <t>Scotland County</t>
  </si>
  <si>
    <t>Scotland Neck, Town of</t>
  </si>
  <si>
    <t>Seaboard, Town of</t>
  </si>
  <si>
    <t>Seagrove, Town of</t>
  </si>
  <si>
    <t>Seagrove-Ulah Metropolitan Water District</t>
  </si>
  <si>
    <t>Sedalia, Town of</t>
  </si>
  <si>
    <t>Sedgefield Sanitary District</t>
  </si>
  <si>
    <t>Selma, Town of</t>
  </si>
  <si>
    <t>Seven Devils, Town of</t>
  </si>
  <si>
    <t>Seven Springs, Town of</t>
  </si>
  <si>
    <t>Severn, Town of</t>
  </si>
  <si>
    <t>Shallotte, Town of</t>
  </si>
  <si>
    <t>Sharpsburg, Town of</t>
  </si>
  <si>
    <t>Shelby, City of</t>
  </si>
  <si>
    <t>Siler City, Town of</t>
  </si>
  <si>
    <t>Simpson, Town of</t>
  </si>
  <si>
    <t>Sims, Town of</t>
  </si>
  <si>
    <t>Smithfield, Town of</t>
  </si>
  <si>
    <t>Snow Hill, Town of</t>
  </si>
  <si>
    <t>South Granville Water and Sewer Authority</t>
  </si>
  <si>
    <t>Southeast Brunswick Sanitary District</t>
  </si>
  <si>
    <t>Southeastern Wayne Sanitary District</t>
  </si>
  <si>
    <t>Southern Pines, Town of</t>
  </si>
  <si>
    <t>Southern Shores, Town of</t>
  </si>
  <si>
    <t>Southern Wayne Sanitary District</t>
  </si>
  <si>
    <t>Southport, City of</t>
  </si>
  <si>
    <t>Southwestern Wayne Sanitary District</t>
  </si>
  <si>
    <t>Sparta, Town of</t>
  </si>
  <si>
    <t>Speed, Town of</t>
  </si>
  <si>
    <t>Spencer, Town of</t>
  </si>
  <si>
    <t>Spindale, Town of</t>
  </si>
  <si>
    <t>Spring Hope, Town of</t>
  </si>
  <si>
    <t>Spring Lake, Town of</t>
  </si>
  <si>
    <t>Spruce Pine, Town of</t>
  </si>
  <si>
    <t>Staley, Town of</t>
  </si>
  <si>
    <t>Stallings, Town of</t>
  </si>
  <si>
    <t>Stanfield, Town of</t>
  </si>
  <si>
    <t>Stanley, Town of</t>
  </si>
  <si>
    <t>Stanly County</t>
  </si>
  <si>
    <t>Stanly Water and Sewer Authority</t>
  </si>
  <si>
    <t>Stantonsburg, Town of</t>
  </si>
  <si>
    <t>Star, Town of</t>
  </si>
  <si>
    <t>Statesville, City of</t>
  </si>
  <si>
    <t>Stedman, Town of</t>
  </si>
  <si>
    <t>Stem, Town of</t>
  </si>
  <si>
    <t>Stokes County</t>
  </si>
  <si>
    <t>Stokes County Water and Sewer Authority</t>
  </si>
  <si>
    <t>Stokesdale, Town of</t>
  </si>
  <si>
    <t>Stoneville, Town of</t>
  </si>
  <si>
    <t>Stonewall, Town of</t>
  </si>
  <si>
    <t>Stovall, Town of</t>
  </si>
  <si>
    <t>Sugar Mountain, Town of</t>
  </si>
  <si>
    <t>Summerfield, Town of</t>
  </si>
  <si>
    <t>Sunset Beach, Town of</t>
  </si>
  <si>
    <t>Surf City, Town of</t>
  </si>
  <si>
    <t>Surry County</t>
  </si>
  <si>
    <t>Swain County</t>
  </si>
  <si>
    <t>Swan Quarter Sanitary District</t>
  </si>
  <si>
    <t>Swansboro, Town of</t>
  </si>
  <si>
    <t>Swepsonville, Town of</t>
  </si>
  <si>
    <t>Sylva, Town of</t>
  </si>
  <si>
    <t>Tabor City, Town of</t>
  </si>
  <si>
    <t>Tar Heel, Town of</t>
  </si>
  <si>
    <t>Tarboro, Town of</t>
  </si>
  <si>
    <t>Taylorsville, Town of</t>
  </si>
  <si>
    <t>Taylortown, Town of</t>
  </si>
  <si>
    <t>Teachey, Town of</t>
  </si>
  <si>
    <t>Thomasville, City of</t>
  </si>
  <si>
    <t>Tobaccoville, Town of</t>
  </si>
  <si>
    <t>Topsail Beach, Town of</t>
  </si>
  <si>
    <t>Transylvania County</t>
  </si>
  <si>
    <t>Trent Woods, Town of</t>
  </si>
  <si>
    <t>Trenton, Town of</t>
  </si>
  <si>
    <t>Trinity, City of</t>
  </si>
  <si>
    <t>Troutman, Town of</t>
  </si>
  <si>
    <t>Troy, Town of</t>
  </si>
  <si>
    <t>Tryon, Town of</t>
  </si>
  <si>
    <t>Tuckaseigee Water and Sewer Authority</t>
  </si>
  <si>
    <t>Turkey, Town of</t>
  </si>
  <si>
    <t>Tyrrell County</t>
  </si>
  <si>
    <t>Union County</t>
  </si>
  <si>
    <t>Unionville, Town of</t>
  </si>
  <si>
    <t>Valdese, Town of</t>
  </si>
  <si>
    <t>Vance County</t>
  </si>
  <si>
    <t>Vanceboro, Town of</t>
  </si>
  <si>
    <t>Vandemere, Town of</t>
  </si>
  <si>
    <t>Varnamtown, Town of</t>
  </si>
  <si>
    <t>Vass, Town of</t>
  </si>
  <si>
    <t>Waco, Town of</t>
  </si>
  <si>
    <t>Wade, Town of</t>
  </si>
  <si>
    <t>Wadesboro, Town of</t>
  </si>
  <si>
    <t>Wagram, Town of</t>
  </si>
  <si>
    <t>Wake County</t>
  </si>
  <si>
    <t>Wake Forest, Town of</t>
  </si>
  <si>
    <t>Walkertown, Town of</t>
  </si>
  <si>
    <t>Wallace, Town of</t>
  </si>
  <si>
    <t>Wallburg, Town of</t>
  </si>
  <si>
    <t>Walnut Cove, Town of</t>
  </si>
  <si>
    <t>Walnut Creek, Town of</t>
  </si>
  <si>
    <t>Walstonburg, Town of</t>
  </si>
  <si>
    <t>Warren County</t>
  </si>
  <si>
    <t>Warrenton, Town of</t>
  </si>
  <si>
    <t>Warsaw, Town of</t>
  </si>
  <si>
    <t>Washington County</t>
  </si>
  <si>
    <t>Washington Park, Town of</t>
  </si>
  <si>
    <t>Washington, City of</t>
  </si>
  <si>
    <t>Watauga County</t>
  </si>
  <si>
    <t>Watha, Town of</t>
  </si>
  <si>
    <t>Waxhaw, Town of</t>
  </si>
  <si>
    <t>Wayne County</t>
  </si>
  <si>
    <t>Waynesville, Town of</t>
  </si>
  <si>
    <t>Weaverville, Town of</t>
  </si>
  <si>
    <t>Webster, Town of</t>
  </si>
  <si>
    <t>Weddington, Town of</t>
  </si>
  <si>
    <t>Weldon, Town of</t>
  </si>
  <si>
    <t>Wendell, Town of</t>
  </si>
  <si>
    <t>Wentworth, Town of</t>
  </si>
  <si>
    <t>Wesley Chapel, Town of</t>
  </si>
  <si>
    <t>West Jefferson, Town of</t>
  </si>
  <si>
    <t>Western Bay River Metropolitan Sewer District</t>
  </si>
  <si>
    <t>Whispering Pines, Town of</t>
  </si>
  <si>
    <t>Whitakers, Town of</t>
  </si>
  <si>
    <t>White Lake, Town of</t>
  </si>
  <si>
    <t>Whiteville, City of</t>
  </si>
  <si>
    <t>Whitsett, Town of</t>
  </si>
  <si>
    <t>Whittier Sanitary District</t>
  </si>
  <si>
    <t>Wilkes County</t>
  </si>
  <si>
    <t>Wilkesboro, Town of</t>
  </si>
  <si>
    <t>Williamston, Town of</t>
  </si>
  <si>
    <t>Wilmington, City of</t>
  </si>
  <si>
    <t>Wilson County</t>
  </si>
  <si>
    <t>Wilson, City of</t>
  </si>
  <si>
    <t>Wilson's Mills, Town of</t>
  </si>
  <si>
    <t>Windsor, Town of</t>
  </si>
  <si>
    <t>Winfall, Town of</t>
  </si>
  <si>
    <t>Wingate, Town of</t>
  </si>
  <si>
    <t>Winston-Salem, City of</t>
  </si>
  <si>
    <t>Winterville, Town of</t>
  </si>
  <si>
    <t>Winton, Town of</t>
  </si>
  <si>
    <t>Woodfin Sanitary District</t>
  </si>
  <si>
    <t>Woodfin, Town of</t>
  </si>
  <si>
    <t>Woodland, Town of</t>
  </si>
  <si>
    <t>Wrightsville Beach, Town of</t>
  </si>
  <si>
    <t>Yadkin County</t>
  </si>
  <si>
    <t>Yadkin Valley Sewer Authority</t>
  </si>
  <si>
    <t>Yadkinville, Town of</t>
  </si>
  <si>
    <t>Yancey County</t>
  </si>
  <si>
    <t>Yanceyville, Town of</t>
  </si>
  <si>
    <t>Youngsville, Town of</t>
  </si>
  <si>
    <t>Zebulon, Town of</t>
  </si>
  <si>
    <t>Unit Name</t>
  </si>
  <si>
    <t>Bulk provider?</t>
  </si>
  <si>
    <t>No</t>
  </si>
  <si>
    <t>Yes</t>
  </si>
  <si>
    <t>Distressed?</t>
  </si>
  <si>
    <t xml:space="preserve">  Facility LGU X,Y Data Point</t>
  </si>
  <si>
    <t>50 Percentile</t>
  </si>
  <si>
    <t>70 Percentile</t>
  </si>
  <si>
    <t>85 Percentile</t>
  </si>
  <si>
    <t>95 Percentile</t>
  </si>
  <si>
    <t>Water</t>
  </si>
  <si>
    <t>99 Percentile</t>
  </si>
  <si>
    <t>Wastewater</t>
  </si>
  <si>
    <t>Percentile Ranges for grant eligibility categories</t>
  </si>
  <si>
    <t>% Grant or PF</t>
  </si>
  <si>
    <t>Combined water and sewer provider</t>
  </si>
  <si>
    <t>&gt; 99 Percentile</t>
  </si>
  <si>
    <t>Single water or sewer provider</t>
  </si>
  <si>
    <t>95 - 99 Percentile</t>
  </si>
  <si>
    <t>85 - 95 Percentile</t>
  </si>
  <si>
    <t>70 - 85 Percentile</t>
  </si>
  <si>
    <t>50 - 70 Percentile</t>
  </si>
  <si>
    <t>0 - 50 Percentile</t>
  </si>
  <si>
    <t>LGU</t>
  </si>
  <si>
    <t>Water Connections</t>
  </si>
  <si>
    <t>Sewer Connections</t>
  </si>
  <si>
    <r>
      <rPr>
        <b/>
        <sz val="11"/>
        <color theme="1"/>
        <rFont val="Calibri"/>
        <family val="2"/>
      </rPr>
      <t>←  Complete d</t>
    </r>
    <r>
      <rPr>
        <b/>
        <sz val="11"/>
        <color theme="1"/>
        <rFont val="Calibri"/>
        <family val="2"/>
        <scheme val="minor"/>
      </rPr>
      <t>ata entry cells in yellow</t>
    </r>
  </si>
  <si>
    <t>Enter Name of Applicant:</t>
  </si>
  <si>
    <t xml:space="preserve"> </t>
  </si>
  <si>
    <t>STEP 1:  Applicant's Designation and Assessment Criteria Score</t>
  </si>
  <si>
    <t>Select Applicant from menu:</t>
  </si>
  <si>
    <t>If applying for a project with more than one local government unit, select the local government that is either designated as distressed or has the greatest VUR Assessment Criteria score.</t>
  </si>
  <si>
    <t>Designated as "Distressed" in accordance with NCGS 159G-45?</t>
  </si>
  <si>
    <t>Wholesale-only service provider?</t>
  </si>
  <si>
    <t>STEP 2:  Residential Connections</t>
  </si>
  <si>
    <t>STEP 3:  Local Government Unit (LGU) Economic Indicators</t>
  </si>
  <si>
    <t>Total:</t>
  </si>
  <si>
    <t>State Benchmarks are:</t>
  </si>
  <si>
    <t xml:space="preserve"> Worse than State Benchmark?</t>
  </si>
  <si>
    <t>LGU Coverage (% of service area)</t>
  </si>
  <si>
    <r>
      <t xml:space="preserve"> # of Indicators worse  </t>
    </r>
    <r>
      <rPr>
        <sz val="11"/>
        <color theme="1"/>
        <rFont val="Calibri"/>
        <family val="2"/>
      </rPr>
      <t>→
than State Benchmark</t>
    </r>
  </si>
  <si>
    <r>
      <t>Operating Revenues</t>
    </r>
    <r>
      <rPr>
        <vertAlign val="subscript"/>
        <sz val="11"/>
        <color theme="1"/>
        <rFont val="Calibri"/>
        <family val="2"/>
        <scheme val="minor"/>
      </rPr>
      <t>Water &amp; Sewer</t>
    </r>
    <r>
      <rPr>
        <sz val="11"/>
        <color theme="1"/>
        <rFont val="Calibri"/>
        <family val="2"/>
        <scheme val="minor"/>
      </rPr>
      <t>:</t>
    </r>
  </si>
  <si>
    <r>
      <t>Total Expenditures</t>
    </r>
    <r>
      <rPr>
        <vertAlign val="subscript"/>
        <sz val="11"/>
        <color theme="1"/>
        <rFont val="Calibri"/>
        <family val="2"/>
        <scheme val="minor"/>
      </rPr>
      <t>Water&amp;Sewer</t>
    </r>
    <r>
      <rPr>
        <sz val="11"/>
        <color theme="1"/>
        <rFont val="Calibri"/>
        <family val="2"/>
        <scheme val="minor"/>
      </rPr>
      <t>:</t>
    </r>
  </si>
  <si>
    <r>
      <t>Calculated Operating Ratio</t>
    </r>
    <r>
      <rPr>
        <b/>
        <vertAlign val="subscript"/>
        <sz val="11"/>
        <color theme="1"/>
        <rFont val="Calibri"/>
        <family val="2"/>
        <scheme val="minor"/>
      </rPr>
      <t>Future</t>
    </r>
    <r>
      <rPr>
        <b/>
        <sz val="11"/>
        <color theme="1"/>
        <rFont val="Calibri"/>
        <family val="2"/>
        <scheme val="minor"/>
      </rPr>
      <t>:</t>
    </r>
  </si>
  <si>
    <t>Step 5:  Water/Sewer Utility Information</t>
  </si>
  <si>
    <t>Current monthly bill for 5,000 gallons:</t>
  </si>
  <si>
    <t>Water Rate</t>
  </si>
  <si>
    <t>Sewer Rate</t>
  </si>
  <si>
    <t>"Effective" combined water &amp; sewer bill for 5,000 gallons:</t>
  </si>
  <si>
    <t>Project cost per connection per month:</t>
  </si>
  <si>
    <t>Eligibility is limited by the percentage below, funding request amount, caps on SRF principal forgiveness or SRP grants based on project type, and PF or grant availability.</t>
  </si>
  <si>
    <t>Running Total</t>
  </si>
  <si>
    <t>Step 1 drop down</t>
  </si>
  <si>
    <r>
      <t xml:space="preserve">Select LGU from menu </t>
    </r>
    <r>
      <rPr>
        <sz val="12"/>
        <color theme="1"/>
        <rFont val="Calibri"/>
        <family val="2"/>
      </rPr>
      <t>→</t>
    </r>
  </si>
  <si>
    <t>Step 1</t>
  </si>
  <si>
    <t>Step 2</t>
  </si>
  <si>
    <t>Step 3</t>
  </si>
  <si>
    <t>Step 4</t>
  </si>
  <si>
    <t>Step 5</t>
  </si>
  <si>
    <t>VUR data</t>
  </si>
  <si>
    <t>Number of res. connections</t>
  </si>
  <si>
    <t>LGU indicators</t>
  </si>
  <si>
    <t>Operation Revenue, Total Expenditure and Project Cost</t>
  </si>
  <si>
    <t>Effective combined bill and project cost per connection</t>
  </si>
  <si>
    <t>Completed?</t>
  </si>
  <si>
    <t>Pass?</t>
  </si>
  <si>
    <t>X = Project cost per customer per month =</t>
  </si>
  <si>
    <t>EFC 2020 rates analysis results</t>
  </si>
  <si>
    <t>Combined Monthly Bills ($/5000 gallons)</t>
  </si>
  <si>
    <t>Combined Monthly Bills + Project cost per customer per month ($/5000 gallons)</t>
  </si>
  <si>
    <t>Y = Combined Monthly Bills =</t>
  </si>
  <si>
    <r>
      <t xml:space="preserve">Corresponding Grant % for this application  </t>
    </r>
    <r>
      <rPr>
        <b/>
        <sz val="11"/>
        <rFont val="Calibri"/>
        <family val="2"/>
      </rPr>
      <t>→</t>
    </r>
  </si>
  <si>
    <r>
      <t xml:space="preserve">Final Grant % for this application  </t>
    </r>
    <r>
      <rPr>
        <b/>
        <sz val="11"/>
        <rFont val="Calibri"/>
        <family val="2"/>
      </rPr>
      <t>→</t>
    </r>
  </si>
  <si>
    <r>
      <t>Truncated Y</t>
    </r>
    <r>
      <rPr>
        <b/>
        <sz val="12"/>
        <rFont val="Calibri"/>
        <family val="2"/>
      </rPr>
      <t>↑</t>
    </r>
    <r>
      <rPr>
        <b/>
        <sz val="12"/>
        <rFont val="Calibri"/>
        <family val="2"/>
        <scheme val="minor"/>
      </rPr>
      <t xml:space="preserve"> &amp; X</t>
    </r>
    <r>
      <rPr>
        <b/>
        <sz val="12"/>
        <rFont val="Calibri"/>
        <family val="2"/>
      </rPr>
      <t>→</t>
    </r>
  </si>
  <si>
    <t>Step 5 Drop-Down Selection:</t>
  </si>
  <si>
    <t>Current VUR Assessment Score:</t>
  </si>
  <si>
    <t xml:space="preserve">Is your project a water or wastewater project? </t>
  </si>
  <si>
    <t xml:space="preserve">Combined water and sewer provider, or single service? </t>
  </si>
  <si>
    <t>Please print or scan this affordability calculator in pdf prior to submitting with applications</t>
  </si>
  <si>
    <t>Y: Effective Combined Bill ($/5,000 gal.)</t>
  </si>
  <si>
    <t>X: Project Cost Per conn. per Month</t>
  </si>
  <si>
    <t>Wastewater Projects Data Points</t>
  </si>
  <si>
    <t>Water Projects Data Points</t>
  </si>
  <si>
    <r>
      <rPr>
        <b/>
        <vertAlign val="superscript"/>
        <sz val="9.5"/>
        <rFont val="Calibri"/>
        <family val="2"/>
        <scheme val="minor"/>
      </rPr>
      <t>+</t>
    </r>
    <r>
      <rPr>
        <b/>
        <sz val="9.5"/>
        <rFont val="Calibri"/>
        <family val="2"/>
        <scheme val="minor"/>
      </rPr>
      <t>Representative LGU data plotted using Project Cost in Step 4, and project type selection (Water or Wastewater) in Step 5.</t>
    </r>
  </si>
  <si>
    <t>LGU #1</t>
  </si>
  <si>
    <t>LGU #2</t>
  </si>
  <si>
    <t>LGU #3</t>
  </si>
  <si>
    <t>LGU #4</t>
  </si>
  <si>
    <t>Named Range Terminology:</t>
  </si>
  <si>
    <t>AI</t>
  </si>
  <si>
    <t>Applicant Informaion</t>
  </si>
  <si>
    <t>AC</t>
  </si>
  <si>
    <t>Affordability Calculator</t>
  </si>
  <si>
    <t>IWSB</t>
  </si>
  <si>
    <t># of Indicator Worse than State Benchmark</t>
  </si>
  <si>
    <t>MHI</t>
  </si>
  <si>
    <t>Meadian Hosehold Income</t>
  </si>
  <si>
    <t>PCPCPM</t>
  </si>
  <si>
    <t>Project Cost Per Capita Per Month</t>
  </si>
  <si>
    <t>P</t>
  </si>
  <si>
    <t>Preparer</t>
  </si>
  <si>
    <t>E</t>
  </si>
  <si>
    <t>Engineer</t>
  </si>
  <si>
    <t>AR</t>
  </si>
  <si>
    <t>Authorized Representative</t>
  </si>
  <si>
    <t>Chk</t>
  </si>
  <si>
    <t>Check</t>
  </si>
  <si>
    <t>FIF</t>
  </si>
  <si>
    <t>Financial Information Form</t>
  </si>
  <si>
    <t>FTC</t>
  </si>
  <si>
    <t>Fund Transfer Certification</t>
  </si>
  <si>
    <t>PRS</t>
  </si>
  <si>
    <t>Priority Rating System</t>
  </si>
  <si>
    <t>SC</t>
  </si>
  <si>
    <t>ScoreCard</t>
  </si>
  <si>
    <t>AP</t>
  </si>
  <si>
    <t>Auto Populate</t>
  </si>
  <si>
    <t>Eastover, Town of</t>
  </si>
  <si>
    <t>North Topsail Beach, Town of</t>
  </si>
  <si>
    <t>Northwest, City of</t>
  </si>
  <si>
    <t>Eastern Wayne Sanitary District</t>
  </si>
  <si>
    <t>Fayetteville Public Works Commission</t>
  </si>
  <si>
    <t>Northwestern Wayne Sanitary District</t>
  </si>
  <si>
    <t>Whitley Heights Sanitary District</t>
  </si>
  <si>
    <t>SRF Principal Forgiveness / SRP eligibility, Excludes EC.</t>
  </si>
  <si>
    <r>
      <t>Annual Debt Principal</t>
    </r>
    <r>
      <rPr>
        <vertAlign val="subscript"/>
        <sz val="11"/>
        <color theme="1"/>
        <rFont val="Calibri"/>
        <family val="2"/>
        <scheme val="minor"/>
      </rPr>
      <t>Water&amp;Sewer</t>
    </r>
    <r>
      <rPr>
        <sz val="11"/>
        <color theme="1"/>
        <rFont val="Calibri"/>
        <family val="2"/>
        <scheme val="minor"/>
      </rPr>
      <t>:</t>
    </r>
  </si>
  <si>
    <r>
      <t>Annual Debt Interest</t>
    </r>
    <r>
      <rPr>
        <vertAlign val="subscript"/>
        <sz val="11"/>
        <color theme="1"/>
        <rFont val="Calibri"/>
        <family val="2"/>
        <scheme val="minor"/>
      </rPr>
      <t>Water&amp;Sewer</t>
    </r>
    <r>
      <rPr>
        <sz val="11"/>
        <color theme="1"/>
        <rFont val="Calibri"/>
        <family val="2"/>
        <scheme val="minor"/>
      </rPr>
      <t>:</t>
    </r>
  </si>
  <si>
    <t>STEP 4:  Existing Annual Revenues</t>
  </si>
  <si>
    <t>Enter the information below.</t>
  </si>
  <si>
    <t>Project Cost (from Application):</t>
  </si>
  <si>
    <r>
      <t xml:space="preserve">Eligibility for State Revolving Fund (SRF) Principal Forgiveness and State Reserve Program Grants </t>
    </r>
    <r>
      <rPr>
        <sz val="14"/>
        <color theme="1"/>
        <rFont val="Calibri"/>
        <family val="2"/>
        <scheme val="minor"/>
      </rPr>
      <t>(not Viable Utility Reserve or BIL Emerging Contaminants)</t>
    </r>
  </si>
  <si>
    <r>
      <rPr>
        <b/>
        <u/>
        <sz val="11"/>
        <color theme="1"/>
        <rFont val="Calibri"/>
        <family val="2"/>
        <scheme val="minor"/>
      </rPr>
      <t>Exceptions</t>
    </r>
    <r>
      <rPr>
        <b/>
        <sz val="11"/>
        <color theme="1"/>
        <rFont val="Calibri"/>
        <family val="2"/>
        <scheme val="minor"/>
      </rPr>
      <t>: If you receive 4.C.4 points, your application would be eligible for up to 50%</t>
    </r>
    <r>
      <rPr>
        <b/>
        <vertAlign val="superscript"/>
        <sz val="11"/>
        <color theme="8"/>
        <rFont val="Calibri"/>
        <family val="2"/>
      </rPr>
      <t>1</t>
    </r>
    <r>
      <rPr>
        <b/>
        <sz val="11"/>
        <color theme="1"/>
        <rFont val="Calibri"/>
        <family val="2"/>
        <scheme val="minor"/>
      </rPr>
      <t xml:space="preserve"> SRF principal forgiveness/SRP grant.    VUR and BIL EC funding is 100% grant/principal forgiveness.</t>
    </r>
  </si>
  <si>
    <r>
      <t>Percentage of funding request amount eligible for SRF Principal Forgiveness or SRP grant</t>
    </r>
    <r>
      <rPr>
        <vertAlign val="superscript"/>
        <sz val="11"/>
        <color theme="8"/>
        <rFont val="Calibri"/>
        <family val="2"/>
      </rPr>
      <t>1</t>
    </r>
    <r>
      <rPr>
        <sz val="11"/>
        <color theme="1"/>
        <rFont val="Calibri"/>
        <family val="2"/>
        <scheme val="minor"/>
      </rPr>
      <t>:</t>
    </r>
  </si>
  <si>
    <r>
      <rPr>
        <vertAlign val="superscript"/>
        <sz val="11"/>
        <color theme="8"/>
        <rFont val="Calibri"/>
        <family val="2"/>
      </rPr>
      <t>1</t>
    </r>
    <r>
      <rPr>
        <i/>
        <sz val="11"/>
        <color theme="1"/>
        <rFont val="Calibri"/>
        <family val="2"/>
        <scheme val="minor"/>
      </rPr>
      <t>Grants and principal forgiveness apply only to projects receiving project purpose points.</t>
    </r>
  </si>
  <si>
    <r>
      <rPr>
        <vertAlign val="superscript"/>
        <sz val="11"/>
        <color theme="8"/>
        <rFont val="Calibri"/>
        <family val="2"/>
      </rPr>
      <t>1</t>
    </r>
    <r>
      <rPr>
        <i/>
        <sz val="11"/>
        <rFont val="Calibri"/>
        <family val="2"/>
        <scheme val="minor"/>
      </rPr>
      <t>Limit may be different for projects receiving 1.A points.</t>
    </r>
  </si>
  <si>
    <r>
      <rPr>
        <i/>
        <vertAlign val="superscript"/>
        <sz val="11"/>
        <color theme="8"/>
        <rFont val="Calibri"/>
        <family val="2"/>
        <scheme val="minor"/>
      </rPr>
      <t>1</t>
    </r>
    <r>
      <rPr>
        <i/>
        <sz val="11"/>
        <color theme="1"/>
        <rFont val="Calibri"/>
        <family val="2"/>
        <scheme val="minor"/>
      </rPr>
      <t xml:space="preserve">Grants and principal forgiveness will be </t>
    </r>
    <r>
      <rPr>
        <i/>
        <u/>
        <sz val="11"/>
        <color theme="1"/>
        <rFont val="Calibri"/>
        <family val="2"/>
        <scheme val="minor"/>
      </rPr>
      <t>limited to up to $500,000 per applicant per round or the percentage above, whichever is less</t>
    </r>
    <r>
      <rPr>
        <i/>
        <sz val="11"/>
        <color theme="1"/>
        <rFont val="Calibri"/>
        <family val="2"/>
        <scheme val="minor"/>
      </rPr>
      <t>, unless additional grants/principal forgiveness funds are available.</t>
    </r>
  </si>
  <si>
    <t>VUR Assessment Score (2023)</t>
  </si>
  <si>
    <t>D1 Units?</t>
  </si>
  <si>
    <t>D1 Unit ?</t>
  </si>
  <si>
    <t>Chart Background Graph Data</t>
  </si>
  <si>
    <t>Truncated Chart Background Graph Data</t>
  </si>
  <si>
    <t>X</t>
  </si>
  <si>
    <t>0%</t>
  </si>
  <si>
    <t>25%</t>
  </si>
  <si>
    <t>50%</t>
  </si>
  <si>
    <t>75%</t>
  </si>
  <si>
    <t>100%</t>
  </si>
  <si>
    <r>
      <rPr>
        <b/>
        <vertAlign val="superscript"/>
        <sz val="9.5"/>
        <rFont val="Calibri"/>
        <family val="2"/>
        <scheme val="minor"/>
      </rPr>
      <t>+</t>
    </r>
    <r>
      <rPr>
        <b/>
        <sz val="9.5"/>
        <rFont val="Calibri"/>
        <family val="2"/>
        <scheme val="minor"/>
      </rPr>
      <t>Graph is truncated: $0-$80 (X-axis), $20-$170 (Y-axis)</t>
    </r>
  </si>
  <si>
    <t>Poverty Rate (%, 2023)</t>
  </si>
  <si>
    <t>Unemployment Rate (%, 2023)</t>
  </si>
  <si>
    <t>Median Household Income (2023)</t>
  </si>
  <si>
    <t>Total Appraised Value (2023-2024)</t>
  </si>
  <si>
    <t>Pop. Change (%, 2019-2023)-OSBM</t>
  </si>
  <si>
    <t>Pop. Change (%, 2019-2023)-ACS</t>
  </si>
  <si>
    <t>Population (2023)-ACS</t>
  </si>
  <si>
    <t>Population (2023)-OSBM</t>
  </si>
  <si>
    <t>State Benchmarks</t>
  </si>
  <si>
    <t>Property Value Per Capita-ACS</t>
  </si>
  <si>
    <t>Property Value Per Capita-OSBM</t>
  </si>
  <si>
    <t>Population source:</t>
  </si>
  <si>
    <t>Population (2019)-ACS</t>
  </si>
  <si>
    <t>Population (2019)-OSBM</t>
  </si>
  <si>
    <t>Population data source:</t>
  </si>
  <si>
    <t>NA</t>
  </si>
  <si>
    <t>Calculated Prop. Value per Capita</t>
  </si>
  <si>
    <r>
      <t xml:space="preserve">From the drop-down menu, select LGU(s) in your service area [up to 4] and then enter the respective LGU coverage (% of service area per LGU) to populate economic indicators.
</t>
    </r>
    <r>
      <rPr>
        <b/>
        <sz val="11"/>
        <color rgb="FFFF0000"/>
        <rFont val="Calibri"/>
        <family val="2"/>
        <scheme val="minor"/>
      </rPr>
      <t xml:space="preserve">Pick the population data source (select either the OSBM or ACS button) with the </t>
    </r>
    <r>
      <rPr>
        <b/>
        <i/>
        <sz val="11"/>
        <color rgb="FFFF0000"/>
        <rFont val="Calibri"/>
        <family val="2"/>
        <scheme val="minor"/>
      </rPr>
      <t>highest number</t>
    </r>
    <r>
      <rPr>
        <b/>
        <sz val="11"/>
        <color rgb="FFFF0000"/>
        <rFont val="Calibri"/>
        <family val="2"/>
        <scheme val="minor"/>
      </rPr>
      <t xml:space="preserve"> of indicators worse than the state benchmark to maximize points</t>
    </r>
    <r>
      <rPr>
        <i/>
        <sz val="11"/>
        <color rgb="FFFF0000"/>
        <rFont val="Calibri"/>
        <family val="2"/>
        <scheme val="minor"/>
      </rPr>
      <t xml:space="preserve"> (i.e., most green "Yes" cells in column I).</t>
    </r>
    <r>
      <rPr>
        <sz val="11"/>
        <color rgb="FFFF0000"/>
        <rFont val="Calibri"/>
        <family val="2"/>
        <scheme val="minor"/>
      </rPr>
      <t xml:space="preserve"> </t>
    </r>
    <r>
      <rPr>
        <b/>
        <sz val="11"/>
        <color rgb="FFFF0000"/>
        <rFont val="Calibri"/>
        <family val="2"/>
        <scheme val="minor"/>
      </rPr>
      <t>Your selection is final and will be used in the application review.</t>
    </r>
  </si>
  <si>
    <t>Updated 7/24/2025. This tool can be used by Applicants to determine eligibility for grant/principal forgiveness funding and to complete the affordability calculations in the application for funding.</t>
  </si>
  <si>
    <r>
      <rPr>
        <b/>
        <sz val="16"/>
        <rFont val="Calibri"/>
        <family val="2"/>
        <scheme val="minor"/>
      </rPr>
      <t>NC Division of Water Infrastructure</t>
    </r>
    <r>
      <rPr>
        <sz val="16"/>
        <rFont val="Calibri"/>
        <family val="2"/>
        <scheme val="minor"/>
      </rPr>
      <t xml:space="preserve"> </t>
    </r>
    <r>
      <rPr>
        <b/>
        <u/>
        <sz val="16"/>
        <rFont val="Calibri"/>
        <family val="2"/>
        <scheme val="minor"/>
      </rPr>
      <t>Fall 2025 Affordability Calculator - SA-HMW Funding</t>
    </r>
  </si>
  <si>
    <t>All applicants who are awarded SA-HMW "Helene" funding will qualify for 30% Principal Forgiveness with the remainder of the loan offered at 0% interest.</t>
  </si>
  <si>
    <t>STEP 4:  Residential Service Population</t>
  </si>
  <si>
    <t>How many residents does your system serve for WASTEWATER? (Enter 0 if none)</t>
  </si>
  <si>
    <t>How many residents does your system serve for DRINKING WATER? (Enter 0 if none)</t>
  </si>
  <si>
    <t>Highest Service Population:</t>
  </si>
  <si>
    <t>Helene Affordability Conditions</t>
  </si>
  <si>
    <t>Helene Initial Costs Conditions</t>
  </si>
  <si>
    <t>Initial Cost Principal Forgiveness - Per Applicant</t>
  </si>
  <si>
    <t>This calculator is for funding under "Supplemental Appropriation for Hurricanes Helene and Milton and the Hawai'i Wildfires (SA-HMW)" Only</t>
  </si>
  <si>
    <t xml:space="preserve">Note: Funding may be further limited according to funding program caps and by availability. </t>
  </si>
  <si>
    <t>Eligibility for SA-HMW "Helene" Principal Forgiveness (PF)</t>
  </si>
  <si>
    <r>
      <rPr>
        <i/>
        <sz val="11"/>
        <color theme="1"/>
        <rFont val="Calibri"/>
        <family val="2"/>
        <scheme val="minor"/>
      </rPr>
      <t>Affordability-based PF</t>
    </r>
    <r>
      <rPr>
        <sz val="11"/>
        <color theme="1"/>
        <rFont val="Calibri"/>
        <family val="2"/>
        <scheme val="minor"/>
      </rPr>
      <t xml:space="preserve">: Some applicants may qualify for a higher percentage of Principal Forgiveness based on certain affordability criteria, as indicated below. </t>
    </r>
  </si>
  <si>
    <t>Affordability-based Principal Forgiveness (applies after Initial Cost PF, if applicable)</t>
  </si>
  <si>
    <t xml:space="preserve">Once an applicant has reached the $5,000,000 max for all SA-HMW funding combined, any remaining SA-HMW funding will be subject to the "Affordability-based PF" percentage. </t>
  </si>
  <si>
    <r>
      <rPr>
        <i/>
        <sz val="11"/>
        <color theme="1"/>
        <rFont val="Calibri"/>
        <family val="2"/>
        <scheme val="minor"/>
      </rPr>
      <t>Initial Cost PF</t>
    </r>
    <r>
      <rPr>
        <sz val="11"/>
        <color theme="1"/>
        <rFont val="Calibri"/>
        <family val="2"/>
        <scheme val="minor"/>
      </rPr>
      <t>: Some applicants may qualify for a higher percentage (100%) of Principal Forgiveness for the first $5,000,000 of SA-HMW funding of funding PER APPLICANT as indicated below.</t>
    </r>
  </si>
  <si>
    <r>
      <t xml:space="preserve">     SA-HMW Criteria</t>
    </r>
    <r>
      <rPr>
        <i/>
        <sz val="11"/>
        <color rgb="FF000000"/>
        <rFont val="Calibri"/>
        <family val="2"/>
        <scheme val="minor"/>
      </rPr>
      <t>:</t>
    </r>
  </si>
  <si>
    <t xml:space="preserve">     Affordability-based PF Criteria (per project):</t>
  </si>
  <si>
    <t xml:space="preserve">     - All other eligible applicants receive 30% PF as baseline</t>
  </si>
  <si>
    <t xml:space="preserve">     - Applicants designated as Distressed qualify for 75% PF</t>
  </si>
  <si>
    <r>
      <t xml:space="preserve">     - Applicants with </t>
    </r>
    <r>
      <rPr>
        <sz val="11"/>
        <color rgb="FF000000"/>
        <rFont val="Aptos Narrow"/>
        <family val="2"/>
      </rPr>
      <t>≤</t>
    </r>
    <r>
      <rPr>
        <sz val="11"/>
        <color rgb="FF000000"/>
        <rFont val="Aptos"/>
        <family val="2"/>
      </rPr>
      <t>20,000 residential connections and 2 or more indicators worse than benchmark qualify for 75% PF</t>
    </r>
  </si>
  <si>
    <t xml:space="preserve">     - Applicants with 20,001 to 40,000 residential connections and 2 or more indicators worse than benchmark qualify for 50% PF</t>
  </si>
  <si>
    <t xml:space="preserve">     Initial Cost PF Criteria -100% PF for the first $5 Million PER APPLICANT (not per project)</t>
  </si>
  <si>
    <t xml:space="preserve">     - Applicants designated as Distressed qualify for initial cost 100% PF</t>
  </si>
  <si>
    <r>
      <t xml:space="preserve">     - Applicants with </t>
    </r>
    <r>
      <rPr>
        <sz val="11"/>
        <color rgb="FF000000"/>
        <rFont val="Aptos Narrow"/>
        <family val="2"/>
      </rPr>
      <t>≤</t>
    </r>
    <r>
      <rPr>
        <sz val="11"/>
        <color rgb="FF000000"/>
        <rFont val="Aptos"/>
        <family val="2"/>
      </rPr>
      <t>20,000 service population qualify for initial cost 100% PF</t>
    </r>
  </si>
  <si>
    <r>
      <t xml:space="preserve">     - Applicants with </t>
    </r>
    <r>
      <rPr>
        <sz val="11"/>
        <color rgb="FF000000"/>
        <rFont val="Aptos Narrow"/>
        <family val="2"/>
      </rPr>
      <t>≤</t>
    </r>
    <r>
      <rPr>
        <sz val="11"/>
        <color rgb="FF000000"/>
        <rFont val="Aptos"/>
        <family val="2"/>
      </rPr>
      <t>20,000 residential connections and 2 or more indicators worse than benchmark qualify for initial cost 100% PF</t>
    </r>
  </si>
  <si>
    <t>Cond 2: ≤20000 2+ Indicators</t>
  </si>
  <si>
    <t>Cond 1: Distressed</t>
  </si>
  <si>
    <t>Cond 3: 20,001-40,000 2+Indicators</t>
  </si>
  <si>
    <t>Initial1: Distressed</t>
  </si>
  <si>
    <t>Initial3 &lt;=20,000 Service Pop</t>
  </si>
  <si>
    <t>Initial2: ≤20000 2+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</si>
</sst>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7" formatCode="&quot;$&quot;#,##0.00_);\(&quot;$&quot;#,##0.00\)"/>
    <numFmt numFmtId="41" formatCode="_(* #,##0_);_(* \(#,##0\);_(* &quot;-&quot;_);_(@_)"/>
    <numFmt numFmtId="44" formatCode="_(&quot;$&quot;* #,##0.00_);_(&quot;$&quot;* \(#,##0.00\);_(&quot;$&quot;* &quot;-&quot;??_);_(@_)"/>
    <numFmt numFmtId="43" formatCode="_(* #,##0.00_);_(* \(#,##0.00\);_(* &quot;-&quot;??_);_(@_)"/>
    <numFmt numFmtId="164" formatCode="&quot;$&quot;#,##0"/>
    <numFmt numFmtId="165" formatCode="&quot;$&quot;#,##0.00"/>
    <numFmt numFmtId="166" formatCode="0.0%"/>
    <numFmt numFmtId="167" formatCode="_(* #,##0_);_(* \(#,##0\);_(* &quot;-&quot;??_);_(@_)"/>
    <numFmt numFmtId="168" formatCode="#,##0.0"/>
  </numFmts>
  <fonts count="5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
      <b/>
      <sz val="12"/>
      <name val="Calibri"/>
      <family val="2"/>
      <scheme val="minor"/>
    </font>
    <font>
      <b/>
      <sz val="11"/>
      <name val="Calibri"/>
      <family val="2"/>
    </font>
    <font>
      <b/>
      <sz val="16"/>
      <color theme="1"/>
      <name val="Calibri"/>
      <family val="2"/>
      <scheme val="minor"/>
    </font>
    <font>
      <b/>
      <sz val="11"/>
      <color theme="1"/>
      <name val="Calibri"/>
      <family val="2"/>
    </font>
    <font>
      <sz val="10"/>
      <color theme="1"/>
      <name val="Calibri"/>
      <family val="2"/>
      <scheme val="minor"/>
    </font>
    <font>
      <b/>
      <sz val="14"/>
      <color theme="1"/>
      <name val="Calibri"/>
      <family val="2"/>
      <scheme val="minor"/>
    </font>
    <font>
      <b/>
      <sz val="14"/>
      <name val="Calibri"/>
      <family val="2"/>
    </font>
    <font>
      <b/>
      <sz val="14"/>
      <color rgb="FFFF0000"/>
      <name val="Calibri"/>
      <family val="2"/>
      <scheme val="minor"/>
    </font>
    <font>
      <sz val="11"/>
      <color theme="1"/>
      <name val="Arial"/>
      <family val="2"/>
    </font>
    <font>
      <sz val="10"/>
      <color theme="1"/>
      <name val="Arial"/>
      <family val="2"/>
    </font>
    <font>
      <sz val="12"/>
      <name val="Calibri"/>
      <family val="2"/>
      <scheme val="minor"/>
    </font>
    <font>
      <sz val="12"/>
      <color theme="1"/>
      <name val="Calibri"/>
      <family val="2"/>
      <scheme val="minor"/>
    </font>
    <font>
      <b/>
      <sz val="10"/>
      <color theme="1"/>
      <name val="Calibri"/>
      <family val="2"/>
      <scheme val="minor"/>
    </font>
    <font>
      <sz val="14"/>
      <color theme="1"/>
      <name val="Arial"/>
      <family val="2"/>
    </font>
    <font>
      <sz val="14"/>
      <color theme="1"/>
      <name val="Calibri"/>
      <family val="2"/>
      <scheme val="minor"/>
    </font>
    <font>
      <sz val="11"/>
      <color theme="1"/>
      <name val="Calibri"/>
      <family val="2"/>
    </font>
    <font>
      <vertAlign val="subscript"/>
      <sz val="11"/>
      <color theme="1"/>
      <name val="Calibri"/>
      <family val="2"/>
      <scheme val="minor"/>
    </font>
    <font>
      <b/>
      <vertAlign val="subscript"/>
      <sz val="11"/>
      <color theme="1"/>
      <name val="Calibri"/>
      <family val="2"/>
      <scheme val="minor"/>
    </font>
    <font>
      <b/>
      <sz val="11"/>
      <color rgb="FFFF0000"/>
      <name val="Calibri"/>
      <family val="2"/>
      <scheme val="minor"/>
    </font>
    <font>
      <i/>
      <sz val="11"/>
      <color theme="1"/>
      <name val="Calibri"/>
      <family val="2"/>
      <scheme val="minor"/>
    </font>
    <font>
      <b/>
      <sz val="11"/>
      <color theme="0" tint="-4.9989318521683403E-2"/>
      <name val="Calibri"/>
      <family val="2"/>
      <scheme val="minor"/>
    </font>
    <font>
      <sz val="12"/>
      <color theme="1"/>
      <name val="Calibri"/>
      <family val="2"/>
    </font>
    <font>
      <b/>
      <sz val="11"/>
      <color theme="1"/>
      <name val="Arial"/>
      <family val="2"/>
    </font>
    <font>
      <b/>
      <sz val="12"/>
      <name val="Calibri"/>
      <family val="2"/>
    </font>
    <font>
      <b/>
      <sz val="12"/>
      <color theme="1"/>
      <name val="Calibri"/>
      <family val="2"/>
      <scheme val="minor"/>
    </font>
    <font>
      <i/>
      <sz val="11"/>
      <name val="Calibri"/>
      <family val="2"/>
      <scheme val="minor"/>
    </font>
    <font>
      <b/>
      <sz val="9.5"/>
      <name val="Calibri"/>
      <family val="2"/>
      <scheme val="minor"/>
    </font>
    <font>
      <b/>
      <vertAlign val="superscript"/>
      <sz val="9.5"/>
      <name val="Calibri"/>
      <family val="2"/>
      <scheme val="minor"/>
    </font>
    <font>
      <sz val="8"/>
      <name val="Calibri"/>
      <family val="2"/>
      <scheme val="minor"/>
    </font>
    <font>
      <b/>
      <u/>
      <sz val="11"/>
      <color theme="1"/>
      <name val="Calibri"/>
      <family val="2"/>
      <scheme val="minor"/>
    </font>
    <font>
      <i/>
      <u/>
      <sz val="11"/>
      <color theme="1"/>
      <name val="Calibri"/>
      <family val="2"/>
      <scheme val="minor"/>
    </font>
    <font>
      <b/>
      <vertAlign val="superscript"/>
      <sz val="11"/>
      <color theme="8"/>
      <name val="Calibri"/>
      <family val="2"/>
    </font>
    <font>
      <vertAlign val="superscript"/>
      <sz val="11"/>
      <color theme="8"/>
      <name val="Calibri"/>
      <family val="2"/>
    </font>
    <font>
      <i/>
      <vertAlign val="superscript"/>
      <sz val="11"/>
      <color theme="8"/>
      <name val="Calibri"/>
      <family val="2"/>
      <scheme val="minor"/>
    </font>
    <font>
      <b/>
      <sz val="10.5"/>
      <color rgb="FFFF0000"/>
      <name val="Calibri"/>
      <family val="2"/>
      <scheme val="minor"/>
    </font>
    <font>
      <sz val="11"/>
      <name val="Calibri"/>
      <family val="2"/>
    </font>
    <font>
      <sz val="10"/>
      <color rgb="FF000000"/>
      <name val="Arial"/>
      <family val="2"/>
    </font>
    <font>
      <sz val="11"/>
      <color rgb="FFFF0000"/>
      <name val="Calibri"/>
      <family val="2"/>
      <scheme val="minor"/>
    </font>
    <font>
      <sz val="8"/>
      <color rgb="FF000000"/>
      <name val="Segoe UI"/>
      <family val="2"/>
    </font>
    <font>
      <b/>
      <i/>
      <sz val="11"/>
      <color rgb="FFFF0000"/>
      <name val="Calibri"/>
      <family val="2"/>
      <scheme val="minor"/>
    </font>
    <font>
      <i/>
      <sz val="11"/>
      <color rgb="FFFF0000"/>
      <name val="Calibri"/>
      <family val="2"/>
      <scheme val="minor"/>
    </font>
    <font>
      <b/>
      <sz val="10"/>
      <color rgb="FFFF0000"/>
      <name val="Calibri"/>
      <family val="2"/>
      <scheme val="minor"/>
    </font>
    <font>
      <b/>
      <sz val="16"/>
      <name val="Calibri"/>
      <family val="2"/>
      <scheme val="minor"/>
    </font>
    <font>
      <sz val="16"/>
      <name val="Calibri"/>
      <family val="2"/>
      <scheme val="minor"/>
    </font>
    <font>
      <b/>
      <u/>
      <sz val="16"/>
      <name val="Calibri"/>
      <family val="2"/>
      <scheme val="minor"/>
    </font>
    <font>
      <sz val="11"/>
      <color theme="1"/>
      <name val="Aptos"/>
      <family val="2"/>
    </font>
    <font>
      <b/>
      <sz val="11"/>
      <color rgb="FF000000"/>
      <name val="Calibri"/>
      <family val="2"/>
      <scheme val="minor"/>
    </font>
    <font>
      <sz val="11"/>
      <color rgb="FF000000"/>
      <name val="Calibri"/>
      <family val="2"/>
      <scheme val="minor"/>
    </font>
    <font>
      <i/>
      <sz val="11"/>
      <color rgb="FF000000"/>
      <name val="Calibri"/>
      <family val="2"/>
      <scheme val="minor"/>
    </font>
    <font>
      <sz val="11"/>
      <color rgb="FF000000"/>
      <name val="Aptos"/>
      <family val="2"/>
    </font>
    <font>
      <sz val="11"/>
      <name val="Aptos"/>
      <family val="2"/>
    </font>
    <font>
      <sz val="11"/>
      <color rgb="FF000000"/>
      <name val="Aptos Narrow"/>
      <family val="2"/>
    </font>
  </fonts>
  <fills count="9">
    <fill>
      <patternFill patternType="none"/>
    </fill>
    <fill>
      <patternFill patternType="gray125"/>
    </fill>
    <fill>
      <patternFill patternType="solid">
        <fgColor theme="4"/>
        <bgColor theme="4"/>
      </patternFill>
    </fill>
    <fill>
      <patternFill patternType="solid">
        <fgColor rgb="FFFFFFCC"/>
        <bgColor indexed="64"/>
      </patternFill>
    </fill>
    <fill>
      <patternFill patternType="solid">
        <fgColor theme="9" tint="0.79998168889431442"/>
        <bgColor indexed="64"/>
      </patternFill>
    </fill>
    <fill>
      <patternFill patternType="mediumGray">
        <bgColor theme="1" tint="0.499984740745262"/>
      </patternFill>
    </fill>
    <fill>
      <patternFill patternType="solid">
        <fgColor indexed="65"/>
        <bgColor indexed="64"/>
      </patternFill>
    </fill>
    <fill>
      <patternFill patternType="solid">
        <fgColor rgb="FFCCECFF"/>
        <bgColor indexed="64"/>
      </patternFill>
    </fill>
    <fill>
      <patternFill patternType="solid">
        <fgColor theme="4" tint="0.79998168889431442"/>
        <bgColor theme="4" tint="0.79998168889431442"/>
      </patternFill>
    </fill>
  </fills>
  <borders count="95">
    <border>
      <left/>
      <right/>
      <top/>
      <bottom/>
      <diagonal/>
    </border>
    <border>
      <left/>
      <right/>
      <top style="thin">
        <color theme="4" tint="0.39997558519241921"/>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thin">
        <color theme="0" tint="-0.24994659260841701"/>
      </bottom>
      <diagonal/>
    </border>
    <border>
      <left/>
      <right style="medium">
        <color auto="1"/>
      </right>
      <top style="medium">
        <color auto="1"/>
      </top>
      <bottom style="thin">
        <color theme="0" tint="-0.24994659260841701"/>
      </bottom>
      <diagonal/>
    </border>
    <border>
      <left style="medium">
        <color auto="1"/>
      </left>
      <right/>
      <top style="thin">
        <color theme="0" tint="-0.24994659260841701"/>
      </top>
      <bottom style="thin">
        <color theme="0" tint="-0.24994659260841701"/>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theme="0" tint="-0.24994659260841701"/>
      </top>
      <bottom style="thin">
        <color theme="0" tint="-0.24994659260841701"/>
      </bottom>
      <diagonal/>
    </border>
    <border>
      <left style="medium">
        <color auto="1"/>
      </left>
      <right/>
      <top style="thin">
        <color theme="0" tint="-0.24994659260841701"/>
      </top>
      <bottom style="medium">
        <color auto="1"/>
      </bottom>
      <diagonal/>
    </border>
    <border>
      <left/>
      <right style="medium">
        <color auto="1"/>
      </right>
      <top style="thin">
        <color theme="0" tint="-0.24994659260841701"/>
      </top>
      <bottom style="medium">
        <color auto="1"/>
      </bottom>
      <diagonal/>
    </border>
    <border>
      <left style="medium">
        <color auto="1"/>
      </left>
      <right style="thin">
        <color theme="0" tint="-0.34998626667073579"/>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auto="1"/>
      </right>
      <top style="thin">
        <color theme="0" tint="-0.14996795556505021"/>
      </top>
      <bottom style="thin">
        <color theme="0" tint="-0.14996795556505021"/>
      </bottom>
      <diagonal/>
    </border>
    <border>
      <left style="medium">
        <color auto="1"/>
      </left>
      <right style="thin">
        <color theme="0" tint="-0.14996795556505021"/>
      </right>
      <top style="thin">
        <color theme="0" tint="-0.14996795556505021"/>
      </top>
      <bottom style="medium">
        <color auto="1"/>
      </bottom>
      <diagonal/>
    </border>
    <border>
      <left style="thin">
        <color theme="0" tint="-0.14996795556505021"/>
      </left>
      <right style="thin">
        <color theme="0" tint="-0.14996795556505021"/>
      </right>
      <top style="thin">
        <color theme="0" tint="-0.14996795556505021"/>
      </top>
      <bottom style="medium">
        <color auto="1"/>
      </bottom>
      <diagonal/>
    </border>
    <border>
      <left style="thin">
        <color theme="0" tint="-0.14996795556505021"/>
      </left>
      <right style="medium">
        <color auto="1"/>
      </right>
      <top style="thin">
        <color theme="0" tint="-0.1499679555650502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theme="0" tint="-0.24994659260841701"/>
      </right>
      <top style="medium">
        <color auto="1"/>
      </top>
      <bottom style="thin">
        <color theme="0" tint="-0.24994659260841701"/>
      </bottom>
      <diagonal/>
    </border>
    <border>
      <left style="thin">
        <color theme="0" tint="-0.24994659260841701"/>
      </left>
      <right style="thin">
        <color theme="0" tint="-0.24994659260841701"/>
      </right>
      <top style="medium">
        <color auto="1"/>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medium">
        <color auto="1"/>
      </right>
      <top/>
      <bottom/>
      <diagonal/>
    </border>
    <border>
      <left style="thin">
        <color auto="1"/>
      </left>
      <right style="thin">
        <color auto="1"/>
      </right>
      <top style="thin">
        <color auto="1"/>
      </top>
      <bottom style="thin">
        <color theme="0" tint="-0.34998626667073579"/>
      </bottom>
      <diagonal/>
    </border>
    <border>
      <left style="thin">
        <color auto="1"/>
      </left>
      <right/>
      <top style="thin">
        <color theme="0" tint="-0.34998626667073579"/>
      </top>
      <bottom style="thin">
        <color theme="0" tint="-0.34998626667073579"/>
      </bottom>
      <diagonal/>
    </border>
    <border>
      <left/>
      <right style="medium">
        <color auto="1"/>
      </right>
      <top style="thin">
        <color theme="0" tint="-0.34998626667073579"/>
      </top>
      <bottom style="thin">
        <color theme="0" tint="-0.34998626667073579"/>
      </bottom>
      <diagonal/>
    </border>
    <border>
      <left style="medium">
        <color indexed="64"/>
      </left>
      <right style="thin">
        <color auto="1"/>
      </right>
      <top style="medium">
        <color indexed="64"/>
      </top>
      <bottom style="thin">
        <color theme="0" tint="-0.34998626667073579"/>
      </bottom>
      <diagonal/>
    </border>
    <border>
      <left style="thin">
        <color auto="1"/>
      </left>
      <right style="thin">
        <color auto="1"/>
      </right>
      <top style="medium">
        <color auto="1"/>
      </top>
      <bottom style="thin">
        <color theme="0" tint="-0.34998626667073579"/>
      </bottom>
      <diagonal/>
    </border>
    <border>
      <left style="thin">
        <color auto="1"/>
      </left>
      <right style="medium">
        <color auto="1"/>
      </right>
      <top style="medium">
        <color auto="1"/>
      </top>
      <bottom style="thin">
        <color theme="0" tint="-0.34998626667073579"/>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style="thin">
        <color indexed="64"/>
      </right>
      <top/>
      <bottom/>
      <diagonal/>
    </border>
    <border>
      <left style="medium">
        <color auto="1"/>
      </left>
      <right/>
      <top/>
      <bottom style="thin">
        <color theme="0" tint="-0.34998626667073579"/>
      </bottom>
      <diagonal/>
    </border>
    <border>
      <left style="thin">
        <color auto="1"/>
      </left>
      <right style="thin">
        <color auto="1"/>
      </right>
      <top style="thin">
        <color theme="0" tint="-0.34998626667073579"/>
      </top>
      <bottom style="thin">
        <color theme="0" tint="-0.34998626667073579"/>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style="thin">
        <color theme="0" tint="-0.24994659260841701"/>
      </left>
      <right style="medium">
        <color auto="1"/>
      </right>
      <top style="thin">
        <color theme="0" tint="-0.24994659260841701"/>
      </top>
      <bottom style="thin">
        <color theme="0" tint="-0.24994659260841701"/>
      </bottom>
      <diagonal/>
    </border>
    <border>
      <left style="medium">
        <color auto="1"/>
      </left>
      <right style="thin">
        <color auto="1"/>
      </right>
      <top style="medium">
        <color auto="1"/>
      </top>
      <bottom/>
      <diagonal/>
    </border>
    <border>
      <left style="thin">
        <color indexed="64"/>
      </left>
      <right/>
      <top style="thin">
        <color indexed="64"/>
      </top>
      <bottom/>
      <diagonal/>
    </border>
    <border>
      <left/>
      <right style="medium">
        <color auto="1"/>
      </right>
      <top style="thin">
        <color indexed="64"/>
      </top>
      <bottom/>
      <diagonal/>
    </border>
    <border>
      <left/>
      <right style="thin">
        <color auto="1"/>
      </right>
      <top/>
      <bottom style="medium">
        <color indexed="64"/>
      </bottom>
      <diagonal/>
    </border>
    <border>
      <left style="medium">
        <color auto="1"/>
      </left>
      <right style="thin">
        <color theme="0" tint="-0.24994659260841701"/>
      </right>
      <top style="thin">
        <color theme="0" tint="-0.24994659260841701"/>
      </top>
      <bottom style="medium">
        <color auto="1"/>
      </bottom>
      <diagonal/>
    </border>
    <border>
      <left style="thin">
        <color theme="0" tint="-0.24994659260841701"/>
      </left>
      <right style="medium">
        <color auto="1"/>
      </right>
      <top style="thin">
        <color theme="0" tint="-0.24994659260841701"/>
      </top>
      <bottom style="medium">
        <color auto="1"/>
      </bottom>
      <diagonal/>
    </border>
    <border>
      <left style="thin">
        <color theme="0" tint="-0.24994659260841701"/>
      </left>
      <right style="medium">
        <color auto="1"/>
      </right>
      <top style="medium">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auto="1"/>
      </bottom>
      <diagonal/>
    </border>
    <border>
      <left/>
      <right/>
      <top style="medium">
        <color auto="1"/>
      </top>
      <bottom style="medium">
        <color auto="1"/>
      </bottom>
      <diagonal/>
    </border>
    <border>
      <left style="thin">
        <color auto="1"/>
      </left>
      <right/>
      <top style="thin">
        <color theme="0" tint="-0.24994659260841701"/>
      </top>
      <bottom style="medium">
        <color auto="1"/>
      </bottom>
      <diagonal/>
    </border>
    <border>
      <left style="medium">
        <color indexed="64"/>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style="medium">
        <color indexed="64"/>
      </right>
      <top style="medium">
        <color indexed="64"/>
      </top>
      <bottom style="thin">
        <color theme="0" tint="-0.14996795556505021"/>
      </bottom>
      <diagonal/>
    </border>
    <border>
      <left style="medium">
        <color auto="1"/>
      </left>
      <right style="thin">
        <color theme="0" tint="-0.24994659260841701"/>
      </right>
      <top style="medium">
        <color auto="1"/>
      </top>
      <bottom/>
      <diagonal/>
    </border>
    <border>
      <left style="thin">
        <color theme="0" tint="-0.24994659260841701"/>
      </left>
      <right style="thin">
        <color theme="0" tint="-0.24994659260841701"/>
      </right>
      <top style="medium">
        <color auto="1"/>
      </top>
      <bottom/>
      <diagonal/>
    </border>
    <border>
      <left style="thin">
        <color theme="0" tint="-0.24994659260841701"/>
      </left>
      <right style="medium">
        <color auto="1"/>
      </right>
      <top style="medium">
        <color auto="1"/>
      </top>
      <bottom/>
      <diagonal/>
    </border>
    <border>
      <left style="medium">
        <color auto="1"/>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medium">
        <color auto="1"/>
      </right>
      <top/>
      <bottom/>
      <diagonal/>
    </border>
    <border>
      <left style="medium">
        <color auto="1"/>
      </left>
      <right style="thin">
        <color theme="0" tint="-0.24994659260841701"/>
      </right>
      <top/>
      <bottom style="medium">
        <color auto="1"/>
      </bottom>
      <diagonal/>
    </border>
    <border>
      <left style="thin">
        <color theme="0" tint="-0.24994659260841701"/>
      </left>
      <right style="thin">
        <color theme="0" tint="-0.24994659260841701"/>
      </right>
      <top/>
      <bottom style="medium">
        <color auto="1"/>
      </bottom>
      <diagonal/>
    </border>
    <border>
      <left style="thin">
        <color theme="0" tint="-0.24994659260841701"/>
      </left>
      <right style="medium">
        <color auto="1"/>
      </right>
      <top/>
      <bottom style="medium">
        <color auto="1"/>
      </bottom>
      <diagonal/>
    </border>
    <border>
      <left style="thin">
        <color theme="4" tint="0.39997558519241921"/>
      </left>
      <right/>
      <top style="thin">
        <color theme="4" tint="0.39997558519241921"/>
      </top>
      <bottom style="thin">
        <color theme="4" tint="0.39997558519241921"/>
      </bottom>
      <diagonal/>
    </border>
    <border>
      <left style="thin">
        <color auto="1"/>
      </left>
      <right/>
      <top style="medium">
        <color auto="1"/>
      </top>
      <bottom style="medium">
        <color auto="1"/>
      </bottom>
      <diagonal/>
    </border>
    <border>
      <left style="thin">
        <color indexed="64"/>
      </left>
      <right style="thin">
        <color indexed="64"/>
      </right>
      <top/>
      <bottom style="thin">
        <color auto="1"/>
      </bottom>
      <diagonal/>
    </border>
    <border>
      <left style="thin">
        <color auto="1"/>
      </left>
      <right style="thin">
        <color auto="1"/>
      </right>
      <top style="medium">
        <color auto="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9" tint="0.39997558519241921"/>
      </bottom>
      <diagonal/>
    </border>
    <border>
      <left style="thin">
        <color auto="1"/>
      </left>
      <right/>
      <top style="medium">
        <color auto="1"/>
      </top>
      <bottom/>
      <diagonal/>
    </border>
    <border>
      <left style="medium">
        <color auto="1"/>
      </left>
      <right style="thin">
        <color auto="1"/>
      </right>
      <top style="thin">
        <color theme="0" tint="-0.34998626667073579"/>
      </top>
      <bottom style="thin">
        <color theme="0" tint="-0.34998626667073579"/>
      </bottom>
      <diagonal/>
    </border>
  </borders>
  <cellStyleXfs count="20">
    <xf numFmtId="0" fontId="0" fillId="0" borderId="0"/>
    <xf numFmtId="44" fontId="1" fillId="0" borderId="0" applyFont="0" applyFill="0" applyBorder="0" applyAlignment="0" applyProtection="0"/>
    <xf numFmtId="9" fontId="1" fillId="0" borderId="0" applyFont="0" applyFill="0" applyBorder="0" applyAlignment="0" applyProtection="0"/>
    <xf numFmtId="43" fontId="4" fillId="0" borderId="0" applyFont="0" applyFill="0" applyBorder="0" applyAlignment="0" applyProtection="0"/>
    <xf numFmtId="0" fontId="15"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4" fillId="0" borderId="0"/>
    <xf numFmtId="41" fontId="4" fillId="0" borderId="0" applyFont="0" applyFill="0" applyBorder="0" applyAlignment="0" applyProtection="0"/>
    <xf numFmtId="0" fontId="42" fillId="0" borderId="0"/>
    <xf numFmtId="0" fontId="42" fillId="0" borderId="0"/>
    <xf numFmtId="0" fontId="1" fillId="0" borderId="0"/>
    <xf numFmtId="0" fontId="43" fillId="0" borderId="0"/>
    <xf numFmtId="0" fontId="1" fillId="0" borderId="0"/>
    <xf numFmtId="0" fontId="1" fillId="0" borderId="0"/>
  </cellStyleXfs>
  <cellXfs count="293">
    <xf numFmtId="0" fontId="0" fillId="0" borderId="0" xfId="0"/>
    <xf numFmtId="3" fontId="0" fillId="3" borderId="39" xfId="0" applyNumberFormat="1" applyFill="1" applyBorder="1" applyAlignment="1" applyProtection="1">
      <alignment vertical="center"/>
      <protection locked="0" hidden="1"/>
    </xf>
    <xf numFmtId="3" fontId="0" fillId="3" borderId="40" xfId="0" applyNumberFormat="1" applyFill="1" applyBorder="1" applyAlignment="1" applyProtection="1">
      <alignment vertical="center"/>
      <protection locked="0" hidden="1"/>
    </xf>
    <xf numFmtId="3" fontId="0" fillId="3" borderId="41" xfId="0" applyNumberFormat="1" applyFill="1" applyBorder="1" applyAlignment="1" applyProtection="1">
      <alignment vertical="center"/>
      <protection locked="0" hidden="1"/>
    </xf>
    <xf numFmtId="3" fontId="0" fillId="3" borderId="48" xfId="0" applyNumberFormat="1" applyFill="1" applyBorder="1" applyAlignment="1" applyProtection="1">
      <alignment vertical="center"/>
      <protection locked="0" hidden="1"/>
    </xf>
    <xf numFmtId="164" fontId="0" fillId="3" borderId="48" xfId="0" applyNumberFormat="1" applyFill="1" applyBorder="1" applyAlignment="1" applyProtection="1">
      <alignment vertical="center"/>
      <protection locked="0" hidden="1"/>
    </xf>
    <xf numFmtId="0" fontId="0" fillId="0" borderId="0" xfId="0" applyProtection="1">
      <protection hidden="1"/>
    </xf>
    <xf numFmtId="0" fontId="3" fillId="0" borderId="0" xfId="0" applyFont="1" applyAlignment="1" applyProtection="1">
      <alignment horizontal="left"/>
      <protection hidden="1"/>
    </xf>
    <xf numFmtId="0" fontId="5" fillId="0" borderId="0" xfId="0" applyFont="1" applyProtection="1">
      <protection hidden="1"/>
    </xf>
    <xf numFmtId="0" fontId="11" fillId="0" borderId="0" xfId="0" applyFont="1" applyProtection="1">
      <protection hidden="1"/>
    </xf>
    <xf numFmtId="0" fontId="12" fillId="0" borderId="0" xfId="0" applyFont="1" applyProtection="1">
      <protection hidden="1"/>
    </xf>
    <xf numFmtId="0" fontId="3" fillId="0" borderId="0" xfId="0" applyFont="1" applyProtection="1">
      <protection hidden="1"/>
    </xf>
    <xf numFmtId="9" fontId="14" fillId="0" borderId="0" xfId="0" applyNumberFormat="1" applyFont="1" applyAlignment="1" applyProtection="1">
      <alignment vertical="center" wrapText="1"/>
      <protection hidden="1"/>
    </xf>
    <xf numFmtId="0" fontId="0" fillId="0" borderId="27" xfId="0" applyBorder="1" applyAlignment="1" applyProtection="1">
      <alignment horizontal="right" vertical="center"/>
      <protection hidden="1"/>
    </xf>
    <xf numFmtId="0" fontId="5" fillId="0" borderId="0" xfId="0" applyFont="1" applyAlignment="1" applyProtection="1">
      <alignment horizontal="center"/>
      <protection hidden="1"/>
    </xf>
    <xf numFmtId="0" fontId="0" fillId="0" borderId="27" xfId="0" applyBorder="1" applyAlignment="1" applyProtection="1">
      <alignment horizontal="right" vertical="center" wrapText="1"/>
      <protection hidden="1"/>
    </xf>
    <xf numFmtId="0" fontId="12" fillId="0" borderId="24" xfId="0" applyFont="1" applyBorder="1" applyProtection="1">
      <protection hidden="1"/>
    </xf>
    <xf numFmtId="0" fontId="0" fillId="0" borderId="25" xfId="0" applyBorder="1" applyProtection="1">
      <protection hidden="1"/>
    </xf>
    <xf numFmtId="0" fontId="0" fillId="0" borderId="27" xfId="0" applyBorder="1" applyProtection="1">
      <protection hidden="1"/>
    </xf>
    <xf numFmtId="0" fontId="0" fillId="0" borderId="27" xfId="0" applyBorder="1" applyAlignment="1" applyProtection="1">
      <alignment horizontal="right"/>
      <protection hidden="1"/>
    </xf>
    <xf numFmtId="0" fontId="5" fillId="0" borderId="0" xfId="0" applyFont="1" applyAlignment="1" applyProtection="1">
      <alignment horizontal="right"/>
      <protection hidden="1"/>
    </xf>
    <xf numFmtId="10" fontId="0" fillId="0" borderId="25" xfId="0" applyNumberFormat="1" applyBorder="1" applyProtection="1">
      <protection hidden="1"/>
    </xf>
    <xf numFmtId="0" fontId="0" fillId="0" borderId="26" xfId="0" applyBorder="1" applyAlignment="1" applyProtection="1">
      <alignment wrapText="1"/>
      <protection hidden="1"/>
    </xf>
    <xf numFmtId="0" fontId="0" fillId="0" borderId="35" xfId="0" applyBorder="1" applyAlignment="1" applyProtection="1">
      <alignment wrapText="1"/>
      <protection hidden="1"/>
    </xf>
    <xf numFmtId="0" fontId="16" fillId="0" borderId="0" xfId="4" applyFont="1" applyAlignment="1" applyProtection="1">
      <alignment horizontal="center"/>
      <protection hidden="1"/>
    </xf>
    <xf numFmtId="0" fontId="16" fillId="0" borderId="0" xfId="4" applyFont="1" applyProtection="1">
      <protection hidden="1"/>
    </xf>
    <xf numFmtId="0" fontId="18" fillId="0" borderId="27" xfId="0" applyFont="1" applyBorder="1" applyAlignment="1" applyProtection="1">
      <alignment horizontal="right" vertical="center"/>
      <protection hidden="1"/>
    </xf>
    <xf numFmtId="166" fontId="17" fillId="0" borderId="26" xfId="4" applyNumberFormat="1" applyFont="1" applyBorder="1" applyAlignment="1" applyProtection="1">
      <alignment horizontal="center"/>
      <protection hidden="1"/>
    </xf>
    <xf numFmtId="0" fontId="0" fillId="5" borderId="58" xfId="0" applyFill="1" applyBorder="1" applyProtection="1">
      <protection hidden="1"/>
    </xf>
    <xf numFmtId="0" fontId="0" fillId="0" borderId="43" xfId="0" applyBorder="1" applyAlignment="1" applyProtection="1">
      <alignment vertical="center"/>
      <protection hidden="1"/>
    </xf>
    <xf numFmtId="9" fontId="19" fillId="0" borderId="7" xfId="2" applyFont="1" applyFill="1" applyBorder="1" applyAlignment="1" applyProtection="1">
      <alignment horizontal="center" vertical="center" wrapText="1"/>
      <protection hidden="1"/>
    </xf>
    <xf numFmtId="0" fontId="0" fillId="5" borderId="52" xfId="0" applyFill="1" applyBorder="1" applyProtection="1">
      <protection hidden="1"/>
    </xf>
    <xf numFmtId="0" fontId="0" fillId="0" borderId="47" xfId="0" applyBorder="1" applyProtection="1">
      <protection hidden="1"/>
    </xf>
    <xf numFmtId="0" fontId="20" fillId="0" borderId="0" xfId="0" applyFont="1" applyAlignment="1" applyProtection="1">
      <alignment horizontal="center"/>
      <protection hidden="1"/>
    </xf>
    <xf numFmtId="0" fontId="20" fillId="0" borderId="0" xfId="0" quotePrefix="1" applyFont="1" applyAlignment="1" applyProtection="1">
      <alignment horizontal="center"/>
      <protection hidden="1"/>
    </xf>
    <xf numFmtId="164" fontId="0" fillId="0" borderId="46" xfId="0" applyNumberFormat="1" applyBorder="1" applyProtection="1">
      <protection hidden="1"/>
    </xf>
    <xf numFmtId="0" fontId="1" fillId="5" borderId="2" xfId="0" applyFont="1" applyFill="1" applyBorder="1" applyProtection="1">
      <protection hidden="1"/>
    </xf>
    <xf numFmtId="0" fontId="21" fillId="5" borderId="50" xfId="0" applyFont="1" applyFill="1" applyBorder="1" applyAlignment="1" applyProtection="1">
      <alignment horizontal="center"/>
      <protection hidden="1"/>
    </xf>
    <xf numFmtId="0" fontId="0" fillId="5" borderId="51" xfId="0" applyFill="1" applyBorder="1" applyAlignment="1" applyProtection="1">
      <alignment horizontal="center"/>
      <protection hidden="1"/>
    </xf>
    <xf numFmtId="0" fontId="0" fillId="0" borderId="52" xfId="0" applyBorder="1" applyProtection="1">
      <protection hidden="1"/>
    </xf>
    <xf numFmtId="164" fontId="1" fillId="0" borderId="54" xfId="4" applyNumberFormat="1" applyFont="1" applyBorder="1" applyProtection="1">
      <protection hidden="1"/>
    </xf>
    <xf numFmtId="0" fontId="20" fillId="0" borderId="54" xfId="0" applyFont="1" applyBorder="1" applyAlignment="1" applyProtection="1">
      <alignment horizontal="center"/>
      <protection hidden="1"/>
    </xf>
    <xf numFmtId="164" fontId="0" fillId="0" borderId="54" xfId="0" applyNumberFormat="1" applyBorder="1" applyProtection="1">
      <protection hidden="1"/>
    </xf>
    <xf numFmtId="0" fontId="0" fillId="0" borderId="26" xfId="0" applyBorder="1" applyProtection="1">
      <protection hidden="1"/>
    </xf>
    <xf numFmtId="7" fontId="0" fillId="0" borderId="35" xfId="0" applyNumberFormat="1" applyBorder="1" applyProtection="1">
      <protection hidden="1"/>
    </xf>
    <xf numFmtId="0" fontId="0" fillId="0" borderId="33" xfId="0" applyBorder="1" applyAlignment="1" applyProtection="1">
      <alignment horizontal="right"/>
      <protection hidden="1"/>
    </xf>
    <xf numFmtId="10" fontId="0" fillId="0" borderId="0" xfId="2" applyNumberFormat="1" applyFont="1" applyProtection="1">
      <protection hidden="1"/>
    </xf>
    <xf numFmtId="0" fontId="3" fillId="0" borderId="27" xfId="0" applyFont="1" applyBorder="1" applyAlignment="1" applyProtection="1">
      <alignment horizontal="right"/>
      <protection hidden="1"/>
    </xf>
    <xf numFmtId="4" fontId="3" fillId="0" borderId="35" xfId="0" applyNumberFormat="1" applyFont="1" applyBorder="1" applyProtection="1">
      <protection hidden="1"/>
    </xf>
    <xf numFmtId="0" fontId="0" fillId="0" borderId="58" xfId="0" applyBorder="1" applyProtection="1">
      <protection hidden="1"/>
    </xf>
    <xf numFmtId="0" fontId="0" fillId="0" borderId="42" xfId="0" applyBorder="1" applyProtection="1">
      <protection hidden="1"/>
    </xf>
    <xf numFmtId="7" fontId="0" fillId="6" borderId="33" xfId="0" applyNumberFormat="1" applyFill="1" applyBorder="1" applyAlignment="1" applyProtection="1">
      <alignment horizontal="center"/>
      <protection hidden="1"/>
    </xf>
    <xf numFmtId="7" fontId="0" fillId="6" borderId="57" xfId="0" applyNumberFormat="1" applyFill="1" applyBorder="1" applyAlignment="1" applyProtection="1">
      <alignment horizontal="center"/>
      <protection hidden="1"/>
    </xf>
    <xf numFmtId="0" fontId="0" fillId="0" borderId="0" xfId="0" applyAlignment="1" applyProtection="1">
      <alignment horizontal="center"/>
      <protection hidden="1"/>
    </xf>
    <xf numFmtId="0" fontId="0" fillId="0" borderId="62" xfId="0" applyBorder="1" applyProtection="1">
      <protection hidden="1"/>
    </xf>
    <xf numFmtId="0" fontId="0" fillId="0" borderId="66" xfId="0" applyBorder="1" applyAlignment="1" applyProtection="1">
      <alignment horizontal="right"/>
      <protection hidden="1"/>
    </xf>
    <xf numFmtId="165" fontId="0" fillId="0" borderId="0" xfId="0" applyNumberFormat="1" applyProtection="1">
      <protection hidden="1"/>
    </xf>
    <xf numFmtId="0" fontId="0" fillId="0" borderId="0" xfId="0" applyAlignment="1" applyProtection="1">
      <alignment horizontal="right"/>
      <protection hidden="1"/>
    </xf>
    <xf numFmtId="0" fontId="5" fillId="3" borderId="8" xfId="0" applyFont="1" applyFill="1" applyBorder="1" applyProtection="1">
      <protection hidden="1"/>
    </xf>
    <xf numFmtId="44" fontId="5" fillId="3" borderId="9" xfId="1" applyFont="1" applyFill="1" applyBorder="1" applyProtection="1">
      <protection hidden="1"/>
    </xf>
    <xf numFmtId="165" fontId="7" fillId="0" borderId="0" xfId="0" applyNumberFormat="1" applyFont="1" applyAlignment="1" applyProtection="1">
      <alignment horizontal="right"/>
      <protection hidden="1"/>
    </xf>
    <xf numFmtId="0" fontId="5" fillId="3" borderId="10" xfId="0" applyFont="1" applyFill="1" applyBorder="1" applyProtection="1">
      <protection hidden="1"/>
    </xf>
    <xf numFmtId="44" fontId="5" fillId="3" borderId="13" xfId="1" applyFont="1" applyFill="1" applyBorder="1" applyProtection="1">
      <protection hidden="1"/>
    </xf>
    <xf numFmtId="165" fontId="6" fillId="0" borderId="0" xfId="0" applyNumberFormat="1" applyFont="1" applyAlignment="1" applyProtection="1">
      <alignment horizontal="right"/>
      <protection hidden="1"/>
    </xf>
    <xf numFmtId="0" fontId="5" fillId="3" borderId="14" xfId="0" applyFont="1" applyFill="1" applyBorder="1" applyProtection="1">
      <protection hidden="1"/>
    </xf>
    <xf numFmtId="44" fontId="5" fillId="3" borderId="15" xfId="1" applyFont="1" applyFill="1" applyBorder="1" applyProtection="1">
      <protection hidden="1"/>
    </xf>
    <xf numFmtId="0" fontId="26" fillId="0" borderId="0" xfId="0" applyFont="1" applyProtection="1">
      <protection hidden="1"/>
    </xf>
    <xf numFmtId="0" fontId="6" fillId="0" borderId="0" xfId="0" applyFont="1" applyAlignment="1" applyProtection="1">
      <alignment vertical="top"/>
      <protection hidden="1"/>
    </xf>
    <xf numFmtId="0" fontId="5" fillId="0" borderId="19" xfId="0" applyFont="1" applyBorder="1" applyProtection="1">
      <protection hidden="1"/>
    </xf>
    <xf numFmtId="9" fontId="5" fillId="0" borderId="19" xfId="0" applyNumberFormat="1" applyFont="1" applyBorder="1" applyProtection="1">
      <protection hidden="1"/>
    </xf>
    <xf numFmtId="9" fontId="5" fillId="0" borderId="20" xfId="0" applyNumberFormat="1" applyFont="1" applyBorder="1" applyProtection="1">
      <protection hidden="1"/>
    </xf>
    <xf numFmtId="0" fontId="5" fillId="0" borderId="22" xfId="0" applyFont="1" applyBorder="1" applyProtection="1">
      <protection hidden="1"/>
    </xf>
    <xf numFmtId="9" fontId="5" fillId="0" borderId="22" xfId="0" applyNumberFormat="1" applyFont="1" applyBorder="1" applyProtection="1">
      <protection hidden="1"/>
    </xf>
    <xf numFmtId="9" fontId="5" fillId="0" borderId="23" xfId="0" applyNumberFormat="1" applyFont="1" applyBorder="1" applyProtection="1">
      <protection hidden="1"/>
    </xf>
    <xf numFmtId="166" fontId="0" fillId="3" borderId="36" xfId="0" applyNumberFormat="1" applyFill="1" applyBorder="1" applyAlignment="1" applyProtection="1">
      <alignment horizontal="center"/>
      <protection locked="0" hidden="1"/>
    </xf>
    <xf numFmtId="0" fontId="5" fillId="0" borderId="0" xfId="0" applyFont="1" applyAlignment="1" applyProtection="1">
      <alignment horizontal="center" vertical="center"/>
      <protection hidden="1"/>
    </xf>
    <xf numFmtId="0" fontId="18" fillId="0" borderId="54" xfId="0" applyFont="1" applyBorder="1" applyAlignment="1" applyProtection="1">
      <alignment horizontal="center" vertical="center"/>
      <protection hidden="1"/>
    </xf>
    <xf numFmtId="0" fontId="5" fillId="0" borderId="0" xfId="0" applyFont="1" applyAlignment="1" applyProtection="1">
      <alignment horizontal="left" vertical="top" wrapText="1"/>
      <protection hidden="1"/>
    </xf>
    <xf numFmtId="0" fontId="5" fillId="0" borderId="5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18" fillId="0" borderId="54" xfId="0" applyFont="1" applyBorder="1" applyAlignment="1" applyProtection="1">
      <alignment horizontal="left" vertical="center"/>
      <protection hidden="1"/>
    </xf>
    <xf numFmtId="0" fontId="5" fillId="0" borderId="70" xfId="0" applyFont="1" applyBorder="1" applyProtection="1">
      <protection hidden="1"/>
    </xf>
    <xf numFmtId="9" fontId="5" fillId="0" borderId="70" xfId="0" applyNumberFormat="1" applyFont="1" applyBorder="1" applyProtection="1">
      <protection hidden="1"/>
    </xf>
    <xf numFmtId="9" fontId="5" fillId="0" borderId="71" xfId="0" applyNumberFormat="1" applyFont="1" applyBorder="1" applyProtection="1">
      <protection hidden="1"/>
    </xf>
    <xf numFmtId="0" fontId="5" fillId="0" borderId="54" xfId="0" applyFont="1" applyBorder="1" applyAlignment="1" applyProtection="1">
      <alignment vertical="center" wrapText="1"/>
      <protection hidden="1"/>
    </xf>
    <xf numFmtId="165" fontId="5" fillId="0" borderId="54" xfId="0" applyNumberFormat="1" applyFont="1" applyBorder="1" applyAlignment="1" applyProtection="1">
      <alignment horizontal="center"/>
      <protection hidden="1"/>
    </xf>
    <xf numFmtId="0" fontId="7" fillId="0" borderId="0" xfId="0" applyFont="1" applyAlignment="1" applyProtection="1">
      <alignment horizontal="center" vertical="center"/>
      <protection hidden="1"/>
    </xf>
    <xf numFmtId="165" fontId="6" fillId="0" borderId="0" xfId="0" applyNumberFormat="1" applyFont="1" applyAlignment="1" applyProtection="1">
      <alignment horizontal="center" vertical="center"/>
      <protection hidden="1"/>
    </xf>
    <xf numFmtId="0" fontId="5" fillId="0" borderId="69" xfId="0" applyFont="1" applyBorder="1" applyAlignment="1" applyProtection="1">
      <alignment horizontal="center"/>
      <protection hidden="1"/>
    </xf>
    <xf numFmtId="0" fontId="5" fillId="0" borderId="18" xfId="0" applyFont="1" applyBorder="1" applyAlignment="1" applyProtection="1">
      <alignment horizontal="center"/>
      <protection hidden="1"/>
    </xf>
    <xf numFmtId="0" fontId="5" fillId="0" borderId="21" xfId="0" applyFont="1" applyBorder="1" applyAlignment="1" applyProtection="1">
      <alignment horizontal="center"/>
      <protection hidden="1"/>
    </xf>
    <xf numFmtId="164" fontId="6" fillId="3" borderId="16" xfId="0" applyNumberFormat="1" applyFont="1" applyFill="1" applyBorder="1" applyAlignment="1" applyProtection="1">
      <alignment horizontal="center" vertical="center"/>
      <protection hidden="1"/>
    </xf>
    <xf numFmtId="165" fontId="6" fillId="0" borderId="11" xfId="0" applyNumberFormat="1" applyFont="1" applyBorder="1" applyAlignment="1" applyProtection="1">
      <alignment horizontal="center" vertical="center"/>
      <protection hidden="1"/>
    </xf>
    <xf numFmtId="164" fontId="6" fillId="3" borderId="17" xfId="0" applyNumberFormat="1" applyFont="1" applyFill="1" applyBorder="1" applyAlignment="1" applyProtection="1">
      <alignment horizontal="center" vertical="center"/>
      <protection hidden="1"/>
    </xf>
    <xf numFmtId="165" fontId="6" fillId="0" borderId="12" xfId="0" applyNumberFormat="1" applyFont="1" applyBorder="1" applyAlignment="1" applyProtection="1">
      <alignment horizontal="center" vertical="center"/>
      <protection hidden="1"/>
    </xf>
    <xf numFmtId="0" fontId="0" fillId="0" borderId="27" xfId="0" applyBorder="1" applyAlignment="1">
      <alignment horizontal="right" vertical="center" wrapText="1"/>
    </xf>
    <xf numFmtId="0" fontId="12" fillId="0" borderId="0" xfId="0" applyFont="1"/>
    <xf numFmtId="9" fontId="0" fillId="0" borderId="0" xfId="0" applyNumberFormat="1"/>
    <xf numFmtId="0" fontId="25" fillId="0" borderId="0" xfId="0" applyFont="1" applyAlignment="1" applyProtection="1">
      <alignment horizontal="left" wrapText="1"/>
      <protection hidden="1"/>
    </xf>
    <xf numFmtId="0" fontId="25" fillId="0" borderId="0" xfId="0" applyFont="1" applyAlignment="1" applyProtection="1">
      <alignment vertical="top" wrapText="1"/>
      <protection hidden="1"/>
    </xf>
    <xf numFmtId="0" fontId="25" fillId="0" borderId="0" xfId="0" applyFont="1" applyAlignment="1" applyProtection="1">
      <alignment wrapText="1"/>
      <protection hidden="1"/>
    </xf>
    <xf numFmtId="0" fontId="6" fillId="0" borderId="0" xfId="0" applyFont="1" applyAlignment="1" applyProtection="1">
      <alignment wrapText="1"/>
      <protection hidden="1"/>
    </xf>
    <xf numFmtId="165" fontId="5" fillId="0" borderId="0" xfId="2" applyNumberFormat="1" applyFont="1" applyFill="1" applyBorder="1" applyAlignment="1" applyProtection="1">
      <alignment wrapText="1"/>
      <protection hidden="1"/>
    </xf>
    <xf numFmtId="3" fontId="5" fillId="0" borderId="0" xfId="2" applyNumberFormat="1" applyFont="1" applyFill="1" applyBorder="1" applyAlignment="1" applyProtection="1">
      <alignment wrapText="1"/>
      <protection hidden="1"/>
    </xf>
    <xf numFmtId="165" fontId="5" fillId="0" borderId="0" xfId="0" applyNumberFormat="1" applyFont="1" applyProtection="1">
      <protection hidden="1"/>
    </xf>
    <xf numFmtId="7" fontId="5" fillId="0" borderId="0" xfId="1" applyNumberFormat="1" applyFont="1" applyBorder="1" applyProtection="1">
      <protection hidden="1"/>
    </xf>
    <xf numFmtId="3" fontId="0" fillId="3" borderId="17" xfId="0" applyNumberFormat="1" applyFill="1" applyBorder="1" applyAlignment="1" applyProtection="1">
      <alignment horizontal="center"/>
      <protection locked="0"/>
    </xf>
    <xf numFmtId="9" fontId="18" fillId="3" borderId="44" xfId="4" applyNumberFormat="1" applyFont="1" applyFill="1" applyBorder="1" applyAlignment="1" applyProtection="1">
      <alignment horizontal="center" vertical="center"/>
      <protection locked="0"/>
    </xf>
    <xf numFmtId="9" fontId="18" fillId="3" borderId="45" xfId="4" applyNumberFormat="1" applyFont="1" applyFill="1" applyBorder="1" applyAlignment="1" applyProtection="1">
      <alignment horizontal="center" vertical="center"/>
      <protection locked="0"/>
    </xf>
    <xf numFmtId="164" fontId="0" fillId="3" borderId="57" xfId="0" applyNumberFormat="1" applyFill="1" applyBorder="1" applyProtection="1">
      <protection locked="0"/>
    </xf>
    <xf numFmtId="7" fontId="0" fillId="3" borderId="62" xfId="1" applyNumberFormat="1" applyFont="1" applyFill="1" applyBorder="1" applyAlignment="1" applyProtection="1">
      <alignment horizontal="center" vertical="center"/>
      <protection locked="0"/>
    </xf>
    <xf numFmtId="7" fontId="0" fillId="3" borderId="63" xfId="1" applyNumberFormat="1" applyFont="1" applyFill="1" applyBorder="1" applyAlignment="1" applyProtection="1">
      <alignment horizontal="center" vertical="center"/>
      <protection locked="0"/>
    </xf>
    <xf numFmtId="49" fontId="33" fillId="0" borderId="0" xfId="0" applyNumberFormat="1" applyFont="1" applyAlignment="1" applyProtection="1">
      <alignment vertical="top"/>
      <protection hidden="1"/>
    </xf>
    <xf numFmtId="0" fontId="14" fillId="0" borderId="0" xfId="0" applyFont="1" applyAlignment="1" applyProtection="1">
      <alignment vertical="center" wrapText="1"/>
      <protection hidden="1"/>
    </xf>
    <xf numFmtId="0" fontId="15" fillId="0" borderId="0" xfId="4" applyAlignment="1" applyProtection="1">
      <alignment horizontal="center"/>
      <protection hidden="1"/>
    </xf>
    <xf numFmtId="0" fontId="15" fillId="0" borderId="0" xfId="4" applyProtection="1">
      <protection hidden="1"/>
    </xf>
    <xf numFmtId="167" fontId="0" fillId="0" borderId="1" xfId="5" applyNumberFormat="1" applyFont="1" applyFill="1" applyBorder="1" applyProtection="1"/>
    <xf numFmtId="167" fontId="0" fillId="0" borderId="0" xfId="5" applyNumberFormat="1" applyFont="1" applyFill="1" applyProtection="1"/>
    <xf numFmtId="0" fontId="0" fillId="0" borderId="0" xfId="0" applyAlignment="1" applyProtection="1">
      <alignment vertical="center" wrapText="1"/>
      <protection hidden="1"/>
    </xf>
    <xf numFmtId="0" fontId="9" fillId="0" borderId="30" xfId="0" applyFont="1" applyBorder="1" applyAlignment="1" applyProtection="1">
      <alignment horizontal="center" vertical="center"/>
      <protection hidden="1"/>
    </xf>
    <xf numFmtId="9" fontId="18" fillId="3" borderId="82" xfId="4" applyNumberFormat="1" applyFont="1" applyFill="1" applyBorder="1" applyAlignment="1" applyProtection="1">
      <alignment horizontal="center" vertical="center"/>
      <protection locked="0"/>
    </xf>
    <xf numFmtId="0" fontId="0" fillId="5" borderId="12" xfId="0" applyFill="1" applyBorder="1" applyAlignment="1" applyProtection="1">
      <alignment horizontal="center"/>
      <protection hidden="1"/>
    </xf>
    <xf numFmtId="0" fontId="2" fillId="2" borderId="0" xfId="0" applyFont="1" applyFill="1" applyAlignment="1">
      <alignment horizontal="center" wrapText="1"/>
    </xf>
    <xf numFmtId="0" fontId="27" fillId="0" borderId="0" xfId="0" applyFont="1" applyAlignment="1">
      <alignment horizontal="left"/>
    </xf>
    <xf numFmtId="0" fontId="27" fillId="0" borderId="0" xfId="0" applyFont="1" applyAlignment="1">
      <alignment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81" xfId="0" applyBorder="1" applyAlignment="1">
      <alignment horizontal="left"/>
    </xf>
    <xf numFmtId="0" fontId="0" fillId="0" borderId="0" xfId="0" applyAlignment="1">
      <alignment horizontal="left"/>
    </xf>
    <xf numFmtId="0" fontId="0" fillId="0" borderId="0" xfId="0" applyAlignment="1">
      <alignment wrapText="1"/>
    </xf>
    <xf numFmtId="0" fontId="5" fillId="0" borderId="0" xfId="0" applyFont="1" applyAlignment="1">
      <alignment horizontal="center"/>
    </xf>
    <xf numFmtId="0" fontId="5" fillId="0" borderId="1" xfId="0" applyFont="1" applyBorder="1" applyAlignment="1">
      <alignment horizontal="center"/>
    </xf>
    <xf numFmtId="165" fontId="0" fillId="0" borderId="64" xfId="0" applyNumberFormat="1" applyBorder="1" applyAlignment="1" applyProtection="1">
      <alignment horizontal="center" vertical="center"/>
      <protection hidden="1"/>
    </xf>
    <xf numFmtId="0" fontId="0" fillId="0" borderId="57" xfId="0" applyBorder="1" applyAlignment="1" applyProtection="1">
      <alignment horizontal="center"/>
      <protection hidden="1"/>
    </xf>
    <xf numFmtId="3" fontId="0" fillId="3" borderId="57" xfId="0" applyNumberFormat="1" applyFill="1" applyBorder="1" applyAlignment="1" applyProtection="1">
      <alignment horizontal="center"/>
      <protection locked="0"/>
    </xf>
    <xf numFmtId="3" fontId="0" fillId="0" borderId="57" xfId="0" applyNumberFormat="1" applyBorder="1" applyAlignment="1" applyProtection="1">
      <alignment horizontal="center"/>
      <protection hidden="1"/>
    </xf>
    <xf numFmtId="165" fontId="0" fillId="0" borderId="63" xfId="0" applyNumberFormat="1" applyBorder="1" applyAlignment="1" applyProtection="1">
      <alignment horizontal="center"/>
      <protection hidden="1"/>
    </xf>
    <xf numFmtId="0" fontId="0" fillId="0" borderId="46" xfId="0" applyBorder="1" applyProtection="1">
      <protection hidden="1"/>
    </xf>
    <xf numFmtId="168" fontId="0" fillId="3" borderId="48" xfId="0" applyNumberFormat="1" applyFill="1" applyBorder="1" applyAlignment="1" applyProtection="1">
      <alignment vertical="center"/>
      <protection locked="0" hidden="1"/>
    </xf>
    <xf numFmtId="0" fontId="0" fillId="0" borderId="0" xfId="2" applyNumberFormat="1" applyFont="1" applyFill="1" applyBorder="1" applyProtection="1"/>
    <xf numFmtId="0" fontId="0" fillId="0" borderId="0" xfId="2" applyNumberFormat="1" applyFont="1" applyFill="1" applyProtection="1"/>
    <xf numFmtId="168" fontId="0" fillId="0" borderId="46" xfId="0" applyNumberFormat="1" applyBorder="1" applyAlignment="1" applyProtection="1">
      <alignment vertical="center"/>
      <protection locked="0" hidden="1"/>
    </xf>
    <xf numFmtId="4" fontId="0" fillId="3" borderId="48" xfId="0" applyNumberFormat="1" applyFill="1" applyBorder="1" applyAlignment="1" applyProtection="1">
      <alignment vertical="center"/>
      <protection locked="0" hidden="1"/>
    </xf>
    <xf numFmtId="164" fontId="0" fillId="0" borderId="54" xfId="0" applyNumberFormat="1"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5" fillId="0" borderId="0" xfId="0" applyFont="1" applyAlignment="1" applyProtection="1">
      <alignment horizontal="center" vertical="center" wrapText="1"/>
      <protection hidden="1"/>
    </xf>
    <xf numFmtId="9" fontId="5" fillId="0" borderId="0" xfId="0" applyNumberFormat="1" applyFont="1" applyProtection="1">
      <protection hidden="1"/>
    </xf>
    <xf numFmtId="9" fontId="6" fillId="0" borderId="0" xfId="2" applyFont="1" applyFill="1" applyBorder="1" applyAlignment="1" applyProtection="1">
      <alignment horizontal="center" vertical="center"/>
      <protection hidden="1"/>
    </xf>
    <xf numFmtId="9" fontId="6" fillId="4" borderId="0" xfId="0" applyNumberFormat="1" applyFont="1" applyFill="1" applyAlignment="1" applyProtection="1">
      <alignment horizontal="center" vertical="center"/>
      <protection hidden="1"/>
    </xf>
    <xf numFmtId="164" fontId="0" fillId="0" borderId="0" xfId="0" applyNumberFormat="1" applyAlignment="1" applyProtection="1">
      <alignment horizontal="center" vertical="center"/>
      <protection hidden="1"/>
    </xf>
    <xf numFmtId="164" fontId="5" fillId="0" borderId="0" xfId="0" applyNumberFormat="1" applyFont="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164" fontId="5" fillId="0" borderId="54" xfId="0" applyNumberFormat="1" applyFont="1" applyBorder="1" applyAlignment="1" applyProtection="1">
      <alignment horizontal="center" vertical="center" wrapText="1"/>
      <protection hidden="1"/>
    </xf>
    <xf numFmtId="164" fontId="5" fillId="0" borderId="54" xfId="0" applyNumberFormat="1" applyFont="1" applyBorder="1" applyAlignment="1" applyProtection="1">
      <alignment horizontal="center" vertical="center"/>
      <protection hidden="1"/>
    </xf>
    <xf numFmtId="9" fontId="6" fillId="0" borderId="0" xfId="0" applyNumberFormat="1" applyFont="1" applyAlignment="1" applyProtection="1">
      <alignment horizontal="center" vertical="center"/>
      <protection hidden="1"/>
    </xf>
    <xf numFmtId="164" fontId="5" fillId="0" borderId="54" xfId="2" applyNumberFormat="1" applyFont="1" applyFill="1" applyBorder="1" applyAlignment="1" applyProtection="1">
      <alignment horizontal="center" vertical="center"/>
      <protection hidden="1"/>
    </xf>
    <xf numFmtId="0" fontId="2" fillId="2" borderId="85" xfId="0" applyFont="1" applyFill="1" applyBorder="1" applyAlignment="1" applyProtection="1">
      <alignment horizontal="center" vertical="center"/>
      <protection hidden="1"/>
    </xf>
    <xf numFmtId="9" fontId="2" fillId="2" borderId="86" xfId="0" applyNumberFormat="1" applyFont="1" applyFill="1" applyBorder="1" applyAlignment="1" applyProtection="1">
      <alignment horizontal="center"/>
      <protection hidden="1"/>
    </xf>
    <xf numFmtId="9" fontId="2" fillId="2" borderId="87" xfId="0" applyNumberFormat="1" applyFont="1" applyFill="1" applyBorder="1" applyAlignment="1" applyProtection="1">
      <alignment horizontal="center"/>
      <protection hidden="1"/>
    </xf>
    <xf numFmtId="0" fontId="0" fillId="8" borderId="88" xfId="0" applyFill="1" applyBorder="1"/>
    <xf numFmtId="164" fontId="0" fillId="0" borderId="0" xfId="0" applyNumberFormat="1"/>
    <xf numFmtId="0" fontId="0" fillId="0" borderId="0" xfId="2" applyNumberFormat="1" applyFont="1" applyFill="1" applyAlignment="1" applyProtection="1">
      <alignment horizontal="right"/>
    </xf>
    <xf numFmtId="5" fontId="5" fillId="0" borderId="1" xfId="1" applyNumberFormat="1" applyFont="1" applyFill="1" applyBorder="1" applyAlignment="1" applyProtection="1">
      <alignment horizontal="right"/>
    </xf>
    <xf numFmtId="5" fontId="5" fillId="0" borderId="0" xfId="1" applyNumberFormat="1" applyFont="1" applyFill="1" applyAlignment="1" applyProtection="1">
      <alignment horizontal="right"/>
    </xf>
    <xf numFmtId="10" fontId="2" fillId="2" borderId="88" xfId="0" applyNumberFormat="1" applyFont="1" applyFill="1" applyBorder="1" applyAlignment="1">
      <alignment horizontal="center" wrapText="1"/>
    </xf>
    <xf numFmtId="0" fontId="2" fillId="2" borderId="88" xfId="0" applyFont="1" applyFill="1" applyBorder="1" applyAlignment="1">
      <alignment horizontal="center" wrapText="1"/>
    </xf>
    <xf numFmtId="0" fontId="2" fillId="2" borderId="89" xfId="0" applyFont="1" applyFill="1" applyBorder="1" applyAlignment="1">
      <alignment horizontal="center" wrapText="1"/>
    </xf>
    <xf numFmtId="164" fontId="0" fillId="0" borderId="83" xfId="0" applyNumberFormat="1" applyBorder="1" applyAlignment="1" applyProtection="1">
      <alignment vertical="center"/>
      <protection locked="0" hidden="1"/>
    </xf>
    <xf numFmtId="0" fontId="0" fillId="3" borderId="48" xfId="0" applyFill="1" applyBorder="1" applyAlignment="1" applyProtection="1">
      <alignment vertical="center"/>
      <protection locked="0" hidden="1"/>
    </xf>
    <xf numFmtId="0" fontId="2" fillId="2" borderId="90" xfId="0" applyFont="1" applyFill="1" applyBorder="1" applyAlignment="1">
      <alignment horizontal="center" wrapText="1"/>
    </xf>
    <xf numFmtId="10" fontId="2" fillId="2" borderId="9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91" xfId="0" applyFont="1" applyFill="1" applyBorder="1" applyAlignment="1">
      <alignment horizontal="center" wrapText="1"/>
    </xf>
    <xf numFmtId="0" fontId="0" fillId="8" borderId="88" xfId="5" applyNumberFormat="1" applyFont="1" applyFill="1" applyBorder="1"/>
    <xf numFmtId="2" fontId="0" fillId="8" borderId="88" xfId="0" applyNumberFormat="1" applyFill="1" applyBorder="1"/>
    <xf numFmtId="164" fontId="0" fillId="8" borderId="88" xfId="0" applyNumberFormat="1" applyFill="1" applyBorder="1"/>
    <xf numFmtId="164" fontId="0" fillId="8" borderId="89" xfId="0" applyNumberFormat="1" applyFill="1" applyBorder="1"/>
    <xf numFmtId="3" fontId="0" fillId="0" borderId="39" xfId="0" applyNumberFormat="1" applyBorder="1" applyAlignment="1" applyProtection="1">
      <alignment vertical="center"/>
      <protection locked="0" hidden="1"/>
    </xf>
    <xf numFmtId="3" fontId="0" fillId="0" borderId="47" xfId="0" applyNumberFormat="1" applyBorder="1" applyAlignment="1" applyProtection="1">
      <alignment vertical="center"/>
      <protection locked="0" hidden="1"/>
    </xf>
    <xf numFmtId="0" fontId="0" fillId="5" borderId="93" xfId="0" applyFill="1" applyBorder="1" applyProtection="1">
      <protection hidden="1"/>
    </xf>
    <xf numFmtId="0" fontId="0" fillId="5" borderId="49" xfId="0" applyFill="1" applyBorder="1" applyProtection="1">
      <protection hidden="1"/>
    </xf>
    <xf numFmtId="0" fontId="0" fillId="5" borderId="53" xfId="0" applyFill="1" applyBorder="1" applyProtection="1">
      <protection hidden="1"/>
    </xf>
    <xf numFmtId="0" fontId="0" fillId="5" borderId="29" xfId="0" applyFill="1" applyBorder="1" applyProtection="1">
      <protection hidden="1"/>
    </xf>
    <xf numFmtId="0" fontId="0" fillId="0" borderId="54" xfId="0" applyBorder="1" applyAlignment="1" applyProtection="1">
      <alignment horizontal="center" vertical="center"/>
      <protection hidden="1"/>
    </xf>
    <xf numFmtId="2" fontId="0" fillId="3" borderId="48" xfId="2" applyNumberFormat="1" applyFont="1" applyFill="1" applyBorder="1" applyAlignment="1" applyProtection="1">
      <alignment vertical="center"/>
      <protection locked="0" hidden="1"/>
    </xf>
    <xf numFmtId="4" fontId="0" fillId="0" borderId="84" xfId="0" applyNumberFormat="1" applyBorder="1" applyAlignment="1" applyProtection="1">
      <alignment vertical="center"/>
      <protection locked="0" hidden="1"/>
    </xf>
    <xf numFmtId="2" fontId="0" fillId="0" borderId="0" xfId="0" applyNumberFormat="1" applyProtection="1">
      <protection hidden="1"/>
    </xf>
    <xf numFmtId="4" fontId="0" fillId="3" borderId="94" xfId="0" applyNumberFormat="1" applyFill="1" applyBorder="1" applyAlignment="1" applyProtection="1">
      <alignment vertical="center"/>
      <protection hidden="1"/>
    </xf>
    <xf numFmtId="0" fontId="0" fillId="0" borderId="54" xfId="0" applyBorder="1" applyAlignment="1" applyProtection="1">
      <alignment horizontal="center" vertical="center"/>
      <protection locked="0" hidden="1"/>
    </xf>
    <xf numFmtId="2" fontId="0" fillId="0" borderId="46" xfId="0" applyNumberFormat="1" applyBorder="1" applyAlignment="1" applyProtection="1">
      <alignment vertical="center"/>
      <protection locked="0" hidden="1"/>
    </xf>
    <xf numFmtId="0" fontId="51" fillId="0" borderId="0" xfId="0" applyFont="1" applyProtection="1">
      <protection hidden="1"/>
    </xf>
    <xf numFmtId="164" fontId="5" fillId="0" borderId="0" xfId="0" applyNumberFormat="1" applyFont="1" applyAlignment="1" applyProtection="1">
      <alignment horizontal="center" vertical="center"/>
      <protection hidden="1"/>
    </xf>
    <xf numFmtId="0" fontId="0" fillId="0" borderId="0" xfId="0" applyBorder="1" applyProtection="1">
      <protection hidden="1"/>
    </xf>
    <xf numFmtId="0" fontId="0" fillId="0" borderId="35" xfId="0" applyBorder="1" applyProtection="1">
      <protection hidden="1"/>
    </xf>
    <xf numFmtId="0" fontId="0" fillId="0" borderId="28" xfId="0" applyBorder="1" applyProtection="1">
      <protection hidden="1"/>
    </xf>
    <xf numFmtId="0" fontId="0" fillId="0" borderId="29" xfId="0" applyBorder="1" applyProtection="1">
      <protection hidden="1"/>
    </xf>
    <xf numFmtId="0" fontId="0" fillId="0" borderId="29" xfId="0" applyBorder="1" applyAlignment="1" applyProtection="1">
      <alignment horizontal="right"/>
      <protection hidden="1"/>
    </xf>
    <xf numFmtId="3" fontId="0" fillId="0" borderId="63" xfId="0" applyNumberFormat="1" applyFill="1" applyBorder="1" applyProtection="1"/>
    <xf numFmtId="167" fontId="0" fillId="3" borderId="57" xfId="5" applyNumberFormat="1" applyFont="1" applyFill="1" applyBorder="1" applyProtection="1">
      <protection locked="0"/>
    </xf>
    <xf numFmtId="0" fontId="52" fillId="0" borderId="0" xfId="0" applyFont="1" applyAlignment="1">
      <alignment vertical="center"/>
    </xf>
    <xf numFmtId="0" fontId="0" fillId="0" borderId="0" xfId="0" applyFill="1" applyBorder="1" applyProtection="1">
      <protection hidden="1"/>
    </xf>
    <xf numFmtId="0" fontId="0" fillId="4" borderId="0" xfId="0" applyFill="1" applyProtection="1">
      <protection hidden="1"/>
    </xf>
    <xf numFmtId="0" fontId="52" fillId="4" borderId="0" xfId="0" applyFont="1" applyFill="1" applyAlignment="1">
      <alignment vertical="center"/>
    </xf>
    <xf numFmtId="0" fontId="3" fillId="4" borderId="0" xfId="0" applyFont="1" applyFill="1" applyProtection="1">
      <protection hidden="1"/>
    </xf>
    <xf numFmtId="9" fontId="14" fillId="0" borderId="0" xfId="0" applyNumberFormat="1" applyFont="1" applyFill="1" applyBorder="1" applyAlignment="1" applyProtection="1">
      <alignment horizontal="center" vertical="center" wrapText="1"/>
      <protection hidden="1"/>
    </xf>
    <xf numFmtId="0" fontId="6" fillId="0" borderId="0" xfId="0" applyFont="1" applyAlignment="1" applyProtection="1">
      <alignment horizontal="center"/>
      <protection hidden="1"/>
    </xf>
    <xf numFmtId="0" fontId="29" fillId="0" borderId="0" xfId="4" applyFont="1" applyAlignment="1" applyProtection="1">
      <alignment horizontal="center" vertical="center"/>
      <protection hidden="1"/>
    </xf>
    <xf numFmtId="0" fontId="0" fillId="0" borderId="0" xfId="0" applyAlignment="1" applyProtection="1">
      <alignment horizontal="center"/>
      <protection hidden="1"/>
    </xf>
    <xf numFmtId="0" fontId="48" fillId="0" borderId="0" xfId="0" applyFont="1" applyProtection="1">
      <protection hidden="1"/>
    </xf>
    <xf numFmtId="0" fontId="53" fillId="0" borderId="0" xfId="0" applyFont="1"/>
    <xf numFmtId="0" fontId="54" fillId="0" borderId="0" xfId="0" applyFont="1"/>
    <xf numFmtId="0" fontId="55" fillId="0" borderId="0" xfId="0" applyFont="1"/>
    <xf numFmtId="0" fontId="56" fillId="0" borderId="0" xfId="0" applyFont="1" applyAlignment="1">
      <alignment horizontal="left" vertical="center" indent="1"/>
    </xf>
    <xf numFmtId="0" fontId="57" fillId="0" borderId="0" xfId="0" quotePrefix="1" applyFont="1" applyFill="1" applyAlignment="1">
      <alignment horizontal="left" vertical="center" indent="1"/>
    </xf>
    <xf numFmtId="0" fontId="56" fillId="0" borderId="0" xfId="0" quotePrefix="1" applyFont="1" applyAlignment="1">
      <alignment horizontal="left" vertical="center" indent="1"/>
    </xf>
    <xf numFmtId="166" fontId="0" fillId="0" borderId="0" xfId="0" applyNumberFormat="1" applyFill="1" applyBorder="1" applyAlignment="1" applyProtection="1">
      <alignment horizontal="center"/>
      <protection locked="0" hidden="1"/>
    </xf>
    <xf numFmtId="0" fontId="0" fillId="3" borderId="37" xfId="0" applyFill="1" applyBorder="1" applyAlignment="1" applyProtection="1">
      <alignment horizontal="center" vertical="center"/>
      <protection locked="0" hidden="1"/>
    </xf>
    <xf numFmtId="0" fontId="0" fillId="3" borderId="38" xfId="0" applyFill="1" applyBorder="1" applyAlignment="1" applyProtection="1">
      <alignment horizontal="center" vertical="center"/>
      <protection locked="0" hidden="1"/>
    </xf>
    <xf numFmtId="0" fontId="11" fillId="0" borderId="0" xfId="0" applyFont="1" applyAlignment="1" applyProtection="1">
      <alignment horizontal="left" vertical="top" wrapText="1"/>
      <protection hidden="1"/>
    </xf>
    <xf numFmtId="0" fontId="41" fillId="0" borderId="28" xfId="0" applyFont="1" applyBorder="1" applyAlignment="1" applyProtection="1">
      <alignment horizontal="left" wrapText="1"/>
      <protection hidden="1"/>
    </xf>
    <xf numFmtId="0" fontId="41" fillId="0" borderId="29" xfId="0" applyFont="1" applyBorder="1" applyAlignment="1" applyProtection="1">
      <alignment horizontal="left" wrapText="1"/>
      <protection hidden="1"/>
    </xf>
    <xf numFmtId="0" fontId="41" fillId="0" borderId="30" xfId="0" applyFont="1" applyBorder="1" applyAlignment="1" applyProtection="1">
      <alignment horizontal="left" wrapText="1"/>
      <protection hidden="1"/>
    </xf>
    <xf numFmtId="0" fontId="0" fillId="0" borderId="25" xfId="0" applyBorder="1" applyAlignment="1" applyProtection="1">
      <alignment horizontal="center" wrapText="1"/>
      <protection hidden="1"/>
    </xf>
    <xf numFmtId="0" fontId="0" fillId="0" borderId="0" xfId="0" applyAlignment="1" applyProtection="1">
      <alignment horizontal="center" wrapText="1"/>
      <protection hidden="1"/>
    </xf>
    <xf numFmtId="0" fontId="0" fillId="0" borderId="29" xfId="0" applyBorder="1" applyAlignment="1" applyProtection="1">
      <alignment horizontal="center" wrapText="1"/>
      <protection hidden="1"/>
    </xf>
    <xf numFmtId="0" fontId="0" fillId="0" borderId="26" xfId="0" applyBorder="1" applyAlignment="1" applyProtection="1">
      <alignment horizontal="center" wrapText="1"/>
      <protection hidden="1"/>
    </xf>
    <xf numFmtId="0" fontId="0" fillId="0" borderId="35" xfId="0" applyBorder="1" applyAlignment="1" applyProtection="1">
      <alignment horizontal="center" wrapText="1"/>
      <protection hidden="1"/>
    </xf>
    <xf numFmtId="0" fontId="0" fillId="0" borderId="30" xfId="0" applyBorder="1" applyAlignment="1" applyProtection="1">
      <alignment horizontal="center" wrapText="1"/>
      <protection hidden="1"/>
    </xf>
    <xf numFmtId="0" fontId="0" fillId="0" borderId="27"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18" fillId="0" borderId="28" xfId="0" applyFont="1" applyBorder="1" applyAlignment="1" applyProtection="1">
      <alignment horizontal="right"/>
      <protection hidden="1"/>
    </xf>
    <xf numFmtId="0" fontId="18" fillId="0" borderId="61" xfId="0" applyFont="1" applyBorder="1" applyAlignment="1" applyProtection="1">
      <alignment horizontal="right"/>
      <protection hidden="1"/>
    </xf>
    <xf numFmtId="0" fontId="0" fillId="3" borderId="68"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25" fillId="0" borderId="28" xfId="0" applyFont="1" applyBorder="1" applyAlignment="1" applyProtection="1">
      <alignment horizontal="left" wrapText="1"/>
      <protection hidden="1"/>
    </xf>
    <xf numFmtId="0" fontId="25" fillId="0" borderId="29" xfId="0" applyFont="1" applyBorder="1" applyAlignment="1" applyProtection="1">
      <alignment horizontal="left" wrapText="1"/>
      <protection hidden="1"/>
    </xf>
    <xf numFmtId="0" fontId="25" fillId="0" borderId="30" xfId="0" applyFont="1" applyBorder="1" applyAlignment="1" applyProtection="1">
      <alignment horizontal="left" wrapText="1"/>
      <protection hidden="1"/>
    </xf>
    <xf numFmtId="0" fontId="5" fillId="0" borderId="73" xfId="0" applyFont="1" applyBorder="1" applyAlignment="1" applyProtection="1">
      <alignment horizontal="center" vertical="center" wrapText="1"/>
      <protection hidden="1"/>
    </xf>
    <xf numFmtId="0" fontId="5" fillId="0" borderId="76" xfId="0" applyFont="1" applyBorder="1" applyAlignment="1" applyProtection="1">
      <alignment horizontal="center" vertical="center" wrapText="1"/>
      <protection hidden="1"/>
    </xf>
    <xf numFmtId="0" fontId="5" fillId="0" borderId="79" xfId="0" applyFont="1" applyBorder="1" applyAlignment="1" applyProtection="1">
      <alignment horizontal="center" vertical="center" wrapText="1"/>
      <protection hidden="1"/>
    </xf>
    <xf numFmtId="0" fontId="15" fillId="0" borderId="0" xfId="4" applyAlignment="1" applyProtection="1">
      <alignment horizontal="center"/>
      <protection hidden="1"/>
    </xf>
    <xf numFmtId="9" fontId="6" fillId="4" borderId="4" xfId="0" applyNumberFormat="1" applyFont="1" applyFill="1" applyBorder="1" applyAlignment="1" applyProtection="1">
      <alignment horizontal="center" vertical="center"/>
      <protection hidden="1"/>
    </xf>
    <xf numFmtId="9" fontId="6" fillId="4" borderId="67" xfId="0" applyNumberFormat="1" applyFont="1" applyFill="1" applyBorder="1" applyAlignment="1" applyProtection="1">
      <alignment horizontal="center" vertical="center"/>
      <protection hidden="1"/>
    </xf>
    <xf numFmtId="9" fontId="6" fillId="4" borderId="5" xfId="0" applyNumberFormat="1" applyFont="1" applyFill="1" applyBorder="1" applyAlignment="1" applyProtection="1">
      <alignment horizontal="center" vertical="center"/>
      <protection hidden="1"/>
    </xf>
    <xf numFmtId="9" fontId="6" fillId="0" borderId="4" xfId="2" applyFont="1" applyFill="1" applyBorder="1" applyAlignment="1" applyProtection="1">
      <alignment horizontal="center" vertical="center"/>
      <protection hidden="1"/>
    </xf>
    <xf numFmtId="9" fontId="6" fillId="0" borderId="5" xfId="2" applyFont="1" applyFill="1" applyBorder="1" applyAlignment="1" applyProtection="1">
      <alignment horizontal="center" vertical="center"/>
      <protection hidden="1"/>
    </xf>
    <xf numFmtId="0" fontId="25" fillId="0" borderId="27" xfId="0" applyFont="1" applyBorder="1" applyAlignment="1" applyProtection="1">
      <alignment horizontal="left" vertical="top" wrapText="1"/>
      <protection hidden="1"/>
    </xf>
    <xf numFmtId="0" fontId="25" fillId="0" borderId="35" xfId="0" applyFont="1" applyBorder="1" applyAlignment="1" applyProtection="1">
      <alignment horizontal="left" vertical="top" wrapText="1"/>
      <protection hidden="1"/>
    </xf>
    <xf numFmtId="0" fontId="25" fillId="0" borderId="28" xfId="0" applyFont="1" applyBorder="1" applyAlignment="1" applyProtection="1">
      <alignment horizontal="left" vertical="top" wrapText="1"/>
      <protection hidden="1"/>
    </xf>
    <xf numFmtId="0" fontId="25" fillId="0" borderId="30" xfId="0" applyFont="1" applyBorder="1" applyAlignment="1" applyProtection="1">
      <alignment horizontal="left" vertical="top" wrapText="1"/>
      <protection hidden="1"/>
    </xf>
    <xf numFmtId="0" fontId="18" fillId="0" borderId="27" xfId="0" applyFont="1" applyBorder="1" applyAlignment="1" applyProtection="1">
      <alignment horizontal="right"/>
      <protection hidden="1"/>
    </xf>
    <xf numFmtId="0" fontId="18" fillId="0" borderId="49" xfId="0" applyFont="1" applyBorder="1" applyAlignment="1" applyProtection="1">
      <alignment horizontal="right"/>
      <protection hidden="1"/>
    </xf>
    <xf numFmtId="0" fontId="0" fillId="3" borderId="59" xfId="0" applyFill="1" applyBorder="1" applyAlignment="1" applyProtection="1">
      <alignment horizontal="center" vertical="center"/>
      <protection locked="0"/>
    </xf>
    <xf numFmtId="0" fontId="0" fillId="3" borderId="60" xfId="0" applyFill="1" applyBorder="1" applyAlignment="1" applyProtection="1">
      <alignment horizontal="center" vertical="center"/>
      <protection locked="0"/>
    </xf>
    <xf numFmtId="0" fontId="6" fillId="0" borderId="0" xfId="0" applyFont="1" applyAlignment="1" applyProtection="1">
      <alignment horizontal="center"/>
      <protection hidden="1"/>
    </xf>
    <xf numFmtId="0" fontId="3" fillId="3" borderId="4"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13" fillId="0" borderId="24" xfId="0" applyFont="1" applyBorder="1" applyAlignment="1" applyProtection="1">
      <alignment horizontal="left" vertical="top" wrapText="1"/>
      <protection hidden="1"/>
    </xf>
    <xf numFmtId="0" fontId="13" fillId="0" borderId="25" xfId="0" applyFont="1" applyBorder="1" applyAlignment="1" applyProtection="1">
      <alignment horizontal="left" vertical="top" wrapText="1"/>
      <protection hidden="1"/>
    </xf>
    <xf numFmtId="0" fontId="13" fillId="0" borderId="26" xfId="0" applyFont="1" applyBorder="1" applyAlignment="1" applyProtection="1">
      <alignment horizontal="left" vertical="top" wrapText="1"/>
      <protection hidden="1"/>
    </xf>
    <xf numFmtId="0" fontId="25" fillId="0" borderId="55" xfId="0" applyFont="1" applyBorder="1" applyAlignment="1" applyProtection="1">
      <alignment horizontal="left" wrapText="1"/>
      <protection hidden="1"/>
    </xf>
    <xf numFmtId="0" fontId="25" fillId="0" borderId="56" xfId="0" applyFont="1" applyBorder="1" applyAlignment="1" applyProtection="1">
      <alignment horizontal="left" wrapText="1"/>
      <protection hidden="1"/>
    </xf>
    <xf numFmtId="0" fontId="5" fillId="0" borderId="72"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5" fillId="0" borderId="78" xfId="0" applyFont="1" applyBorder="1" applyAlignment="1" applyProtection="1">
      <alignment horizontal="center" vertical="center" wrapText="1"/>
      <protection hidden="1"/>
    </xf>
    <xf numFmtId="0" fontId="29" fillId="0" borderId="0" xfId="4" applyFont="1" applyAlignment="1" applyProtection="1">
      <alignment horizontal="center" vertical="center"/>
      <protection hidden="1"/>
    </xf>
    <xf numFmtId="0" fontId="5" fillId="0" borderId="74" xfId="0" applyFont="1" applyBorder="1" applyAlignment="1" applyProtection="1">
      <alignment horizontal="center" vertical="center" wrapText="1"/>
      <protection hidden="1"/>
    </xf>
    <xf numFmtId="0" fontId="5" fillId="0" borderId="77" xfId="0" applyFont="1" applyBorder="1" applyAlignment="1" applyProtection="1">
      <alignment horizontal="center" vertical="center" wrapText="1"/>
      <protection hidden="1"/>
    </xf>
    <xf numFmtId="0" fontId="5" fillId="0" borderId="80" xfId="0" applyFont="1" applyBorder="1" applyAlignment="1" applyProtection="1">
      <alignment horizontal="center" vertical="center" wrapText="1"/>
      <protection hidden="1"/>
    </xf>
    <xf numFmtId="0" fontId="0" fillId="0" borderId="0" xfId="0" applyAlignment="1" applyProtection="1">
      <alignment horizontal="center"/>
      <protection hidden="1"/>
    </xf>
    <xf numFmtId="0" fontId="0" fillId="0" borderId="56" xfId="0" applyBorder="1" applyAlignment="1" applyProtection="1">
      <alignment horizontal="center" vertical="center" wrapText="1"/>
      <protection hidden="1"/>
    </xf>
    <xf numFmtId="0" fontId="11" fillId="0" borderId="0" xfId="0" applyFont="1" applyAlignment="1" applyProtection="1">
      <alignment vertical="top" wrapText="1"/>
      <protection hidden="1"/>
    </xf>
    <xf numFmtId="0" fontId="31" fillId="0" borderId="4" xfId="0" applyFont="1" applyBorder="1" applyAlignment="1">
      <alignment horizontal="center"/>
    </xf>
    <xf numFmtId="0" fontId="31" fillId="0" borderId="67" xfId="0" applyFont="1" applyBorder="1" applyAlignment="1">
      <alignment horizontal="center"/>
    </xf>
    <xf numFmtId="0" fontId="31" fillId="0" borderId="5" xfId="0" applyFont="1" applyBorder="1" applyAlignment="1">
      <alignment horizontal="center"/>
    </xf>
    <xf numFmtId="0" fontId="0" fillId="0" borderId="0" xfId="0" applyAlignment="1" applyProtection="1">
      <alignment horizontal="left" wrapText="1"/>
      <protection hidden="1"/>
    </xf>
    <xf numFmtId="0" fontId="26" fillId="0" borderId="0" xfId="0" applyFont="1" applyAlignment="1" applyProtection="1">
      <alignment horizontal="left" wrapText="1"/>
      <protection hidden="1"/>
    </xf>
    <xf numFmtId="9" fontId="14" fillId="7" borderId="3" xfId="0" applyNumberFormat="1" applyFont="1" applyFill="1" applyBorder="1" applyAlignment="1" applyProtection="1">
      <alignment horizontal="center" vertical="center" wrapText="1"/>
      <protection hidden="1"/>
    </xf>
    <xf numFmtId="9" fontId="14" fillId="7" borderId="6" xfId="0" applyNumberFormat="1" applyFont="1" applyFill="1" applyBorder="1" applyAlignment="1" applyProtection="1">
      <alignment horizontal="center" vertical="center" wrapText="1"/>
      <protection hidden="1"/>
    </xf>
    <xf numFmtId="9" fontId="14" fillId="7" borderId="7" xfId="0" applyNumberFormat="1" applyFont="1" applyFill="1" applyBorder="1" applyAlignment="1" applyProtection="1">
      <alignment horizontal="center" vertical="center" wrapText="1"/>
      <protection hidden="1"/>
    </xf>
    <xf numFmtId="0" fontId="0" fillId="0" borderId="33" xfId="0" applyBorder="1" applyAlignment="1" applyProtection="1">
      <alignment horizontal="right"/>
      <protection hidden="1"/>
    </xf>
    <xf numFmtId="0" fontId="0" fillId="0" borderId="34" xfId="0" applyBorder="1" applyAlignment="1" applyProtection="1">
      <alignment horizontal="right"/>
      <protection hidden="1"/>
    </xf>
    <xf numFmtId="0" fontId="0" fillId="0" borderId="10" xfId="0" applyBorder="1" applyAlignment="1" applyProtection="1">
      <alignment horizontal="center"/>
      <protection hidden="1"/>
    </xf>
    <xf numFmtId="0" fontId="0" fillId="0" borderId="65" xfId="0" applyBorder="1" applyAlignment="1" applyProtection="1">
      <alignment horizontal="center"/>
      <protection hidden="1"/>
    </xf>
    <xf numFmtId="0" fontId="3" fillId="0" borderId="0" xfId="0" applyFont="1" applyAlignment="1" applyProtection="1">
      <alignment horizontal="left" wrapText="1"/>
      <protection hidden="1"/>
    </xf>
    <xf numFmtId="0" fontId="0" fillId="0" borderId="31" xfId="0" applyBorder="1" applyAlignment="1" applyProtection="1">
      <alignment horizontal="right"/>
      <protection hidden="1"/>
    </xf>
    <xf numFmtId="0" fontId="0" fillId="0" borderId="32" xfId="0" applyBorder="1" applyAlignment="1" applyProtection="1">
      <alignment horizontal="right"/>
      <protection hidden="1"/>
    </xf>
    <xf numFmtId="0" fontId="32" fillId="0" borderId="0" xfId="0" applyFont="1" applyAlignment="1">
      <alignment horizontal="left" vertical="top" wrapText="1"/>
    </xf>
    <xf numFmtId="0" fontId="26" fillId="0" borderId="0" xfId="0" applyFont="1" applyAlignment="1">
      <alignment horizontal="left" vertical="top" wrapText="1"/>
    </xf>
    <xf numFmtId="0" fontId="2" fillId="2" borderId="1" xfId="0" applyFont="1" applyFill="1" applyBorder="1" applyAlignment="1">
      <alignment horizontal="center" wrapText="1"/>
    </xf>
    <xf numFmtId="0" fontId="2" fillId="2" borderId="92" xfId="0" applyFont="1" applyFill="1" applyBorder="1" applyAlignment="1">
      <alignment horizontal="center" wrapText="1"/>
    </xf>
  </cellXfs>
  <cellStyles count="20">
    <cellStyle name="Comma" xfId="5" builtinId="3"/>
    <cellStyle name="Comma 2" xfId="11" xr:uid="{B27E6D08-3C91-4907-8F08-9BCD5C11B6A6}"/>
    <cellStyle name="Comma 3" xfId="3" xr:uid="{8D28D001-04F2-48BD-B8DD-58A2D55EC56F}"/>
    <cellStyle name="Currency" xfId="1" builtinId="4"/>
    <cellStyle name="Currency 2" xfId="9" xr:uid="{7031C189-5431-4FAC-8F3B-CAD733261398}"/>
    <cellStyle name="Currency 3" xfId="8" xr:uid="{69BB7CC1-1158-4040-AFF7-FF19A84AA64A}"/>
    <cellStyle name="Normal" xfId="0" builtinId="0"/>
    <cellStyle name="Normal 2" xfId="6" xr:uid="{86D53728-3943-4F45-8B8D-8A74289D70B3}"/>
    <cellStyle name="Normal 2 2" xfId="12" xr:uid="{4391C206-0492-4677-9D3F-46B8C3945212}"/>
    <cellStyle name="Normal 3" xfId="4" xr:uid="{349AE79A-70A3-45F9-9B73-F67F57547D7D}"/>
    <cellStyle name="Normal 3 2" xfId="14" xr:uid="{F73F5FA8-88A1-48EE-9807-2B5ABB9F879E}"/>
    <cellStyle name="Normal 4" xfId="15" xr:uid="{47C4D1D2-19B7-43FB-B789-33C3AF925967}"/>
    <cellStyle name="Normal 5" xfId="16" xr:uid="{B718C5C4-4A31-401D-A71A-3CFDF37D0F36}"/>
    <cellStyle name="Normal 6" xfId="17" xr:uid="{A410A937-DD09-4568-BBBF-10BFEA10363F}"/>
    <cellStyle name="Normal 7" xfId="18" xr:uid="{FDC754DC-7837-49FE-95C8-6B6CC04D057A}"/>
    <cellStyle name="Normal 8" xfId="19" xr:uid="{376C488B-C37D-44F0-8C44-5EB92EC802CA}"/>
    <cellStyle name="Percent" xfId="2" builtinId="5"/>
    <cellStyle name="Percent 2" xfId="7" xr:uid="{936CEFCC-5405-4432-821E-E3A238E10F05}"/>
    <cellStyle name="Percent 2 3" xfId="10" xr:uid="{B11182D4-1641-41B9-9796-ECD0AEDCA04B}"/>
    <cellStyle name="Table 3 2" xfId="13" xr:uid="{F56878E6-9699-4963-A2B9-934FD3A6AD96}"/>
  </cellStyles>
  <dxfs count="61">
    <dxf>
      <fill>
        <patternFill>
          <bgColor theme="9" tint="0.79998168889431442"/>
        </patternFill>
      </fill>
    </dxf>
    <dxf>
      <font>
        <b/>
        <i val="0"/>
        <color rgb="FFFF0000"/>
      </font>
    </dxf>
    <dxf>
      <font>
        <strike val="0"/>
        <color theme="1" tint="0.499984740745262"/>
      </font>
      <fill>
        <patternFill patternType="solid">
          <fgColor theme="1" tint="0.499984740745262"/>
          <bgColor theme="1" tint="0.499984740745262"/>
        </patternFill>
      </fill>
    </dxf>
    <dxf>
      <font>
        <color rgb="FFFF0000"/>
      </font>
    </dxf>
    <dxf>
      <font>
        <strike val="0"/>
        <color theme="1" tint="0.499984740745262"/>
      </font>
      <fill>
        <patternFill patternType="solid">
          <fgColor theme="1" tint="0.499984740745262"/>
          <bgColor theme="1" tint="0.499984740745262"/>
        </patternFill>
      </fill>
    </dxf>
    <dxf>
      <font>
        <b/>
        <i val="0"/>
        <color rgb="FFFF0000"/>
      </font>
    </dxf>
    <dxf>
      <font>
        <b/>
        <i val="0"/>
        <color rgb="FFFF0000"/>
      </font>
    </dxf>
    <dxf>
      <font>
        <b/>
        <i val="0"/>
        <color rgb="FFFF0000"/>
      </font>
    </dxf>
    <dxf>
      <font>
        <b/>
        <i val="0"/>
        <color rgb="FFFF0000"/>
      </font>
    </dxf>
    <dxf>
      <font>
        <b/>
        <i val="0"/>
        <color rgb="FFFF0000"/>
      </font>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none">
          <fgColor indexed="64"/>
          <bgColor auto="1"/>
        </patternFill>
      </fill>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solid">
          <fgColor theme="4" tint="0.79998168889431442"/>
          <bgColor theme="4" tint="0.79998168889431442"/>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alignment horizontal="center" vertical="bottom"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left/>
        <right/>
        <top style="thin">
          <color theme="4" tint="0.39997558519241921"/>
        </top>
        <bottom/>
      </border>
      <protection locked="1"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outline="0">
        <left/>
        <right/>
        <top style="thin">
          <color theme="4" tint="0.39997558519241921"/>
        </top>
        <bottom/>
      </border>
      <protection locked="0" hidden="0"/>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border diagonalUp="0" diagonalDown="0">
        <left/>
        <right/>
        <top style="thin">
          <color theme="4" tint="0.39997558519241921"/>
        </top>
        <bottom/>
      </border>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auto="1"/>
        <name val="Calibri"/>
        <family val="2"/>
        <scheme val="minor"/>
      </font>
      <fill>
        <patternFill patternType="solid">
          <fgColor theme="4" tint="0.79998168889431442"/>
          <bgColor theme="4" tint="0.79998168889431442"/>
        </patternFill>
      </fill>
      <protection locked="1" hidden="0"/>
    </dxf>
    <dxf>
      <font>
        <b/>
        <i val="0"/>
        <strike val="0"/>
        <condense val="0"/>
        <extend val="0"/>
        <outline val="0"/>
        <shadow val="0"/>
        <u val="none"/>
        <vertAlign val="baseline"/>
        <sz val="11"/>
        <color theme="0" tint="-4.9989318521683403E-2"/>
        <name val="Calibri"/>
        <family val="2"/>
        <scheme val="minor"/>
      </font>
      <fill>
        <patternFill patternType="none">
          <fgColor indexed="64"/>
          <bgColor auto="1"/>
        </patternFill>
      </fill>
      <alignment horizontal="general" vertical="bottom" textRotation="90" wrapText="0" indent="0" justifyLastLine="0" shrinkToFit="0" readingOrder="0"/>
      <protection locked="1" hidden="0"/>
    </dxf>
    <dxf>
      <numFmt numFmtId="164" formatCode="&quot;$&quot;#,##0"/>
      <fill>
        <patternFill patternType="none">
          <fgColor indexed="64"/>
          <bgColor auto="1"/>
        </patternFill>
      </fill>
      <protection locked="1" hidden="0"/>
    </dxf>
    <dxf>
      <font>
        <sz val="11"/>
        <color auto="1"/>
        <name val="Calibri"/>
        <family val="2"/>
        <scheme val="minor"/>
      </font>
      <numFmt numFmtId="9" formatCode="&quot;$&quot;#,##0_);\(&quot;$&quot;#,##0\)"/>
      <fill>
        <patternFill patternType="none">
          <fgColor indexed="64"/>
          <bgColor indexed="65"/>
        </patternFill>
      </fill>
      <alignment horizontal="right" vertical="bottom" textRotation="0" wrapText="0" indent="0" justifyLastLine="0" shrinkToFit="0" readingOrder="0"/>
      <protection locked="1" hidden="0"/>
    </dxf>
    <dxf>
      <numFmt numFmtId="0" formatCode="General"/>
      <fill>
        <patternFill patternType="none">
          <fgColor indexed="64"/>
          <bgColor auto="1"/>
        </patternFill>
      </fill>
      <alignment horizontal="right" vertical="bottom" textRotation="0" wrapText="0" indent="0" justifyLastLine="0" shrinkToFit="0" readingOrder="0"/>
      <protection locked="1" hidden="0"/>
    </dxf>
    <dxf>
      <fill>
        <patternFill patternType="none">
          <fgColor indexed="64"/>
          <bgColor indexed="65"/>
        </patternFill>
      </fill>
      <protection locked="1" hidden="0"/>
    </dxf>
    <dxf>
      <fill>
        <patternFill patternType="none">
          <fgColor indexed="64"/>
          <bgColor auto="1"/>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border diagonalUp="0" diagonalDown="0" outline="0">
        <left/>
        <right/>
        <top/>
        <bottom/>
      </border>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ont>
        <b val="0"/>
        <i val="0"/>
        <strike val="0"/>
        <condense val="0"/>
        <extend val="0"/>
        <outline val="0"/>
        <shadow val="0"/>
        <u val="none"/>
        <vertAlign val="baseline"/>
        <sz val="11"/>
        <color theme="1"/>
        <name val="Calibri"/>
        <family val="2"/>
        <scheme val="minor"/>
      </font>
      <numFmt numFmtId="167" formatCode="_(* #,##0_);_(* \(#,##0\);_(* &quot;-&quot;??_);_(@_)"/>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auto="1"/>
        </patternFill>
      </fill>
      <protection locked="1" hidden="0"/>
    </dxf>
    <dxf>
      <protection locked="1" hidden="0"/>
    </dxf>
    <dxf>
      <border outline="0">
        <left style="thin">
          <color theme="4" tint="0.39997558519241921"/>
        </left>
        <right style="thin">
          <color theme="4" tint="0.39997558519241921"/>
        </right>
        <top style="thin">
          <color theme="4" tint="0.39997558519241921"/>
        </top>
        <bottom style="thin">
          <color theme="4" tint="0.39997558519241921"/>
        </bottom>
      </border>
    </dxf>
    <dxf>
      <protection locked="1" hidden="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bottom" textRotation="0" wrapText="1" indent="0" justifyLastLine="0" shrinkToFit="0" readingOrder="0"/>
      <protection locked="1" hidden="0"/>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numFmt numFmtId="164" formatCode="&quot;$&quot;#,##0"/>
      <alignment horizontal="center" vertical="center" textRotation="0" indent="0" justifyLastLine="0" shrinkToFit="0" readingOrder="0"/>
      <protection locked="1" hidden="1"/>
    </dxf>
    <dxf>
      <border outline="0">
        <top style="thin">
          <color indexed="64"/>
        </top>
      </border>
    </dxf>
    <dxf>
      <numFmt numFmtId="164" formatCode="&quot;$&quot;#,##0"/>
      <alignment horizontal="center" vertical="center" textRotation="0" indent="0" justifyLastLine="0" shrinkToFit="0" readingOrder="0"/>
      <protection locked="1" hidden="1"/>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numFmt numFmtId="13" formatCode="0%"/>
      <fill>
        <patternFill patternType="solid">
          <fgColor theme="4"/>
          <bgColor theme="4"/>
        </patternFill>
      </fil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1" formatCode="&quot;$&quot;#,##0.00_);\(&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protection locked="1" hidden="1"/>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5" formatCode="&quot;$&quot;#,##0.00"/>
      <fill>
        <patternFill patternType="none">
          <fgColor indexed="64"/>
          <bgColor indexed="65"/>
        </patternFill>
      </fill>
      <alignment horizontal="general" vertical="bottom"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alignment horizontal="center" vertical="bottom" textRotation="0" wrapText="0" indent="0" justifyLastLine="0" shrinkToFit="0" readingOrder="0"/>
      <protection locked="1" hidden="1"/>
    </dxf>
  </dxfs>
  <tableStyles count="0" defaultTableStyle="TableStyleMedium2" defaultPivotStyle="PivotStyleLight16"/>
  <colors>
    <mruColors>
      <color rgb="FF7CB9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ndard"/>
        <c:varyColors val="0"/>
        <c:ser>
          <c:idx val="5"/>
          <c:order val="0"/>
          <c:tx>
            <c:strRef>
              <c:f>'Affordability Calculator'!$AV$3</c:f>
              <c:strCache>
                <c:ptCount val="1"/>
                <c:pt idx="0">
                  <c:v>100%</c:v>
                </c:pt>
              </c:strCache>
            </c:strRef>
          </c:tx>
          <c:spPr>
            <a:solidFill>
              <a:srgbClr val="00B050"/>
            </a:solidFill>
            <a:ln w="12700">
              <a:solidFill>
                <a:sysClr val="windowText" lastClr="000000"/>
              </a:solidFill>
            </a:ln>
            <a:effectLst/>
          </c:spPr>
          <c:val>
            <c:numRef>
              <c:f>'Affordability Calculator'!$AV$4:$AV$84</c:f>
              <c:numCache>
                <c:formatCode>"$"#,##0</c:formatCode>
                <c:ptCount val="81"/>
                <c:pt idx="0">
                  <c:v>170</c:v>
                </c:pt>
                <c:pt idx="1">
                  <c:v>170</c:v>
                </c:pt>
                <c:pt idx="2">
                  <c:v>170</c:v>
                </c:pt>
                <c:pt idx="3">
                  <c:v>170</c:v>
                </c:pt>
                <c:pt idx="4">
                  <c:v>170</c:v>
                </c:pt>
                <c:pt idx="5">
                  <c:v>170</c:v>
                </c:pt>
                <c:pt idx="6">
                  <c:v>170</c:v>
                </c:pt>
                <c:pt idx="7">
                  <c:v>170</c:v>
                </c:pt>
                <c:pt idx="8">
                  <c:v>170</c:v>
                </c:pt>
                <c:pt idx="9">
                  <c:v>170</c:v>
                </c:pt>
                <c:pt idx="10">
                  <c:v>170</c:v>
                </c:pt>
                <c:pt idx="11">
                  <c:v>170</c:v>
                </c:pt>
                <c:pt idx="12">
                  <c:v>170</c:v>
                </c:pt>
                <c:pt idx="13">
                  <c:v>170</c:v>
                </c:pt>
                <c:pt idx="14">
                  <c:v>170</c:v>
                </c:pt>
                <c:pt idx="15">
                  <c:v>170</c:v>
                </c:pt>
                <c:pt idx="16">
                  <c:v>170</c:v>
                </c:pt>
                <c:pt idx="17">
                  <c:v>170</c:v>
                </c:pt>
                <c:pt idx="18">
                  <c:v>170</c:v>
                </c:pt>
                <c:pt idx="19">
                  <c:v>170</c:v>
                </c:pt>
                <c:pt idx="20">
                  <c:v>170</c:v>
                </c:pt>
                <c:pt idx="21">
                  <c:v>170</c:v>
                </c:pt>
                <c:pt idx="22">
                  <c:v>170</c:v>
                </c:pt>
                <c:pt idx="23">
                  <c:v>170</c:v>
                </c:pt>
                <c:pt idx="24">
                  <c:v>170</c:v>
                </c:pt>
                <c:pt idx="25">
                  <c:v>170</c:v>
                </c:pt>
                <c:pt idx="26">
                  <c:v>170</c:v>
                </c:pt>
                <c:pt idx="27">
                  <c:v>170</c:v>
                </c:pt>
                <c:pt idx="28">
                  <c:v>170</c:v>
                </c:pt>
                <c:pt idx="29">
                  <c:v>170</c:v>
                </c:pt>
                <c:pt idx="30">
                  <c:v>170</c:v>
                </c:pt>
                <c:pt idx="31">
                  <c:v>170</c:v>
                </c:pt>
                <c:pt idx="32">
                  <c:v>170</c:v>
                </c:pt>
                <c:pt idx="33">
                  <c:v>170</c:v>
                </c:pt>
                <c:pt idx="34">
                  <c:v>170</c:v>
                </c:pt>
                <c:pt idx="35">
                  <c:v>170</c:v>
                </c:pt>
                <c:pt idx="36">
                  <c:v>170</c:v>
                </c:pt>
                <c:pt idx="37">
                  <c:v>170</c:v>
                </c:pt>
                <c:pt idx="38">
                  <c:v>170</c:v>
                </c:pt>
                <c:pt idx="39">
                  <c:v>170</c:v>
                </c:pt>
                <c:pt idx="40">
                  <c:v>170</c:v>
                </c:pt>
                <c:pt idx="41">
                  <c:v>170</c:v>
                </c:pt>
                <c:pt idx="42">
                  <c:v>170</c:v>
                </c:pt>
                <c:pt idx="43">
                  <c:v>170</c:v>
                </c:pt>
                <c:pt idx="44">
                  <c:v>170</c:v>
                </c:pt>
                <c:pt idx="45">
                  <c:v>170</c:v>
                </c:pt>
                <c:pt idx="46">
                  <c:v>170</c:v>
                </c:pt>
                <c:pt idx="47">
                  <c:v>170</c:v>
                </c:pt>
                <c:pt idx="48">
                  <c:v>170</c:v>
                </c:pt>
                <c:pt idx="49">
                  <c:v>170</c:v>
                </c:pt>
                <c:pt idx="50">
                  <c:v>170</c:v>
                </c:pt>
                <c:pt idx="51">
                  <c:v>170</c:v>
                </c:pt>
                <c:pt idx="52">
                  <c:v>170</c:v>
                </c:pt>
                <c:pt idx="53">
                  <c:v>170</c:v>
                </c:pt>
                <c:pt idx="54">
                  <c:v>170</c:v>
                </c:pt>
                <c:pt idx="55">
                  <c:v>170</c:v>
                </c:pt>
                <c:pt idx="56">
                  <c:v>170</c:v>
                </c:pt>
                <c:pt idx="57">
                  <c:v>170</c:v>
                </c:pt>
                <c:pt idx="58">
                  <c:v>170</c:v>
                </c:pt>
                <c:pt idx="59">
                  <c:v>170</c:v>
                </c:pt>
                <c:pt idx="60">
                  <c:v>170</c:v>
                </c:pt>
                <c:pt idx="61">
                  <c:v>170</c:v>
                </c:pt>
                <c:pt idx="62">
                  <c:v>170</c:v>
                </c:pt>
                <c:pt idx="63">
                  <c:v>170</c:v>
                </c:pt>
                <c:pt idx="64">
                  <c:v>170</c:v>
                </c:pt>
                <c:pt idx="65">
                  <c:v>170</c:v>
                </c:pt>
                <c:pt idx="66">
                  <c:v>170</c:v>
                </c:pt>
                <c:pt idx="67">
                  <c:v>170</c:v>
                </c:pt>
                <c:pt idx="68">
                  <c:v>170</c:v>
                </c:pt>
                <c:pt idx="69">
                  <c:v>170</c:v>
                </c:pt>
                <c:pt idx="70">
                  <c:v>170</c:v>
                </c:pt>
                <c:pt idx="71">
                  <c:v>170</c:v>
                </c:pt>
                <c:pt idx="72">
                  <c:v>170</c:v>
                </c:pt>
                <c:pt idx="73">
                  <c:v>170</c:v>
                </c:pt>
                <c:pt idx="74">
                  <c:v>170</c:v>
                </c:pt>
                <c:pt idx="75">
                  <c:v>170</c:v>
                </c:pt>
                <c:pt idx="76">
                  <c:v>170</c:v>
                </c:pt>
                <c:pt idx="77">
                  <c:v>170</c:v>
                </c:pt>
                <c:pt idx="78">
                  <c:v>170</c:v>
                </c:pt>
                <c:pt idx="79">
                  <c:v>170</c:v>
                </c:pt>
                <c:pt idx="80">
                  <c:v>170</c:v>
                </c:pt>
              </c:numCache>
            </c:numRef>
          </c:val>
          <c:extLst>
            <c:ext xmlns:c16="http://schemas.microsoft.com/office/drawing/2014/chart" uri="{C3380CC4-5D6E-409C-BE32-E72D297353CC}">
              <c16:uniqueId val="{00000005-1068-4D8D-9264-A78536646FE9}"/>
            </c:ext>
          </c:extLst>
        </c:ser>
        <c:ser>
          <c:idx val="4"/>
          <c:order val="1"/>
          <c:tx>
            <c:strRef>
              <c:f>'Affordability Calculator'!$AU$3</c:f>
              <c:strCache>
                <c:ptCount val="1"/>
                <c:pt idx="0">
                  <c:v>75%</c:v>
                </c:pt>
              </c:strCache>
            </c:strRef>
          </c:tx>
          <c:spPr>
            <a:solidFill>
              <a:srgbClr val="70AD47"/>
            </a:solidFill>
            <a:ln w="12700">
              <a:solidFill>
                <a:sysClr val="windowText" lastClr="000000"/>
              </a:solidFill>
            </a:ln>
            <a:effectLst/>
          </c:spPr>
          <c:val>
            <c:numRef>
              <c:f>'Affordability Calculator'!$AU$4:$AU$84</c:f>
              <c:numCache>
                <c:formatCode>"$"#,##0</c:formatCode>
                <c:ptCount val="81"/>
                <c:pt idx="0">
                  <c:v>145</c:v>
                </c:pt>
                <c:pt idx="1">
                  <c:v>145</c:v>
                </c:pt>
                <c:pt idx="2">
                  <c:v>145</c:v>
                </c:pt>
                <c:pt idx="3">
                  <c:v>145</c:v>
                </c:pt>
                <c:pt idx="4">
                  <c:v>145</c:v>
                </c:pt>
                <c:pt idx="5">
                  <c:v>145</c:v>
                </c:pt>
                <c:pt idx="6">
                  <c:v>145</c:v>
                </c:pt>
                <c:pt idx="7">
                  <c:v>145</c:v>
                </c:pt>
                <c:pt idx="8">
                  <c:v>145</c:v>
                </c:pt>
                <c:pt idx="9">
                  <c:v>145</c:v>
                </c:pt>
                <c:pt idx="10">
                  <c:v>145</c:v>
                </c:pt>
                <c:pt idx="11">
                  <c:v>145</c:v>
                </c:pt>
                <c:pt idx="12">
                  <c:v>145</c:v>
                </c:pt>
                <c:pt idx="13">
                  <c:v>145</c:v>
                </c:pt>
                <c:pt idx="14">
                  <c:v>145</c:v>
                </c:pt>
                <c:pt idx="15">
                  <c:v>145</c:v>
                </c:pt>
                <c:pt idx="16">
                  <c:v>145</c:v>
                </c:pt>
                <c:pt idx="17">
                  <c:v>145</c:v>
                </c:pt>
                <c:pt idx="18">
                  <c:v>145</c:v>
                </c:pt>
                <c:pt idx="19">
                  <c:v>145</c:v>
                </c:pt>
                <c:pt idx="20">
                  <c:v>145</c:v>
                </c:pt>
                <c:pt idx="21">
                  <c:v>145</c:v>
                </c:pt>
                <c:pt idx="22">
                  <c:v>144</c:v>
                </c:pt>
                <c:pt idx="23">
                  <c:v>143</c:v>
                </c:pt>
                <c:pt idx="24">
                  <c:v>142</c:v>
                </c:pt>
                <c:pt idx="25">
                  <c:v>141</c:v>
                </c:pt>
                <c:pt idx="26">
                  <c:v>140</c:v>
                </c:pt>
                <c:pt idx="27">
                  <c:v>139</c:v>
                </c:pt>
                <c:pt idx="28">
                  <c:v>138</c:v>
                </c:pt>
                <c:pt idx="29">
                  <c:v>137</c:v>
                </c:pt>
                <c:pt idx="30">
                  <c:v>136</c:v>
                </c:pt>
                <c:pt idx="31">
                  <c:v>135</c:v>
                </c:pt>
                <c:pt idx="32">
                  <c:v>134</c:v>
                </c:pt>
                <c:pt idx="33">
                  <c:v>133</c:v>
                </c:pt>
                <c:pt idx="34">
                  <c:v>132</c:v>
                </c:pt>
                <c:pt idx="35">
                  <c:v>131</c:v>
                </c:pt>
                <c:pt idx="36">
                  <c:v>130</c:v>
                </c:pt>
                <c:pt idx="37">
                  <c:v>129</c:v>
                </c:pt>
                <c:pt idx="38">
                  <c:v>128</c:v>
                </c:pt>
                <c:pt idx="39">
                  <c:v>127</c:v>
                </c:pt>
                <c:pt idx="40">
                  <c:v>126</c:v>
                </c:pt>
                <c:pt idx="41">
                  <c:v>125</c:v>
                </c:pt>
                <c:pt idx="42">
                  <c:v>124</c:v>
                </c:pt>
                <c:pt idx="43">
                  <c:v>123</c:v>
                </c:pt>
                <c:pt idx="44">
                  <c:v>122</c:v>
                </c:pt>
                <c:pt idx="45">
                  <c:v>121</c:v>
                </c:pt>
                <c:pt idx="46">
                  <c:v>120</c:v>
                </c:pt>
                <c:pt idx="47">
                  <c:v>119</c:v>
                </c:pt>
                <c:pt idx="48">
                  <c:v>118</c:v>
                </c:pt>
                <c:pt idx="49">
                  <c:v>117</c:v>
                </c:pt>
                <c:pt idx="50">
                  <c:v>116</c:v>
                </c:pt>
                <c:pt idx="51">
                  <c:v>115</c:v>
                </c:pt>
                <c:pt idx="52">
                  <c:v>114</c:v>
                </c:pt>
                <c:pt idx="53">
                  <c:v>113</c:v>
                </c:pt>
                <c:pt idx="54">
                  <c:v>112</c:v>
                </c:pt>
                <c:pt idx="55">
                  <c:v>111</c:v>
                </c:pt>
                <c:pt idx="56">
                  <c:v>110</c:v>
                </c:pt>
                <c:pt idx="57">
                  <c:v>109</c:v>
                </c:pt>
                <c:pt idx="58">
                  <c:v>108</c:v>
                </c:pt>
                <c:pt idx="59">
                  <c:v>107</c:v>
                </c:pt>
                <c:pt idx="60">
                  <c:v>106</c:v>
                </c:pt>
                <c:pt idx="61">
                  <c:v>105</c:v>
                </c:pt>
                <c:pt idx="62">
                  <c:v>104</c:v>
                </c:pt>
                <c:pt idx="63">
                  <c:v>103</c:v>
                </c:pt>
                <c:pt idx="64">
                  <c:v>102</c:v>
                </c:pt>
                <c:pt idx="65">
                  <c:v>101</c:v>
                </c:pt>
                <c:pt idx="66">
                  <c:v>100</c:v>
                </c:pt>
                <c:pt idx="67">
                  <c:v>99</c:v>
                </c:pt>
                <c:pt idx="68">
                  <c:v>98</c:v>
                </c:pt>
                <c:pt idx="69">
                  <c:v>97</c:v>
                </c:pt>
                <c:pt idx="70">
                  <c:v>96</c:v>
                </c:pt>
                <c:pt idx="71">
                  <c:v>95</c:v>
                </c:pt>
                <c:pt idx="72">
                  <c:v>94</c:v>
                </c:pt>
                <c:pt idx="73">
                  <c:v>93</c:v>
                </c:pt>
                <c:pt idx="74">
                  <c:v>92</c:v>
                </c:pt>
                <c:pt idx="75">
                  <c:v>91</c:v>
                </c:pt>
                <c:pt idx="76">
                  <c:v>90</c:v>
                </c:pt>
                <c:pt idx="77">
                  <c:v>89</c:v>
                </c:pt>
                <c:pt idx="78">
                  <c:v>88</c:v>
                </c:pt>
                <c:pt idx="79">
                  <c:v>87</c:v>
                </c:pt>
                <c:pt idx="80">
                  <c:v>86</c:v>
                </c:pt>
              </c:numCache>
            </c:numRef>
          </c:val>
          <c:extLst>
            <c:ext xmlns:c16="http://schemas.microsoft.com/office/drawing/2014/chart" uri="{C3380CC4-5D6E-409C-BE32-E72D297353CC}">
              <c16:uniqueId val="{00000004-1068-4D8D-9264-A78536646FE9}"/>
            </c:ext>
          </c:extLst>
        </c:ser>
        <c:ser>
          <c:idx val="3"/>
          <c:order val="2"/>
          <c:tx>
            <c:strRef>
              <c:f>'Affordability Calculator'!$AT$3</c:f>
              <c:strCache>
                <c:ptCount val="1"/>
                <c:pt idx="0">
                  <c:v>50%</c:v>
                </c:pt>
              </c:strCache>
            </c:strRef>
          </c:tx>
          <c:spPr>
            <a:solidFill>
              <a:srgbClr val="FFC000"/>
            </a:solidFill>
            <a:ln w="12700">
              <a:solidFill>
                <a:sysClr val="windowText" lastClr="000000"/>
              </a:solidFill>
            </a:ln>
            <a:effectLst/>
          </c:spPr>
          <c:val>
            <c:numRef>
              <c:f>'Affordability Calculator'!$AT$4:$AT$84</c:f>
              <c:numCache>
                <c:formatCode>"$"#,##0</c:formatCode>
                <c:ptCount val="81"/>
                <c:pt idx="0">
                  <c:v>126</c:v>
                </c:pt>
                <c:pt idx="1">
                  <c:v>126</c:v>
                </c:pt>
                <c:pt idx="2">
                  <c:v>126</c:v>
                </c:pt>
                <c:pt idx="3">
                  <c:v>126</c:v>
                </c:pt>
                <c:pt idx="4">
                  <c:v>126</c:v>
                </c:pt>
                <c:pt idx="5">
                  <c:v>126</c:v>
                </c:pt>
                <c:pt idx="6">
                  <c:v>126</c:v>
                </c:pt>
                <c:pt idx="7">
                  <c:v>126</c:v>
                </c:pt>
                <c:pt idx="8">
                  <c:v>126</c:v>
                </c:pt>
                <c:pt idx="9">
                  <c:v>126</c:v>
                </c:pt>
                <c:pt idx="10">
                  <c:v>126</c:v>
                </c:pt>
                <c:pt idx="11">
                  <c:v>126</c:v>
                </c:pt>
                <c:pt idx="12">
                  <c:v>126</c:v>
                </c:pt>
                <c:pt idx="13">
                  <c:v>126</c:v>
                </c:pt>
                <c:pt idx="14">
                  <c:v>126</c:v>
                </c:pt>
                <c:pt idx="15">
                  <c:v>126</c:v>
                </c:pt>
                <c:pt idx="16">
                  <c:v>126</c:v>
                </c:pt>
                <c:pt idx="17">
                  <c:v>126</c:v>
                </c:pt>
                <c:pt idx="18">
                  <c:v>126</c:v>
                </c:pt>
                <c:pt idx="19">
                  <c:v>126</c:v>
                </c:pt>
                <c:pt idx="20">
                  <c:v>125</c:v>
                </c:pt>
                <c:pt idx="21">
                  <c:v>124</c:v>
                </c:pt>
                <c:pt idx="22">
                  <c:v>123</c:v>
                </c:pt>
                <c:pt idx="23">
                  <c:v>122</c:v>
                </c:pt>
                <c:pt idx="24">
                  <c:v>121</c:v>
                </c:pt>
                <c:pt idx="25">
                  <c:v>120</c:v>
                </c:pt>
                <c:pt idx="26">
                  <c:v>119</c:v>
                </c:pt>
                <c:pt idx="27">
                  <c:v>118</c:v>
                </c:pt>
                <c:pt idx="28">
                  <c:v>117</c:v>
                </c:pt>
                <c:pt idx="29">
                  <c:v>116</c:v>
                </c:pt>
                <c:pt idx="30">
                  <c:v>115</c:v>
                </c:pt>
                <c:pt idx="31">
                  <c:v>114</c:v>
                </c:pt>
                <c:pt idx="32">
                  <c:v>113</c:v>
                </c:pt>
                <c:pt idx="33">
                  <c:v>112</c:v>
                </c:pt>
                <c:pt idx="34">
                  <c:v>111</c:v>
                </c:pt>
                <c:pt idx="35">
                  <c:v>110</c:v>
                </c:pt>
                <c:pt idx="36">
                  <c:v>109</c:v>
                </c:pt>
                <c:pt idx="37">
                  <c:v>108</c:v>
                </c:pt>
                <c:pt idx="38">
                  <c:v>107</c:v>
                </c:pt>
                <c:pt idx="39">
                  <c:v>106</c:v>
                </c:pt>
                <c:pt idx="40">
                  <c:v>105</c:v>
                </c:pt>
                <c:pt idx="41">
                  <c:v>104</c:v>
                </c:pt>
                <c:pt idx="42">
                  <c:v>103</c:v>
                </c:pt>
                <c:pt idx="43">
                  <c:v>102</c:v>
                </c:pt>
                <c:pt idx="44">
                  <c:v>101</c:v>
                </c:pt>
                <c:pt idx="45">
                  <c:v>100</c:v>
                </c:pt>
                <c:pt idx="46">
                  <c:v>99</c:v>
                </c:pt>
                <c:pt idx="47">
                  <c:v>98</c:v>
                </c:pt>
                <c:pt idx="48">
                  <c:v>97</c:v>
                </c:pt>
                <c:pt idx="49">
                  <c:v>96</c:v>
                </c:pt>
                <c:pt idx="50">
                  <c:v>95</c:v>
                </c:pt>
                <c:pt idx="51">
                  <c:v>94</c:v>
                </c:pt>
                <c:pt idx="52">
                  <c:v>93</c:v>
                </c:pt>
                <c:pt idx="53">
                  <c:v>92</c:v>
                </c:pt>
                <c:pt idx="54">
                  <c:v>91</c:v>
                </c:pt>
                <c:pt idx="55">
                  <c:v>90</c:v>
                </c:pt>
                <c:pt idx="56">
                  <c:v>89</c:v>
                </c:pt>
                <c:pt idx="57">
                  <c:v>88</c:v>
                </c:pt>
                <c:pt idx="58">
                  <c:v>87</c:v>
                </c:pt>
                <c:pt idx="59">
                  <c:v>86</c:v>
                </c:pt>
                <c:pt idx="60">
                  <c:v>85</c:v>
                </c:pt>
                <c:pt idx="61">
                  <c:v>84</c:v>
                </c:pt>
                <c:pt idx="62">
                  <c:v>83</c:v>
                </c:pt>
                <c:pt idx="63">
                  <c:v>82</c:v>
                </c:pt>
                <c:pt idx="64">
                  <c:v>81</c:v>
                </c:pt>
                <c:pt idx="65">
                  <c:v>80</c:v>
                </c:pt>
                <c:pt idx="66">
                  <c:v>79</c:v>
                </c:pt>
                <c:pt idx="67">
                  <c:v>78</c:v>
                </c:pt>
                <c:pt idx="68">
                  <c:v>77</c:v>
                </c:pt>
                <c:pt idx="69">
                  <c:v>76</c:v>
                </c:pt>
                <c:pt idx="70">
                  <c:v>75</c:v>
                </c:pt>
                <c:pt idx="71">
                  <c:v>74</c:v>
                </c:pt>
                <c:pt idx="72">
                  <c:v>73</c:v>
                </c:pt>
                <c:pt idx="73">
                  <c:v>72</c:v>
                </c:pt>
                <c:pt idx="74">
                  <c:v>71</c:v>
                </c:pt>
                <c:pt idx="75">
                  <c:v>70</c:v>
                </c:pt>
                <c:pt idx="76">
                  <c:v>69</c:v>
                </c:pt>
                <c:pt idx="77">
                  <c:v>68</c:v>
                </c:pt>
                <c:pt idx="78">
                  <c:v>67</c:v>
                </c:pt>
                <c:pt idx="79">
                  <c:v>66</c:v>
                </c:pt>
                <c:pt idx="80">
                  <c:v>65</c:v>
                </c:pt>
              </c:numCache>
            </c:numRef>
          </c:val>
          <c:extLst>
            <c:ext xmlns:c16="http://schemas.microsoft.com/office/drawing/2014/chart" uri="{C3380CC4-5D6E-409C-BE32-E72D297353CC}">
              <c16:uniqueId val="{00000003-1068-4D8D-9264-A78536646FE9}"/>
            </c:ext>
          </c:extLst>
        </c:ser>
        <c:ser>
          <c:idx val="2"/>
          <c:order val="3"/>
          <c:tx>
            <c:strRef>
              <c:f>'Affordability Calculator'!$AS$3</c:f>
              <c:strCache>
                <c:ptCount val="1"/>
                <c:pt idx="0">
                  <c:v>25%</c:v>
                </c:pt>
              </c:strCache>
            </c:strRef>
          </c:tx>
          <c:spPr>
            <a:solidFill>
              <a:srgbClr val="FFC000">
                <a:lumMod val="60000"/>
                <a:lumOff val="40000"/>
              </a:srgbClr>
            </a:solidFill>
            <a:ln w="12700">
              <a:solidFill>
                <a:sysClr val="windowText" lastClr="000000"/>
              </a:solidFill>
            </a:ln>
            <a:effectLst/>
          </c:spPr>
          <c:val>
            <c:numRef>
              <c:f>'Affordability Calculator'!$AS$4:$AS$84</c:f>
              <c:numCache>
                <c:formatCode>"$"#,##0</c:formatCode>
                <c:ptCount val="81"/>
                <c:pt idx="0">
                  <c:v>107</c:v>
                </c:pt>
                <c:pt idx="1">
                  <c:v>107</c:v>
                </c:pt>
                <c:pt idx="2">
                  <c:v>107</c:v>
                </c:pt>
                <c:pt idx="3">
                  <c:v>107</c:v>
                </c:pt>
                <c:pt idx="4">
                  <c:v>107</c:v>
                </c:pt>
                <c:pt idx="5">
                  <c:v>107</c:v>
                </c:pt>
                <c:pt idx="6">
                  <c:v>107</c:v>
                </c:pt>
                <c:pt idx="7">
                  <c:v>107</c:v>
                </c:pt>
                <c:pt idx="8">
                  <c:v>107</c:v>
                </c:pt>
                <c:pt idx="9">
                  <c:v>107</c:v>
                </c:pt>
                <c:pt idx="10">
                  <c:v>107</c:v>
                </c:pt>
                <c:pt idx="11">
                  <c:v>107</c:v>
                </c:pt>
                <c:pt idx="12">
                  <c:v>107</c:v>
                </c:pt>
                <c:pt idx="13">
                  <c:v>107</c:v>
                </c:pt>
                <c:pt idx="14">
                  <c:v>107</c:v>
                </c:pt>
                <c:pt idx="15">
                  <c:v>107</c:v>
                </c:pt>
                <c:pt idx="16">
                  <c:v>107</c:v>
                </c:pt>
                <c:pt idx="17">
                  <c:v>107</c:v>
                </c:pt>
                <c:pt idx="18">
                  <c:v>107</c:v>
                </c:pt>
                <c:pt idx="19">
                  <c:v>107</c:v>
                </c:pt>
                <c:pt idx="20">
                  <c:v>106</c:v>
                </c:pt>
                <c:pt idx="21">
                  <c:v>105</c:v>
                </c:pt>
                <c:pt idx="22">
                  <c:v>104</c:v>
                </c:pt>
                <c:pt idx="23">
                  <c:v>103</c:v>
                </c:pt>
                <c:pt idx="24">
                  <c:v>102</c:v>
                </c:pt>
                <c:pt idx="25">
                  <c:v>101</c:v>
                </c:pt>
                <c:pt idx="26">
                  <c:v>100</c:v>
                </c:pt>
                <c:pt idx="27">
                  <c:v>99</c:v>
                </c:pt>
                <c:pt idx="28">
                  <c:v>98</c:v>
                </c:pt>
                <c:pt idx="29">
                  <c:v>97</c:v>
                </c:pt>
                <c:pt idx="30">
                  <c:v>96</c:v>
                </c:pt>
                <c:pt idx="31">
                  <c:v>95</c:v>
                </c:pt>
                <c:pt idx="32">
                  <c:v>94</c:v>
                </c:pt>
                <c:pt idx="33">
                  <c:v>93</c:v>
                </c:pt>
                <c:pt idx="34">
                  <c:v>92</c:v>
                </c:pt>
                <c:pt idx="35">
                  <c:v>91</c:v>
                </c:pt>
                <c:pt idx="36">
                  <c:v>90</c:v>
                </c:pt>
                <c:pt idx="37">
                  <c:v>89</c:v>
                </c:pt>
                <c:pt idx="38">
                  <c:v>88</c:v>
                </c:pt>
                <c:pt idx="39">
                  <c:v>87</c:v>
                </c:pt>
                <c:pt idx="40">
                  <c:v>86</c:v>
                </c:pt>
                <c:pt idx="41">
                  <c:v>85</c:v>
                </c:pt>
                <c:pt idx="42">
                  <c:v>84</c:v>
                </c:pt>
                <c:pt idx="43">
                  <c:v>83</c:v>
                </c:pt>
                <c:pt idx="44">
                  <c:v>82</c:v>
                </c:pt>
                <c:pt idx="45">
                  <c:v>81</c:v>
                </c:pt>
                <c:pt idx="46">
                  <c:v>80</c:v>
                </c:pt>
                <c:pt idx="47">
                  <c:v>79</c:v>
                </c:pt>
                <c:pt idx="48">
                  <c:v>78</c:v>
                </c:pt>
                <c:pt idx="49">
                  <c:v>77</c:v>
                </c:pt>
                <c:pt idx="50">
                  <c:v>76</c:v>
                </c:pt>
                <c:pt idx="51">
                  <c:v>75</c:v>
                </c:pt>
                <c:pt idx="52">
                  <c:v>74</c:v>
                </c:pt>
                <c:pt idx="53">
                  <c:v>73</c:v>
                </c:pt>
                <c:pt idx="54">
                  <c:v>72</c:v>
                </c:pt>
                <c:pt idx="55">
                  <c:v>71</c:v>
                </c:pt>
                <c:pt idx="56">
                  <c:v>70</c:v>
                </c:pt>
                <c:pt idx="57">
                  <c:v>69</c:v>
                </c:pt>
                <c:pt idx="58">
                  <c:v>68</c:v>
                </c:pt>
                <c:pt idx="59">
                  <c:v>67</c:v>
                </c:pt>
                <c:pt idx="60">
                  <c:v>66</c:v>
                </c:pt>
                <c:pt idx="61">
                  <c:v>65</c:v>
                </c:pt>
                <c:pt idx="62">
                  <c:v>64</c:v>
                </c:pt>
                <c:pt idx="63">
                  <c:v>63</c:v>
                </c:pt>
                <c:pt idx="64">
                  <c:v>62</c:v>
                </c:pt>
                <c:pt idx="65">
                  <c:v>61</c:v>
                </c:pt>
                <c:pt idx="66">
                  <c:v>60</c:v>
                </c:pt>
                <c:pt idx="67">
                  <c:v>59</c:v>
                </c:pt>
                <c:pt idx="68">
                  <c:v>58</c:v>
                </c:pt>
                <c:pt idx="69">
                  <c:v>57</c:v>
                </c:pt>
                <c:pt idx="70">
                  <c:v>56</c:v>
                </c:pt>
                <c:pt idx="71">
                  <c:v>55</c:v>
                </c:pt>
                <c:pt idx="72">
                  <c:v>54</c:v>
                </c:pt>
                <c:pt idx="73">
                  <c:v>53</c:v>
                </c:pt>
                <c:pt idx="74">
                  <c:v>52</c:v>
                </c:pt>
                <c:pt idx="75">
                  <c:v>51</c:v>
                </c:pt>
                <c:pt idx="76">
                  <c:v>50</c:v>
                </c:pt>
                <c:pt idx="77">
                  <c:v>49</c:v>
                </c:pt>
                <c:pt idx="78">
                  <c:v>48</c:v>
                </c:pt>
                <c:pt idx="79">
                  <c:v>47</c:v>
                </c:pt>
                <c:pt idx="80">
                  <c:v>46</c:v>
                </c:pt>
              </c:numCache>
            </c:numRef>
          </c:val>
          <c:extLst>
            <c:ext xmlns:c16="http://schemas.microsoft.com/office/drawing/2014/chart" uri="{C3380CC4-5D6E-409C-BE32-E72D297353CC}">
              <c16:uniqueId val="{00000002-1068-4D8D-9264-A78536646FE9}"/>
            </c:ext>
          </c:extLst>
        </c:ser>
        <c:ser>
          <c:idx val="1"/>
          <c:order val="4"/>
          <c:tx>
            <c:strRef>
              <c:f>'Affordability Calculator'!$AR$3</c:f>
              <c:strCache>
                <c:ptCount val="1"/>
                <c:pt idx="0">
                  <c:v>0%</c:v>
                </c:pt>
              </c:strCache>
            </c:strRef>
          </c:tx>
          <c:spPr>
            <a:solidFill>
              <a:schemeClr val="bg1"/>
            </a:solidFill>
            <a:ln w="12700">
              <a:solidFill>
                <a:sysClr val="windowText" lastClr="000000"/>
              </a:solidFill>
            </a:ln>
            <a:effectLst/>
          </c:spPr>
          <c:val>
            <c:numRef>
              <c:f>'Affordability Calculator'!$AR$4:$AR$84</c:f>
              <c:numCache>
                <c:formatCode>"$"#,##0</c:formatCode>
                <c:ptCount val="81"/>
                <c:pt idx="0">
                  <c:v>89</c:v>
                </c:pt>
                <c:pt idx="1">
                  <c:v>89</c:v>
                </c:pt>
                <c:pt idx="2">
                  <c:v>89</c:v>
                </c:pt>
                <c:pt idx="3">
                  <c:v>89</c:v>
                </c:pt>
                <c:pt idx="4">
                  <c:v>89</c:v>
                </c:pt>
                <c:pt idx="5">
                  <c:v>89</c:v>
                </c:pt>
                <c:pt idx="6">
                  <c:v>89</c:v>
                </c:pt>
                <c:pt idx="7">
                  <c:v>89</c:v>
                </c:pt>
                <c:pt idx="8">
                  <c:v>89</c:v>
                </c:pt>
                <c:pt idx="9">
                  <c:v>89</c:v>
                </c:pt>
                <c:pt idx="10">
                  <c:v>89</c:v>
                </c:pt>
                <c:pt idx="11">
                  <c:v>89</c:v>
                </c:pt>
                <c:pt idx="12">
                  <c:v>89</c:v>
                </c:pt>
                <c:pt idx="13">
                  <c:v>89</c:v>
                </c:pt>
                <c:pt idx="14">
                  <c:v>89</c:v>
                </c:pt>
                <c:pt idx="15">
                  <c:v>89</c:v>
                </c:pt>
                <c:pt idx="16">
                  <c:v>89</c:v>
                </c:pt>
                <c:pt idx="17">
                  <c:v>89</c:v>
                </c:pt>
                <c:pt idx="18">
                  <c:v>89</c:v>
                </c:pt>
                <c:pt idx="19">
                  <c:v>88</c:v>
                </c:pt>
                <c:pt idx="20">
                  <c:v>87</c:v>
                </c:pt>
                <c:pt idx="21">
                  <c:v>86</c:v>
                </c:pt>
                <c:pt idx="22">
                  <c:v>85</c:v>
                </c:pt>
                <c:pt idx="23">
                  <c:v>84</c:v>
                </c:pt>
                <c:pt idx="24">
                  <c:v>83</c:v>
                </c:pt>
                <c:pt idx="25">
                  <c:v>82</c:v>
                </c:pt>
                <c:pt idx="26">
                  <c:v>81</c:v>
                </c:pt>
                <c:pt idx="27">
                  <c:v>80</c:v>
                </c:pt>
                <c:pt idx="28">
                  <c:v>79</c:v>
                </c:pt>
                <c:pt idx="29">
                  <c:v>78</c:v>
                </c:pt>
                <c:pt idx="30">
                  <c:v>77</c:v>
                </c:pt>
                <c:pt idx="31">
                  <c:v>76</c:v>
                </c:pt>
                <c:pt idx="32">
                  <c:v>75</c:v>
                </c:pt>
                <c:pt idx="33">
                  <c:v>74</c:v>
                </c:pt>
                <c:pt idx="34">
                  <c:v>73</c:v>
                </c:pt>
                <c:pt idx="35">
                  <c:v>72</c:v>
                </c:pt>
                <c:pt idx="36">
                  <c:v>71</c:v>
                </c:pt>
                <c:pt idx="37">
                  <c:v>70</c:v>
                </c:pt>
                <c:pt idx="38">
                  <c:v>69</c:v>
                </c:pt>
                <c:pt idx="39">
                  <c:v>68</c:v>
                </c:pt>
                <c:pt idx="40">
                  <c:v>67</c:v>
                </c:pt>
                <c:pt idx="41">
                  <c:v>66</c:v>
                </c:pt>
                <c:pt idx="42">
                  <c:v>65</c:v>
                </c:pt>
                <c:pt idx="43">
                  <c:v>64</c:v>
                </c:pt>
                <c:pt idx="44">
                  <c:v>63</c:v>
                </c:pt>
                <c:pt idx="45">
                  <c:v>62</c:v>
                </c:pt>
                <c:pt idx="46">
                  <c:v>61</c:v>
                </c:pt>
                <c:pt idx="47">
                  <c:v>60</c:v>
                </c:pt>
                <c:pt idx="48">
                  <c:v>59</c:v>
                </c:pt>
                <c:pt idx="49">
                  <c:v>58</c:v>
                </c:pt>
                <c:pt idx="50">
                  <c:v>57</c:v>
                </c:pt>
                <c:pt idx="51">
                  <c:v>56</c:v>
                </c:pt>
                <c:pt idx="52">
                  <c:v>55</c:v>
                </c:pt>
                <c:pt idx="53">
                  <c:v>54</c:v>
                </c:pt>
                <c:pt idx="54">
                  <c:v>53</c:v>
                </c:pt>
                <c:pt idx="55">
                  <c:v>52</c:v>
                </c:pt>
                <c:pt idx="56">
                  <c:v>51</c:v>
                </c:pt>
                <c:pt idx="57">
                  <c:v>50</c:v>
                </c:pt>
                <c:pt idx="58">
                  <c:v>49</c:v>
                </c:pt>
                <c:pt idx="59">
                  <c:v>48</c:v>
                </c:pt>
                <c:pt idx="60">
                  <c:v>47</c:v>
                </c:pt>
                <c:pt idx="61">
                  <c:v>46</c:v>
                </c:pt>
                <c:pt idx="62">
                  <c:v>45</c:v>
                </c:pt>
                <c:pt idx="63">
                  <c:v>44</c:v>
                </c:pt>
                <c:pt idx="64">
                  <c:v>43</c:v>
                </c:pt>
                <c:pt idx="65">
                  <c:v>42</c:v>
                </c:pt>
                <c:pt idx="66">
                  <c:v>41</c:v>
                </c:pt>
                <c:pt idx="67">
                  <c:v>40</c:v>
                </c:pt>
                <c:pt idx="68">
                  <c:v>39</c:v>
                </c:pt>
                <c:pt idx="69">
                  <c:v>38</c:v>
                </c:pt>
                <c:pt idx="70">
                  <c:v>37</c:v>
                </c:pt>
                <c:pt idx="71">
                  <c:v>36</c:v>
                </c:pt>
                <c:pt idx="72">
                  <c:v>35</c:v>
                </c:pt>
                <c:pt idx="73">
                  <c:v>34</c:v>
                </c:pt>
                <c:pt idx="74">
                  <c:v>33</c:v>
                </c:pt>
                <c:pt idx="75">
                  <c:v>32</c:v>
                </c:pt>
                <c:pt idx="76">
                  <c:v>31</c:v>
                </c:pt>
                <c:pt idx="77">
                  <c:v>30</c:v>
                </c:pt>
                <c:pt idx="78">
                  <c:v>29</c:v>
                </c:pt>
                <c:pt idx="79">
                  <c:v>28</c:v>
                </c:pt>
                <c:pt idx="80">
                  <c:v>27</c:v>
                </c:pt>
              </c:numCache>
            </c:numRef>
          </c:val>
          <c:extLst>
            <c:ext xmlns:c16="http://schemas.microsoft.com/office/drawing/2014/chart" uri="{C3380CC4-5D6E-409C-BE32-E72D297353CC}">
              <c16:uniqueId val="{00000001-1068-4D8D-9264-A78536646FE9}"/>
            </c:ext>
          </c:extLst>
        </c:ser>
        <c:dLbls>
          <c:showLegendKey val="0"/>
          <c:showVal val="0"/>
          <c:showCatName val="0"/>
          <c:showSerName val="0"/>
          <c:showPercent val="0"/>
          <c:showBubbleSize val="0"/>
        </c:dLbls>
        <c:axId val="1094025423"/>
        <c:axId val="1094024463"/>
      </c:areaChart>
      <c:catAx>
        <c:axId val="1094025423"/>
        <c:scaling>
          <c:orientation val="minMax"/>
        </c:scaling>
        <c:delete val="1"/>
        <c:axPos val="b"/>
        <c:majorTickMark val="out"/>
        <c:minorTickMark val="none"/>
        <c:tickLblPos val="nextTo"/>
        <c:crossAx val="1094024463"/>
        <c:crosses val="autoZero"/>
        <c:auto val="1"/>
        <c:lblAlgn val="ctr"/>
        <c:lblOffset val="100"/>
        <c:noMultiLvlLbl val="0"/>
      </c:catAx>
      <c:valAx>
        <c:axId val="1094024463"/>
        <c:scaling>
          <c:orientation val="minMax"/>
          <c:max val="170"/>
          <c:min val="20"/>
        </c:scaling>
        <c:delete val="1"/>
        <c:axPos val="l"/>
        <c:numFmt formatCode="&quot;$&quot;#,##0" sourceLinked="1"/>
        <c:majorTickMark val="out"/>
        <c:minorTickMark val="none"/>
        <c:tickLblPos val="nextTo"/>
        <c:crossAx val="1094025423"/>
        <c:crosses val="autoZero"/>
        <c:crossBetween val="midCat"/>
        <c:majorUnit val="20"/>
      </c:valAx>
      <c:spPr>
        <a:noFill/>
        <a:ln>
          <a:noFill/>
        </a:ln>
        <a:effectLst/>
      </c:spPr>
    </c:plotArea>
    <c:plotVisOnly val="0"/>
    <c:dispBlanksAs val="gap"/>
    <c:showDLblsOverMax val="0"/>
    <c:extLst/>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200" b="1">
                <a:solidFill>
                  <a:sysClr val="windowText" lastClr="000000"/>
                </a:solidFill>
              </a:rPr>
              <a:t>Chart</a:t>
            </a:r>
            <a:r>
              <a:rPr lang="en-US" sz="1200" b="1" baseline="0">
                <a:solidFill>
                  <a:sysClr val="windowText" lastClr="000000"/>
                </a:solidFill>
              </a:rPr>
              <a:t> </a:t>
            </a:r>
            <a:r>
              <a:rPr lang="en-US" sz="1200" b="1">
                <a:solidFill>
                  <a:sysClr val="windowText" lastClr="000000"/>
                </a:solidFill>
              </a:rPr>
              <a:t>for SRF Principal Forgiveness/SRP Grant Eligibility Determination</a:t>
            </a:r>
            <a:r>
              <a:rPr lang="en-US" sz="1200" b="1" baseline="30000">
                <a:solidFill>
                  <a:sysClr val="windowText" lastClr="000000"/>
                </a:solidFill>
              </a:rPr>
              <a:t>+</a:t>
            </a:r>
            <a:r>
              <a:rPr lang="en-US" sz="1200" b="1">
                <a:solidFill>
                  <a:sysClr val="windowText" lastClr="000000"/>
                </a:solidFill>
              </a:rPr>
              <a:t>   </a:t>
            </a:r>
          </a:p>
        </c:rich>
      </c:tx>
      <c:layout>
        <c:manualLayout>
          <c:xMode val="edge"/>
          <c:yMode val="edge"/>
          <c:x val="0.12807306638378035"/>
          <c:y val="2.1242462514925481E-2"/>
        </c:manualLayout>
      </c:layout>
      <c:overlay val="0"/>
      <c:spPr>
        <a:noFill/>
        <a:ln>
          <a:noFill/>
        </a:ln>
        <a:effectLst/>
      </c:spPr>
    </c:title>
    <c:autoTitleDeleted val="0"/>
    <c:plotArea>
      <c:layout>
        <c:manualLayout>
          <c:layoutTarget val="inner"/>
          <c:xMode val="edge"/>
          <c:yMode val="edge"/>
          <c:x val="0.106425973818119"/>
          <c:y val="0.10522656152916322"/>
          <c:w val="0.85485597552022075"/>
          <c:h val="0.72875098668848193"/>
        </c:manualLayout>
      </c:layout>
      <c:scatterChart>
        <c:scatterStyle val="lineMarker"/>
        <c:varyColors val="0"/>
        <c:ser>
          <c:idx val="11"/>
          <c:order val="0"/>
          <c:tx>
            <c:v>Applicant</c:v>
          </c:tx>
          <c:spPr>
            <a:ln w="19050">
              <a:noFill/>
            </a:ln>
          </c:spPr>
          <c:marker>
            <c:symbol val="diamond"/>
            <c:size val="10"/>
            <c:spPr>
              <a:solidFill>
                <a:srgbClr val="FF0000"/>
              </a:solidFill>
              <a:ln>
                <a:solidFill>
                  <a:srgbClr val="FF0000"/>
                </a:solidFill>
              </a:ln>
            </c:spPr>
          </c:marker>
          <c:xVal>
            <c:numRef>
              <c:f>'Affordability Calculator'!$AD$13</c:f>
              <c:numCache>
                <c:formatCode>"$"#,##0.00</c:formatCode>
                <c:ptCount val="1"/>
                <c:pt idx="0">
                  <c:v>#N/A</c:v>
                </c:pt>
              </c:numCache>
            </c:numRef>
          </c:xVal>
          <c:yVal>
            <c:numRef>
              <c:f>'Affordability Calculator'!$AB$11</c:f>
              <c:numCache>
                <c:formatCode>"$"#,##0.00</c:formatCode>
                <c:ptCount val="1"/>
                <c:pt idx="0">
                  <c:v>#N/A</c:v>
                </c:pt>
              </c:numCache>
            </c:numRef>
          </c:yVal>
          <c:smooth val="0"/>
          <c:extLst>
            <c:ext xmlns:c16="http://schemas.microsoft.com/office/drawing/2014/chart" uri="{C3380CC4-5D6E-409C-BE32-E72D297353CC}">
              <c16:uniqueId val="{00000000-CE45-4A4C-BD12-E1CBE7DCE4CD}"/>
            </c:ext>
          </c:extLst>
        </c:ser>
        <c:ser>
          <c:idx val="0"/>
          <c:order val="1"/>
          <c:tx>
            <c:v>Representative LGU Data</c:v>
          </c:tx>
          <c:spPr>
            <a:ln w="19050">
              <a:noFill/>
            </a:ln>
          </c:spPr>
          <c:marker>
            <c:symbol val="diamond"/>
            <c:size val="3"/>
            <c:spPr>
              <a:ln>
                <a:solidFill>
                  <a:schemeClr val="tx1">
                    <a:lumMod val="50000"/>
                    <a:lumOff val="50000"/>
                  </a:schemeClr>
                </a:solidFill>
              </a:ln>
            </c:spPr>
          </c:marker>
          <c:xVal>
            <c:numRef>
              <c:f>[0]!AC_Chart_X</c:f>
              <c:numCache>
                <c:formatCode>General</c:formatCode>
                <c:ptCount val="1"/>
                <c:pt idx="0">
                  <c:v>0</c:v>
                </c:pt>
              </c:numCache>
            </c:numRef>
          </c:xVal>
          <c:yVal>
            <c:numRef>
              <c:f>[0]!AC_Chart_Y</c:f>
              <c:numCache>
                <c:formatCode>General</c:formatCode>
                <c:ptCount val="1"/>
                <c:pt idx="0">
                  <c:v>0</c:v>
                </c:pt>
              </c:numCache>
            </c:numRef>
          </c:yVal>
          <c:smooth val="0"/>
          <c:extLst>
            <c:ext xmlns:c16="http://schemas.microsoft.com/office/drawing/2014/chart" uri="{C3380CC4-5D6E-409C-BE32-E72D297353CC}">
              <c16:uniqueId val="{00000001-CE45-4A4C-BD12-E1CBE7DCE4CD}"/>
            </c:ext>
          </c:extLst>
        </c:ser>
        <c:dLbls>
          <c:showLegendKey val="0"/>
          <c:showVal val="0"/>
          <c:showCatName val="0"/>
          <c:showSerName val="0"/>
          <c:showPercent val="0"/>
          <c:showBubbleSize val="0"/>
        </c:dLbls>
        <c:axId val="158793728"/>
        <c:axId val="158795264"/>
      </c:scatterChart>
      <c:valAx>
        <c:axId val="158793728"/>
        <c:scaling>
          <c:orientation val="minMax"/>
          <c:max val="80"/>
          <c:min val="0"/>
        </c:scaling>
        <c:delete val="0"/>
        <c:axPos val="b"/>
        <c:title>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Project Cost per Connection per Month</a:t>
                </a:r>
              </a:p>
            </c:rich>
          </c:tx>
          <c:layout>
            <c:manualLayout>
              <c:xMode val="edge"/>
              <c:yMode val="edge"/>
              <c:x val="0.31118819904604905"/>
              <c:y val="0.9230983940524381"/>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5264"/>
        <c:crosses val="autoZero"/>
        <c:crossBetween val="midCat"/>
        <c:majorUnit val="10"/>
      </c:valAx>
      <c:valAx>
        <c:axId val="158795264"/>
        <c:scaling>
          <c:orientation val="minMax"/>
          <c:max val="170"/>
          <c:min val="20"/>
        </c:scaling>
        <c:delete val="0"/>
        <c:axPos val="l"/>
        <c:minorGridlines>
          <c:spPr>
            <a:ln w="9525" cap="flat" cmpd="sng" algn="ctr">
              <a:noFill/>
              <a:round/>
            </a:ln>
            <a:effectLst/>
          </c:spPr>
        </c:minorGridlines>
        <c:title>
          <c:tx>
            <c:rich>
              <a:bodyPr rot="-540000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US" sz="1100" b="1" i="0" baseline="0">
                    <a:solidFill>
                      <a:sysClr val="windowText" lastClr="000000"/>
                    </a:solidFill>
                  </a:rPr>
                  <a:t>"Effective" Combined Utility Bill per 5,000 gallons</a:t>
                </a:r>
              </a:p>
            </c:rich>
          </c:tx>
          <c:layout>
            <c:manualLayout>
              <c:xMode val="edge"/>
              <c:yMode val="edge"/>
              <c:x val="7.6992849777386407E-3"/>
              <c:y val="8.7249252586184073E-2"/>
            </c:manualLayout>
          </c:layout>
          <c:overlay val="0"/>
          <c:spPr>
            <a:noFill/>
            <a:ln>
              <a:noFill/>
            </a:ln>
            <a:effectLst/>
          </c:spPr>
        </c:title>
        <c:numFmt formatCode="&quot;$&quot;#,##0" sourceLinked="0"/>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50" b="1" i="0" u="none" strike="noStrike" kern="1200" baseline="0">
                <a:solidFill>
                  <a:sysClr val="windowText" lastClr="000000"/>
                </a:solidFill>
                <a:latin typeface="+mn-lt"/>
                <a:ea typeface="+mn-ea"/>
                <a:cs typeface="+mn-cs"/>
              </a:defRPr>
            </a:pPr>
            <a:endParaRPr lang="en-US"/>
          </a:p>
        </c:txPr>
        <c:crossAx val="158793728"/>
        <c:crosses val="autoZero"/>
        <c:crossBetween val="midCat"/>
        <c:majorUnit val="20"/>
        <c:minorUnit val="5"/>
      </c:valAx>
      <c:spPr>
        <a:noFill/>
        <a:ln w="12700">
          <a:solidFill>
            <a:schemeClr val="tx1">
              <a:lumMod val="65000"/>
              <a:lumOff val="35000"/>
            </a:schemeClr>
          </a:solidFill>
        </a:ln>
        <a:effectLst>
          <a:outerShdw blurRad="50800" dist="50800" dir="5400000" algn="ctr" rotWithShape="0">
            <a:srgbClr val="000000">
              <a:alpha val="0"/>
            </a:srgbClr>
          </a:outerShdw>
        </a:effectLst>
      </c:spPr>
    </c:plotArea>
    <c:legend>
      <c:legendPos val="t"/>
      <c:layout>
        <c:manualLayout>
          <c:xMode val="edge"/>
          <c:yMode val="edge"/>
          <c:x val="0.69758588613338235"/>
          <c:y val="0.11555183131224897"/>
          <c:w val="0.25490309257296978"/>
          <c:h val="9.9231462794481445E-2"/>
        </c:manualLayout>
      </c:layout>
      <c:overlay val="0"/>
      <c:spPr>
        <a:solidFill>
          <a:schemeClr val="bg1"/>
        </a:solidFill>
        <a:ln>
          <a:solidFill>
            <a:schemeClr val="tx1"/>
          </a:solidFill>
        </a:ln>
      </c:spPr>
    </c:legend>
    <c:plotVisOnly val="0"/>
    <c:dispBlanksAs val="gap"/>
    <c:showDLblsOverMax val="0"/>
  </c:chart>
  <c:spPr>
    <a:noFill/>
    <a:ln w="12700" cap="flat" cmpd="sng" algn="ctr">
      <a:solidFill>
        <a:schemeClr val="tx1"/>
      </a:solidFill>
      <a:round/>
    </a:ln>
    <a:effectLst>
      <a:outerShdw blurRad="50800" dist="50800" dir="5400000" algn="ctr" rotWithShape="0">
        <a:srgbClr val="000000">
          <a:alpha val="0"/>
        </a:srgbClr>
      </a:outerShdw>
    </a:effectLst>
  </c:spPr>
  <c:txPr>
    <a:bodyPr/>
    <a:lstStyle/>
    <a:p>
      <a:pPr>
        <a:defRPr/>
      </a:pPr>
      <a:endParaRPr lang="en-US"/>
    </a:p>
  </c:txPr>
  <c:printSettings>
    <c:headerFooter/>
    <c:pageMargins b="0.75000000000000111" l="0.70000000000000062" r="0.70000000000000062" t="0.75000000000000111" header="0.30000000000000032" footer="0.3000000000000003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AA$27"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526516</xdr:colOff>
      <xdr:row>60</xdr:row>
      <xdr:rowOff>15756</xdr:rowOff>
    </xdr:from>
    <xdr:to>
      <xdr:col>7</xdr:col>
      <xdr:colOff>337131</xdr:colOff>
      <xdr:row>75</xdr:row>
      <xdr:rowOff>99188</xdr:rowOff>
    </xdr:to>
    <xdr:graphicFrame macro="">
      <xdr:nvGraphicFramePr>
        <xdr:cNvPr id="2" name="Background">
          <a:extLst>
            <a:ext uri="{FF2B5EF4-FFF2-40B4-BE49-F238E27FC236}">
              <a16:creationId xmlns:a16="http://schemas.microsoft.com/office/drawing/2014/main" id="{2EC97053-4347-48E3-88AB-641BBC25498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16571</xdr:colOff>
      <xdr:row>58</xdr:row>
      <xdr:rowOff>132522</xdr:rowOff>
    </xdr:from>
    <xdr:to>
      <xdr:col>7</xdr:col>
      <xdr:colOff>442297</xdr:colOff>
      <xdr:row>78</xdr:row>
      <xdr:rowOff>6214</xdr:rowOff>
    </xdr:to>
    <xdr:graphicFrame macro="">
      <xdr:nvGraphicFramePr>
        <xdr:cNvPr id="5" name="Main Chart">
          <a:extLst>
            <a:ext uri="{FF2B5EF4-FFF2-40B4-BE49-F238E27FC236}">
              <a16:creationId xmlns:a16="http://schemas.microsoft.com/office/drawing/2014/main" id="{1C2B6929-4A3C-1DA6-91CF-1B6960573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150284</xdr:colOff>
      <xdr:row>72</xdr:row>
      <xdr:rowOff>174000</xdr:rowOff>
    </xdr:from>
    <xdr:to>
      <xdr:col>7</xdr:col>
      <xdr:colOff>21922</xdr:colOff>
      <xdr:row>74</xdr:row>
      <xdr:rowOff>10695</xdr:rowOff>
    </xdr:to>
    <xdr:sp macro="" textlink="">
      <xdr:nvSpPr>
        <xdr:cNvPr id="6" name="0% Text">
          <a:extLst>
            <a:ext uri="{FF2B5EF4-FFF2-40B4-BE49-F238E27FC236}">
              <a16:creationId xmlns:a16="http://schemas.microsoft.com/office/drawing/2014/main" id="{A27F438C-8F3D-4A11-ABB4-DA868758B5DE}"/>
            </a:ext>
          </a:extLst>
        </xdr:cNvPr>
        <xdr:cNvSpPr txBox="1"/>
      </xdr:nvSpPr>
      <xdr:spPr>
        <a:xfrm rot="931554">
          <a:off x="7713134" y="15642600"/>
          <a:ext cx="1462313" cy="217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0%</a:t>
          </a:r>
          <a:r>
            <a:rPr lang="en-US" sz="1400" baseline="0"/>
            <a:t> Grant Eligible</a:t>
          </a:r>
          <a:endParaRPr lang="en-US" sz="1400"/>
        </a:p>
      </xdr:txBody>
    </xdr:sp>
    <xdr:clientData/>
  </xdr:twoCellAnchor>
  <xdr:twoCellAnchor>
    <xdr:from>
      <xdr:col>5</xdr:col>
      <xdr:colOff>300073</xdr:colOff>
      <xdr:row>71</xdr:row>
      <xdr:rowOff>147678</xdr:rowOff>
    </xdr:from>
    <xdr:to>
      <xdr:col>7</xdr:col>
      <xdr:colOff>304126</xdr:colOff>
      <xdr:row>73</xdr:row>
      <xdr:rowOff>43233</xdr:rowOff>
    </xdr:to>
    <xdr:sp macro="" textlink="">
      <xdr:nvSpPr>
        <xdr:cNvPr id="7" name="25% Text">
          <a:extLst>
            <a:ext uri="{FF2B5EF4-FFF2-40B4-BE49-F238E27FC236}">
              <a16:creationId xmlns:a16="http://schemas.microsoft.com/office/drawing/2014/main" id="{8021D699-AE6E-470D-892C-E1590A6675CD}"/>
            </a:ext>
          </a:extLst>
        </xdr:cNvPr>
        <xdr:cNvSpPr txBox="1"/>
      </xdr:nvSpPr>
      <xdr:spPr>
        <a:xfrm rot="957625">
          <a:off x="7862923" y="15425778"/>
          <a:ext cx="1594728" cy="276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25%</a:t>
          </a:r>
          <a:r>
            <a:rPr lang="en-US" sz="1400" baseline="0"/>
            <a:t> Grant Eligible</a:t>
          </a:r>
          <a:endParaRPr lang="en-US" sz="1400"/>
        </a:p>
      </xdr:txBody>
    </xdr:sp>
    <xdr:clientData/>
  </xdr:twoCellAnchor>
  <xdr:twoCellAnchor>
    <xdr:from>
      <xdr:col>5</xdr:col>
      <xdr:colOff>306800</xdr:colOff>
      <xdr:row>68</xdr:row>
      <xdr:rowOff>36723</xdr:rowOff>
    </xdr:from>
    <xdr:to>
      <xdr:col>7</xdr:col>
      <xdr:colOff>235282</xdr:colOff>
      <xdr:row>69</xdr:row>
      <xdr:rowOff>130589</xdr:rowOff>
    </xdr:to>
    <xdr:sp macro="" textlink="">
      <xdr:nvSpPr>
        <xdr:cNvPr id="8" name="75% Text">
          <a:extLst>
            <a:ext uri="{FF2B5EF4-FFF2-40B4-BE49-F238E27FC236}">
              <a16:creationId xmlns:a16="http://schemas.microsoft.com/office/drawing/2014/main" id="{3B82EF0D-A573-4C07-BFDB-41AB2D706C49}"/>
            </a:ext>
          </a:extLst>
        </xdr:cNvPr>
        <xdr:cNvSpPr txBox="1"/>
      </xdr:nvSpPr>
      <xdr:spPr>
        <a:xfrm rot="922004">
          <a:off x="7869650" y="14724273"/>
          <a:ext cx="1519157" cy="293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75%</a:t>
          </a:r>
          <a:r>
            <a:rPr lang="en-US" sz="1400" baseline="0"/>
            <a:t> Grant Eligible</a:t>
          </a:r>
          <a:endParaRPr lang="en-US" sz="1400"/>
        </a:p>
      </xdr:txBody>
    </xdr:sp>
    <xdr:clientData/>
  </xdr:twoCellAnchor>
  <xdr:twoCellAnchor>
    <xdr:from>
      <xdr:col>5</xdr:col>
      <xdr:colOff>224785</xdr:colOff>
      <xdr:row>66</xdr:row>
      <xdr:rowOff>81104</xdr:rowOff>
    </xdr:from>
    <xdr:to>
      <xdr:col>7</xdr:col>
      <xdr:colOff>350285</xdr:colOff>
      <xdr:row>67</xdr:row>
      <xdr:rowOff>133208</xdr:rowOff>
    </xdr:to>
    <xdr:sp macro="" textlink="">
      <xdr:nvSpPr>
        <xdr:cNvPr id="9" name="100% Text">
          <a:extLst>
            <a:ext uri="{FF2B5EF4-FFF2-40B4-BE49-F238E27FC236}">
              <a16:creationId xmlns:a16="http://schemas.microsoft.com/office/drawing/2014/main" id="{B4C9C4DB-3078-4F90-937E-D2A983E8F32A}"/>
            </a:ext>
          </a:extLst>
        </xdr:cNvPr>
        <xdr:cNvSpPr txBox="1"/>
      </xdr:nvSpPr>
      <xdr:spPr>
        <a:xfrm rot="976013">
          <a:off x="7787635" y="14359079"/>
          <a:ext cx="1716175" cy="242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100%</a:t>
          </a:r>
          <a:r>
            <a:rPr lang="en-US" sz="1400" baseline="0"/>
            <a:t> Grant Eligible</a:t>
          </a:r>
          <a:endParaRPr lang="en-US" sz="1400"/>
        </a:p>
      </xdr:txBody>
    </xdr:sp>
    <xdr:clientData/>
  </xdr:twoCellAnchor>
  <xdr:twoCellAnchor>
    <xdr:from>
      <xdr:col>5</xdr:col>
      <xdr:colOff>237912</xdr:colOff>
      <xdr:row>70</xdr:row>
      <xdr:rowOff>24253</xdr:rowOff>
    </xdr:from>
    <xdr:to>
      <xdr:col>7</xdr:col>
      <xdr:colOff>364724</xdr:colOff>
      <xdr:row>71</xdr:row>
      <xdr:rowOff>71145</xdr:rowOff>
    </xdr:to>
    <xdr:sp macro="" textlink="">
      <xdr:nvSpPr>
        <xdr:cNvPr id="10" name="50% Text">
          <a:extLst>
            <a:ext uri="{FF2B5EF4-FFF2-40B4-BE49-F238E27FC236}">
              <a16:creationId xmlns:a16="http://schemas.microsoft.com/office/drawing/2014/main" id="{2273DE9C-24FF-4A1D-9CD8-93F889FDCB16}"/>
            </a:ext>
          </a:extLst>
        </xdr:cNvPr>
        <xdr:cNvSpPr txBox="1"/>
      </xdr:nvSpPr>
      <xdr:spPr>
        <a:xfrm rot="967789">
          <a:off x="7800762" y="15102328"/>
          <a:ext cx="1717487" cy="246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a:t>50%</a:t>
          </a:r>
          <a:r>
            <a:rPr lang="en-US" sz="1400" baseline="0"/>
            <a:t> Grant Eligible</a:t>
          </a:r>
          <a:endParaRPr lang="en-US" sz="1400"/>
        </a:p>
      </xdr:txBody>
    </xdr:sp>
    <xdr:clientData/>
  </xdr:twoCellAnchor>
  <mc:AlternateContent xmlns:mc="http://schemas.openxmlformats.org/markup-compatibility/2006">
    <mc:Choice xmlns:a14="http://schemas.microsoft.com/office/drawing/2010/main" Requires="a14">
      <xdr:twoCellAnchor editAs="oneCell">
        <xdr:from>
          <xdr:col>0</xdr:col>
          <xdr:colOff>1133475</xdr:colOff>
          <xdr:row>19</xdr:row>
          <xdr:rowOff>581025</xdr:rowOff>
        </xdr:from>
        <xdr:to>
          <xdr:col>0</xdr:col>
          <xdr:colOff>1695450</xdr:colOff>
          <xdr:row>21</xdr:row>
          <xdr:rowOff>28575</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OSBM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1619250</xdr:colOff>
          <xdr:row>19</xdr:row>
          <xdr:rowOff>581025</xdr:rowOff>
        </xdr:from>
        <xdr:to>
          <xdr:col>1</xdr:col>
          <xdr:colOff>1058</xdr:colOff>
          <xdr:row>21</xdr:row>
          <xdr:rowOff>28575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ACS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DE95FC-6206-40F2-8F3E-B87126AD82B0}" name="Data_Points_DW" displayName="Data_Points_DW" ref="AX3:AZ90" totalsRowShown="0" headerRowDxfId="60">
  <autoFilter ref="AX3:AZ90" xr:uid="{48DE95FC-6206-40F2-8F3E-B87126AD82B0}"/>
  <tableColumns count="3">
    <tableColumn id="2" xr3:uid="{2672F7B6-9A9C-49C8-9F90-6EF92F896B79}" name="Y: Effective Combined Bill ($/5,000 gal.)" dataDxfId="59" dataCellStyle="Percent"/>
    <tableColumn id="3" xr3:uid="{4E756FE3-8F53-4C12-BA7E-2753516D2ABE}" name="Water Connections" dataDxfId="58" dataCellStyle="Percent"/>
    <tableColumn id="4" xr3:uid="{837580B0-9EAB-4FA8-B4B4-8E8BFAE89201}" name="X: Project Cost Per conn. per Month" dataDxfId="57">
      <calculatedColumnFormula xml:space="preserve"> AI_Project_Cost/AY4/20/12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BDF7B43-7FFD-435C-8AF1-046B0F8051EE}" name="Data_Points_CW" displayName="Data_Points_CW" ref="BB3:BD74" totalsRowShown="0" headerRowDxfId="56">
  <autoFilter ref="BB3:BD74" xr:uid="{4BDF7B43-7FFD-435C-8AF1-046B0F8051EE}"/>
  <tableColumns count="3">
    <tableColumn id="2" xr3:uid="{B8731DC4-D009-4806-A862-BE985635132D}" name="Y: Effective Combined Bill ($/5,000 gal.)" dataDxfId="55" dataCellStyle="Percent"/>
    <tableColumn id="3" xr3:uid="{4269DE7C-A936-4019-9A51-A609202FC406}" name="Sewer Connections" dataDxfId="54" dataCellStyle="Percent"/>
    <tableColumn id="4" xr3:uid="{A0DD88E2-2E93-40AF-9BEF-07DC857D3C21}" name="X: Project Cost Per conn. per Month" dataDxfId="53" dataCellStyle="Currency">
      <calculatedColumnFormula xml:space="preserve"> AI_Project_Cost/BC4/20/12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F1F643-8275-4F8F-AE95-55485D068C7B}" name="AC_Chart_Background_Data" displayName="AC_Chart_Background_Data" ref="AJ3:AO304" totalsRowShown="0" headerRowDxfId="52" dataDxfId="50" headerRowBorderDxfId="51" tableBorderDxfId="49">
  <autoFilter ref="AJ3:AO304" xr:uid="{6CF1F643-8275-4F8F-AE95-55485D068C7B}"/>
  <tableColumns count="6">
    <tableColumn id="1" xr3:uid="{B970BCAB-7725-413F-ABE2-34544C6C3789}" name="X" dataDxfId="48"/>
    <tableColumn id="2" xr3:uid="{5CAF3221-371F-415E-B7D4-934151FC6127}" name="0%" dataDxfId="47">
      <calculatedColumnFormula>IF(AC_Chart_Background_Data[[#This Row],[X]] &lt; EFC_70P-EFC_50P, EFC_50P, MAX(EFC_70P-AC_Chart_Background_Data[[#This Row],[X]],0))</calculatedColumnFormula>
    </tableColumn>
    <tableColumn id="3" xr3:uid="{379D3296-B4C9-493D-9A4B-600639A2808A}" name="25%" dataDxfId="46">
      <calculatedColumnFormula>IF(AC_Chart_Background_Data[[#This Row],[X]] &lt; EFC_85P-EFC_70P, EFC_70P, MAX(EFC_85P-AC_Chart_Background_Data[[#This Row],[X]],0))</calculatedColumnFormula>
    </tableColumn>
    <tableColumn id="4" xr3:uid="{3DCFD344-84E9-437A-A3FF-E147A3DB8F4D}" name="50%" dataDxfId="45">
      <calculatedColumnFormula>IF(AC_Chart_Background_Data[[#This Row],[X]] &lt; EFC_95P-EFC_85P, EFC_85P, MAX(EFC_95P-AC_Chart_Background_Data[[#This Row],[X]],0))</calculatedColumnFormula>
    </tableColumn>
    <tableColumn id="5" xr3:uid="{7455DBAE-7F3F-4C55-A811-0E7EDA77425C}" name="75%" dataDxfId="44">
      <calculatedColumnFormula>IF(AC_Chart_Background_Data[[#This Row],[X]] &lt; EFC_99P-EFC_95P, EFC_95P, MAX(EFC_99P-AC_Chart_Background_Data[[#This Row],[X]],0))</calculatedColumnFormula>
    </tableColumn>
    <tableColumn id="6" xr3:uid="{9771337D-8BCB-4E4E-B517-3D3608696EBD}" name="100%" dataDxfId="43">
      <calculatedColumnFormula>AC_Ymax</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81D429D-B412-4C76-9EE0-5E40E62C723B}" name="DataTable_Economic" displayName="DataTable_Economic" ref="A4:I655" headerRowDxfId="42" dataDxfId="41" totalsRowDxfId="39" tableBorderDxfId="40">
  <autoFilter ref="A4:I655" xr:uid="{381D429D-B412-4C76-9EE0-5E40E62C723B}"/>
  <tableColumns count="9">
    <tableColumn id="1" xr3:uid="{206B1B5F-733A-40D9-9CC4-4C261BE53F8C}" name="LGU" totalsRowLabel="Total" dataDxfId="38" totalsRowDxfId="37"/>
    <tableColumn id="2" xr3:uid="{8B7CF924-DEC9-4820-BBC7-2C2D672B95E3}" name="Population (2019)-ACS" dataDxfId="36" totalsRowDxfId="35" dataCellStyle="Comma"/>
    <tableColumn id="3" xr3:uid="{386E5398-DE29-40B1-B5A2-FCCF091DE24A}" name="Population (2023)-ACS" dataDxfId="34" totalsRowDxfId="33" dataCellStyle="Comma"/>
    <tableColumn id="9" xr3:uid="{64254244-6462-406F-8AC5-49676658EFF2}" name="Population (2019)-OSBM" dataDxfId="32" totalsRowDxfId="31" dataCellStyle="Percent"/>
    <tableColumn id="4" xr3:uid="{1E277898-777A-429A-915B-505479A1DFC7}" name="Population (2023)-OSBM" dataDxfId="30" totalsRowDxfId="29" dataCellStyle="Comma"/>
    <tableColumn id="5" xr3:uid="{CED353D8-310B-4251-8F02-4A7AF2BC7183}" name="Poverty Rate (%, 2023)" dataDxfId="28" totalsRowDxfId="27"/>
    <tableColumn id="6" xr3:uid="{16D8AEB3-9BB4-4FAC-94C9-68669740C88F}" name="Unemployment Rate (%, 2023)" dataDxfId="26" dataCellStyle="Percent"/>
    <tableColumn id="7" xr3:uid="{8239B56D-8946-4A3A-BEEE-53B27B738678}" name="Median Household Income (2023)" totalsRowFunction="average" dataDxfId="25" dataCellStyle="Currency"/>
    <tableColumn id="8" xr3:uid="{5BC3EFB3-7DDC-4FE4-9D3B-8699C0A97D37}" name="Total Appraised Value (2023-2024)" totalsRowFunction="count" dataDxfId="2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028E53-DAB8-4CB5-9A56-D2F69869DF7B}" name="DataTable_VUR" displayName="DataTable_VUR" ref="K4:O495" headerRowDxfId="23" dataDxfId="22" totalsRowDxfId="20" tableBorderDxfId="21">
  <autoFilter ref="K4:O495" xr:uid="{89028E53-DAB8-4CB5-9A56-D2F69869DF7B}"/>
  <tableColumns count="5">
    <tableColumn id="1" xr3:uid="{C0D4A221-F9BA-4AF4-B36A-1C9B9CC8F8EB}" name="Unit Name" dataDxfId="19" totalsRowDxfId="18"/>
    <tableColumn id="2" xr3:uid="{58D85C3F-58BB-4A59-8B57-4A5EEF12F462}" name="Distressed?" dataDxfId="17" totalsRowDxfId="16"/>
    <tableColumn id="3" xr3:uid="{CDB1EF64-51FF-4ABA-8869-6C2112C77635}" name="VUR Assessment Score (2023)" dataDxfId="15" totalsRowDxfId="14"/>
    <tableColumn id="4" xr3:uid="{A01EE4CE-8379-426E-8603-939FBB0ECC8F}" name="Bulk provider?" dataDxfId="13" totalsRowDxfId="12"/>
    <tableColumn id="5" xr3:uid="{90A03815-1439-41A7-81FD-B0DDF02690CF}" name="D1 Units?" dataDxfId="11" totalsRow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DE722-8A97-4D12-BB8F-76C9191AC8A9}">
  <sheetPr codeName="Calculator">
    <pageSetUpPr fitToPage="1"/>
  </sheetPr>
  <dimension ref="A1:BE391"/>
  <sheetViews>
    <sheetView showGridLines="0" tabSelected="1" topLeftCell="A92" zoomScale="90" zoomScaleNormal="90" workbookViewId="0">
      <selection activeCell="A102" sqref="A102:A108"/>
    </sheetView>
  </sheetViews>
  <sheetFormatPr defaultRowHeight="15" x14ac:dyDescent="0.25"/>
  <cols>
    <col min="1" max="1" width="31.28515625" style="6" customWidth="1"/>
    <col min="2" max="2" width="21.28515625" style="6" customWidth="1"/>
    <col min="3" max="3" width="23.28515625" style="6" customWidth="1"/>
    <col min="4" max="4" width="21.42578125" style="6" customWidth="1"/>
    <col min="5" max="6" width="17.28515625" style="6" customWidth="1"/>
    <col min="7" max="7" width="6.5703125" style="6" customWidth="1"/>
    <col min="8" max="8" width="15" style="6" customWidth="1"/>
    <col min="9" max="9" width="11.5703125" style="6" customWidth="1"/>
    <col min="10" max="11" width="9.140625" style="6"/>
    <col min="12" max="13" width="9.140625" style="6" customWidth="1"/>
    <col min="14" max="26" width="9.140625" style="6" hidden="1" customWidth="1"/>
    <col min="27" max="27" width="35.28515625" style="79" hidden="1" customWidth="1"/>
    <col min="28" max="28" width="9.28515625" style="6" hidden="1" customWidth="1"/>
    <col min="29" max="29" width="7" style="6" hidden="1" customWidth="1"/>
    <col min="30" max="30" width="55" style="6" hidden="1" customWidth="1"/>
    <col min="31" max="31" width="14" style="6" hidden="1" customWidth="1"/>
    <col min="32" max="32" width="13.140625" style="6" hidden="1" customWidth="1"/>
    <col min="33" max="33" width="14.42578125" style="6" hidden="1" customWidth="1"/>
    <col min="34" max="48" width="12.42578125" style="6" hidden="1" customWidth="1"/>
    <col min="49" max="49" width="9.140625" style="6" hidden="1" customWidth="1"/>
    <col min="50" max="50" width="54.5703125" style="6" hidden="1" customWidth="1"/>
    <col min="51" max="51" width="24.85546875" style="6" hidden="1" customWidth="1"/>
    <col min="52" max="52" width="40.85546875" style="6" hidden="1" customWidth="1"/>
    <col min="53" max="53" width="9.140625" style="6" hidden="1" customWidth="1"/>
    <col min="54" max="54" width="54.5703125" style="6" hidden="1" customWidth="1"/>
    <col min="55" max="55" width="25.28515625" style="6" hidden="1" customWidth="1"/>
    <col min="56" max="56" width="50" style="6" hidden="1" customWidth="1"/>
    <col min="57" max="57" width="9.140625" style="6" hidden="1" customWidth="1"/>
    <col min="58" max="139" width="9.140625" style="6" customWidth="1"/>
    <col min="140" max="16384" width="9.140625" style="6"/>
  </cols>
  <sheetData>
    <row r="1" spans="1:56" ht="21" customHeight="1" x14ac:dyDescent="0.35">
      <c r="A1" s="191" t="s">
        <v>857</v>
      </c>
      <c r="F1" s="74" t="s">
        <v>718</v>
      </c>
      <c r="G1" s="7" t="s">
        <v>716</v>
      </c>
      <c r="AA1" s="78" t="s">
        <v>742</v>
      </c>
      <c r="AC1" s="267" t="s">
        <v>814</v>
      </c>
      <c r="AD1" s="267"/>
      <c r="AE1" s="267"/>
      <c r="AF1" s="267"/>
      <c r="AG1" s="267"/>
      <c r="AJ1" s="271" t="s">
        <v>829</v>
      </c>
      <c r="AK1" s="271"/>
      <c r="AL1" s="271"/>
      <c r="AM1" s="271"/>
      <c r="AN1" s="271"/>
      <c r="AO1" s="271"/>
      <c r="AP1" s="8"/>
      <c r="AQ1" s="271" t="s">
        <v>830</v>
      </c>
      <c r="AR1" s="271"/>
      <c r="AS1" s="271"/>
      <c r="AT1" s="271"/>
      <c r="AU1" s="271"/>
      <c r="AV1" s="271"/>
      <c r="AW1" s="8"/>
      <c r="AX1" s="256" t="s">
        <v>772</v>
      </c>
      <c r="AY1" s="256"/>
      <c r="AZ1" s="256"/>
      <c r="BA1" s="101"/>
      <c r="BB1" s="256" t="s">
        <v>771</v>
      </c>
      <c r="BC1" s="256"/>
      <c r="BD1" s="256"/>
    </row>
    <row r="2" spans="1:56" ht="21" customHeight="1" x14ac:dyDescent="0.25">
      <c r="A2" s="9" t="s">
        <v>856</v>
      </c>
      <c r="F2" s="216"/>
      <c r="G2" s="7"/>
      <c r="AA2" s="78"/>
      <c r="AC2" s="207"/>
      <c r="AD2" s="207"/>
      <c r="AE2" s="207"/>
      <c r="AF2" s="207"/>
      <c r="AG2" s="207"/>
      <c r="AJ2" s="208"/>
      <c r="AK2" s="208"/>
      <c r="AL2" s="208"/>
      <c r="AM2" s="208"/>
      <c r="AN2" s="208"/>
      <c r="AO2" s="208"/>
      <c r="AP2" s="8"/>
      <c r="AQ2" s="208"/>
      <c r="AR2" s="208"/>
      <c r="AS2" s="208"/>
      <c r="AT2" s="208"/>
      <c r="AU2" s="208"/>
      <c r="AV2" s="208"/>
      <c r="AW2" s="8"/>
      <c r="AX2" s="206"/>
      <c r="AY2" s="206"/>
      <c r="AZ2" s="206"/>
      <c r="BA2" s="101"/>
      <c r="BB2" s="206"/>
      <c r="BC2" s="206"/>
      <c r="BD2" s="206"/>
    </row>
    <row r="3" spans="1:56" ht="15" customHeight="1" x14ac:dyDescent="0.25">
      <c r="A3" s="209" t="s">
        <v>866</v>
      </c>
      <c r="AA3" s="78"/>
      <c r="AC3" s="8"/>
      <c r="AD3" s="8"/>
      <c r="AE3" s="76" t="s">
        <v>754</v>
      </c>
      <c r="AF3" s="76" t="s">
        <v>755</v>
      </c>
      <c r="AG3" s="76" t="s">
        <v>741</v>
      </c>
      <c r="AJ3" s="157" t="s">
        <v>831</v>
      </c>
      <c r="AK3" s="158" t="s">
        <v>832</v>
      </c>
      <c r="AL3" s="158" t="s">
        <v>833</v>
      </c>
      <c r="AM3" s="158" t="s">
        <v>834</v>
      </c>
      <c r="AN3" s="158" t="s">
        <v>835</v>
      </c>
      <c r="AO3" s="159" t="s">
        <v>836</v>
      </c>
      <c r="AQ3" s="152" t="s">
        <v>831</v>
      </c>
      <c r="AR3" s="152" t="s">
        <v>832</v>
      </c>
      <c r="AS3" s="152" t="s">
        <v>833</v>
      </c>
      <c r="AT3" s="152" t="s">
        <v>834</v>
      </c>
      <c r="AU3" s="152" t="s">
        <v>835</v>
      </c>
      <c r="AV3" s="152" t="s">
        <v>836</v>
      </c>
      <c r="AW3" s="8"/>
      <c r="AX3" s="14" t="s">
        <v>769</v>
      </c>
      <c r="AY3" s="14" t="s">
        <v>714</v>
      </c>
      <c r="AZ3" s="14" t="s">
        <v>770</v>
      </c>
      <c r="BA3" s="8"/>
      <c r="BB3" s="14" t="s">
        <v>769</v>
      </c>
      <c r="BC3" s="14" t="s">
        <v>715</v>
      </c>
      <c r="BD3" s="14" t="s">
        <v>770</v>
      </c>
    </row>
    <row r="4" spans="1:56" ht="16.5" customHeight="1" thickBot="1" x14ac:dyDescent="0.3">
      <c r="A4" s="9" t="s">
        <v>867</v>
      </c>
      <c r="AA4" s="78" t="s">
        <v>692</v>
      </c>
      <c r="AC4" s="76" t="s">
        <v>744</v>
      </c>
      <c r="AD4" s="80" t="s">
        <v>749</v>
      </c>
      <c r="AE4" s="76" t="b">
        <f>IF(AND(VU_Distressed&lt;&gt;"",VU_Score&lt;&gt;""),TRUE,FALSE)</f>
        <v>0</v>
      </c>
      <c r="AF4" s="76" t="b">
        <f>AC_Step1_Completed</f>
        <v>0</v>
      </c>
      <c r="AG4" s="76" t="b">
        <f>IF(AND(AC_Step1_Passed),TRUE,FALSE)</f>
        <v>0</v>
      </c>
      <c r="AJ4" s="150">
        <v>0</v>
      </c>
      <c r="AK4" s="150">
        <f>IF(AC_Chart_Background_Data[[#This Row],[X]] &lt; EFC_70P-EFC_50P, EFC_50P, MAX(EFC_70P-AC_Chart_Background_Data[[#This Row],[X]],0))</f>
        <v>89</v>
      </c>
      <c r="AL4" s="150">
        <f>IF(AC_Chart_Background_Data[[#This Row],[X]] &lt; EFC_85P-EFC_70P, EFC_70P, MAX(EFC_85P-AC_Chart_Background_Data[[#This Row],[X]],0))</f>
        <v>107</v>
      </c>
      <c r="AM4" s="150">
        <f>IF(AC_Chart_Background_Data[[#This Row],[X]] &lt; EFC_95P-EFC_85P, EFC_85P, MAX(EFC_95P-AC_Chart_Background_Data[[#This Row],[X]],0))</f>
        <v>126</v>
      </c>
      <c r="AN4" s="150">
        <f>IF(AC_Chart_Background_Data[[#This Row],[X]] &lt; EFC_99P-EFC_95P, EFC_95P, MAX(EFC_99P-AC_Chart_Background_Data[[#This Row],[X]],0))</f>
        <v>145</v>
      </c>
      <c r="AO4" s="150">
        <f t="shared" ref="AO4:AO67" si="0">AC_Ymax</f>
        <v>170</v>
      </c>
      <c r="AQ4" s="144" cm="1">
        <f t="array" ref="AQ4:AQ84">_xlfn.LET(_xlpm.X,AC_Chart_Background_Data[X],
           _xlfn._xlws.FILTER(_xlpm.X, (_xlpm.X&lt;=AC_Xmax),"")
            )</f>
        <v>0</v>
      </c>
      <c r="AR4" s="144" cm="1">
        <f t="array" ref="AR4:AR84">_xlfn.LET(_xlpm.Y,AC_Chart_Background_Data[0%],
           _xlpm.X, AC_Chart_Background_Data[X],
            _xlfn._xlws.FILTER(_xlpm.Y, (_xlpm.X&lt;=AC_Xmax),"")
            )</f>
        <v>89</v>
      </c>
      <c r="AS4" s="144" cm="1">
        <f t="array" ref="AS4:AS84">_xlfn.LET(_xlpm.Y,AC_Chart_Background_Data[25%],
           _xlpm.X, AC_Chart_Background_Data[X],
            _xlfn._xlws.FILTER(_xlpm.Y, (_xlpm.X&lt;=AC_Xmax),"")
            )</f>
        <v>107</v>
      </c>
      <c r="AT4" s="144" cm="1">
        <f t="array" ref="AT4:AT84">_xlfn.LET(_xlpm.Y,AC_Chart_Background_Data[50%],
           _xlpm.X, AC_Chart_Background_Data[X],
            _xlfn._xlws.FILTER(_xlpm.Y, (_xlpm.X&lt;=AC_Xmax),"")
            )</f>
        <v>126</v>
      </c>
      <c r="AU4" s="144" cm="1">
        <f t="array" ref="AU4:AU84">_xlfn.LET(_xlpm.Y,AC_Chart_Background_Data[75%],
           _xlpm.X, AC_Chart_Background_Data[X],
            _xlfn._xlws.FILTER(_xlpm.Y, (_xlpm.X&lt;=AC_Xmax),"")
            )</f>
        <v>145</v>
      </c>
      <c r="AV4" s="144" cm="1">
        <f t="array" ref="AV4:AV84">_xlfn.LET(_xlpm.Y,AC_Chart_Background_Data[100%],
           _xlpm.X, AC_Chart_Background_Data[X],
            _xlfn._xlws.FILTER(_xlpm.Y, (_xlpm.X&lt;=AC_Xmax),"")
            )</f>
        <v>170</v>
      </c>
      <c r="AW4" s="8"/>
      <c r="AX4" s="102">
        <v>131.5</v>
      </c>
      <c r="AY4" s="103">
        <v>12626</v>
      </c>
      <c r="AZ4" s="104">
        <f t="shared" ref="AZ4:AZ67" si="1" xml:space="preserve"> AI_Project_Cost/AY4/20/12</f>
        <v>0</v>
      </c>
      <c r="BA4" s="8"/>
      <c r="BB4" s="102">
        <v>102.51</v>
      </c>
      <c r="BC4" s="103">
        <v>2046</v>
      </c>
      <c r="BD4" s="105">
        <f t="shared" ref="BD4:BD64" si="2" xml:space="preserve"> AI_Project_Cost/BC4/20/12</f>
        <v>0</v>
      </c>
    </row>
    <row r="5" spans="1:56" ht="19.5" customHeight="1" thickBot="1" x14ac:dyDescent="0.35">
      <c r="A5" s="10" t="s">
        <v>717</v>
      </c>
      <c r="B5" s="257"/>
      <c r="C5" s="258"/>
      <c r="D5" s="11"/>
      <c r="AA5" s="78" t="s">
        <v>693</v>
      </c>
      <c r="AC5" s="76" t="s">
        <v>745</v>
      </c>
      <c r="AD5" s="80" t="s">
        <v>750</v>
      </c>
      <c r="AE5" s="76" t="b">
        <f>IF(AI_Connections_Res.&lt;&gt;"", TRUE, FALSE)</f>
        <v>0</v>
      </c>
      <c r="AF5" s="76" t="b">
        <f xml:space="preserve"> IF(AC_Step2_Completed,
              IF(OR(VU_Distressed="Yes",VU_D1="Yes",AND(AI_Connections_Res.&lt; 20000,AI_Connections_Res.&gt;0)),TRUE,FALSE),
              FALSE
        )</f>
        <v>0</v>
      </c>
      <c r="AG5" s="76" t="b">
        <f>IF(AND(AC_Step1_Passed,AC_Step2_Passed),TRUE,FALSE)</f>
        <v>0</v>
      </c>
      <c r="AJ5" s="150">
        <f>AJ4+1</f>
        <v>1</v>
      </c>
      <c r="AK5" s="150">
        <f>IF(AC_Chart_Background_Data[[#This Row],[X]] &lt; EFC_70P-EFC_50P, EFC_50P, MAX(EFC_70P-AC_Chart_Background_Data[[#This Row],[X]],0))</f>
        <v>89</v>
      </c>
      <c r="AL5" s="150">
        <f>IF(AC_Chart_Background_Data[[#This Row],[X]] &lt; EFC_85P-EFC_70P, EFC_70P, MAX(EFC_85P-AC_Chart_Background_Data[[#This Row],[X]],0))</f>
        <v>107</v>
      </c>
      <c r="AM5" s="150">
        <f>IF(AC_Chart_Background_Data[[#This Row],[X]] &lt; EFC_95P-EFC_85P, EFC_85P, MAX(EFC_95P-AC_Chart_Background_Data[[#This Row],[X]],0))</f>
        <v>126</v>
      </c>
      <c r="AN5" s="150">
        <f>IF(AC_Chart_Background_Data[[#This Row],[X]] &lt; EFC_99P-EFC_95P, EFC_95P, MAX(EFC_99P-AC_Chart_Background_Data[[#This Row],[X]],0))</f>
        <v>145</v>
      </c>
      <c r="AO5" s="150">
        <f t="shared" si="0"/>
        <v>170</v>
      </c>
      <c r="AQ5" s="144">
        <v>1</v>
      </c>
      <c r="AR5" s="144">
        <v>89</v>
      </c>
      <c r="AS5" s="144">
        <v>107</v>
      </c>
      <c r="AT5" s="144">
        <v>126</v>
      </c>
      <c r="AU5" s="144">
        <v>145</v>
      </c>
      <c r="AV5" s="144">
        <v>170</v>
      </c>
      <c r="AW5" s="8"/>
      <c r="AX5" s="102">
        <v>78.72</v>
      </c>
      <c r="AY5" s="103">
        <v>13880</v>
      </c>
      <c r="AZ5" s="104">
        <f t="shared" si="1"/>
        <v>0</v>
      </c>
      <c r="BA5" s="8"/>
      <c r="BB5" s="102">
        <v>56.44</v>
      </c>
      <c r="BC5" s="103">
        <v>7294</v>
      </c>
      <c r="BD5" s="105">
        <f t="shared" si="2"/>
        <v>0</v>
      </c>
    </row>
    <row r="6" spans="1:56" ht="15.75" customHeight="1" thickBot="1" x14ac:dyDescent="0.3">
      <c r="E6" s="6" t="s">
        <v>718</v>
      </c>
      <c r="AA6" s="75"/>
      <c r="AB6" s="8"/>
      <c r="AC6" s="76" t="s">
        <v>746</v>
      </c>
      <c r="AD6" s="80" t="s">
        <v>751</v>
      </c>
      <c r="AE6" s="76" t="b">
        <f ca="1">IFERROR(IF(AC_IWSB &lt;&gt;"",TRUE,FALSE),FALSE)</f>
        <v>0</v>
      </c>
      <c r="AF6" s="76" t="b">
        <f ca="1">IF(AC_Step3_Completed,
           IF(OR(VU_Distressed="Yes",VU_D1="Yes",AC_IWSB&gt;=3),TRUE,FALSE),
           FALSE
        )</f>
        <v>0</v>
      </c>
      <c r="AG6" s="76" t="b">
        <f ca="1">IF(AND(AC_Step1_Passed,AC_Step2_Passed,AC_Step3_Passed),TRUE,FALSE)</f>
        <v>0</v>
      </c>
      <c r="AJ6" s="150">
        <f>AJ5+1</f>
        <v>2</v>
      </c>
      <c r="AK6" s="150">
        <f>IF(AC_Chart_Background_Data[[#This Row],[X]] &lt; EFC_70P-EFC_50P, EFC_50P, MAX(EFC_70P-AC_Chart_Background_Data[[#This Row],[X]],0))</f>
        <v>89</v>
      </c>
      <c r="AL6" s="150">
        <f>IF(AC_Chart_Background_Data[[#This Row],[X]] &lt; EFC_85P-EFC_70P, EFC_70P, MAX(EFC_85P-AC_Chart_Background_Data[[#This Row],[X]],0))</f>
        <v>107</v>
      </c>
      <c r="AM6" s="150">
        <f>IF(AC_Chart_Background_Data[[#This Row],[X]] &lt; EFC_95P-EFC_85P, EFC_85P, MAX(EFC_95P-AC_Chart_Background_Data[[#This Row],[X]],0))</f>
        <v>126</v>
      </c>
      <c r="AN6" s="150">
        <f>IF(AC_Chart_Background_Data[[#This Row],[X]] &lt; EFC_99P-EFC_95P, EFC_95P, MAX(EFC_99P-AC_Chart_Background_Data[[#This Row],[X]],0))</f>
        <v>145</v>
      </c>
      <c r="AO6" s="150">
        <f t="shared" si="0"/>
        <v>170</v>
      </c>
      <c r="AQ6" s="144">
        <v>2</v>
      </c>
      <c r="AR6" s="144">
        <v>89</v>
      </c>
      <c r="AS6" s="144">
        <v>107</v>
      </c>
      <c r="AT6" s="144">
        <v>126</v>
      </c>
      <c r="AU6" s="144">
        <v>145</v>
      </c>
      <c r="AV6" s="144">
        <v>170</v>
      </c>
      <c r="AW6" s="8"/>
      <c r="AX6" s="102">
        <v>142.82</v>
      </c>
      <c r="AY6" s="103">
        <v>2480</v>
      </c>
      <c r="AZ6" s="104">
        <f t="shared" si="1"/>
        <v>0</v>
      </c>
      <c r="BA6" s="8"/>
      <c r="BB6" s="102">
        <v>82.78</v>
      </c>
      <c r="BC6" s="103">
        <v>235</v>
      </c>
      <c r="BD6" s="105">
        <f t="shared" si="2"/>
        <v>0</v>
      </c>
    </row>
    <row r="7" spans="1:56" ht="18.75" customHeight="1" x14ac:dyDescent="0.25">
      <c r="A7" s="259" t="s">
        <v>719</v>
      </c>
      <c r="B7" s="260"/>
      <c r="C7" s="261"/>
      <c r="G7" s="12"/>
      <c r="H7" s="12"/>
      <c r="AA7" s="75"/>
      <c r="AC7" s="76" t="s">
        <v>747</v>
      </c>
      <c r="AD7" s="80" t="s">
        <v>752</v>
      </c>
      <c r="AE7" s="76" t="b">
        <f>IF(AND(SIGN(FIF_Operating_Revenues)=1,SIGN(FIF_Total_Expenditures)=1,SIGN(AI_Project_Cost)=1),TRUE,FALSE)</f>
        <v>0</v>
      </c>
      <c r="AF7" s="76" t="b">
        <f xml:space="preserve"> IF(AC_Step4_Completed,
              IF(OR(VU_Distressed="Yes",VU_D1="Yes",AC_Operating_Ratio_Future &lt; 1.3),TRUE,FALSE),
              FALSE
         )</f>
        <v>0</v>
      </c>
      <c r="AG7" s="76" t="b">
        <f ca="1">IF(AND(AC_Step1_Passed,AC_Step2_Passed,AC_Step3_Passed,AC_Step4_Passed), TRUE, FALSE)</f>
        <v>0</v>
      </c>
      <c r="AJ7" s="150">
        <f t="shared" ref="AJ7:AJ70" si="3">AJ6+1</f>
        <v>3</v>
      </c>
      <c r="AK7" s="150">
        <f>IF(AC_Chart_Background_Data[[#This Row],[X]] &lt; EFC_70P-EFC_50P, EFC_50P, MAX(EFC_70P-AC_Chart_Background_Data[[#This Row],[X]],0))</f>
        <v>89</v>
      </c>
      <c r="AL7" s="150">
        <f>IF(AC_Chart_Background_Data[[#This Row],[X]] &lt; EFC_85P-EFC_70P, EFC_70P, MAX(EFC_85P-AC_Chart_Background_Data[[#This Row],[X]],0))</f>
        <v>107</v>
      </c>
      <c r="AM7" s="150">
        <f>IF(AC_Chart_Background_Data[[#This Row],[X]] &lt; EFC_95P-EFC_85P, EFC_85P, MAX(EFC_95P-AC_Chart_Background_Data[[#This Row],[X]],0))</f>
        <v>126</v>
      </c>
      <c r="AN7" s="150">
        <f>IF(AC_Chart_Background_Data[[#This Row],[X]] &lt; EFC_99P-EFC_95P, EFC_95P, MAX(EFC_99P-AC_Chart_Background_Data[[#This Row],[X]],0))</f>
        <v>145</v>
      </c>
      <c r="AO7" s="150">
        <f t="shared" si="0"/>
        <v>170</v>
      </c>
      <c r="AQ7" s="144">
        <v>3</v>
      </c>
      <c r="AR7" s="144">
        <v>89</v>
      </c>
      <c r="AS7" s="144">
        <v>107</v>
      </c>
      <c r="AT7" s="144">
        <v>126</v>
      </c>
      <c r="AU7" s="144">
        <v>145</v>
      </c>
      <c r="AV7" s="144">
        <v>170</v>
      </c>
      <c r="AW7" s="8"/>
      <c r="AX7" s="102">
        <v>137.80000000000001</v>
      </c>
      <c r="AY7" s="103">
        <v>2178</v>
      </c>
      <c r="AZ7" s="104">
        <f t="shared" si="1"/>
        <v>0</v>
      </c>
      <c r="BA7" s="8"/>
      <c r="BB7" s="102">
        <v>142.82</v>
      </c>
      <c r="BC7" s="103">
        <v>2179</v>
      </c>
      <c r="BD7" s="105">
        <f t="shared" si="2"/>
        <v>0</v>
      </c>
    </row>
    <row r="8" spans="1:56" ht="19.5" customHeight="1" x14ac:dyDescent="0.25">
      <c r="A8" s="13" t="s">
        <v>720</v>
      </c>
      <c r="B8" s="217" t="str">
        <f>IFERROR(VLOOKUP(AI_Applicant,VU_Unit_Names,1,FALSE),
                     IF(AI_Applicant&lt;&gt;"","Not listed","")
)</f>
        <v/>
      </c>
      <c r="C8" s="218"/>
      <c r="D8" s="273" t="s">
        <v>721</v>
      </c>
      <c r="E8" s="273"/>
      <c r="F8" s="273"/>
      <c r="G8" s="273"/>
      <c r="H8" s="273"/>
      <c r="I8" s="273"/>
      <c r="AA8" s="75"/>
      <c r="AC8" s="76" t="s">
        <v>748</v>
      </c>
      <c r="AD8" s="80" t="s">
        <v>753</v>
      </c>
      <c r="AE8" s="76" t="b">
        <f ca="1">IFERROR(IF(AND(SIGN(AI_Effective_Combined_Bill)=1,SIGN(AC_Connections)=1),TRUE,FALSE),FALSE)</f>
        <v>0</v>
      </c>
      <c r="AF8" s="76" t="b">
        <f ca="1">AC_Step5_Completed</f>
        <v>0</v>
      </c>
      <c r="AG8" s="76" t="b">
        <f ca="1">IF(AND(AC_Step1_Passed,AC_Step2_Passed,AC_Step3_Passed,AC_Step4_Passed,AC_Step5_Passed), TRUE,FALSE)</f>
        <v>0</v>
      </c>
      <c r="AJ8" s="150">
        <f t="shared" si="3"/>
        <v>4</v>
      </c>
      <c r="AK8" s="150">
        <f>IF(AC_Chart_Background_Data[[#This Row],[X]] &lt; EFC_70P-EFC_50P, EFC_50P, MAX(EFC_70P-AC_Chart_Background_Data[[#This Row],[X]],0))</f>
        <v>89</v>
      </c>
      <c r="AL8" s="150">
        <f>IF(AC_Chart_Background_Data[[#This Row],[X]] &lt; EFC_85P-EFC_70P, EFC_70P, MAX(EFC_85P-AC_Chart_Background_Data[[#This Row],[X]],0))</f>
        <v>107</v>
      </c>
      <c r="AM8" s="150">
        <f>IF(AC_Chart_Background_Data[[#This Row],[X]] &lt; EFC_95P-EFC_85P, EFC_85P, MAX(EFC_95P-AC_Chart_Background_Data[[#This Row],[X]],0))</f>
        <v>126</v>
      </c>
      <c r="AN8" s="150">
        <f>IF(AC_Chart_Background_Data[[#This Row],[X]] &lt; EFC_99P-EFC_95P, EFC_95P, MAX(EFC_99P-AC_Chart_Background_Data[[#This Row],[X]],0))</f>
        <v>145</v>
      </c>
      <c r="AO8" s="150">
        <f t="shared" si="0"/>
        <v>170</v>
      </c>
      <c r="AQ8" s="144">
        <v>4</v>
      </c>
      <c r="AR8" s="144">
        <v>89</v>
      </c>
      <c r="AS8" s="144">
        <v>107</v>
      </c>
      <c r="AT8" s="144">
        <v>126</v>
      </c>
      <c r="AU8" s="144">
        <v>145</v>
      </c>
      <c r="AV8" s="144">
        <v>170</v>
      </c>
      <c r="AW8" s="8"/>
      <c r="AX8" s="102">
        <v>50.6</v>
      </c>
      <c r="AY8" s="103">
        <v>25772</v>
      </c>
      <c r="AZ8" s="104">
        <f t="shared" si="1"/>
        <v>0</v>
      </c>
      <c r="BA8" s="8"/>
      <c r="BB8" s="102">
        <v>134.13</v>
      </c>
      <c r="BC8" s="103">
        <v>1248</v>
      </c>
      <c r="BD8" s="105">
        <f t="shared" si="2"/>
        <v>0</v>
      </c>
    </row>
    <row r="9" spans="1:56" ht="30" customHeight="1" thickBot="1" x14ac:dyDescent="0.3">
      <c r="A9" s="15" t="s">
        <v>722</v>
      </c>
      <c r="B9" s="217" t="str">
        <f>IFERROR(VLOOKUP(B8,DataTable_VUR[],2,FALSE),
                      IF(B8&lt;&gt;"", 0,"")
)</f>
        <v/>
      </c>
      <c r="C9" s="218"/>
      <c r="D9" s="273"/>
      <c r="E9" s="273"/>
      <c r="F9" s="273"/>
      <c r="G9" s="273"/>
      <c r="H9" s="273"/>
      <c r="I9" s="273"/>
      <c r="AA9" s="75"/>
      <c r="AD9" s="86" t="s">
        <v>695</v>
      </c>
      <c r="AE9" s="86"/>
      <c r="AJ9" s="150">
        <f t="shared" si="3"/>
        <v>5</v>
      </c>
      <c r="AK9" s="150">
        <f>IF(AC_Chart_Background_Data[[#This Row],[X]] &lt; EFC_70P-EFC_50P, EFC_50P, MAX(EFC_70P-AC_Chart_Background_Data[[#This Row],[X]],0))</f>
        <v>89</v>
      </c>
      <c r="AL9" s="150">
        <f>IF(AC_Chart_Background_Data[[#This Row],[X]] &lt; EFC_85P-EFC_70P, EFC_70P, MAX(EFC_85P-AC_Chart_Background_Data[[#This Row],[X]],0))</f>
        <v>107</v>
      </c>
      <c r="AM9" s="150">
        <f>IF(AC_Chart_Background_Data[[#This Row],[X]] &lt; EFC_95P-EFC_85P, EFC_85P, MAX(EFC_95P-AC_Chart_Background_Data[[#This Row],[X]],0))</f>
        <v>126</v>
      </c>
      <c r="AN9" s="150">
        <f>IF(AC_Chart_Background_Data[[#This Row],[X]] &lt; EFC_99P-EFC_95P, EFC_95P, MAX(EFC_99P-AC_Chart_Background_Data[[#This Row],[X]],0))</f>
        <v>145</v>
      </c>
      <c r="AO9" s="150">
        <f t="shared" si="0"/>
        <v>170</v>
      </c>
      <c r="AQ9" s="144">
        <v>5</v>
      </c>
      <c r="AR9" s="144">
        <v>89</v>
      </c>
      <c r="AS9" s="144">
        <v>107</v>
      </c>
      <c r="AT9" s="144">
        <v>126</v>
      </c>
      <c r="AU9" s="144">
        <v>145</v>
      </c>
      <c r="AV9" s="144">
        <v>170</v>
      </c>
      <c r="AW9" s="8"/>
      <c r="AX9" s="102">
        <v>87.5</v>
      </c>
      <c r="AY9" s="103">
        <v>4581</v>
      </c>
      <c r="AZ9" s="104">
        <f t="shared" si="1"/>
        <v>0</v>
      </c>
      <c r="BA9" s="8"/>
      <c r="BB9" s="102">
        <v>96.88</v>
      </c>
      <c r="BC9" s="103">
        <v>3000</v>
      </c>
      <c r="BD9" s="105">
        <f t="shared" si="2"/>
        <v>0</v>
      </c>
    </row>
    <row r="10" spans="1:56" ht="18.75" customHeight="1" thickBot="1" x14ac:dyDescent="0.3">
      <c r="A10" s="95" t="s">
        <v>765</v>
      </c>
      <c r="B10" s="217" t="str">
        <f>IFERROR(VLOOKUP(B8,DataTable_VUR[],3,FALSE),
                      IF(B8&lt;&gt;"", 0,"")
)</f>
        <v/>
      </c>
      <c r="C10" s="218"/>
      <c r="F10" s="12"/>
      <c r="G10" s="12"/>
      <c r="H10" s="12"/>
      <c r="AB10" s="93">
        <v>170</v>
      </c>
      <c r="AD10" s="84" t="s">
        <v>760</v>
      </c>
      <c r="AE10" s="85" t="e">
        <f ca="1">IF(AC_Step5_Running_Total_Passed,AI_Effective_Combined_Bill,NA())</f>
        <v>#N/A</v>
      </c>
      <c r="AJ10" s="150">
        <f t="shared" si="3"/>
        <v>6</v>
      </c>
      <c r="AK10" s="150">
        <f>IF(AC_Chart_Background_Data[[#This Row],[X]] &lt; EFC_70P-EFC_50P, EFC_50P, MAX(EFC_70P-AC_Chart_Background_Data[[#This Row],[X]],0))</f>
        <v>89</v>
      </c>
      <c r="AL10" s="150">
        <f>IF(AC_Chart_Background_Data[[#This Row],[X]] &lt; EFC_85P-EFC_70P, EFC_70P, MAX(EFC_85P-AC_Chart_Background_Data[[#This Row],[X]],0))</f>
        <v>107</v>
      </c>
      <c r="AM10" s="150">
        <f>IF(AC_Chart_Background_Data[[#This Row],[X]] &lt; EFC_95P-EFC_85P, EFC_85P, MAX(EFC_95P-AC_Chart_Background_Data[[#This Row],[X]],0))</f>
        <v>126</v>
      </c>
      <c r="AN10" s="150">
        <f>IF(AC_Chart_Background_Data[[#This Row],[X]] &lt; EFC_99P-EFC_95P, EFC_95P, MAX(EFC_99P-AC_Chart_Background_Data[[#This Row],[X]],0))</f>
        <v>145</v>
      </c>
      <c r="AO10" s="150">
        <f t="shared" si="0"/>
        <v>170</v>
      </c>
      <c r="AQ10" s="144">
        <v>6</v>
      </c>
      <c r="AR10" s="144">
        <v>89</v>
      </c>
      <c r="AS10" s="144">
        <v>107</v>
      </c>
      <c r="AT10" s="144">
        <v>126</v>
      </c>
      <c r="AU10" s="144">
        <v>145</v>
      </c>
      <c r="AV10" s="144">
        <v>170</v>
      </c>
      <c r="AW10" s="8"/>
      <c r="AX10" s="102">
        <v>57.73</v>
      </c>
      <c r="AY10" s="103">
        <v>24215</v>
      </c>
      <c r="AZ10" s="104">
        <f t="shared" si="1"/>
        <v>0</v>
      </c>
      <c r="BA10" s="8"/>
      <c r="BB10" s="102">
        <v>99.31</v>
      </c>
      <c r="BC10" s="103">
        <v>524</v>
      </c>
      <c r="BD10" s="105">
        <f t="shared" si="2"/>
        <v>0</v>
      </c>
    </row>
    <row r="11" spans="1:56" ht="18.75" customHeight="1" thickBot="1" x14ac:dyDescent="0.3">
      <c r="A11" s="13" t="s">
        <v>723</v>
      </c>
      <c r="B11" s="217" t="str">
        <f>IFERROR(VLOOKUP(B8,DataTable_VUR[],4,FALSE),"")</f>
        <v/>
      </c>
      <c r="C11" s="218"/>
      <c r="F11" s="12"/>
      <c r="G11" s="12"/>
      <c r="H11" s="12"/>
      <c r="AB11" s="94" t="e">
        <f ca="1">IF(AC_Step5_Running_Total_Passed,
            IF(AI_Effective_Combined_Bill&lt;AC_Ymin,
                  AC_Ymin,
                  IF(AI_Effective_Combined_Bill&gt;AC_Ymax,
                           AC_Ymax,
                           AI_Effective_Combined_Bill
                       )
               ),
           NA()
      )</f>
        <v>#N/A</v>
      </c>
      <c r="AD11" s="84" t="s">
        <v>756</v>
      </c>
      <c r="AE11" s="85" t="str">
        <f ca="1">AC_PCPCPM</f>
        <v/>
      </c>
      <c r="AJ11" s="150">
        <f t="shared" si="3"/>
        <v>7</v>
      </c>
      <c r="AK11" s="150">
        <f>IF(AC_Chart_Background_Data[[#This Row],[X]] &lt; EFC_70P-EFC_50P, EFC_50P, MAX(EFC_70P-AC_Chart_Background_Data[[#This Row],[X]],0))</f>
        <v>89</v>
      </c>
      <c r="AL11" s="150">
        <f>IF(AC_Chart_Background_Data[[#This Row],[X]] &lt; EFC_85P-EFC_70P, EFC_70P, MAX(EFC_85P-AC_Chart_Background_Data[[#This Row],[X]],0))</f>
        <v>107</v>
      </c>
      <c r="AM11" s="150">
        <f>IF(AC_Chart_Background_Data[[#This Row],[X]] &lt; EFC_95P-EFC_85P, EFC_85P, MAX(EFC_95P-AC_Chart_Background_Data[[#This Row],[X]],0))</f>
        <v>126</v>
      </c>
      <c r="AN11" s="150">
        <f>IF(AC_Chart_Background_Data[[#This Row],[X]] &lt; EFC_99P-EFC_95P, EFC_95P, MAX(EFC_99P-AC_Chart_Background_Data[[#This Row],[X]],0))</f>
        <v>145</v>
      </c>
      <c r="AO11" s="150">
        <f t="shared" si="0"/>
        <v>170</v>
      </c>
      <c r="AQ11" s="144">
        <v>7</v>
      </c>
      <c r="AR11" s="144">
        <v>89</v>
      </c>
      <c r="AS11" s="144">
        <v>107</v>
      </c>
      <c r="AT11" s="144">
        <v>126</v>
      </c>
      <c r="AU11" s="144">
        <v>145</v>
      </c>
      <c r="AV11" s="144">
        <v>170</v>
      </c>
      <c r="AW11" s="8"/>
      <c r="AX11" s="102">
        <v>144</v>
      </c>
      <c r="AY11" s="103">
        <v>5295</v>
      </c>
      <c r="AZ11" s="104">
        <f t="shared" si="1"/>
        <v>0</v>
      </c>
      <c r="BA11" s="8"/>
      <c r="BB11" s="102">
        <v>48.15</v>
      </c>
      <c r="BC11" s="103">
        <v>24322</v>
      </c>
      <c r="BD11" s="105">
        <f t="shared" si="2"/>
        <v>0</v>
      </c>
    </row>
    <row r="12" spans="1:56" ht="19.5" customHeight="1" thickBot="1" x14ac:dyDescent="0.3">
      <c r="A12" s="13" t="s">
        <v>828</v>
      </c>
      <c r="B12" s="217" t="str">
        <f>IFERROR(VLOOKUP(B8,DataTable_VUR[],5,FALSE),"")</f>
        <v/>
      </c>
      <c r="C12" s="218"/>
      <c r="F12" s="12"/>
      <c r="G12" s="113"/>
      <c r="H12" s="12"/>
      <c r="AB12" s="93">
        <v>20</v>
      </c>
      <c r="AJ12" s="150">
        <f t="shared" si="3"/>
        <v>8</v>
      </c>
      <c r="AK12" s="150">
        <f>IF(AC_Chart_Background_Data[[#This Row],[X]] &lt; EFC_70P-EFC_50P, EFC_50P, MAX(EFC_70P-AC_Chart_Background_Data[[#This Row],[X]],0))</f>
        <v>89</v>
      </c>
      <c r="AL12" s="150">
        <f>IF(AC_Chart_Background_Data[[#This Row],[X]] &lt; EFC_85P-EFC_70P, EFC_70P, MAX(EFC_85P-AC_Chart_Background_Data[[#This Row],[X]],0))</f>
        <v>107</v>
      </c>
      <c r="AM12" s="150">
        <f>IF(AC_Chart_Background_Data[[#This Row],[X]] &lt; EFC_95P-EFC_85P, EFC_85P, MAX(EFC_95P-AC_Chart_Background_Data[[#This Row],[X]],0))</f>
        <v>126</v>
      </c>
      <c r="AN12" s="150">
        <f>IF(AC_Chart_Background_Data[[#This Row],[X]] &lt; EFC_99P-EFC_95P, EFC_95P, MAX(EFC_99P-AC_Chart_Background_Data[[#This Row],[X]],0))</f>
        <v>145</v>
      </c>
      <c r="AO12" s="150">
        <f t="shared" si="0"/>
        <v>170</v>
      </c>
      <c r="AQ12" s="144">
        <v>8</v>
      </c>
      <c r="AR12" s="144">
        <v>89</v>
      </c>
      <c r="AS12" s="144">
        <v>107</v>
      </c>
      <c r="AT12" s="144">
        <v>126</v>
      </c>
      <c r="AU12" s="144">
        <v>145</v>
      </c>
      <c r="AV12" s="144">
        <v>170</v>
      </c>
      <c r="AW12" s="8"/>
      <c r="AX12" s="102">
        <v>84.45</v>
      </c>
      <c r="AY12" s="103">
        <v>14709</v>
      </c>
      <c r="AZ12" s="104">
        <f t="shared" si="1"/>
        <v>0</v>
      </c>
      <c r="BA12" s="8"/>
      <c r="BB12" s="102">
        <v>80.97</v>
      </c>
      <c r="BC12" s="103">
        <v>72388</v>
      </c>
      <c r="BD12" s="105">
        <f t="shared" si="2"/>
        <v>0</v>
      </c>
    </row>
    <row r="13" spans="1:56" ht="28.5" customHeight="1" thickBot="1" x14ac:dyDescent="0.3">
      <c r="A13" s="236" t="str">
        <f>IF(AI_Applicant&lt;&gt;"",
          IF(AC_Step1_Completed,
                IF(AC_Step1_Passed,"","You are only eligible for SRF Principal Forgiveness/SRP grant if you receive 4.C.4 points or BIL EC funding. You are eligible for loans."),
                "Complete Step 1. Fill all fields."),
          "Enter the Name of Applicant"
       )</f>
        <v>Enter the Name of Applicant</v>
      </c>
      <c r="B13" s="237"/>
      <c r="C13" s="238"/>
      <c r="F13" s="12"/>
      <c r="G13" s="113"/>
      <c r="H13" s="12"/>
      <c r="AB13" s="60" t="s">
        <v>763</v>
      </c>
      <c r="AC13" s="91">
        <v>0</v>
      </c>
      <c r="AD13" s="92" t="e">
        <f ca="1">IF(AC_Step5_Running_Total_Passed,
             IF(AC_PCPCPM&lt;AC_Xmin,
                      AC_Xmin,
                      IF(AC_PCPCPM&gt;AC_Xmax,
                              AC_Xmax,
                             AC_PCPCPM
                           )
                   ),
              NA()
       )</f>
        <v>#N/A</v>
      </c>
      <c r="AE13" s="93">
        <v>80</v>
      </c>
      <c r="AJ13" s="150">
        <f t="shared" si="3"/>
        <v>9</v>
      </c>
      <c r="AK13" s="150">
        <f>IF(AC_Chart_Background_Data[[#This Row],[X]] &lt; EFC_70P-EFC_50P, EFC_50P, MAX(EFC_70P-AC_Chart_Background_Data[[#This Row],[X]],0))</f>
        <v>89</v>
      </c>
      <c r="AL13" s="150">
        <f>IF(AC_Chart_Background_Data[[#This Row],[X]] &lt; EFC_85P-EFC_70P, EFC_70P, MAX(EFC_85P-AC_Chart_Background_Data[[#This Row],[X]],0))</f>
        <v>107</v>
      </c>
      <c r="AM13" s="150">
        <f>IF(AC_Chart_Background_Data[[#This Row],[X]] &lt; EFC_95P-EFC_85P, EFC_85P, MAX(EFC_95P-AC_Chart_Background_Data[[#This Row],[X]],0))</f>
        <v>126</v>
      </c>
      <c r="AN13" s="150">
        <f>IF(AC_Chart_Background_Data[[#This Row],[X]] &lt; EFC_99P-EFC_95P, EFC_95P, MAX(EFC_99P-AC_Chart_Background_Data[[#This Row],[X]],0))</f>
        <v>145</v>
      </c>
      <c r="AO13" s="150">
        <f t="shared" si="0"/>
        <v>170</v>
      </c>
      <c r="AQ13" s="144">
        <v>9</v>
      </c>
      <c r="AR13" s="144">
        <v>89</v>
      </c>
      <c r="AS13" s="144">
        <v>107</v>
      </c>
      <c r="AT13" s="144">
        <v>126</v>
      </c>
      <c r="AU13" s="144">
        <v>145</v>
      </c>
      <c r="AV13" s="144">
        <v>170</v>
      </c>
      <c r="AW13" s="8"/>
      <c r="AX13" s="102">
        <v>132</v>
      </c>
      <c r="AY13" s="103">
        <v>1002</v>
      </c>
      <c r="AZ13" s="104">
        <f t="shared" si="1"/>
        <v>0</v>
      </c>
      <c r="BA13" s="8"/>
      <c r="BB13" s="102">
        <v>130</v>
      </c>
      <c r="BC13" s="103">
        <v>458</v>
      </c>
      <c r="BD13" s="105">
        <f t="shared" si="2"/>
        <v>0</v>
      </c>
    </row>
    <row r="14" spans="1:56" ht="15.75" customHeight="1" thickBot="1" x14ac:dyDescent="0.3">
      <c r="M14"/>
      <c r="AJ14" s="150">
        <f t="shared" si="3"/>
        <v>10</v>
      </c>
      <c r="AK14" s="150">
        <f>IF(AC_Chart_Background_Data[[#This Row],[X]] &lt; EFC_70P-EFC_50P, EFC_50P, MAX(EFC_70P-AC_Chart_Background_Data[[#This Row],[X]],0))</f>
        <v>89</v>
      </c>
      <c r="AL14" s="150">
        <f>IF(AC_Chart_Background_Data[[#This Row],[X]] &lt; EFC_85P-EFC_70P, EFC_70P, MAX(EFC_85P-AC_Chart_Background_Data[[#This Row],[X]],0))</f>
        <v>107</v>
      </c>
      <c r="AM14" s="150">
        <f>IF(AC_Chart_Background_Data[[#This Row],[X]] &lt; EFC_95P-EFC_85P, EFC_85P, MAX(EFC_95P-AC_Chart_Background_Data[[#This Row],[X]],0))</f>
        <v>126</v>
      </c>
      <c r="AN14" s="150">
        <f>IF(AC_Chart_Background_Data[[#This Row],[X]] &lt; EFC_99P-EFC_95P, EFC_95P, MAX(EFC_99P-AC_Chart_Background_Data[[#This Row],[X]],0))</f>
        <v>145</v>
      </c>
      <c r="AO14" s="150">
        <f t="shared" si="0"/>
        <v>170</v>
      </c>
      <c r="AQ14" s="144">
        <v>10</v>
      </c>
      <c r="AR14" s="144">
        <v>89</v>
      </c>
      <c r="AS14" s="144">
        <v>107</v>
      </c>
      <c r="AT14" s="144">
        <v>126</v>
      </c>
      <c r="AU14" s="144">
        <v>145</v>
      </c>
      <c r="AV14" s="144">
        <v>170</v>
      </c>
      <c r="AW14" s="8"/>
      <c r="AX14" s="102">
        <v>116.18</v>
      </c>
      <c r="AY14" s="103">
        <v>2013</v>
      </c>
      <c r="AZ14" s="104">
        <f t="shared" si="1"/>
        <v>0</v>
      </c>
      <c r="BA14" s="8"/>
      <c r="BB14" s="102">
        <v>136.13999999999999</v>
      </c>
      <c r="BC14" s="103">
        <v>9002</v>
      </c>
      <c r="BD14" s="105">
        <f t="shared" si="2"/>
        <v>0</v>
      </c>
    </row>
    <row r="15" spans="1:56" ht="19.5" customHeight="1" thickBot="1" x14ac:dyDescent="0.35">
      <c r="A15" s="16" t="s">
        <v>724</v>
      </c>
      <c r="B15" s="17"/>
      <c r="C15" s="17"/>
      <c r="D15" s="17"/>
      <c r="E15" s="43"/>
      <c r="AD15" s="87" t="s">
        <v>757</v>
      </c>
      <c r="AE15" s="87"/>
      <c r="AJ15" s="150">
        <f t="shared" si="3"/>
        <v>11</v>
      </c>
      <c r="AK15" s="150">
        <f>IF(AC_Chart_Background_Data[[#This Row],[X]] &lt; EFC_70P-EFC_50P, EFC_50P, MAX(EFC_70P-AC_Chart_Background_Data[[#This Row],[X]],0))</f>
        <v>89</v>
      </c>
      <c r="AL15" s="150">
        <f>IF(AC_Chart_Background_Data[[#This Row],[X]] &lt; EFC_85P-EFC_70P, EFC_70P, MAX(EFC_85P-AC_Chart_Background_Data[[#This Row],[X]],0))</f>
        <v>107</v>
      </c>
      <c r="AM15" s="150">
        <f>IF(AC_Chart_Background_Data[[#This Row],[X]] &lt; EFC_95P-EFC_85P, EFC_85P, MAX(EFC_95P-AC_Chart_Background_Data[[#This Row],[X]],0))</f>
        <v>126</v>
      </c>
      <c r="AN15" s="150">
        <f>IF(AC_Chart_Background_Data[[#This Row],[X]] &lt; EFC_99P-EFC_95P, EFC_95P, MAX(EFC_99P-AC_Chart_Background_Data[[#This Row],[X]],0))</f>
        <v>145</v>
      </c>
      <c r="AO15" s="150">
        <f t="shared" si="0"/>
        <v>170</v>
      </c>
      <c r="AQ15" s="144">
        <v>11</v>
      </c>
      <c r="AR15" s="144">
        <v>89</v>
      </c>
      <c r="AS15" s="144">
        <v>107</v>
      </c>
      <c r="AT15" s="144">
        <v>126</v>
      </c>
      <c r="AU15" s="144">
        <v>145</v>
      </c>
      <c r="AV15" s="144">
        <v>170</v>
      </c>
      <c r="AW15" s="8"/>
      <c r="AX15" s="102">
        <v>108.75</v>
      </c>
      <c r="AY15" s="103">
        <v>506</v>
      </c>
      <c r="AZ15" s="104">
        <f t="shared" si="1"/>
        <v>0</v>
      </c>
      <c r="BA15" s="8"/>
      <c r="BB15" s="102">
        <v>63.4</v>
      </c>
      <c r="BC15" s="103">
        <v>3974</v>
      </c>
      <c r="BD15" s="105">
        <f t="shared" si="2"/>
        <v>0</v>
      </c>
    </row>
    <row r="16" spans="1:56" ht="20.25" customHeight="1" thickBot="1" x14ac:dyDescent="0.3">
      <c r="A16" s="18"/>
      <c r="D16" s="19" t="str">
        <f>"How many "&amp;IF(AI_Project_Type="","",LOWER(AI_Project_Type))&amp;" residential connections does your system contain?"</f>
        <v>How many  residential connections does your system contain?</v>
      </c>
      <c r="E16" s="106"/>
      <c r="F16" s="219" t="str">
        <f>IF(AI_Project_Type="","Enter number for the applicable water / wastewater system, depending on your application's project (DW or WW).","")</f>
        <v>Enter number for the applicable water / wastewater system, depending on your application's project (DW or WW).</v>
      </c>
      <c r="G16" s="219"/>
      <c r="H16" s="219"/>
      <c r="I16" s="219"/>
      <c r="AA16" s="78" t="s">
        <v>764</v>
      </c>
      <c r="AD16" s="58" t="s">
        <v>696</v>
      </c>
      <c r="AE16" s="59">
        <v>89</v>
      </c>
      <c r="AJ16" s="150">
        <f t="shared" si="3"/>
        <v>12</v>
      </c>
      <c r="AK16" s="150">
        <f>IF(AC_Chart_Background_Data[[#This Row],[X]] &lt; EFC_70P-EFC_50P, EFC_50P, MAX(EFC_70P-AC_Chart_Background_Data[[#This Row],[X]],0))</f>
        <v>89</v>
      </c>
      <c r="AL16" s="150">
        <f>IF(AC_Chart_Background_Data[[#This Row],[X]] &lt; EFC_85P-EFC_70P, EFC_70P, MAX(EFC_85P-AC_Chart_Background_Data[[#This Row],[X]],0))</f>
        <v>107</v>
      </c>
      <c r="AM16" s="150">
        <f>IF(AC_Chart_Background_Data[[#This Row],[X]] &lt; EFC_95P-EFC_85P, EFC_85P, MAX(EFC_95P-AC_Chart_Background_Data[[#This Row],[X]],0))</f>
        <v>126</v>
      </c>
      <c r="AN16" s="150">
        <f>IF(AC_Chart_Background_Data[[#This Row],[X]] &lt; EFC_99P-EFC_95P, EFC_95P, MAX(EFC_99P-AC_Chart_Background_Data[[#This Row],[X]],0))</f>
        <v>145</v>
      </c>
      <c r="AO16" s="150">
        <f t="shared" si="0"/>
        <v>170</v>
      </c>
      <c r="AQ16" s="144">
        <v>12</v>
      </c>
      <c r="AR16" s="144">
        <v>89</v>
      </c>
      <c r="AS16" s="144">
        <v>107</v>
      </c>
      <c r="AT16" s="144">
        <v>126</v>
      </c>
      <c r="AU16" s="144">
        <v>145</v>
      </c>
      <c r="AV16" s="144">
        <v>170</v>
      </c>
      <c r="AW16" s="8"/>
      <c r="AX16" s="102">
        <v>142.82</v>
      </c>
      <c r="AY16" s="103">
        <v>41691</v>
      </c>
      <c r="AZ16" s="104">
        <f t="shared" si="1"/>
        <v>0</v>
      </c>
      <c r="BA16" s="8"/>
      <c r="BB16" s="102">
        <v>93.13</v>
      </c>
      <c r="BC16" s="103">
        <v>7242</v>
      </c>
      <c r="BD16" s="105">
        <f t="shared" si="2"/>
        <v>0</v>
      </c>
    </row>
    <row r="17" spans="1:56" ht="23.25" customHeight="1" thickBot="1" x14ac:dyDescent="0.3">
      <c r="A17" s="220"/>
      <c r="B17" s="221"/>
      <c r="C17" s="221"/>
      <c r="D17" s="221"/>
      <c r="E17" s="222"/>
      <c r="F17" s="219"/>
      <c r="G17" s="219"/>
      <c r="H17" s="219"/>
      <c r="I17" s="219"/>
      <c r="AA17" s="78"/>
      <c r="AB17" s="8"/>
      <c r="AC17" s="8"/>
      <c r="AD17" s="61" t="s">
        <v>697</v>
      </c>
      <c r="AE17" s="62">
        <v>107</v>
      </c>
      <c r="AJ17" s="150">
        <f t="shared" si="3"/>
        <v>13</v>
      </c>
      <c r="AK17" s="150">
        <f>IF(AC_Chart_Background_Data[[#This Row],[X]] &lt; EFC_70P-EFC_50P, EFC_50P, MAX(EFC_70P-AC_Chart_Background_Data[[#This Row],[X]],0))</f>
        <v>89</v>
      </c>
      <c r="AL17" s="150">
        <f>IF(AC_Chart_Background_Data[[#This Row],[X]] &lt; EFC_85P-EFC_70P, EFC_70P, MAX(EFC_85P-AC_Chart_Background_Data[[#This Row],[X]],0))</f>
        <v>107</v>
      </c>
      <c r="AM17" s="150">
        <f>IF(AC_Chart_Background_Data[[#This Row],[X]] &lt; EFC_95P-EFC_85P, EFC_85P, MAX(EFC_95P-AC_Chart_Background_Data[[#This Row],[X]],0))</f>
        <v>126</v>
      </c>
      <c r="AN17" s="150">
        <f>IF(AC_Chart_Background_Data[[#This Row],[X]] &lt; EFC_99P-EFC_95P, EFC_95P, MAX(EFC_99P-AC_Chart_Background_Data[[#This Row],[X]],0))</f>
        <v>145</v>
      </c>
      <c r="AO17" s="150">
        <f t="shared" si="0"/>
        <v>170</v>
      </c>
      <c r="AQ17" s="144">
        <v>13</v>
      </c>
      <c r="AR17" s="144">
        <v>89</v>
      </c>
      <c r="AS17" s="144">
        <v>107</v>
      </c>
      <c r="AT17" s="144">
        <v>126</v>
      </c>
      <c r="AU17" s="144">
        <v>145</v>
      </c>
      <c r="AV17" s="144">
        <v>170</v>
      </c>
      <c r="AW17" s="8"/>
      <c r="AX17" s="102">
        <v>163.75</v>
      </c>
      <c r="AY17" s="103">
        <v>6159</v>
      </c>
      <c r="AZ17" s="104">
        <f t="shared" si="1"/>
        <v>0</v>
      </c>
      <c r="BA17" s="8"/>
      <c r="BB17" s="102">
        <v>64.25</v>
      </c>
      <c r="BC17" s="103">
        <v>330</v>
      </c>
      <c r="BD17" s="105">
        <f t="shared" si="2"/>
        <v>0</v>
      </c>
    </row>
    <row r="18" spans="1:56" ht="19.5" customHeight="1" thickBot="1" x14ac:dyDescent="0.35">
      <c r="A18" s="10"/>
      <c r="AA18" s="78" t="s">
        <v>705</v>
      </c>
      <c r="AB18" s="8"/>
      <c r="AC18" s="14"/>
      <c r="AD18" s="61" t="s">
        <v>698</v>
      </c>
      <c r="AE18" s="62">
        <v>126</v>
      </c>
      <c r="AJ18" s="150">
        <f t="shared" si="3"/>
        <v>14</v>
      </c>
      <c r="AK18" s="150">
        <f>IF(AC_Chart_Background_Data[[#This Row],[X]] &lt; EFC_70P-EFC_50P, EFC_50P, MAX(EFC_70P-AC_Chart_Background_Data[[#This Row],[X]],0))</f>
        <v>89</v>
      </c>
      <c r="AL18" s="150">
        <f>IF(AC_Chart_Background_Data[[#This Row],[X]] &lt; EFC_85P-EFC_70P, EFC_70P, MAX(EFC_85P-AC_Chart_Background_Data[[#This Row],[X]],0))</f>
        <v>107</v>
      </c>
      <c r="AM18" s="150">
        <f>IF(AC_Chart_Background_Data[[#This Row],[X]] &lt; EFC_95P-EFC_85P, EFC_85P, MAX(EFC_95P-AC_Chart_Background_Data[[#This Row],[X]],0))</f>
        <v>126</v>
      </c>
      <c r="AN18" s="150">
        <f>IF(AC_Chart_Background_Data[[#This Row],[X]] &lt; EFC_99P-EFC_95P, EFC_95P, MAX(EFC_99P-AC_Chart_Background_Data[[#This Row],[X]],0))</f>
        <v>145</v>
      </c>
      <c r="AO18" s="150">
        <f t="shared" si="0"/>
        <v>170</v>
      </c>
      <c r="AQ18" s="144">
        <v>14</v>
      </c>
      <c r="AR18" s="144">
        <v>89</v>
      </c>
      <c r="AS18" s="144">
        <v>107</v>
      </c>
      <c r="AT18" s="144">
        <v>126</v>
      </c>
      <c r="AU18" s="144">
        <v>145</v>
      </c>
      <c r="AV18" s="144">
        <v>170</v>
      </c>
      <c r="AW18" s="8"/>
      <c r="AX18" s="102">
        <v>113.39</v>
      </c>
      <c r="AY18" s="103">
        <v>21438</v>
      </c>
      <c r="AZ18" s="104">
        <f t="shared" si="1"/>
        <v>0</v>
      </c>
      <c r="BA18" s="8"/>
      <c r="BB18" s="102">
        <v>53.5</v>
      </c>
      <c r="BC18" s="103">
        <v>602</v>
      </c>
      <c r="BD18" s="105">
        <f t="shared" si="2"/>
        <v>0</v>
      </c>
    </row>
    <row r="19" spans="1:56" ht="18.75" customHeight="1" x14ac:dyDescent="0.3">
      <c r="A19" s="16" t="s">
        <v>725</v>
      </c>
      <c r="B19" s="17"/>
      <c r="C19" s="17"/>
      <c r="D19" s="21"/>
      <c r="E19" s="21"/>
      <c r="F19" s="17"/>
      <c r="G19" s="17"/>
      <c r="H19" s="17"/>
      <c r="I19" s="22"/>
      <c r="AA19" s="78" t="s">
        <v>707</v>
      </c>
      <c r="AB19" s="20"/>
      <c r="AC19" s="14"/>
      <c r="AD19" s="61" t="s">
        <v>699</v>
      </c>
      <c r="AE19" s="62">
        <v>145</v>
      </c>
      <c r="AJ19" s="150">
        <f t="shared" si="3"/>
        <v>15</v>
      </c>
      <c r="AK19" s="150">
        <f>IF(AC_Chart_Background_Data[[#This Row],[X]] &lt; EFC_70P-EFC_50P, EFC_50P, MAX(EFC_70P-AC_Chart_Background_Data[[#This Row],[X]],0))</f>
        <v>89</v>
      </c>
      <c r="AL19" s="150">
        <f>IF(AC_Chart_Background_Data[[#This Row],[X]] &lt; EFC_85P-EFC_70P, EFC_70P, MAX(EFC_85P-AC_Chart_Background_Data[[#This Row],[X]],0))</f>
        <v>107</v>
      </c>
      <c r="AM19" s="150">
        <f>IF(AC_Chart_Background_Data[[#This Row],[X]] &lt; EFC_95P-EFC_85P, EFC_85P, MAX(EFC_95P-AC_Chart_Background_Data[[#This Row],[X]],0))</f>
        <v>126</v>
      </c>
      <c r="AN19" s="150">
        <f>IF(AC_Chart_Background_Data[[#This Row],[X]] &lt; EFC_99P-EFC_95P, EFC_95P, MAX(EFC_99P-AC_Chart_Background_Data[[#This Row],[X]],0))</f>
        <v>145</v>
      </c>
      <c r="AO19" s="150">
        <f t="shared" si="0"/>
        <v>170</v>
      </c>
      <c r="AQ19" s="144">
        <v>15</v>
      </c>
      <c r="AR19" s="144">
        <v>89</v>
      </c>
      <c r="AS19" s="144">
        <v>107</v>
      </c>
      <c r="AT19" s="144">
        <v>126</v>
      </c>
      <c r="AU19" s="144">
        <v>145</v>
      </c>
      <c r="AV19" s="144">
        <v>170</v>
      </c>
      <c r="AW19" s="8"/>
      <c r="AX19" s="102">
        <v>103.8</v>
      </c>
      <c r="AY19" s="103">
        <v>146</v>
      </c>
      <c r="AZ19" s="104">
        <f t="shared" si="1"/>
        <v>0</v>
      </c>
      <c r="BA19" s="8"/>
      <c r="BB19" s="102">
        <v>78.400000000000006</v>
      </c>
      <c r="BC19" s="103">
        <v>16439</v>
      </c>
      <c r="BD19" s="105">
        <f t="shared" si="2"/>
        <v>0</v>
      </c>
    </row>
    <row r="20" spans="1:56" ht="48" customHeight="1" thickBot="1" x14ac:dyDescent="0.3">
      <c r="A20" s="229" t="s">
        <v>855</v>
      </c>
      <c r="B20" s="230"/>
      <c r="C20" s="230"/>
      <c r="D20" s="230"/>
      <c r="E20" s="230"/>
      <c r="F20" s="230"/>
      <c r="G20" s="230"/>
      <c r="H20" s="230"/>
      <c r="I20" s="231"/>
      <c r="AD20" s="64" t="s">
        <v>701</v>
      </c>
      <c r="AE20" s="65">
        <v>166</v>
      </c>
      <c r="AJ20" s="150">
        <f t="shared" si="3"/>
        <v>16</v>
      </c>
      <c r="AK20" s="150">
        <f>IF(AC_Chart_Background_Data[[#This Row],[X]] &lt; EFC_70P-EFC_50P, EFC_50P, MAX(EFC_70P-AC_Chart_Background_Data[[#This Row],[X]],0))</f>
        <v>89</v>
      </c>
      <c r="AL20" s="150">
        <f>IF(AC_Chart_Background_Data[[#This Row],[X]] &lt; EFC_85P-EFC_70P, EFC_70P, MAX(EFC_85P-AC_Chart_Background_Data[[#This Row],[X]],0))</f>
        <v>107</v>
      </c>
      <c r="AM20" s="150">
        <f>IF(AC_Chart_Background_Data[[#This Row],[X]] &lt; EFC_95P-EFC_85P, EFC_85P, MAX(EFC_95P-AC_Chart_Background_Data[[#This Row],[X]],0))</f>
        <v>126</v>
      </c>
      <c r="AN20" s="150">
        <f>IF(AC_Chart_Background_Data[[#This Row],[X]] &lt; EFC_99P-EFC_95P, EFC_95P, MAX(EFC_99P-AC_Chart_Background_Data[[#This Row],[X]],0))</f>
        <v>145</v>
      </c>
      <c r="AO20" s="150">
        <f t="shared" si="0"/>
        <v>170</v>
      </c>
      <c r="AQ20" s="144">
        <v>16</v>
      </c>
      <c r="AR20" s="144">
        <v>89</v>
      </c>
      <c r="AS20" s="144">
        <v>107</v>
      </c>
      <c r="AT20" s="144">
        <v>126</v>
      </c>
      <c r="AU20" s="144">
        <v>145</v>
      </c>
      <c r="AV20" s="144">
        <v>170</v>
      </c>
      <c r="AW20" s="8"/>
      <c r="AX20" s="102">
        <v>130</v>
      </c>
      <c r="AY20" s="103">
        <v>12398</v>
      </c>
      <c r="AZ20" s="104">
        <f t="shared" si="1"/>
        <v>0</v>
      </c>
      <c r="BA20" s="8"/>
      <c r="BB20" s="102">
        <v>88.02</v>
      </c>
      <c r="BC20" s="103">
        <v>6761</v>
      </c>
      <c r="BD20" s="105">
        <f t="shared" si="2"/>
        <v>0</v>
      </c>
    </row>
    <row r="21" spans="1:56" ht="15.75" customHeight="1" thickBot="1" x14ac:dyDescent="0.3">
      <c r="A21" s="188" t="s">
        <v>849</v>
      </c>
      <c r="B21" s="24" t="s">
        <v>774</v>
      </c>
      <c r="C21" s="24" t="s">
        <v>775</v>
      </c>
      <c r="D21" s="24" t="s">
        <v>776</v>
      </c>
      <c r="E21" s="24" t="s">
        <v>777</v>
      </c>
      <c r="F21" s="25"/>
      <c r="G21" s="25"/>
      <c r="H21" s="25"/>
      <c r="I21" s="23"/>
      <c r="AA21" s="78" t="s">
        <v>764</v>
      </c>
      <c r="AJ21" s="150">
        <f t="shared" si="3"/>
        <v>17</v>
      </c>
      <c r="AK21" s="150">
        <f>IF(AC_Chart_Background_Data[[#This Row],[X]] &lt; EFC_70P-EFC_50P, EFC_50P, MAX(EFC_70P-AC_Chart_Background_Data[[#This Row],[X]],0))</f>
        <v>89</v>
      </c>
      <c r="AL21" s="150">
        <f>IF(AC_Chart_Background_Data[[#This Row],[X]] &lt; EFC_85P-EFC_70P, EFC_70P, MAX(EFC_85P-AC_Chart_Background_Data[[#This Row],[X]],0))</f>
        <v>107</v>
      </c>
      <c r="AM21" s="150">
        <f>IF(AC_Chart_Background_Data[[#This Row],[X]] &lt; EFC_95P-EFC_85P, EFC_85P, MAX(EFC_95P-AC_Chart_Background_Data[[#This Row],[X]],0))</f>
        <v>126</v>
      </c>
      <c r="AN21" s="150">
        <f>IF(AC_Chart_Background_Data[[#This Row],[X]] &lt; EFC_99P-EFC_95P, EFC_95P, MAX(EFC_99P-AC_Chart_Background_Data[[#This Row],[X]],0))</f>
        <v>145</v>
      </c>
      <c r="AO21" s="150">
        <f t="shared" si="0"/>
        <v>170</v>
      </c>
      <c r="AQ21" s="144">
        <v>17</v>
      </c>
      <c r="AR21" s="144">
        <v>89</v>
      </c>
      <c r="AS21" s="144">
        <v>107</v>
      </c>
      <c r="AT21" s="144">
        <v>126</v>
      </c>
      <c r="AU21" s="144">
        <v>145</v>
      </c>
      <c r="AV21" s="144">
        <v>170</v>
      </c>
      <c r="AW21" s="8"/>
      <c r="AX21" s="102">
        <v>133.75</v>
      </c>
      <c r="AY21" s="103">
        <v>5600</v>
      </c>
      <c r="AZ21" s="104">
        <f t="shared" si="1"/>
        <v>0</v>
      </c>
      <c r="BA21" s="8"/>
      <c r="BB21" s="102">
        <v>102.81</v>
      </c>
      <c r="BC21" s="103">
        <v>7978</v>
      </c>
      <c r="BD21" s="105">
        <f t="shared" si="2"/>
        <v>0</v>
      </c>
    </row>
    <row r="22" spans="1:56" ht="20.25" customHeight="1" thickBot="1" x14ac:dyDescent="0.3">
      <c r="A22" s="26" t="s">
        <v>743</v>
      </c>
      <c r="B22" s="1" t="str">
        <f>IFERROR(VLOOKUP(AI_Applicant,Economic_Unit_Names,1,FALSE),"")</f>
        <v/>
      </c>
      <c r="C22" s="2"/>
      <c r="D22" s="2"/>
      <c r="E22" s="3"/>
      <c r="F22" s="27" t="s">
        <v>726</v>
      </c>
      <c r="G22" s="28"/>
      <c r="H22" s="223" t="s">
        <v>727</v>
      </c>
      <c r="I22" s="226" t="s">
        <v>728</v>
      </c>
      <c r="AA22" s="78"/>
      <c r="AD22" s="264" t="s">
        <v>703</v>
      </c>
      <c r="AE22" s="239" t="s">
        <v>758</v>
      </c>
      <c r="AF22" s="239" t="s">
        <v>704</v>
      </c>
      <c r="AG22" s="239" t="s">
        <v>759</v>
      </c>
      <c r="AH22" s="268" t="s">
        <v>704</v>
      </c>
      <c r="AI22" s="146"/>
      <c r="AJ22" s="150">
        <f t="shared" si="3"/>
        <v>18</v>
      </c>
      <c r="AK22" s="151">
        <f>IF(AC_Chart_Background_Data[[#This Row],[X]] &lt; EFC_70P-EFC_50P, EFC_50P, MAX(EFC_70P-AC_Chart_Background_Data[[#This Row],[X]],0))</f>
        <v>89</v>
      </c>
      <c r="AL22" s="151">
        <f>IF(AC_Chart_Background_Data[[#This Row],[X]] &lt; EFC_85P-EFC_70P, EFC_70P, MAX(EFC_85P-AC_Chart_Background_Data[[#This Row],[X]],0))</f>
        <v>107</v>
      </c>
      <c r="AM22" s="151">
        <f>IF(AC_Chart_Background_Data[[#This Row],[X]] &lt; EFC_95P-EFC_85P, EFC_85P, MAX(EFC_95P-AC_Chart_Background_Data[[#This Row],[X]],0))</f>
        <v>126</v>
      </c>
      <c r="AN22" s="151">
        <f>IF(AC_Chart_Background_Data[[#This Row],[X]] &lt; EFC_99P-EFC_95P, EFC_95P, MAX(EFC_99P-AC_Chart_Background_Data[[#This Row],[X]],0))</f>
        <v>145</v>
      </c>
      <c r="AO22" s="151">
        <f t="shared" si="0"/>
        <v>170</v>
      </c>
      <c r="AP22" s="146"/>
      <c r="AQ22" s="153">
        <v>18</v>
      </c>
      <c r="AR22" s="153">
        <v>89</v>
      </c>
      <c r="AS22" s="153">
        <v>107</v>
      </c>
      <c r="AT22" s="153">
        <v>126</v>
      </c>
      <c r="AU22" s="153">
        <v>145</v>
      </c>
      <c r="AV22" s="153">
        <v>170</v>
      </c>
      <c r="AW22" s="8"/>
      <c r="AX22" s="102">
        <v>107.3</v>
      </c>
      <c r="AY22" s="103">
        <v>1497</v>
      </c>
      <c r="AZ22" s="104">
        <f t="shared" si="1"/>
        <v>0</v>
      </c>
      <c r="BA22" s="8"/>
      <c r="BB22" s="102">
        <v>117.1</v>
      </c>
      <c r="BC22" s="103">
        <v>948</v>
      </c>
      <c r="BD22" s="105">
        <f t="shared" si="2"/>
        <v>0</v>
      </c>
    </row>
    <row r="23" spans="1:56" ht="21.75" customHeight="1" thickBot="1" x14ac:dyDescent="0.3">
      <c r="A23" s="29" t="s">
        <v>729</v>
      </c>
      <c r="B23" s="107">
        <v>1</v>
      </c>
      <c r="C23" s="107"/>
      <c r="D23" s="120"/>
      <c r="E23" s="108"/>
      <c r="F23" s="30" cm="1">
        <f t="array" ref="F23">IF((AND(B23:E23="")), "", (IF(SUM(B23:E23) &lt;&gt;1, "Error: Total must equal 100%.", 1)))</f>
        <v>1</v>
      </c>
      <c r="G23" s="31"/>
      <c r="H23" s="224"/>
      <c r="I23" s="227"/>
      <c r="AA23" s="78" t="s">
        <v>700</v>
      </c>
      <c r="AD23" s="265"/>
      <c r="AE23" s="240"/>
      <c r="AF23" s="240"/>
      <c r="AG23" s="240"/>
      <c r="AH23" s="269"/>
      <c r="AI23" s="146"/>
      <c r="AJ23" s="150">
        <f t="shared" si="3"/>
        <v>19</v>
      </c>
      <c r="AK23" s="151">
        <f>IF(AC_Chart_Background_Data[[#This Row],[X]] &lt; EFC_70P-EFC_50P, EFC_50P, MAX(EFC_70P-AC_Chart_Background_Data[[#This Row],[X]],0))</f>
        <v>88</v>
      </c>
      <c r="AL23" s="151">
        <f>IF(AC_Chart_Background_Data[[#This Row],[X]] &lt; EFC_85P-EFC_70P, EFC_70P, MAX(EFC_85P-AC_Chart_Background_Data[[#This Row],[X]],0))</f>
        <v>107</v>
      </c>
      <c r="AM23" s="151">
        <f>IF(AC_Chart_Background_Data[[#This Row],[X]] &lt; EFC_95P-EFC_85P, EFC_85P, MAX(EFC_95P-AC_Chart_Background_Data[[#This Row],[X]],0))</f>
        <v>126</v>
      </c>
      <c r="AN23" s="151">
        <f>IF(AC_Chart_Background_Data[[#This Row],[X]] &lt; EFC_99P-EFC_95P, EFC_95P, MAX(EFC_99P-AC_Chart_Background_Data[[#This Row],[X]],0))</f>
        <v>145</v>
      </c>
      <c r="AO23" s="151">
        <f t="shared" si="0"/>
        <v>170</v>
      </c>
      <c r="AP23" s="146"/>
      <c r="AQ23" s="153">
        <v>19</v>
      </c>
      <c r="AR23" s="153">
        <v>88</v>
      </c>
      <c r="AS23" s="153">
        <v>107</v>
      </c>
      <c r="AT23" s="153">
        <v>126</v>
      </c>
      <c r="AU23" s="153">
        <v>145</v>
      </c>
      <c r="AV23" s="153">
        <v>170</v>
      </c>
      <c r="AW23" s="8"/>
      <c r="AX23" s="102">
        <v>58.75</v>
      </c>
      <c r="AY23" s="103">
        <v>9185</v>
      </c>
      <c r="AZ23" s="104">
        <f t="shared" si="1"/>
        <v>0</v>
      </c>
      <c r="BA23" s="8"/>
      <c r="BB23" s="102">
        <v>182.5</v>
      </c>
      <c r="BC23" s="103">
        <v>112</v>
      </c>
      <c r="BD23" s="105">
        <f t="shared" si="2"/>
        <v>0</v>
      </c>
    </row>
    <row r="24" spans="1:56" ht="18" customHeight="1" x14ac:dyDescent="0.25">
      <c r="A24" s="178" t="str">
        <f>IF(AI_Pop._Source=1,"Population (2019)-OSBM",IF(AI_Pop._Source=2,"Population (2019)-ACS",""))</f>
        <v>Population (2019)-OSBM</v>
      </c>
      <c r="B24" s="4" t="str" cm="1">
        <f t="array" aca="1" ref="B24" ca="1">IFERROR(_xlfn.XLOOKUP(B$22,DataTable_Economic[LGU],INDIRECT("DataTable_Economic[" &amp; $A24 &amp; "]"),"",0,1),"")</f>
        <v/>
      </c>
      <c r="C24" s="4" t="str" cm="1">
        <f t="array" aca="1" ref="C24" ca="1">IFERROR(_xlfn.XLOOKUP(C$22,DataTable_Economic[LGU],INDIRECT("DataTable_Economic[" &amp; $A24 &amp; "]"),"",0,1),"")</f>
        <v/>
      </c>
      <c r="D24" s="4" t="str" cm="1">
        <f t="array" aca="1" ref="D24" ca="1">IFERROR(_xlfn.XLOOKUP(D$22,DataTable_Economic[LGU],INDIRECT("DataTable_Economic[" &amp; $A24 &amp; "]"),"",0,1),"")</f>
        <v/>
      </c>
      <c r="E24" s="4" t="str" cm="1">
        <f t="array" aca="1" ref="E24" ca="1">IFERROR(_xlfn.XLOOKUP(E$22,DataTable_Economic[LGU],INDIRECT("DataTable_Economic[" &amp; $A24 &amp; "]"),"",0,1),"")</f>
        <v/>
      </c>
      <c r="F24" s="180"/>
      <c r="G24" s="181"/>
      <c r="H24" s="224"/>
      <c r="I24" s="227"/>
      <c r="AA24" s="78" t="s">
        <v>702</v>
      </c>
      <c r="AD24" s="265"/>
      <c r="AE24" s="240"/>
      <c r="AF24" s="240"/>
      <c r="AG24" s="240"/>
      <c r="AH24" s="269"/>
      <c r="AI24" s="146"/>
      <c r="AJ24" s="150">
        <f t="shared" si="3"/>
        <v>20</v>
      </c>
      <c r="AK24" s="151">
        <f>IF(AC_Chart_Background_Data[[#This Row],[X]] &lt; EFC_70P-EFC_50P, EFC_50P, MAX(EFC_70P-AC_Chart_Background_Data[[#This Row],[X]],0))</f>
        <v>87</v>
      </c>
      <c r="AL24" s="151">
        <f>IF(AC_Chart_Background_Data[[#This Row],[X]] &lt; EFC_85P-EFC_70P, EFC_70P, MAX(EFC_85P-AC_Chart_Background_Data[[#This Row],[X]],0))</f>
        <v>106</v>
      </c>
      <c r="AM24" s="151">
        <f>IF(AC_Chart_Background_Data[[#This Row],[X]] &lt; EFC_95P-EFC_85P, EFC_85P, MAX(EFC_95P-AC_Chart_Background_Data[[#This Row],[X]],0))</f>
        <v>125</v>
      </c>
      <c r="AN24" s="151">
        <f>IF(AC_Chart_Background_Data[[#This Row],[X]] &lt; EFC_99P-EFC_95P, EFC_95P, MAX(EFC_99P-AC_Chart_Background_Data[[#This Row],[X]],0))</f>
        <v>145</v>
      </c>
      <c r="AO24" s="151">
        <f t="shared" si="0"/>
        <v>170</v>
      </c>
      <c r="AP24" s="146"/>
      <c r="AQ24" s="153">
        <v>20</v>
      </c>
      <c r="AR24" s="153">
        <v>87</v>
      </c>
      <c r="AS24" s="153">
        <v>106</v>
      </c>
      <c r="AT24" s="153">
        <v>125</v>
      </c>
      <c r="AU24" s="153">
        <v>145</v>
      </c>
      <c r="AV24" s="153">
        <v>170</v>
      </c>
      <c r="AW24" s="8"/>
      <c r="AX24" s="102">
        <v>130</v>
      </c>
      <c r="AY24" s="103">
        <v>12398</v>
      </c>
      <c r="AZ24" s="104">
        <f t="shared" si="1"/>
        <v>0</v>
      </c>
      <c r="BA24" s="8"/>
      <c r="BB24" s="102">
        <v>94.7</v>
      </c>
      <c r="BC24" s="103">
        <v>1193</v>
      </c>
      <c r="BD24" s="105">
        <f t="shared" si="2"/>
        <v>0</v>
      </c>
    </row>
    <row r="25" spans="1:56" ht="18" customHeight="1" thickBot="1" x14ac:dyDescent="0.3">
      <c r="A25" s="179" t="str">
        <f>IF(AI_Pop._Source=1,"Population (2023)-OSBM",IF(AI_Pop._Source=2,"Population (2023)-ACS",""))</f>
        <v>Population (2023)-OSBM</v>
      </c>
      <c r="B25" s="4" t="str" cm="1">
        <f t="array" aca="1" ref="B25" ca="1">IFERROR(_xlfn.XLOOKUP(B$22,DataTable_Economic[LGU],INDIRECT("DataTable_Economic[" &amp; $A25 &amp; "]"),"",0,1),"")</f>
        <v/>
      </c>
      <c r="C25" s="4" t="str" cm="1">
        <f t="array" aca="1" ref="C25" ca="1">IFERROR(_xlfn.XLOOKUP(C$22,DataTable_Economic[LGU],INDIRECT("DataTable_Economic[" &amp; $A25 &amp; "]"),"",0,1),"")</f>
        <v/>
      </c>
      <c r="D25" s="4" t="str" cm="1">
        <f t="array" aca="1" ref="D25" ca="1">IFERROR(_xlfn.XLOOKUP(D$22,DataTable_Economic[LGU],INDIRECT("DataTable_Economic[" &amp; $A25 &amp; "]"),"",0,1),"")</f>
        <v/>
      </c>
      <c r="E25" s="4" t="str" cm="1">
        <f t="array" aca="1" ref="E25" ca="1">IFERROR(_xlfn.XLOOKUP(E$22,DataTable_Economic[LGU],INDIRECT("DataTable_Economic[" &amp; $A25 &amp; "]"),"",0,1),"")</f>
        <v/>
      </c>
      <c r="F25" s="182"/>
      <c r="G25" s="183"/>
      <c r="H25" s="225"/>
      <c r="I25" s="228"/>
      <c r="AD25" s="265"/>
      <c r="AE25" s="240"/>
      <c r="AF25" s="240"/>
      <c r="AG25" s="240"/>
      <c r="AH25" s="269"/>
      <c r="AI25" s="146"/>
      <c r="AJ25" s="150">
        <f t="shared" si="3"/>
        <v>21</v>
      </c>
      <c r="AK25" s="151">
        <f>IF(AC_Chart_Background_Data[[#This Row],[X]] &lt; EFC_70P-EFC_50P, EFC_50P, MAX(EFC_70P-AC_Chart_Background_Data[[#This Row],[X]],0))</f>
        <v>86</v>
      </c>
      <c r="AL25" s="151">
        <f>IF(AC_Chart_Background_Data[[#This Row],[X]] &lt; EFC_85P-EFC_70P, EFC_70P, MAX(EFC_85P-AC_Chart_Background_Data[[#This Row],[X]],0))</f>
        <v>105</v>
      </c>
      <c r="AM25" s="151">
        <f>IF(AC_Chart_Background_Data[[#This Row],[X]] &lt; EFC_95P-EFC_85P, EFC_85P, MAX(EFC_95P-AC_Chart_Background_Data[[#This Row],[X]],0))</f>
        <v>124</v>
      </c>
      <c r="AN25" s="151">
        <f>IF(AC_Chart_Background_Data[[#This Row],[X]] &lt; EFC_99P-EFC_95P, EFC_95P, MAX(EFC_99P-AC_Chart_Background_Data[[#This Row],[X]],0))</f>
        <v>145</v>
      </c>
      <c r="AO25" s="151">
        <f t="shared" si="0"/>
        <v>170</v>
      </c>
      <c r="AP25" s="146"/>
      <c r="AQ25" s="153">
        <v>21</v>
      </c>
      <c r="AR25" s="153">
        <v>86</v>
      </c>
      <c r="AS25" s="153">
        <v>105</v>
      </c>
      <c r="AT25" s="153">
        <v>124</v>
      </c>
      <c r="AU25" s="153">
        <v>145</v>
      </c>
      <c r="AV25" s="153">
        <v>170</v>
      </c>
      <c r="AW25" s="8"/>
      <c r="AX25" s="102">
        <v>93.5</v>
      </c>
      <c r="AY25" s="103">
        <v>214</v>
      </c>
      <c r="AZ25" s="104">
        <f t="shared" si="1"/>
        <v>0</v>
      </c>
      <c r="BA25" s="8"/>
      <c r="BB25" s="102">
        <v>90.41</v>
      </c>
      <c r="BC25" s="103">
        <v>90782</v>
      </c>
      <c r="BD25" s="105">
        <f t="shared" si="2"/>
        <v>0</v>
      </c>
    </row>
    <row r="26" spans="1:56" ht="18" customHeight="1" thickBot="1" x14ac:dyDescent="0.3">
      <c r="A26" s="32" t="str">
        <f>IF(AI_Pop._Source=1,"Pop. Change (%, 2019-2023)-OSBM",IF(AI_Pop._Source=2,"Pop. Change (%, 2019-2023)-ACS",""))</f>
        <v>Pop. Change (%, 2019-2023)-OSBM</v>
      </c>
      <c r="B26" s="185" t="str">
        <f ca="1">IF(OR(B24="",B25=""),"",(B25-B24)/B24*100)</f>
        <v/>
      </c>
      <c r="C26" s="185" t="str">
        <f ca="1">IF(OR(C24="",C25=""),"",(C25-C24)/C24*100)</f>
        <v/>
      </c>
      <c r="D26" s="185" t="str">
        <f ca="1">IF(OR(D24="",D25=""),"",(D25-D24)/D24*100)</f>
        <v/>
      </c>
      <c r="E26" s="185" t="str">
        <f ca="1">IF(OR(E24="",E25=""),"",(E25-E24)/E24*100)</f>
        <v/>
      </c>
      <c r="F26" s="186" t="str" cm="1">
        <f t="array" aca="1" ref="F26" ca="1" xml:space="preserve"> IF((AND(B24:E25="")),"",
       _xlfn.LET(_xlpm.Pop_old,IF($F$23=1, SUMPRODUCT(--ISNUMBER(B24:E24),$B$23:$E$23,B24:E24), ""),
           _xlpm.Pop_new,IF($F$23=1, SUMPRODUCT(--ISNUMBER(B25:E25),$B$23:$E$23,B25:E25), ""),
           (_xlpm.Pop_new-_xlpm.Pop_old)/_xlpm.Pop_old*100)
     )</f>
        <v/>
      </c>
      <c r="G26" s="33" t="str">
        <f>IF(ISNUMBER(SEARCH("change",A26,1)),"&lt;",
    IF(ISNUMBER(SEARCH("poverty",A26,1)),"&gt;",
       IF(ISNUMBER(SEARCH("unemployment",A26,1)),"&gt;",
          IF(ISNUMBER(SEARCH("income",A26,1)),"&lt;",
             IF(ISNUMBER(SEARCH("prop.",A26,1)),"&lt;","" )))))</f>
        <v>&lt;</v>
      </c>
      <c r="H26" s="138">
        <f>IF(RIGHT(A24,3)="ACS",SB_PCh_ACS,
     IF(RIGHT(A24,3)="SBM",SB_PCh_OSBM,""))</f>
        <v>4.4800000000000004</v>
      </c>
      <c r="I26" s="145" t="str" cm="1">
        <f t="array" aca="1" ref="I26" ca="1">IF(F26="", "",
           _xlfn.IFS(G26="&lt;",IF(F26&lt;H26, "Yes", "No"),
               G26="&gt;",IF(F26&gt;H26, "Yes", "No")))</f>
        <v/>
      </c>
      <c r="M26" s="187"/>
      <c r="AA26" s="184" t="s">
        <v>852</v>
      </c>
      <c r="AD26" s="266"/>
      <c r="AE26" s="241"/>
      <c r="AF26" s="241"/>
      <c r="AG26" s="241"/>
      <c r="AH26" s="270"/>
      <c r="AI26" s="146"/>
      <c r="AJ26" s="150">
        <f t="shared" si="3"/>
        <v>22</v>
      </c>
      <c r="AK26" s="151">
        <f>IF(AC_Chart_Background_Data[[#This Row],[X]] &lt; EFC_70P-EFC_50P, EFC_50P, MAX(EFC_70P-AC_Chart_Background_Data[[#This Row],[X]],0))</f>
        <v>85</v>
      </c>
      <c r="AL26" s="151">
        <f>IF(AC_Chart_Background_Data[[#This Row],[X]] &lt; EFC_85P-EFC_70P, EFC_70P, MAX(EFC_85P-AC_Chart_Background_Data[[#This Row],[X]],0))</f>
        <v>104</v>
      </c>
      <c r="AM26" s="151">
        <f>IF(AC_Chart_Background_Data[[#This Row],[X]] &lt; EFC_95P-EFC_85P, EFC_85P, MAX(EFC_95P-AC_Chart_Background_Data[[#This Row],[X]],0))</f>
        <v>123</v>
      </c>
      <c r="AN26" s="151">
        <f>IF(AC_Chart_Background_Data[[#This Row],[X]] &lt; EFC_99P-EFC_95P, EFC_95P, MAX(EFC_99P-AC_Chart_Background_Data[[#This Row],[X]],0))</f>
        <v>144</v>
      </c>
      <c r="AO26" s="151">
        <f t="shared" si="0"/>
        <v>170</v>
      </c>
      <c r="AP26" s="146"/>
      <c r="AQ26" s="153">
        <v>22</v>
      </c>
      <c r="AR26" s="153">
        <v>85</v>
      </c>
      <c r="AS26" s="153">
        <v>104</v>
      </c>
      <c r="AT26" s="153">
        <v>123</v>
      </c>
      <c r="AU26" s="153">
        <v>144</v>
      </c>
      <c r="AV26" s="153">
        <v>170</v>
      </c>
      <c r="AW26" s="8"/>
      <c r="AX26" s="102">
        <v>107.5</v>
      </c>
      <c r="AY26" s="103">
        <v>304</v>
      </c>
      <c r="AZ26" s="104">
        <f t="shared" si="1"/>
        <v>0</v>
      </c>
      <c r="BA26" s="8"/>
      <c r="BB26" s="102">
        <v>108</v>
      </c>
      <c r="BC26" s="103">
        <v>306</v>
      </c>
      <c r="BD26" s="105">
        <f t="shared" si="2"/>
        <v>0</v>
      </c>
    </row>
    <row r="27" spans="1:56" ht="18" customHeight="1" x14ac:dyDescent="0.25">
      <c r="A27" s="32" t="str">
        <f>INDEX(DataTable_Economic[#Headers],1,6)</f>
        <v>Poverty Rate (%, 2023)</v>
      </c>
      <c r="B27" s="139" t="str" cm="1">
        <f t="array" aca="1" ref="B27" ca="1">IFERROR(_xlfn.XLOOKUP(B$22,DataTable_Economic[LGU],INDIRECT("DataTable_Economic[" &amp; $A27 &amp; "]"),"",0,1),"")</f>
        <v/>
      </c>
      <c r="C27" s="143" t="str" cm="1">
        <f t="array" aca="1" ref="C27" ca="1">IFERROR(_xlfn.XLOOKUP(C$22,DataTable_Economic[LGU],INDIRECT("DataTable_Economic[" &amp; $A27 &amp; "]"),"",0,1),"")</f>
        <v/>
      </c>
      <c r="D27" s="143" t="str" cm="1">
        <f t="array" aca="1" ref="D27" ca="1">IFERROR(_xlfn.XLOOKUP(D$22,DataTable_Economic[LGU],INDIRECT("DataTable_Economic[" &amp; $A27 &amp; "]"),"",0,1),"")</f>
        <v/>
      </c>
      <c r="E27" s="143" t="str" cm="1">
        <f t="array" aca="1" ref="E27" ca="1">IFERROR(_xlfn.XLOOKUP(E$22,DataTable_Economic[LGU],INDIRECT("DataTable_Economic[" &amp; $A27 &amp; "]"),"",0,1),"")</f>
        <v/>
      </c>
      <c r="F27" s="142" t="str" cm="1">
        <f t="array" aca="1" ref="F27" ca="1">IF((AND(B27:E27="")),"",(IF($F$23=1, SUMPRODUCT(--ISNUMBER(B27:E27),$B$23:$E$23,B27:E27), "")))</f>
        <v/>
      </c>
      <c r="G27" s="33" t="str">
        <f>IF(ISNUMBER(SEARCH("change",A27,1)),"&lt;",
    IF(ISNUMBER(SEARCH("poverty",A27,1)),"&gt;",
       IF(ISNUMBER(SEARCH("unemployment",A27,1)),"&gt;",
          IF(ISNUMBER(SEARCH("income",A27,1)),"&lt;",
             IF(ISNUMBER(SEARCH("prop.",A27,1)),"&lt;","" )))))</f>
        <v>&gt;</v>
      </c>
      <c r="H27" s="138">
        <f>SB_PR</f>
        <v>13.2</v>
      </c>
      <c r="I27" s="145" t="str" cm="1">
        <f t="array" aca="1" ref="I27" ca="1">IF(F27="", "",
           _xlfn.IFS(G27="&lt;",IF(F27&lt;H27, "Yes", "No"),
               G27="&gt;",IF(F27&gt;H27, "Yes", "No")))</f>
        <v/>
      </c>
      <c r="AA27" s="189">
        <v>1</v>
      </c>
      <c r="AD27" s="88" t="s">
        <v>706</v>
      </c>
      <c r="AE27" s="81" t="str">
        <f>"&gt; $"&amp;EFC_99P</f>
        <v>&gt; $166</v>
      </c>
      <c r="AF27" s="82">
        <v>1</v>
      </c>
      <c r="AG27" s="81" t="str">
        <f>"&gt; $"&amp;EFC_99P</f>
        <v>&gt; $166</v>
      </c>
      <c r="AH27" s="83">
        <v>1</v>
      </c>
      <c r="AI27" s="147"/>
      <c r="AJ27" s="150">
        <f t="shared" si="3"/>
        <v>23</v>
      </c>
      <c r="AK27" s="151">
        <f>IF(AC_Chart_Background_Data[[#This Row],[X]] &lt; EFC_70P-EFC_50P, EFC_50P, MAX(EFC_70P-AC_Chart_Background_Data[[#This Row],[X]],0))</f>
        <v>84</v>
      </c>
      <c r="AL27" s="151">
        <f>IF(AC_Chart_Background_Data[[#This Row],[X]] &lt; EFC_85P-EFC_70P, EFC_70P, MAX(EFC_85P-AC_Chart_Background_Data[[#This Row],[X]],0))</f>
        <v>103</v>
      </c>
      <c r="AM27" s="151">
        <f>IF(AC_Chart_Background_Data[[#This Row],[X]] &lt; EFC_95P-EFC_85P, EFC_85P, MAX(EFC_95P-AC_Chart_Background_Data[[#This Row],[X]],0))</f>
        <v>122</v>
      </c>
      <c r="AN27" s="151">
        <f>IF(AC_Chart_Background_Data[[#This Row],[X]] &lt; EFC_99P-EFC_95P, EFC_95P, MAX(EFC_99P-AC_Chart_Background_Data[[#This Row],[X]],0))</f>
        <v>143</v>
      </c>
      <c r="AO27" s="151">
        <f t="shared" si="0"/>
        <v>170</v>
      </c>
      <c r="AP27" s="147"/>
      <c r="AQ27" s="154">
        <v>23</v>
      </c>
      <c r="AR27" s="154">
        <v>84</v>
      </c>
      <c r="AS27" s="154">
        <v>103</v>
      </c>
      <c r="AT27" s="154">
        <v>122</v>
      </c>
      <c r="AU27" s="154">
        <v>143</v>
      </c>
      <c r="AV27" s="154">
        <v>170</v>
      </c>
      <c r="AW27" s="8"/>
      <c r="AX27" s="102">
        <v>34.96</v>
      </c>
      <c r="AY27" s="103">
        <v>1859</v>
      </c>
      <c r="AZ27" s="104">
        <f t="shared" si="1"/>
        <v>0</v>
      </c>
      <c r="BA27" s="8"/>
      <c r="BB27" s="102">
        <v>106.42</v>
      </c>
      <c r="BC27" s="103">
        <v>15395</v>
      </c>
      <c r="BD27" s="105">
        <f t="shared" si="2"/>
        <v>0</v>
      </c>
    </row>
    <row r="28" spans="1:56" ht="18" customHeight="1" x14ac:dyDescent="0.25">
      <c r="A28" s="32" t="str">
        <f>INDEX(DataTable_Economic[#Headers],1,7)</f>
        <v>Unemployment Rate (%, 2023)</v>
      </c>
      <c r="B28" s="169" t="str" cm="1">
        <f t="array" aca="1" ref="B28" ca="1">IFERROR(_xlfn.XLOOKUP(B$22,DataTable_Economic[LGU],INDIRECT("DataTable_Economic[" &amp; $A28 &amp; "]"),"",0,1),"")</f>
        <v/>
      </c>
      <c r="C28" s="169" t="str" cm="1">
        <f t="array" aca="1" ref="C28" ca="1">IFERROR(_xlfn.XLOOKUP(C$22,DataTable_Economic[LGU],INDIRECT("DataTable_Economic[" &amp; $A28 &amp; "]"),"",0,1),"")</f>
        <v/>
      </c>
      <c r="D28" s="169" t="str" cm="1">
        <f t="array" aca="1" ref="D28" ca="1">IFERROR(_xlfn.XLOOKUP(D$22,DataTable_Economic[LGU],INDIRECT("DataTable_Economic[" &amp; $A28 &amp; "]"),"",0,1),"")</f>
        <v/>
      </c>
      <c r="E28" s="169" t="str" cm="1">
        <f t="array" aca="1" ref="E28" ca="1">IFERROR(_xlfn.XLOOKUP(E$22,DataTable_Economic[LGU],INDIRECT("DataTable_Economic[" &amp; $A28 &amp; "]"),"",0,1),"")</f>
        <v/>
      </c>
      <c r="F28" s="190" t="str" cm="1">
        <f t="array" aca="1" ref="F28" ca="1">IF((AND(B28:E28="")),"",(IF($F$23=1, SUMPRODUCT(--ISNUMBER(B28:E28),$B$23:$E$23,B28:E28), "")))</f>
        <v/>
      </c>
      <c r="G28" s="33" t="str">
        <f>IF(ISNUMBER(SEARCH("change",A28,1)),"&lt;",
    IF(ISNUMBER(SEARCH("poverty",A28,1)),"&gt;",
       IF(ISNUMBER(SEARCH("unemployment",A28,1)),"&gt;",
          IF(ISNUMBER(SEARCH("income",A28,1)),"&lt;",
             IF(ISNUMBER(SEARCH("prop.",A28,1)),"&lt;","" )))))</f>
        <v>&gt;</v>
      </c>
      <c r="H28" s="138">
        <f>SB_UR</f>
        <v>3.49</v>
      </c>
      <c r="I28" s="145" t="str" cm="1">
        <f t="array" aca="1" ref="I28" ca="1">IF(F28="", "",
           _xlfn.IFS(G28="&lt;",IF(F28&lt;H28, "Yes", "No"),
               G28="&gt;",IF(F28&gt;H28, "Yes", "No")))</f>
        <v/>
      </c>
      <c r="AD28" s="89" t="s">
        <v>708</v>
      </c>
      <c r="AE28" s="68" t="str">
        <f>"$"&amp;EFC_95P&amp;" - $"&amp;EFC_99P</f>
        <v>$145 - $166</v>
      </c>
      <c r="AF28" s="69">
        <v>1</v>
      </c>
      <c r="AG28" s="68" t="str">
        <f>"$"&amp;EFC_95P&amp;" - $"&amp;EFC_99P</f>
        <v>$145 - $166</v>
      </c>
      <c r="AH28" s="70">
        <v>0.75</v>
      </c>
      <c r="AI28" s="147"/>
      <c r="AJ28" s="150">
        <f t="shared" si="3"/>
        <v>24</v>
      </c>
      <c r="AK28" s="151">
        <f>IF(AC_Chart_Background_Data[[#This Row],[X]] &lt; EFC_70P-EFC_50P, EFC_50P, MAX(EFC_70P-AC_Chart_Background_Data[[#This Row],[X]],0))</f>
        <v>83</v>
      </c>
      <c r="AL28" s="151">
        <f>IF(AC_Chart_Background_Data[[#This Row],[X]] &lt; EFC_85P-EFC_70P, EFC_70P, MAX(EFC_85P-AC_Chart_Background_Data[[#This Row],[X]],0))</f>
        <v>102</v>
      </c>
      <c r="AM28" s="151">
        <f>IF(AC_Chart_Background_Data[[#This Row],[X]] &lt; EFC_95P-EFC_85P, EFC_85P, MAX(EFC_95P-AC_Chart_Background_Data[[#This Row],[X]],0))</f>
        <v>121</v>
      </c>
      <c r="AN28" s="151">
        <f>IF(AC_Chart_Background_Data[[#This Row],[X]] &lt; EFC_99P-EFC_95P, EFC_95P, MAX(EFC_99P-AC_Chart_Background_Data[[#This Row],[X]],0))</f>
        <v>142</v>
      </c>
      <c r="AO28" s="151">
        <f t="shared" si="0"/>
        <v>170</v>
      </c>
      <c r="AP28" s="147"/>
      <c r="AQ28" s="154">
        <v>24</v>
      </c>
      <c r="AR28" s="154">
        <v>83</v>
      </c>
      <c r="AS28" s="154">
        <v>102</v>
      </c>
      <c r="AT28" s="154">
        <v>121</v>
      </c>
      <c r="AU28" s="154">
        <v>142</v>
      </c>
      <c r="AV28" s="154">
        <v>170</v>
      </c>
      <c r="AW28" s="8"/>
      <c r="AX28" s="102">
        <v>56.44</v>
      </c>
      <c r="AY28" s="103">
        <v>7836</v>
      </c>
      <c r="AZ28" s="104">
        <f t="shared" si="1"/>
        <v>0</v>
      </c>
      <c r="BA28" s="8"/>
      <c r="BB28" s="102">
        <v>70.83</v>
      </c>
      <c r="BC28" s="103">
        <v>183</v>
      </c>
      <c r="BD28" s="105">
        <f t="shared" si="2"/>
        <v>0</v>
      </c>
    </row>
    <row r="29" spans="1:56" ht="18" customHeight="1" x14ac:dyDescent="0.25">
      <c r="A29" s="32" t="str">
        <f>INDEX(DataTable_Economic[#Headers],1,8)</f>
        <v>Median Household Income (2023)</v>
      </c>
      <c r="B29" s="5" t="str" cm="1">
        <f t="array" aca="1" ref="B29" ca="1">IFERROR(_xlfn.XLOOKUP(B$22,DataTable_Economic[LGU],INDIRECT("DataTable_Economic[" &amp; $A29 &amp; "]"),"",0,1),"")</f>
        <v/>
      </c>
      <c r="C29" s="5" t="str" cm="1">
        <f t="array" aca="1" ref="C29" ca="1">IFERROR(_xlfn.XLOOKUP(C$22,DataTable_Economic[LGU],INDIRECT("DataTable_Economic[" &amp; $A29 &amp; "]"),"",0,1),"")</f>
        <v/>
      </c>
      <c r="D29" s="5" t="str" cm="1">
        <f t="array" aca="1" ref="D29" ca="1">IFERROR(_xlfn.XLOOKUP(D$22,DataTable_Economic[LGU],INDIRECT("DataTable_Economic[" &amp; $A29 &amp; "]"),"",0,1),"")</f>
        <v/>
      </c>
      <c r="E29" s="5" t="str" cm="1">
        <f t="array" aca="1" ref="E29" ca="1">IFERROR(_xlfn.XLOOKUP(E$22,DataTable_Economic[LGU],INDIRECT("DataTable_Economic[" &amp; $A29 &amp; "]"),"",0,1),"")</f>
        <v/>
      </c>
      <c r="F29" s="168" t="str" cm="1">
        <f t="array" aca="1" ref="F29" ca="1">IF((AND(B29:E29="")),"",(IF($F$23=1, SUMPRODUCT(--ISNUMBER(B29:E29),$B$23:$E$23,B29:E29), "")))</f>
        <v/>
      </c>
      <c r="G29" s="34" t="str">
        <f>IF(ISNUMBER(SEARCH("change",A29,1)),"&lt;",
    IF(ISNUMBER(SEARCH("poverty",A29,1)),"&gt;",
       IF(ISNUMBER(SEARCH("unemployment",A29,1)),"&gt;",
          IF(ISNUMBER(SEARCH("income",A29,1)),"&lt;",
             IF(ISNUMBER(SEARCH("prop.",A29,1)),"&lt;","" )))))</f>
        <v>&lt;</v>
      </c>
      <c r="H29" s="35">
        <f>SB_MHI</f>
        <v>69904</v>
      </c>
      <c r="I29" s="145" t="str" cm="1">
        <f t="array" aca="1" ref="I29" ca="1">IF(F29="", "",
           _xlfn.IFS(G29="&lt;",IF(F29&lt;H29, "Yes", "No"),
               G29="&gt;",IF(F29&gt;H29, "Yes", "No")))</f>
        <v/>
      </c>
      <c r="AD29" s="89" t="s">
        <v>709</v>
      </c>
      <c r="AE29" s="68" t="str">
        <f>"$"&amp;EFC_85P&amp;" - $"&amp;EFC_95P</f>
        <v>$126 - $145</v>
      </c>
      <c r="AF29" s="69">
        <v>0.75</v>
      </c>
      <c r="AG29" s="68" t="str">
        <f>"$"&amp;EFC_85P&amp;" - $"&amp;EFC_95P</f>
        <v>$126 - $145</v>
      </c>
      <c r="AH29" s="70">
        <v>0.5</v>
      </c>
      <c r="AI29" s="147"/>
      <c r="AJ29" s="150">
        <f t="shared" si="3"/>
        <v>25</v>
      </c>
      <c r="AK29" s="151">
        <f>IF(AC_Chart_Background_Data[[#This Row],[X]] &lt; EFC_70P-EFC_50P, EFC_50P, MAX(EFC_70P-AC_Chart_Background_Data[[#This Row],[X]],0))</f>
        <v>82</v>
      </c>
      <c r="AL29" s="151">
        <f>IF(AC_Chart_Background_Data[[#This Row],[X]] &lt; EFC_85P-EFC_70P, EFC_70P, MAX(EFC_85P-AC_Chart_Background_Data[[#This Row],[X]],0))</f>
        <v>101</v>
      </c>
      <c r="AM29" s="151">
        <f>IF(AC_Chart_Background_Data[[#This Row],[X]] &lt; EFC_95P-EFC_85P, EFC_85P, MAX(EFC_95P-AC_Chart_Background_Data[[#This Row],[X]],0))</f>
        <v>120</v>
      </c>
      <c r="AN29" s="151">
        <f>IF(AC_Chart_Background_Data[[#This Row],[X]] &lt; EFC_99P-EFC_95P, EFC_95P, MAX(EFC_99P-AC_Chart_Background_Data[[#This Row],[X]],0))</f>
        <v>141</v>
      </c>
      <c r="AO29" s="151">
        <f t="shared" si="0"/>
        <v>170</v>
      </c>
      <c r="AP29" s="147"/>
      <c r="AQ29" s="154">
        <v>25</v>
      </c>
      <c r="AR29" s="154">
        <v>82</v>
      </c>
      <c r="AS29" s="154">
        <v>101</v>
      </c>
      <c r="AT29" s="154">
        <v>120</v>
      </c>
      <c r="AU29" s="154">
        <v>141</v>
      </c>
      <c r="AV29" s="154">
        <v>170</v>
      </c>
      <c r="AW29" s="8"/>
      <c r="AX29" s="102">
        <v>82.78</v>
      </c>
      <c r="AY29" s="103">
        <v>473</v>
      </c>
      <c r="AZ29" s="104">
        <f t="shared" si="1"/>
        <v>0</v>
      </c>
      <c r="BA29" s="8"/>
      <c r="BB29" s="102">
        <v>34.549999999999997</v>
      </c>
      <c r="BC29" s="103">
        <v>77</v>
      </c>
      <c r="BD29" s="105">
        <f t="shared" si="2"/>
        <v>0</v>
      </c>
    </row>
    <row r="30" spans="1:56" ht="18" customHeight="1" x14ac:dyDescent="0.3">
      <c r="A30" s="32" t="str">
        <f>INDEX(DataTable_Economic[#Headers],1,9)</f>
        <v>Total Appraised Value (2023-2024)</v>
      </c>
      <c r="B30" s="5" t="str" cm="1">
        <f t="array" aca="1" ref="B30" ca="1">IFERROR(_xlfn.XLOOKUP(B$22,DataTable_Economic[LGU],INDIRECT("DataTable_Economic[" &amp; $A30 &amp; "]"),"",0,1),"")</f>
        <v/>
      </c>
      <c r="C30" s="5" t="str" cm="1">
        <f t="array" aca="1" ref="C30" ca="1">IFERROR(_xlfn.XLOOKUP(C$22,DataTable_Economic[LGU],INDIRECT("DataTable_Economic[" &amp; $A30 &amp; "]"),"",0,1),"")</f>
        <v/>
      </c>
      <c r="D30" s="5" t="str" cm="1">
        <f t="array" aca="1" ref="D30" ca="1">IFERROR(_xlfn.XLOOKUP(D$22,DataTable_Economic[LGU],INDIRECT("DataTable_Economic[" &amp; $A30 &amp; "]"),"",0,1),"")</f>
        <v/>
      </c>
      <c r="E30" s="5" t="str" cm="1">
        <f t="array" aca="1" ref="E30" ca="1">IFERROR(_xlfn.XLOOKUP(E$22,DataTable_Economic[LGU],INDIRECT("DataTable_Economic[" &amp; $A30 &amp; "]"),"",0,1),"")</f>
        <v/>
      </c>
      <c r="F30" s="36"/>
      <c r="G30" s="37"/>
      <c r="H30" s="38"/>
      <c r="I30" s="121" t="s">
        <v>718</v>
      </c>
      <c r="AD30" s="89" t="s">
        <v>710</v>
      </c>
      <c r="AE30" s="68" t="str">
        <f>"$"&amp;EFC_70P&amp;" - $"&amp;EFC_85P</f>
        <v>$107 - $126</v>
      </c>
      <c r="AF30" s="69">
        <v>0.5</v>
      </c>
      <c r="AG30" s="68" t="str">
        <f>"$"&amp;EFC_70P&amp;" - $"&amp;EFC_85P</f>
        <v>$107 - $126</v>
      </c>
      <c r="AH30" s="70">
        <v>0.25</v>
      </c>
      <c r="AI30" s="147"/>
      <c r="AJ30" s="150">
        <f t="shared" si="3"/>
        <v>26</v>
      </c>
      <c r="AK30" s="151">
        <f>IF(AC_Chart_Background_Data[[#This Row],[X]] &lt; EFC_70P-EFC_50P, EFC_50P, MAX(EFC_70P-AC_Chart_Background_Data[[#This Row],[X]],0))</f>
        <v>81</v>
      </c>
      <c r="AL30" s="151">
        <f>IF(AC_Chart_Background_Data[[#This Row],[X]] &lt; EFC_85P-EFC_70P, EFC_70P, MAX(EFC_85P-AC_Chart_Background_Data[[#This Row],[X]],0))</f>
        <v>100</v>
      </c>
      <c r="AM30" s="151">
        <f>IF(AC_Chart_Background_Data[[#This Row],[X]] &lt; EFC_95P-EFC_85P, EFC_85P, MAX(EFC_95P-AC_Chart_Background_Data[[#This Row],[X]],0))</f>
        <v>119</v>
      </c>
      <c r="AN30" s="151">
        <f>IF(AC_Chart_Background_Data[[#This Row],[X]] &lt; EFC_99P-EFC_95P, EFC_95P, MAX(EFC_99P-AC_Chart_Background_Data[[#This Row],[X]],0))</f>
        <v>140</v>
      </c>
      <c r="AO30" s="151">
        <f t="shared" si="0"/>
        <v>170</v>
      </c>
      <c r="AP30" s="147"/>
      <c r="AQ30" s="154">
        <v>26</v>
      </c>
      <c r="AR30" s="154">
        <v>81</v>
      </c>
      <c r="AS30" s="154">
        <v>100</v>
      </c>
      <c r="AT30" s="154">
        <v>119</v>
      </c>
      <c r="AU30" s="154">
        <v>140</v>
      </c>
      <c r="AV30" s="154">
        <v>170</v>
      </c>
      <c r="AW30" s="20"/>
      <c r="AX30" s="102">
        <v>108.65</v>
      </c>
      <c r="AY30" s="103">
        <v>323</v>
      </c>
      <c r="AZ30" s="104">
        <f t="shared" si="1"/>
        <v>0</v>
      </c>
      <c r="BA30" s="8"/>
      <c r="BB30" s="102">
        <v>84.45</v>
      </c>
      <c r="BC30" s="103">
        <v>12723</v>
      </c>
      <c r="BD30" s="105">
        <f t="shared" si="2"/>
        <v>0</v>
      </c>
    </row>
    <row r="31" spans="1:56" ht="18" customHeight="1" x14ac:dyDescent="0.25">
      <c r="A31" s="39" t="s">
        <v>854</v>
      </c>
      <c r="B31" s="35" t="str">
        <f ca="1">IF(OR(B25="",B30=""),"", (B30/B25))</f>
        <v/>
      </c>
      <c r="C31" s="35" t="str">
        <f ca="1">IF(OR(C25="",C30=""),"", (C30/C25))</f>
        <v/>
      </c>
      <c r="D31" s="35" t="str">
        <f ca="1">IF(OR(D25="",D30=""),"", (D30/D25))</f>
        <v/>
      </c>
      <c r="E31" s="35" t="str">
        <f ca="1">IF(OR(E25="",E30=""),"", (E30/E25))</f>
        <v/>
      </c>
      <c r="F31" s="40" t="str" cm="1">
        <f t="array" aca="1" ref="F31" ca="1">IF((AND(B31:E31="")),"",(IF($F$23=1, SUMPRODUCT(--ISNUMBER(B31:E31),$B$23:$E$23,B31:E31), "")))</f>
        <v/>
      </c>
      <c r="G31" s="41" t="str">
        <f>IF(ISNUMBER(SEARCH("change",A31,1)),"&lt;",
    IF(ISNUMBER(SEARCH("poverty",A31,1)),"&gt;",
       IF(ISNUMBER(SEARCH("unemployment",A31,1)),"&gt;",
          IF(ISNUMBER(SEARCH("income",A31,1)),"&lt;",
             IF(ISNUMBER(SEARCH("prop.",A31,1)),"&lt;","" )))))</f>
        <v>&lt;</v>
      </c>
      <c r="H31" s="42">
        <f>IF(RIGHT(A24,3)="ACS",SB_PVPC_ACS,
     IF(RIGHT(A24,3)="SBM",SB_PVPC_OSBM,""))</f>
        <v>155992</v>
      </c>
      <c r="I31" s="144" t="str" cm="1">
        <f t="array" aca="1" ref="I31" ca="1">IF(F31="", "",
           _xlfn.IFS(G31="&lt;",IF(F31&lt;H31, "Yes", "No"),
               G31="&gt;",IF(F31&gt;H31, "Yes", "No")))</f>
        <v/>
      </c>
      <c r="AD31" s="89" t="s">
        <v>711</v>
      </c>
      <c r="AE31" s="68" t="str">
        <f>"$"&amp;EFC_50P&amp;" - $"&amp;EFC_70P</f>
        <v>$89 - $107</v>
      </c>
      <c r="AF31" s="69">
        <v>0.25</v>
      </c>
      <c r="AG31" s="68" t="str">
        <f>"$"&amp;EFC_50P&amp;" - $"&amp;EFC_70P</f>
        <v>$89 - $107</v>
      </c>
      <c r="AH31" s="70">
        <v>0</v>
      </c>
      <c r="AI31" s="147"/>
      <c r="AJ31" s="150">
        <f t="shared" si="3"/>
        <v>27</v>
      </c>
      <c r="AK31" s="151">
        <f>IF(AC_Chart_Background_Data[[#This Row],[X]] &lt; EFC_70P-EFC_50P, EFC_50P, MAX(EFC_70P-AC_Chart_Background_Data[[#This Row],[X]],0))</f>
        <v>80</v>
      </c>
      <c r="AL31" s="151">
        <f>IF(AC_Chart_Background_Data[[#This Row],[X]] &lt; EFC_85P-EFC_70P, EFC_70P, MAX(EFC_85P-AC_Chart_Background_Data[[#This Row],[X]],0))</f>
        <v>99</v>
      </c>
      <c r="AM31" s="151">
        <f>IF(AC_Chart_Background_Data[[#This Row],[X]] &lt; EFC_95P-EFC_85P, EFC_85P, MAX(EFC_95P-AC_Chart_Background_Data[[#This Row],[X]],0))</f>
        <v>118</v>
      </c>
      <c r="AN31" s="151">
        <f>IF(AC_Chart_Background_Data[[#This Row],[X]] &lt; EFC_99P-EFC_95P, EFC_95P, MAX(EFC_99P-AC_Chart_Background_Data[[#This Row],[X]],0))</f>
        <v>139</v>
      </c>
      <c r="AO31" s="151">
        <f t="shared" si="0"/>
        <v>170</v>
      </c>
      <c r="AP31" s="147"/>
      <c r="AQ31" s="154">
        <v>27</v>
      </c>
      <c r="AR31" s="154">
        <v>80</v>
      </c>
      <c r="AS31" s="154">
        <v>99</v>
      </c>
      <c r="AT31" s="154">
        <v>118</v>
      </c>
      <c r="AU31" s="154">
        <v>139</v>
      </c>
      <c r="AV31" s="154">
        <v>170</v>
      </c>
      <c r="AW31" s="8"/>
      <c r="AX31" s="102">
        <v>134.13</v>
      </c>
      <c r="AY31" s="103">
        <v>1344</v>
      </c>
      <c r="AZ31" s="104">
        <f t="shared" si="1"/>
        <v>0</v>
      </c>
      <c r="BA31" s="8"/>
      <c r="BB31" s="102">
        <v>116.83</v>
      </c>
      <c r="BC31" s="103">
        <v>5880</v>
      </c>
      <c r="BD31" s="105">
        <f t="shared" si="2"/>
        <v>0</v>
      </c>
    </row>
    <row r="32" spans="1:56" ht="31.5" customHeight="1" thickBot="1" x14ac:dyDescent="0.3">
      <c r="A32" s="262" t="str">
        <f>IF(AC_Step2_Running_Total_Passed,
           IF(B22="",
                   "Select up to four local governments that represent your local government or project area",
                    IF(SUM(B23:E23)&lt;&gt;1,
                                "Ensure that the LGU Coverage percentages total to 100%.",
                                IF(NOT(AC_Step3_Completed),
                                          "Parameters should not be empty.",
                                          IF(NOT(AC_Step3_Passed),
                                                     "You are only eligible for SRF Principal Forgiveness/SRP grant if you receive 4.C.4 points or BIL EC funding. You are eligible for loans.",
                                                     "")))),
             "")</f>
        <v/>
      </c>
      <c r="B32" s="263"/>
      <c r="C32" s="263"/>
      <c r="D32" s="263"/>
      <c r="E32" s="263"/>
      <c r="F32" s="272" t="s">
        <v>730</v>
      </c>
      <c r="G32" s="272"/>
      <c r="H32" s="272"/>
      <c r="I32" s="119" t="str" cm="1">
        <f t="array" aca="1" ref="I32" ca="1">IF(AND(I26:I31&lt;&gt;"",AC_Step2_Completed),COUNTIF(I26:I31,"=Yes"),"")</f>
        <v/>
      </c>
      <c r="AD32" s="90" t="s">
        <v>712</v>
      </c>
      <c r="AE32" s="71" t="str">
        <f>"$0 - $"&amp;EFC_50P</f>
        <v>$0 - $89</v>
      </c>
      <c r="AF32" s="72">
        <v>0</v>
      </c>
      <c r="AG32" s="71" t="str">
        <f>"$0 - $"&amp;EFC_50P</f>
        <v>$0 - $89</v>
      </c>
      <c r="AH32" s="73">
        <v>0</v>
      </c>
      <c r="AI32" s="147"/>
      <c r="AJ32" s="150">
        <f t="shared" si="3"/>
        <v>28</v>
      </c>
      <c r="AK32" s="151">
        <f>IF(AC_Chart_Background_Data[[#This Row],[X]] &lt; EFC_70P-EFC_50P, EFC_50P, MAX(EFC_70P-AC_Chart_Background_Data[[#This Row],[X]],0))</f>
        <v>79</v>
      </c>
      <c r="AL32" s="151">
        <f>IF(AC_Chart_Background_Data[[#This Row],[X]] &lt; EFC_85P-EFC_70P, EFC_70P, MAX(EFC_85P-AC_Chart_Background_Data[[#This Row],[X]],0))</f>
        <v>98</v>
      </c>
      <c r="AM32" s="151">
        <f>IF(AC_Chart_Background_Data[[#This Row],[X]] &lt; EFC_95P-EFC_85P, EFC_85P, MAX(EFC_95P-AC_Chart_Background_Data[[#This Row],[X]],0))</f>
        <v>117</v>
      </c>
      <c r="AN32" s="151">
        <f>IF(AC_Chart_Background_Data[[#This Row],[X]] &lt; EFC_99P-EFC_95P, EFC_95P, MAX(EFC_99P-AC_Chart_Background_Data[[#This Row],[X]],0))</f>
        <v>138</v>
      </c>
      <c r="AO32" s="151">
        <f t="shared" si="0"/>
        <v>170</v>
      </c>
      <c r="AP32" s="147"/>
      <c r="AQ32" s="154">
        <v>28</v>
      </c>
      <c r="AR32" s="154">
        <v>79</v>
      </c>
      <c r="AS32" s="154">
        <v>98</v>
      </c>
      <c r="AT32" s="154">
        <v>117</v>
      </c>
      <c r="AU32" s="154">
        <v>138</v>
      </c>
      <c r="AV32" s="154">
        <v>170</v>
      </c>
      <c r="AW32" s="8"/>
      <c r="AX32" s="102">
        <v>85</v>
      </c>
      <c r="AY32" s="103">
        <v>4977</v>
      </c>
      <c r="AZ32" s="104">
        <f t="shared" si="1"/>
        <v>0</v>
      </c>
      <c r="BA32" s="8"/>
      <c r="BB32" s="102">
        <v>112.45</v>
      </c>
      <c r="BC32" s="103">
        <v>911</v>
      </c>
      <c r="BD32" s="105">
        <f t="shared" si="2"/>
        <v>0</v>
      </c>
    </row>
    <row r="33" spans="1:56" ht="18" hidden="1" customHeight="1" thickBot="1" x14ac:dyDescent="0.3">
      <c r="F33" s="118"/>
      <c r="G33" s="118"/>
      <c r="H33" s="118"/>
      <c r="AA33" s="63"/>
      <c r="AD33" s="63" t="s">
        <v>761</v>
      </c>
      <c r="AE33" s="246" t="e">
        <f ca="1">IF(AC_Step5_Running_Total_Passed,
         IF(AI_Effective_Combined_Bill&lt;=EFC_50P,
               0,
              IF(AI_Effective_Combined_Bill&lt;=EFC_70P,
                   0.25,
                   IF(AI_Effective_Combined_Bill&lt;=EFC_85P,
                         0.5,
                         IF(AI_Effective_Combined_Bill&lt;=EFC_95P,0.75,1)
                        )
                    )
              ),
            NA()
          )</f>
        <v>#N/A</v>
      </c>
      <c r="AF33" s="247"/>
      <c r="AG33" s="246" t="e">
        <f ca="1">IF(AC_Step5_Running_Total_Passed,
        IF(AC_PCPCPM+AI_Effective_Combined_Bill&lt;=EFC_70P,
             0,
             IF(AC_PCPCPM+AI_Effective_Combined_Bill&lt;=EFC_85P,
                  0.25,
                  IF(AC_PCPCPM+AI_Effective_Combined_Bill&lt;=EFC_95P,
                       0.5,
                       IF(AC_PCPCPM+AI_Effective_Combined_Bill&lt;=EFC_99P,0.75,1)
                       )
                 )
             ),
            NA()
         )</f>
        <v>#N/A</v>
      </c>
      <c r="AH33" s="247"/>
      <c r="AI33" s="148"/>
      <c r="AJ33" s="150">
        <f t="shared" si="3"/>
        <v>29</v>
      </c>
      <c r="AK33" s="151">
        <f>IF(AC_Chart_Background_Data[[#This Row],[X]] &lt; EFC_70P-EFC_50P, EFC_50P, MAX(EFC_70P-AC_Chart_Background_Data[[#This Row],[X]],0))</f>
        <v>78</v>
      </c>
      <c r="AL33" s="151">
        <f>IF(AC_Chart_Background_Data[[#This Row],[X]] &lt; EFC_85P-EFC_70P, EFC_70P, MAX(EFC_85P-AC_Chart_Background_Data[[#This Row],[X]],0))</f>
        <v>97</v>
      </c>
      <c r="AM33" s="151">
        <f>IF(AC_Chart_Background_Data[[#This Row],[X]] &lt; EFC_95P-EFC_85P, EFC_85P, MAX(EFC_95P-AC_Chart_Background_Data[[#This Row],[X]],0))</f>
        <v>116</v>
      </c>
      <c r="AN33" s="151">
        <f>IF(AC_Chart_Background_Data[[#This Row],[X]] &lt; EFC_99P-EFC_95P, EFC_95P, MAX(EFC_99P-AC_Chart_Background_Data[[#This Row],[X]],0))</f>
        <v>137</v>
      </c>
      <c r="AO33" s="151">
        <f t="shared" si="0"/>
        <v>170</v>
      </c>
      <c r="AP33" s="148"/>
      <c r="AQ33" s="156">
        <v>29</v>
      </c>
      <c r="AR33" s="156">
        <v>78</v>
      </c>
      <c r="AS33" s="156">
        <v>97</v>
      </c>
      <c r="AT33" s="156">
        <v>116</v>
      </c>
      <c r="AU33" s="156">
        <v>137</v>
      </c>
      <c r="AV33" s="156">
        <v>170</v>
      </c>
      <c r="AW33" s="60"/>
      <c r="AX33" s="102">
        <v>80.25</v>
      </c>
      <c r="AY33" s="103">
        <v>3301</v>
      </c>
      <c r="AZ33" s="104">
        <f t="shared" si="1"/>
        <v>0</v>
      </c>
      <c r="BA33" s="8"/>
      <c r="BB33" s="102">
        <v>71.290000000000006</v>
      </c>
      <c r="BC33" s="103">
        <v>10219</v>
      </c>
      <c r="BD33" s="105">
        <f t="shared" si="2"/>
        <v>0</v>
      </c>
    </row>
    <row r="34" spans="1:56" ht="18.75" hidden="1" customHeight="1" thickBot="1" x14ac:dyDescent="0.35">
      <c r="A34" s="16" t="s">
        <v>817</v>
      </c>
      <c r="B34" s="43"/>
      <c r="AD34" s="63" t="s">
        <v>762</v>
      </c>
      <c r="AE34" s="243" t="str">
        <f ca="1">IF(AC_Step5_Running_Total_Passed,MAX(AE33:AH33),"Complete the steps above to determine.")</f>
        <v>Complete the steps above to determine.</v>
      </c>
      <c r="AF34" s="244"/>
      <c r="AG34" s="244"/>
      <c r="AH34" s="245"/>
      <c r="AI34" s="155"/>
      <c r="AJ34" s="150">
        <f t="shared" si="3"/>
        <v>30</v>
      </c>
      <c r="AK34" s="151">
        <f>IF(AC_Chart_Background_Data[[#This Row],[X]] &lt; EFC_70P-EFC_50P, EFC_50P, MAX(EFC_70P-AC_Chart_Background_Data[[#This Row],[X]],0))</f>
        <v>77</v>
      </c>
      <c r="AL34" s="151">
        <f>IF(AC_Chart_Background_Data[[#This Row],[X]] &lt; EFC_85P-EFC_70P, EFC_70P, MAX(EFC_85P-AC_Chart_Background_Data[[#This Row],[X]],0))</f>
        <v>96</v>
      </c>
      <c r="AM34" s="151">
        <f>IF(AC_Chart_Background_Data[[#This Row],[X]] &lt; EFC_95P-EFC_85P, EFC_85P, MAX(EFC_95P-AC_Chart_Background_Data[[#This Row],[X]],0))</f>
        <v>115</v>
      </c>
      <c r="AN34" s="151">
        <f>IF(AC_Chart_Background_Data[[#This Row],[X]] &lt; EFC_99P-EFC_95P, EFC_95P, MAX(EFC_99P-AC_Chart_Background_Data[[#This Row],[X]],0))</f>
        <v>136</v>
      </c>
      <c r="AO34" s="151">
        <f t="shared" si="0"/>
        <v>170</v>
      </c>
      <c r="AP34" s="155"/>
      <c r="AQ34" s="154">
        <v>30</v>
      </c>
      <c r="AR34" s="154">
        <v>77</v>
      </c>
      <c r="AS34" s="154">
        <v>96</v>
      </c>
      <c r="AT34" s="154">
        <v>115</v>
      </c>
      <c r="AU34" s="154">
        <v>136</v>
      </c>
      <c r="AV34" s="154">
        <v>170</v>
      </c>
      <c r="AX34" s="102">
        <v>216.46</v>
      </c>
      <c r="AY34" s="103">
        <v>32031</v>
      </c>
      <c r="AZ34" s="104">
        <f t="shared" si="1"/>
        <v>0</v>
      </c>
      <c r="BA34" s="8"/>
      <c r="BB34" s="102">
        <v>177.31</v>
      </c>
      <c r="BC34" s="103">
        <v>1009</v>
      </c>
      <c r="BD34" s="105">
        <f t="shared" si="2"/>
        <v>0</v>
      </c>
    </row>
    <row r="35" spans="1:56" ht="15" hidden="1" customHeight="1" x14ac:dyDescent="0.25">
      <c r="A35" s="18" t="s">
        <v>818</v>
      </c>
      <c r="B35" s="44"/>
      <c r="AH35" s="8"/>
      <c r="AI35" s="8"/>
      <c r="AJ35" s="150">
        <f t="shared" si="3"/>
        <v>31</v>
      </c>
      <c r="AK35" s="151">
        <f>IF(AC_Chart_Background_Data[[#This Row],[X]] &lt; EFC_70P-EFC_50P, EFC_50P, MAX(EFC_70P-AC_Chart_Background_Data[[#This Row],[X]],0))</f>
        <v>76</v>
      </c>
      <c r="AL35" s="151">
        <f>IF(AC_Chart_Background_Data[[#This Row],[X]] &lt; EFC_85P-EFC_70P, EFC_70P, MAX(EFC_85P-AC_Chart_Background_Data[[#This Row],[X]],0))</f>
        <v>95</v>
      </c>
      <c r="AM35" s="151">
        <f>IF(AC_Chart_Background_Data[[#This Row],[X]] &lt; EFC_95P-EFC_85P, EFC_85P, MAX(EFC_95P-AC_Chart_Background_Data[[#This Row],[X]],0))</f>
        <v>114</v>
      </c>
      <c r="AN35" s="151">
        <f>IF(AC_Chart_Background_Data[[#This Row],[X]] &lt; EFC_99P-EFC_95P, EFC_95P, MAX(EFC_99P-AC_Chart_Background_Data[[#This Row],[X]],0))</f>
        <v>135</v>
      </c>
      <c r="AO35" s="151">
        <f t="shared" si="0"/>
        <v>170</v>
      </c>
      <c r="AP35" s="8"/>
      <c r="AQ35" s="154">
        <v>31</v>
      </c>
      <c r="AR35" s="154">
        <v>76</v>
      </c>
      <c r="AS35" s="154">
        <v>95</v>
      </c>
      <c r="AT35" s="154">
        <v>114</v>
      </c>
      <c r="AU35" s="154">
        <v>135</v>
      </c>
      <c r="AV35" s="154">
        <v>170</v>
      </c>
      <c r="AW35" s="8"/>
      <c r="AX35" s="102">
        <v>83.39</v>
      </c>
      <c r="AY35" s="103">
        <v>93</v>
      </c>
      <c r="AZ35" s="104">
        <f t="shared" si="1"/>
        <v>0</v>
      </c>
      <c r="BA35" s="8"/>
      <c r="BB35" s="102">
        <v>110.85</v>
      </c>
      <c r="BC35" s="103">
        <v>157</v>
      </c>
      <c r="BD35" s="105">
        <f t="shared" si="2"/>
        <v>0</v>
      </c>
    </row>
    <row r="36" spans="1:56" ht="18" hidden="1" customHeight="1" x14ac:dyDescent="0.35">
      <c r="A36" s="45" t="s">
        <v>731</v>
      </c>
      <c r="B36" s="109"/>
      <c r="D36" s="46"/>
      <c r="AF36" s="242" t="s">
        <v>778</v>
      </c>
      <c r="AG36" s="242"/>
      <c r="AH36" s="8"/>
      <c r="AI36" s="8"/>
      <c r="AJ36" s="150">
        <f t="shared" si="3"/>
        <v>32</v>
      </c>
      <c r="AK36" s="151">
        <f>IF(AC_Chart_Background_Data[[#This Row],[X]] &lt; EFC_70P-EFC_50P, EFC_50P, MAX(EFC_70P-AC_Chart_Background_Data[[#This Row],[X]],0))</f>
        <v>75</v>
      </c>
      <c r="AL36" s="151">
        <f>IF(AC_Chart_Background_Data[[#This Row],[X]] &lt; EFC_85P-EFC_70P, EFC_70P, MAX(EFC_85P-AC_Chart_Background_Data[[#This Row],[X]],0))</f>
        <v>94</v>
      </c>
      <c r="AM36" s="151">
        <f>IF(AC_Chart_Background_Data[[#This Row],[X]] &lt; EFC_95P-EFC_85P, EFC_85P, MAX(EFC_95P-AC_Chart_Background_Data[[#This Row],[X]],0))</f>
        <v>113</v>
      </c>
      <c r="AN36" s="151">
        <f>IF(AC_Chart_Background_Data[[#This Row],[X]] &lt; EFC_99P-EFC_95P, EFC_95P, MAX(EFC_99P-AC_Chart_Background_Data[[#This Row],[X]],0))</f>
        <v>134</v>
      </c>
      <c r="AO36" s="151">
        <f t="shared" si="0"/>
        <v>170</v>
      </c>
      <c r="AP36" s="8"/>
      <c r="AQ36" s="154">
        <v>32</v>
      </c>
      <c r="AR36" s="154">
        <v>75</v>
      </c>
      <c r="AS36" s="154">
        <v>94</v>
      </c>
      <c r="AT36" s="154">
        <v>113</v>
      </c>
      <c r="AU36" s="154">
        <v>134</v>
      </c>
      <c r="AV36" s="154">
        <v>170</v>
      </c>
      <c r="AW36" s="8"/>
      <c r="AX36" s="102">
        <v>80.97</v>
      </c>
      <c r="AY36" s="103">
        <v>74283</v>
      </c>
      <c r="AZ36" s="104">
        <f t="shared" si="1"/>
        <v>0</v>
      </c>
      <c r="BA36" s="8"/>
      <c r="BB36" s="102">
        <v>87.57</v>
      </c>
      <c r="BC36" s="103">
        <v>15747</v>
      </c>
      <c r="BD36" s="105">
        <f t="shared" si="2"/>
        <v>0</v>
      </c>
    </row>
    <row r="37" spans="1:56" ht="18" hidden="1" customHeight="1" x14ac:dyDescent="0.35">
      <c r="A37" s="45" t="s">
        <v>732</v>
      </c>
      <c r="B37" s="109"/>
      <c r="AF37" s="114" t="s">
        <v>779</v>
      </c>
      <c r="AG37" s="115" t="s">
        <v>780</v>
      </c>
      <c r="AH37" s="8"/>
      <c r="AI37" s="8"/>
      <c r="AJ37" s="150">
        <f t="shared" si="3"/>
        <v>33</v>
      </c>
      <c r="AK37" s="151">
        <f>IF(AC_Chart_Background_Data[[#This Row],[X]] &lt; EFC_70P-EFC_50P, EFC_50P, MAX(EFC_70P-AC_Chart_Background_Data[[#This Row],[X]],0))</f>
        <v>74</v>
      </c>
      <c r="AL37" s="151">
        <f>IF(AC_Chart_Background_Data[[#This Row],[X]] &lt; EFC_85P-EFC_70P, EFC_70P, MAX(EFC_85P-AC_Chart_Background_Data[[#This Row],[X]],0))</f>
        <v>93</v>
      </c>
      <c r="AM37" s="151">
        <f>IF(AC_Chart_Background_Data[[#This Row],[X]] &lt; EFC_95P-EFC_85P, EFC_85P, MAX(EFC_95P-AC_Chart_Background_Data[[#This Row],[X]],0))</f>
        <v>112</v>
      </c>
      <c r="AN37" s="151">
        <f>IF(AC_Chart_Background_Data[[#This Row],[X]] &lt; EFC_99P-EFC_95P, EFC_95P, MAX(EFC_99P-AC_Chart_Background_Data[[#This Row],[X]],0))</f>
        <v>133</v>
      </c>
      <c r="AO37" s="151">
        <f t="shared" si="0"/>
        <v>170</v>
      </c>
      <c r="AP37" s="8"/>
      <c r="AQ37" s="154">
        <v>33</v>
      </c>
      <c r="AR37" s="154">
        <v>74</v>
      </c>
      <c r="AS37" s="154">
        <v>93</v>
      </c>
      <c r="AT37" s="154">
        <v>112</v>
      </c>
      <c r="AU37" s="154">
        <v>133</v>
      </c>
      <c r="AV37" s="154">
        <v>170</v>
      </c>
      <c r="AW37" s="8"/>
      <c r="AX37" s="102">
        <v>127.5</v>
      </c>
      <c r="AY37" s="103">
        <v>1140</v>
      </c>
      <c r="AZ37" s="104">
        <f t="shared" si="1"/>
        <v>0</v>
      </c>
      <c r="BA37" s="8"/>
      <c r="BB37" s="102">
        <v>82.02</v>
      </c>
      <c r="BC37" s="103">
        <v>199</v>
      </c>
      <c r="BD37" s="105">
        <f t="shared" si="2"/>
        <v>0</v>
      </c>
    </row>
    <row r="38" spans="1:56" ht="18" hidden="1" customHeight="1" x14ac:dyDescent="0.35">
      <c r="A38" s="45" t="s">
        <v>815</v>
      </c>
      <c r="B38" s="109"/>
      <c r="AF38" s="114" t="s">
        <v>781</v>
      </c>
      <c r="AG38" s="115" t="s">
        <v>782</v>
      </c>
      <c r="AH38" s="8"/>
      <c r="AI38" s="8"/>
      <c r="AJ38" s="150">
        <f t="shared" si="3"/>
        <v>34</v>
      </c>
      <c r="AK38" s="151">
        <f>IF(AC_Chart_Background_Data[[#This Row],[X]] &lt; EFC_70P-EFC_50P, EFC_50P, MAX(EFC_70P-AC_Chart_Background_Data[[#This Row],[X]],0))</f>
        <v>73</v>
      </c>
      <c r="AL38" s="151">
        <f>IF(AC_Chart_Background_Data[[#This Row],[X]] &lt; EFC_85P-EFC_70P, EFC_70P, MAX(EFC_85P-AC_Chart_Background_Data[[#This Row],[X]],0))</f>
        <v>92</v>
      </c>
      <c r="AM38" s="151">
        <f>IF(AC_Chart_Background_Data[[#This Row],[X]] &lt; EFC_95P-EFC_85P, EFC_85P, MAX(EFC_95P-AC_Chart_Background_Data[[#This Row],[X]],0))</f>
        <v>111</v>
      </c>
      <c r="AN38" s="151">
        <f>IF(AC_Chart_Background_Data[[#This Row],[X]] &lt; EFC_99P-EFC_95P, EFC_95P, MAX(EFC_99P-AC_Chart_Background_Data[[#This Row],[X]],0))</f>
        <v>132</v>
      </c>
      <c r="AO38" s="151">
        <f t="shared" si="0"/>
        <v>170</v>
      </c>
      <c r="AP38" s="8"/>
      <c r="AQ38" s="154">
        <v>34</v>
      </c>
      <c r="AR38" s="154">
        <v>73</v>
      </c>
      <c r="AS38" s="154">
        <v>92</v>
      </c>
      <c r="AT38" s="154">
        <v>111</v>
      </c>
      <c r="AU38" s="154">
        <v>132</v>
      </c>
      <c r="AV38" s="154">
        <v>170</v>
      </c>
      <c r="AW38" s="8"/>
      <c r="AX38" s="102">
        <v>90</v>
      </c>
      <c r="AY38" s="103">
        <v>251</v>
      </c>
      <c r="AZ38" s="104">
        <f t="shared" si="1"/>
        <v>0</v>
      </c>
      <c r="BA38" s="8"/>
      <c r="BB38" s="102">
        <v>117.3</v>
      </c>
      <c r="BC38" s="103">
        <v>19808</v>
      </c>
      <c r="BD38" s="105">
        <f t="shared" si="2"/>
        <v>0</v>
      </c>
    </row>
    <row r="39" spans="1:56" ht="18" hidden="1" customHeight="1" x14ac:dyDescent="0.35">
      <c r="A39" s="45" t="s">
        <v>816</v>
      </c>
      <c r="B39" s="109"/>
      <c r="AF39" s="114" t="s">
        <v>783</v>
      </c>
      <c r="AG39" s="115" t="s">
        <v>784</v>
      </c>
      <c r="AH39" s="8"/>
      <c r="AI39" s="8"/>
      <c r="AJ39" s="150">
        <f t="shared" si="3"/>
        <v>35</v>
      </c>
      <c r="AK39" s="151">
        <f>IF(AC_Chart_Background_Data[[#This Row],[X]] &lt; EFC_70P-EFC_50P, EFC_50P, MAX(EFC_70P-AC_Chart_Background_Data[[#This Row],[X]],0))</f>
        <v>72</v>
      </c>
      <c r="AL39" s="151">
        <f>IF(AC_Chart_Background_Data[[#This Row],[X]] &lt; EFC_85P-EFC_70P, EFC_70P, MAX(EFC_85P-AC_Chart_Background_Data[[#This Row],[X]],0))</f>
        <v>91</v>
      </c>
      <c r="AM39" s="151">
        <f>IF(AC_Chart_Background_Data[[#This Row],[X]] &lt; EFC_95P-EFC_85P, EFC_85P, MAX(EFC_95P-AC_Chart_Background_Data[[#This Row],[X]],0))</f>
        <v>110</v>
      </c>
      <c r="AN39" s="151">
        <f>IF(AC_Chart_Background_Data[[#This Row],[X]] &lt; EFC_99P-EFC_95P, EFC_95P, MAX(EFC_99P-AC_Chart_Background_Data[[#This Row],[X]],0))</f>
        <v>131</v>
      </c>
      <c r="AO39" s="151">
        <f t="shared" si="0"/>
        <v>170</v>
      </c>
      <c r="AP39" s="8"/>
      <c r="AQ39" s="154">
        <v>35</v>
      </c>
      <c r="AR39" s="154">
        <v>72</v>
      </c>
      <c r="AS39" s="154">
        <v>91</v>
      </c>
      <c r="AT39" s="154">
        <v>110</v>
      </c>
      <c r="AU39" s="154">
        <v>131</v>
      </c>
      <c r="AV39" s="154">
        <v>170</v>
      </c>
      <c r="AW39" s="77"/>
      <c r="AX39" s="102">
        <v>94.7</v>
      </c>
      <c r="AY39" s="103">
        <v>1155</v>
      </c>
      <c r="AZ39" s="104">
        <f t="shared" si="1"/>
        <v>0</v>
      </c>
      <c r="BA39" s="8"/>
      <c r="BB39" s="102">
        <v>116.18</v>
      </c>
      <c r="BC39" s="103">
        <v>1332</v>
      </c>
      <c r="BD39" s="105">
        <f t="shared" si="2"/>
        <v>0</v>
      </c>
    </row>
    <row r="40" spans="1:56" ht="15" hidden="1" customHeight="1" x14ac:dyDescent="0.25">
      <c r="A40" s="45" t="s">
        <v>819</v>
      </c>
      <c r="B40" s="109"/>
      <c r="AF40" s="114" t="s">
        <v>785</v>
      </c>
      <c r="AG40" s="115" t="s">
        <v>786</v>
      </c>
      <c r="AH40" s="8"/>
      <c r="AI40" s="8"/>
      <c r="AJ40" s="150">
        <f t="shared" si="3"/>
        <v>36</v>
      </c>
      <c r="AK40" s="151">
        <f>IF(AC_Chart_Background_Data[[#This Row],[X]] &lt; EFC_70P-EFC_50P, EFC_50P, MAX(EFC_70P-AC_Chart_Background_Data[[#This Row],[X]],0))</f>
        <v>71</v>
      </c>
      <c r="AL40" s="151">
        <f>IF(AC_Chart_Background_Data[[#This Row],[X]] &lt; EFC_85P-EFC_70P, EFC_70P, MAX(EFC_85P-AC_Chart_Background_Data[[#This Row],[X]],0))</f>
        <v>90</v>
      </c>
      <c r="AM40" s="151">
        <f>IF(AC_Chart_Background_Data[[#This Row],[X]] &lt; EFC_95P-EFC_85P, EFC_85P, MAX(EFC_95P-AC_Chart_Background_Data[[#This Row],[X]],0))</f>
        <v>109</v>
      </c>
      <c r="AN40" s="151">
        <f>IF(AC_Chart_Background_Data[[#This Row],[X]] &lt; EFC_99P-EFC_95P, EFC_95P, MAX(EFC_99P-AC_Chart_Background_Data[[#This Row],[X]],0))</f>
        <v>130</v>
      </c>
      <c r="AO40" s="151">
        <f t="shared" si="0"/>
        <v>170</v>
      </c>
      <c r="AP40" s="8"/>
      <c r="AQ40" s="154">
        <v>36</v>
      </c>
      <c r="AR40" s="154">
        <v>71</v>
      </c>
      <c r="AS40" s="154">
        <v>90</v>
      </c>
      <c r="AT40" s="154">
        <v>109</v>
      </c>
      <c r="AU40" s="154">
        <v>130</v>
      </c>
      <c r="AV40" s="154">
        <v>170</v>
      </c>
      <c r="AW40" s="77"/>
      <c r="AX40" s="102">
        <v>90.41</v>
      </c>
      <c r="AY40" s="103">
        <v>92327</v>
      </c>
      <c r="AZ40" s="104">
        <f t="shared" si="1"/>
        <v>0</v>
      </c>
      <c r="BA40" s="8"/>
      <c r="BB40" s="102">
        <v>111.67</v>
      </c>
      <c r="BC40" s="103">
        <v>213</v>
      </c>
      <c r="BD40" s="105">
        <f t="shared" si="2"/>
        <v>0</v>
      </c>
    </row>
    <row r="41" spans="1:56" ht="18" hidden="1" customHeight="1" x14ac:dyDescent="0.35">
      <c r="A41" s="47" t="s">
        <v>733</v>
      </c>
      <c r="B41" s="48" t="str">
        <f>IF(AC_Step4_Completed,
             (FIF_Operating_Revenues/
                  (FIF_Total_Expenditures + FIF_Dept_Principal + FIF_Interest + (AI_Project_Cost/20))
               ),
              ""
        )</f>
        <v/>
      </c>
      <c r="AF41" s="114" t="s">
        <v>787</v>
      </c>
      <c r="AG41" s="115" t="s">
        <v>788</v>
      </c>
      <c r="AH41" s="8"/>
      <c r="AI41" s="8"/>
      <c r="AJ41" s="150">
        <f t="shared" si="3"/>
        <v>37</v>
      </c>
      <c r="AK41" s="151">
        <f>IF(AC_Chart_Background_Data[[#This Row],[X]] &lt; EFC_70P-EFC_50P, EFC_50P, MAX(EFC_70P-AC_Chart_Background_Data[[#This Row],[X]],0))</f>
        <v>70</v>
      </c>
      <c r="AL41" s="151">
        <f>IF(AC_Chart_Background_Data[[#This Row],[X]] &lt; EFC_85P-EFC_70P, EFC_70P, MAX(EFC_85P-AC_Chart_Background_Data[[#This Row],[X]],0))</f>
        <v>89</v>
      </c>
      <c r="AM41" s="151">
        <f>IF(AC_Chart_Background_Data[[#This Row],[X]] &lt; EFC_95P-EFC_85P, EFC_85P, MAX(EFC_95P-AC_Chart_Background_Data[[#This Row],[X]],0))</f>
        <v>108</v>
      </c>
      <c r="AN41" s="151">
        <f>IF(AC_Chart_Background_Data[[#This Row],[X]] &lt; EFC_99P-EFC_95P, EFC_95P, MAX(EFC_99P-AC_Chart_Background_Data[[#This Row],[X]],0))</f>
        <v>129</v>
      </c>
      <c r="AO41" s="151">
        <f t="shared" si="0"/>
        <v>170</v>
      </c>
      <c r="AP41" s="8"/>
      <c r="AQ41" s="154">
        <v>37</v>
      </c>
      <c r="AR41" s="154">
        <v>70</v>
      </c>
      <c r="AS41" s="154">
        <v>89</v>
      </c>
      <c r="AT41" s="154">
        <v>108</v>
      </c>
      <c r="AU41" s="154">
        <v>129</v>
      </c>
      <c r="AV41" s="154">
        <v>170</v>
      </c>
      <c r="AW41" s="77"/>
      <c r="AX41" s="102">
        <v>106.42</v>
      </c>
      <c r="AY41" s="103">
        <v>16796</v>
      </c>
      <c r="AZ41" s="104">
        <f t="shared" si="1"/>
        <v>0</v>
      </c>
      <c r="BA41" s="8"/>
      <c r="BB41" s="102">
        <v>88.21</v>
      </c>
      <c r="BC41" s="103">
        <v>8636</v>
      </c>
      <c r="BD41" s="105">
        <f t="shared" si="2"/>
        <v>0</v>
      </c>
    </row>
    <row r="42" spans="1:56" ht="15.75" hidden="1" customHeight="1" x14ac:dyDescent="0.25">
      <c r="A42" s="248" t="str">
        <f ca="1">IF(AC_Step3_Running_Total_Passed,
          IF(AC_Step4_Completed,
                IF(AC_Step4_Passed,"","You are only eligible for SRF Principal Forgiveness/SRP grant if you receive 4.C.4 points or BIL EC funding. You are eligible for loans."),
                "Complete Step 4. Enter operating revenues, total expenditures, and project cost. If paying existing debt service, enter debt principal and interest payments."),
          ""
       )</f>
        <v/>
      </c>
      <c r="B42" s="249"/>
      <c r="C42" s="100"/>
      <c r="D42" s="100"/>
      <c r="E42" s="100"/>
      <c r="F42" s="100"/>
      <c r="AF42" s="114" t="s">
        <v>789</v>
      </c>
      <c r="AG42" s="115" t="s">
        <v>790</v>
      </c>
      <c r="AH42" s="8"/>
      <c r="AI42" s="8"/>
      <c r="AJ42" s="150">
        <f t="shared" si="3"/>
        <v>38</v>
      </c>
      <c r="AK42" s="151">
        <f>IF(AC_Chart_Background_Data[[#This Row],[X]] &lt; EFC_70P-EFC_50P, EFC_50P, MAX(EFC_70P-AC_Chart_Background_Data[[#This Row],[X]],0))</f>
        <v>69</v>
      </c>
      <c r="AL42" s="151">
        <f>IF(AC_Chart_Background_Data[[#This Row],[X]] &lt; EFC_85P-EFC_70P, EFC_70P, MAX(EFC_85P-AC_Chart_Background_Data[[#This Row],[X]],0))</f>
        <v>88</v>
      </c>
      <c r="AM42" s="151">
        <f>IF(AC_Chart_Background_Data[[#This Row],[X]] &lt; EFC_95P-EFC_85P, EFC_85P, MAX(EFC_95P-AC_Chart_Background_Data[[#This Row],[X]],0))</f>
        <v>107</v>
      </c>
      <c r="AN42" s="151">
        <f>IF(AC_Chart_Background_Data[[#This Row],[X]] &lt; EFC_99P-EFC_95P, EFC_95P, MAX(EFC_99P-AC_Chart_Background_Data[[#This Row],[X]],0))</f>
        <v>128</v>
      </c>
      <c r="AO42" s="151">
        <f t="shared" si="0"/>
        <v>170</v>
      </c>
      <c r="AP42" s="8"/>
      <c r="AQ42" s="154">
        <v>38</v>
      </c>
      <c r="AR42" s="154">
        <v>69</v>
      </c>
      <c r="AS42" s="154">
        <v>88</v>
      </c>
      <c r="AT42" s="154">
        <v>107</v>
      </c>
      <c r="AU42" s="154">
        <v>128</v>
      </c>
      <c r="AV42" s="154">
        <v>170</v>
      </c>
      <c r="AW42" s="77"/>
      <c r="AX42" s="102">
        <v>82.55</v>
      </c>
      <c r="AY42" s="103">
        <v>4638</v>
      </c>
      <c r="AZ42" s="104">
        <f t="shared" si="1"/>
        <v>0</v>
      </c>
      <c r="BA42" s="8"/>
      <c r="BB42" s="102">
        <v>61.53</v>
      </c>
      <c r="BC42" s="103">
        <v>5314</v>
      </c>
      <c r="BD42" s="105">
        <f t="shared" si="2"/>
        <v>0</v>
      </c>
    </row>
    <row r="43" spans="1:56" ht="15" hidden="1" customHeight="1" x14ac:dyDescent="0.25">
      <c r="A43" s="248"/>
      <c r="B43" s="249"/>
      <c r="C43" s="98"/>
      <c r="D43" s="98"/>
      <c r="E43" s="98"/>
      <c r="F43" s="98"/>
      <c r="AF43" s="114" t="s">
        <v>791</v>
      </c>
      <c r="AG43" s="115" t="s">
        <v>792</v>
      </c>
      <c r="AH43" s="8"/>
      <c r="AI43" s="8"/>
      <c r="AJ43" s="150">
        <f t="shared" si="3"/>
        <v>39</v>
      </c>
      <c r="AK43" s="151">
        <f>IF(AC_Chart_Background_Data[[#This Row],[X]] &lt; EFC_70P-EFC_50P, EFC_50P, MAX(EFC_70P-AC_Chart_Background_Data[[#This Row],[X]],0))</f>
        <v>68</v>
      </c>
      <c r="AL43" s="151">
        <f>IF(AC_Chart_Background_Data[[#This Row],[X]] &lt; EFC_85P-EFC_70P, EFC_70P, MAX(EFC_85P-AC_Chart_Background_Data[[#This Row],[X]],0))</f>
        <v>87</v>
      </c>
      <c r="AM43" s="151">
        <f>IF(AC_Chart_Background_Data[[#This Row],[X]] &lt; EFC_95P-EFC_85P, EFC_85P, MAX(EFC_95P-AC_Chart_Background_Data[[#This Row],[X]],0))</f>
        <v>106</v>
      </c>
      <c r="AN43" s="151">
        <f>IF(AC_Chart_Background_Data[[#This Row],[X]] &lt; EFC_99P-EFC_95P, EFC_95P, MAX(EFC_99P-AC_Chart_Background_Data[[#This Row],[X]],0))</f>
        <v>127</v>
      </c>
      <c r="AO43" s="151">
        <f t="shared" si="0"/>
        <v>170</v>
      </c>
      <c r="AP43" s="8"/>
      <c r="AQ43" s="154">
        <v>39</v>
      </c>
      <c r="AR43" s="154">
        <v>68</v>
      </c>
      <c r="AS43" s="154">
        <v>87</v>
      </c>
      <c r="AT43" s="154">
        <v>106</v>
      </c>
      <c r="AU43" s="154">
        <v>127</v>
      </c>
      <c r="AV43" s="154">
        <v>170</v>
      </c>
      <c r="AW43" s="8"/>
      <c r="AX43" s="102">
        <v>61.53</v>
      </c>
      <c r="AY43" s="103">
        <v>108971</v>
      </c>
      <c r="AZ43" s="104">
        <f t="shared" si="1"/>
        <v>0</v>
      </c>
      <c r="BA43" s="8"/>
      <c r="BB43" s="102">
        <v>107.02</v>
      </c>
      <c r="BC43" s="103">
        <v>1465</v>
      </c>
      <c r="BD43" s="105">
        <f t="shared" si="2"/>
        <v>0</v>
      </c>
    </row>
    <row r="44" spans="1:56" ht="15.75" hidden="1" customHeight="1" thickBot="1" x14ac:dyDescent="0.3">
      <c r="A44" s="250"/>
      <c r="B44" s="251"/>
      <c r="C44" s="98"/>
      <c r="D44" s="98"/>
      <c r="E44" s="98"/>
      <c r="F44" s="98"/>
      <c r="AF44" s="114" t="s">
        <v>793</v>
      </c>
      <c r="AG44" s="115" t="s">
        <v>794</v>
      </c>
      <c r="AH44" s="8"/>
      <c r="AI44" s="8"/>
      <c r="AJ44" s="150">
        <f t="shared" si="3"/>
        <v>40</v>
      </c>
      <c r="AK44" s="151">
        <f>IF(AC_Chart_Background_Data[[#This Row],[X]] &lt; EFC_70P-EFC_50P, EFC_50P, MAX(EFC_70P-AC_Chart_Background_Data[[#This Row],[X]],0))</f>
        <v>67</v>
      </c>
      <c r="AL44" s="151">
        <f>IF(AC_Chart_Background_Data[[#This Row],[X]] &lt; EFC_85P-EFC_70P, EFC_70P, MAX(EFC_85P-AC_Chart_Background_Data[[#This Row],[X]],0))</f>
        <v>86</v>
      </c>
      <c r="AM44" s="151">
        <f>IF(AC_Chart_Background_Data[[#This Row],[X]] &lt; EFC_95P-EFC_85P, EFC_85P, MAX(EFC_95P-AC_Chart_Background_Data[[#This Row],[X]],0))</f>
        <v>105</v>
      </c>
      <c r="AN44" s="151">
        <f>IF(AC_Chart_Background_Data[[#This Row],[X]] &lt; EFC_99P-EFC_95P, EFC_95P, MAX(EFC_99P-AC_Chart_Background_Data[[#This Row],[X]],0))</f>
        <v>126</v>
      </c>
      <c r="AO44" s="151">
        <f t="shared" si="0"/>
        <v>170</v>
      </c>
      <c r="AP44" s="8"/>
      <c r="AQ44" s="154">
        <v>40</v>
      </c>
      <c r="AR44" s="154">
        <v>67</v>
      </c>
      <c r="AS44" s="154">
        <v>86</v>
      </c>
      <c r="AT44" s="154">
        <v>105</v>
      </c>
      <c r="AU44" s="154">
        <v>126</v>
      </c>
      <c r="AV44" s="154">
        <v>170</v>
      </c>
      <c r="AW44" s="77"/>
      <c r="AX44" s="102">
        <v>73.45</v>
      </c>
      <c r="AY44" s="103">
        <v>39166</v>
      </c>
      <c r="AZ44" s="104">
        <f t="shared" si="1"/>
        <v>0</v>
      </c>
      <c r="BA44" s="8"/>
      <c r="BB44" s="102">
        <v>64.599999999999994</v>
      </c>
      <c r="BC44" s="103">
        <v>9547</v>
      </c>
      <c r="BD44" s="105">
        <f t="shared" si="2"/>
        <v>0</v>
      </c>
    </row>
    <row r="45" spans="1:56" ht="15.75" hidden="1" customHeight="1" thickBot="1" x14ac:dyDescent="0.3">
      <c r="A45" s="99"/>
      <c r="B45" s="99"/>
      <c r="C45" s="98"/>
      <c r="D45" s="98"/>
      <c r="E45" s="98"/>
      <c r="F45" s="98"/>
      <c r="AB45" s="8"/>
      <c r="AF45" s="114" t="s">
        <v>795</v>
      </c>
      <c r="AG45" s="115" t="s">
        <v>796</v>
      </c>
      <c r="AH45" s="8"/>
      <c r="AI45" s="8"/>
      <c r="AJ45" s="150">
        <f t="shared" si="3"/>
        <v>41</v>
      </c>
      <c r="AK45" s="151">
        <f>IF(AC_Chart_Background_Data[[#This Row],[X]] &lt; EFC_70P-EFC_50P, EFC_50P, MAX(EFC_70P-AC_Chart_Background_Data[[#This Row],[X]],0))</f>
        <v>66</v>
      </c>
      <c r="AL45" s="151">
        <f>IF(AC_Chart_Background_Data[[#This Row],[X]] &lt; EFC_85P-EFC_70P, EFC_70P, MAX(EFC_85P-AC_Chart_Background_Data[[#This Row],[X]],0))</f>
        <v>85</v>
      </c>
      <c r="AM45" s="151">
        <f>IF(AC_Chart_Background_Data[[#This Row],[X]] &lt; EFC_95P-EFC_85P, EFC_85P, MAX(EFC_95P-AC_Chart_Background_Data[[#This Row],[X]],0))</f>
        <v>104</v>
      </c>
      <c r="AN45" s="151">
        <f>IF(AC_Chart_Background_Data[[#This Row],[X]] &lt; EFC_99P-EFC_95P, EFC_95P, MAX(EFC_99P-AC_Chart_Background_Data[[#This Row],[X]],0))</f>
        <v>125</v>
      </c>
      <c r="AO45" s="151">
        <f t="shared" si="0"/>
        <v>170</v>
      </c>
      <c r="AP45" s="8"/>
      <c r="AQ45" s="154">
        <v>41</v>
      </c>
      <c r="AR45" s="154">
        <v>66</v>
      </c>
      <c r="AS45" s="154">
        <v>85</v>
      </c>
      <c r="AT45" s="154">
        <v>104</v>
      </c>
      <c r="AU45" s="154">
        <v>125</v>
      </c>
      <c r="AV45" s="154">
        <v>170</v>
      </c>
      <c r="AW45" s="77"/>
      <c r="AX45" s="102">
        <v>112.45</v>
      </c>
      <c r="AY45" s="103">
        <v>1000</v>
      </c>
      <c r="AZ45" s="104">
        <f t="shared" si="1"/>
        <v>0</v>
      </c>
      <c r="BA45" s="8"/>
      <c r="BB45" s="102">
        <v>107.75</v>
      </c>
      <c r="BC45" s="103">
        <v>356</v>
      </c>
      <c r="BD45" s="105">
        <f t="shared" si="2"/>
        <v>0</v>
      </c>
    </row>
    <row r="46" spans="1:56" ht="18.75" hidden="1" customHeight="1" x14ac:dyDescent="0.3">
      <c r="A46" s="16" t="s">
        <v>734</v>
      </c>
      <c r="B46" s="17"/>
      <c r="C46" s="17"/>
      <c r="D46" s="43"/>
      <c r="E46" s="49" t="s">
        <v>735</v>
      </c>
      <c r="F46" s="50"/>
      <c r="AB46" s="8"/>
      <c r="AF46" s="114" t="s">
        <v>797</v>
      </c>
      <c r="AG46" s="115" t="s">
        <v>798</v>
      </c>
      <c r="AJ46" s="150">
        <f t="shared" si="3"/>
        <v>42</v>
      </c>
      <c r="AK46" s="151">
        <f>IF(AC_Chart_Background_Data[[#This Row],[X]] &lt; EFC_70P-EFC_50P, EFC_50P, MAX(EFC_70P-AC_Chart_Background_Data[[#This Row],[X]],0))</f>
        <v>65</v>
      </c>
      <c r="AL46" s="151">
        <f>IF(AC_Chart_Background_Data[[#This Row],[X]] &lt; EFC_85P-EFC_70P, EFC_70P, MAX(EFC_85P-AC_Chart_Background_Data[[#This Row],[X]],0))</f>
        <v>84</v>
      </c>
      <c r="AM46" s="151">
        <f>IF(AC_Chart_Background_Data[[#This Row],[X]] &lt; EFC_95P-EFC_85P, EFC_85P, MAX(EFC_95P-AC_Chart_Background_Data[[#This Row],[X]],0))</f>
        <v>103</v>
      </c>
      <c r="AN46" s="151">
        <f>IF(AC_Chart_Background_Data[[#This Row],[X]] &lt; EFC_99P-EFC_95P, EFC_95P, MAX(EFC_99P-AC_Chart_Background_Data[[#This Row],[X]],0))</f>
        <v>124</v>
      </c>
      <c r="AO46" s="151">
        <f t="shared" si="0"/>
        <v>170</v>
      </c>
      <c r="AQ46" s="144">
        <v>42</v>
      </c>
      <c r="AR46" s="144">
        <v>65</v>
      </c>
      <c r="AS46" s="144">
        <v>84</v>
      </c>
      <c r="AT46" s="144">
        <v>103</v>
      </c>
      <c r="AU46" s="144">
        <v>124</v>
      </c>
      <c r="AV46" s="144">
        <v>170</v>
      </c>
      <c r="AW46" s="77"/>
      <c r="AX46" s="102">
        <v>66.45</v>
      </c>
      <c r="AY46" s="103">
        <v>9555</v>
      </c>
      <c r="AZ46" s="104">
        <f t="shared" si="1"/>
        <v>0</v>
      </c>
      <c r="BA46" s="8"/>
      <c r="BB46" s="102">
        <v>130.34</v>
      </c>
      <c r="BC46" s="103">
        <v>566</v>
      </c>
      <c r="BD46" s="105">
        <f t="shared" si="2"/>
        <v>0</v>
      </c>
    </row>
    <row r="47" spans="1:56" ht="17.25" hidden="1" customHeight="1" x14ac:dyDescent="0.25">
      <c r="A47" s="252" t="s">
        <v>767</v>
      </c>
      <c r="B47" s="253"/>
      <c r="C47" s="254"/>
      <c r="D47" s="255"/>
      <c r="E47" s="51" t="s">
        <v>736</v>
      </c>
      <c r="F47" s="52" t="s">
        <v>737</v>
      </c>
      <c r="AF47" s="114" t="s">
        <v>799</v>
      </c>
      <c r="AG47" s="115" t="s">
        <v>800</v>
      </c>
      <c r="AJ47" s="150">
        <f t="shared" si="3"/>
        <v>43</v>
      </c>
      <c r="AK47" s="151">
        <f>IF(AC_Chart_Background_Data[[#This Row],[X]] &lt; EFC_70P-EFC_50P, EFC_50P, MAX(EFC_70P-AC_Chart_Background_Data[[#This Row],[X]],0))</f>
        <v>64</v>
      </c>
      <c r="AL47" s="151">
        <f>IF(AC_Chart_Background_Data[[#This Row],[X]] &lt; EFC_85P-EFC_70P, EFC_70P, MAX(EFC_85P-AC_Chart_Background_Data[[#This Row],[X]],0))</f>
        <v>83</v>
      </c>
      <c r="AM47" s="151">
        <f>IF(AC_Chart_Background_Data[[#This Row],[X]] &lt; EFC_95P-EFC_85P, EFC_85P, MAX(EFC_95P-AC_Chart_Background_Data[[#This Row],[X]],0))</f>
        <v>102</v>
      </c>
      <c r="AN47" s="151">
        <f>IF(AC_Chart_Background_Data[[#This Row],[X]] &lt; EFC_99P-EFC_95P, EFC_95P, MAX(EFC_99P-AC_Chart_Background_Data[[#This Row],[X]],0))</f>
        <v>123</v>
      </c>
      <c r="AO47" s="151">
        <f t="shared" si="0"/>
        <v>170</v>
      </c>
      <c r="AQ47" s="144">
        <v>43</v>
      </c>
      <c r="AR47" s="144">
        <v>64</v>
      </c>
      <c r="AS47" s="144">
        <v>83</v>
      </c>
      <c r="AT47" s="144">
        <v>102</v>
      </c>
      <c r="AU47" s="144">
        <v>123</v>
      </c>
      <c r="AV47" s="144">
        <v>170</v>
      </c>
      <c r="AW47" s="77"/>
      <c r="AX47" s="102">
        <v>92.5</v>
      </c>
      <c r="AY47" s="103">
        <v>952</v>
      </c>
      <c r="AZ47" s="104">
        <f t="shared" si="1"/>
        <v>0</v>
      </c>
      <c r="BA47" s="8"/>
      <c r="BB47" s="102">
        <v>78.400000000000006</v>
      </c>
      <c r="BC47" s="103">
        <v>6392</v>
      </c>
      <c r="BD47" s="105">
        <f t="shared" si="2"/>
        <v>0</v>
      </c>
    </row>
    <row r="48" spans="1:56" ht="16.5" hidden="1" customHeight="1" thickBot="1" x14ac:dyDescent="0.3">
      <c r="A48" s="232" t="s">
        <v>766</v>
      </c>
      <c r="B48" s="233"/>
      <c r="C48" s="234"/>
      <c r="D48" s="235"/>
      <c r="E48" s="110"/>
      <c r="F48" s="111"/>
      <c r="AF48" s="114" t="s">
        <v>801</v>
      </c>
      <c r="AG48" s="115" t="s">
        <v>802</v>
      </c>
      <c r="AJ48" s="150">
        <f t="shared" si="3"/>
        <v>44</v>
      </c>
      <c r="AK48" s="151">
        <f>IF(AC_Chart_Background_Data[[#This Row],[X]] &lt; EFC_70P-EFC_50P, EFC_50P, MAX(EFC_70P-AC_Chart_Background_Data[[#This Row],[X]],0))</f>
        <v>63</v>
      </c>
      <c r="AL48" s="151">
        <f>IF(AC_Chart_Background_Data[[#This Row],[X]] &lt; EFC_85P-EFC_70P, EFC_70P, MAX(EFC_85P-AC_Chart_Background_Data[[#This Row],[X]],0))</f>
        <v>82</v>
      </c>
      <c r="AM48" s="151">
        <f>IF(AC_Chart_Background_Data[[#This Row],[X]] &lt; EFC_95P-EFC_85P, EFC_85P, MAX(EFC_95P-AC_Chart_Background_Data[[#This Row],[X]],0))</f>
        <v>101</v>
      </c>
      <c r="AN48" s="151">
        <f>IF(AC_Chart_Background_Data[[#This Row],[X]] &lt; EFC_99P-EFC_95P, EFC_95P, MAX(EFC_99P-AC_Chart_Background_Data[[#This Row],[X]],0))</f>
        <v>122</v>
      </c>
      <c r="AO48" s="151">
        <f t="shared" si="0"/>
        <v>170</v>
      </c>
      <c r="AQ48" s="144">
        <v>44</v>
      </c>
      <c r="AR48" s="144">
        <v>63</v>
      </c>
      <c r="AS48" s="144">
        <v>82</v>
      </c>
      <c r="AT48" s="144">
        <v>101</v>
      </c>
      <c r="AU48" s="144">
        <v>122</v>
      </c>
      <c r="AV48" s="144">
        <v>170</v>
      </c>
      <c r="AW48" s="8"/>
      <c r="AX48" s="102">
        <v>96</v>
      </c>
      <c r="AY48" s="103">
        <v>2327</v>
      </c>
      <c r="AZ48" s="104">
        <f t="shared" si="1"/>
        <v>0</v>
      </c>
      <c r="BA48" s="8"/>
      <c r="BB48" s="102">
        <v>104.75</v>
      </c>
      <c r="BC48" s="103">
        <v>1032</v>
      </c>
      <c r="BD48" s="105">
        <f t="shared" si="2"/>
        <v>0</v>
      </c>
    </row>
    <row r="49" spans="1:56" ht="15" hidden="1" customHeight="1" x14ac:dyDescent="0.25">
      <c r="A49" s="287" t="s">
        <v>738</v>
      </c>
      <c r="B49" s="288"/>
      <c r="C49" s="133" t="str">
        <f ca="1">IF(AC_Step4_Running_Total_Passed,
        IF(LEFT(AI_Provider_Type,8)="Combined",
              IF(AI_Project_Type&lt;&gt;"",IF(AND(AI_Rate_Water&gt;0,AI_Rate_Sewer&gt;0),AI_Rate_Water+AI_Rate_Sewer,"Enter water and sewer bills."),"Select project type."),
              IF(LEFT(AI_Provider_Type,6)="Single",
                    IF(AI_Project_Type="Water",
                          IF(AI_Rate_Water&gt;0,AI_Rate_Water/0.4,"Enter water bill."),
                          IF(AI_Project_Type="Wastewater",IF(AI_Rate_Sewer&gt;0,AI_Rate_Sewer/0.6,"Enter sewer bill."), "Select project type.")),
                    "Select service provider type.")),
        "" )</f>
        <v/>
      </c>
      <c r="AF49" s="114" t="s">
        <v>803</v>
      </c>
      <c r="AG49" s="115" t="s">
        <v>804</v>
      </c>
      <c r="AJ49" s="150">
        <f t="shared" si="3"/>
        <v>45</v>
      </c>
      <c r="AK49" s="151">
        <f>IF(AC_Chart_Background_Data[[#This Row],[X]] &lt; EFC_70P-EFC_50P, EFC_50P, MAX(EFC_70P-AC_Chart_Background_Data[[#This Row],[X]],0))</f>
        <v>62</v>
      </c>
      <c r="AL49" s="151">
        <f>IF(AC_Chart_Background_Data[[#This Row],[X]] &lt; EFC_85P-EFC_70P, EFC_70P, MAX(EFC_85P-AC_Chart_Background_Data[[#This Row],[X]],0))</f>
        <v>81</v>
      </c>
      <c r="AM49" s="151">
        <f>IF(AC_Chart_Background_Data[[#This Row],[X]] &lt; EFC_95P-EFC_85P, EFC_85P, MAX(EFC_95P-AC_Chart_Background_Data[[#This Row],[X]],0))</f>
        <v>100</v>
      </c>
      <c r="AN49" s="151">
        <f>IF(AC_Chart_Background_Data[[#This Row],[X]] &lt; EFC_99P-EFC_95P, EFC_95P, MAX(EFC_99P-AC_Chart_Background_Data[[#This Row],[X]],0))</f>
        <v>121</v>
      </c>
      <c r="AO49" s="151">
        <f t="shared" si="0"/>
        <v>170</v>
      </c>
      <c r="AQ49" s="144">
        <v>45</v>
      </c>
      <c r="AR49" s="144">
        <v>62</v>
      </c>
      <c r="AS49" s="144">
        <v>81</v>
      </c>
      <c r="AT49" s="144">
        <v>100</v>
      </c>
      <c r="AU49" s="144">
        <v>121</v>
      </c>
      <c r="AV49" s="144">
        <v>170</v>
      </c>
      <c r="AW49" s="8"/>
      <c r="AX49" s="102">
        <v>79.62</v>
      </c>
      <c r="AY49" s="103">
        <v>44281</v>
      </c>
      <c r="AZ49" s="104">
        <f t="shared" si="1"/>
        <v>0</v>
      </c>
      <c r="BA49" s="8"/>
      <c r="BB49" s="102">
        <v>135.5</v>
      </c>
      <c r="BC49" s="103">
        <v>2473</v>
      </c>
      <c r="BD49" s="105">
        <f t="shared" si="2"/>
        <v>0</v>
      </c>
    </row>
    <row r="50" spans="1:56" ht="15" hidden="1" customHeight="1" x14ac:dyDescent="0.25">
      <c r="A50" s="282"/>
      <c r="B50" s="283"/>
      <c r="C50" s="134"/>
      <c r="AF50" s="114" t="s">
        <v>805</v>
      </c>
      <c r="AG50" s="115" t="s">
        <v>806</v>
      </c>
      <c r="AJ50" s="150">
        <f t="shared" si="3"/>
        <v>46</v>
      </c>
      <c r="AK50" s="151">
        <f>IF(AC_Chart_Background_Data[[#This Row],[X]] &lt; EFC_70P-EFC_50P, EFC_50P, MAX(EFC_70P-AC_Chart_Background_Data[[#This Row],[X]],0))</f>
        <v>61</v>
      </c>
      <c r="AL50" s="151">
        <f>IF(AC_Chart_Background_Data[[#This Row],[X]] &lt; EFC_85P-EFC_70P, EFC_70P, MAX(EFC_85P-AC_Chart_Background_Data[[#This Row],[X]],0))</f>
        <v>80</v>
      </c>
      <c r="AM50" s="151">
        <f>IF(AC_Chart_Background_Data[[#This Row],[X]] &lt; EFC_95P-EFC_85P, EFC_85P, MAX(EFC_95P-AC_Chart_Background_Data[[#This Row],[X]],0))</f>
        <v>99</v>
      </c>
      <c r="AN50" s="151">
        <f>IF(AC_Chart_Background_Data[[#This Row],[X]] &lt; EFC_99P-EFC_95P, EFC_95P, MAX(EFC_99P-AC_Chart_Background_Data[[#This Row],[X]],0))</f>
        <v>120</v>
      </c>
      <c r="AO50" s="151">
        <f t="shared" si="0"/>
        <v>170</v>
      </c>
      <c r="AQ50" s="144">
        <v>46</v>
      </c>
      <c r="AR50" s="144">
        <v>61</v>
      </c>
      <c r="AS50" s="144">
        <v>80</v>
      </c>
      <c r="AT50" s="144">
        <v>99</v>
      </c>
      <c r="AU50" s="144">
        <v>120</v>
      </c>
      <c r="AV50" s="144">
        <v>170</v>
      </c>
      <c r="AW50" s="8"/>
      <c r="AX50" s="102">
        <v>87.57</v>
      </c>
      <c r="AY50" s="103">
        <v>17223</v>
      </c>
      <c r="AZ50" s="104">
        <f t="shared" si="1"/>
        <v>0</v>
      </c>
      <c r="BA50" s="8"/>
      <c r="BB50" s="102">
        <v>90.92</v>
      </c>
      <c r="BC50" s="103">
        <v>6056</v>
      </c>
      <c r="BD50" s="105">
        <f t="shared" si="2"/>
        <v>0</v>
      </c>
    </row>
    <row r="51" spans="1:56" ht="15" hidden="1" customHeight="1" x14ac:dyDescent="0.25">
      <c r="A51" s="282" t="str">
        <f>"Number of "&amp;LOWER(AI_Project_Type)&amp;" non-residential connections:"</f>
        <v>Number of  non-residential connections:</v>
      </c>
      <c r="B51" s="283"/>
      <c r="C51" s="135"/>
      <c r="F51" s="53"/>
      <c r="AJ51" s="150">
        <f t="shared" si="3"/>
        <v>47</v>
      </c>
      <c r="AK51" s="151">
        <f>IF(AC_Chart_Background_Data[[#This Row],[X]] &lt; EFC_70P-EFC_50P, EFC_50P, MAX(EFC_70P-AC_Chart_Background_Data[[#This Row],[X]],0))</f>
        <v>60</v>
      </c>
      <c r="AL51" s="151">
        <f>IF(AC_Chart_Background_Data[[#This Row],[X]] &lt; EFC_85P-EFC_70P, EFC_70P, MAX(EFC_85P-AC_Chart_Background_Data[[#This Row],[X]],0))</f>
        <v>79</v>
      </c>
      <c r="AM51" s="151">
        <f>IF(AC_Chart_Background_Data[[#This Row],[X]] &lt; EFC_95P-EFC_85P, EFC_85P, MAX(EFC_95P-AC_Chart_Background_Data[[#This Row],[X]],0))</f>
        <v>98</v>
      </c>
      <c r="AN51" s="151">
        <f>IF(AC_Chart_Background_Data[[#This Row],[X]] &lt; EFC_99P-EFC_95P, EFC_95P, MAX(EFC_99P-AC_Chart_Background_Data[[#This Row],[X]],0))</f>
        <v>119</v>
      </c>
      <c r="AO51" s="151">
        <f t="shared" si="0"/>
        <v>170</v>
      </c>
      <c r="AQ51" s="144">
        <v>47</v>
      </c>
      <c r="AR51" s="144">
        <v>60</v>
      </c>
      <c r="AS51" s="144">
        <v>79</v>
      </c>
      <c r="AT51" s="144">
        <v>98</v>
      </c>
      <c r="AU51" s="144">
        <v>119</v>
      </c>
      <c r="AV51" s="144">
        <v>170</v>
      </c>
      <c r="AW51" s="8"/>
      <c r="AX51" s="102">
        <v>82.02</v>
      </c>
      <c r="AY51" s="103">
        <v>279</v>
      </c>
      <c r="AZ51" s="104">
        <f t="shared" si="1"/>
        <v>0</v>
      </c>
      <c r="BA51" s="8"/>
      <c r="BB51" s="102">
        <v>141.34</v>
      </c>
      <c r="BC51" s="103">
        <v>1042</v>
      </c>
      <c r="BD51" s="105">
        <f t="shared" si="2"/>
        <v>0</v>
      </c>
    </row>
    <row r="52" spans="1:56" ht="15" hidden="1" customHeight="1" x14ac:dyDescent="0.25">
      <c r="A52" s="282" t="str">
        <f>"Calculated total number of "&amp;LOWER(AI_Project_Type)&amp;" connections:"</f>
        <v>Calculated total number of  connections:</v>
      </c>
      <c r="B52" s="283"/>
      <c r="C52" s="136" t="str">
        <f>IF(AND(ISNUMBER(AI_Connections_Res.),ISNUMBER(C51)),AI_Connections_Res.+C51,"")</f>
        <v/>
      </c>
      <c r="AJ52" s="150">
        <f t="shared" si="3"/>
        <v>48</v>
      </c>
      <c r="AK52" s="151">
        <f>IF(AC_Chart_Background_Data[[#This Row],[X]] &lt; EFC_70P-EFC_50P, EFC_50P, MAX(EFC_70P-AC_Chart_Background_Data[[#This Row],[X]],0))</f>
        <v>59</v>
      </c>
      <c r="AL52" s="151">
        <f>IF(AC_Chart_Background_Data[[#This Row],[X]] &lt; EFC_85P-EFC_70P, EFC_70P, MAX(EFC_85P-AC_Chart_Background_Data[[#This Row],[X]],0))</f>
        <v>78</v>
      </c>
      <c r="AM52" s="151">
        <f>IF(AC_Chart_Background_Data[[#This Row],[X]] &lt; EFC_95P-EFC_85P, EFC_85P, MAX(EFC_95P-AC_Chart_Background_Data[[#This Row],[X]],0))</f>
        <v>97</v>
      </c>
      <c r="AN52" s="151">
        <f>IF(AC_Chart_Background_Data[[#This Row],[X]] &lt; EFC_99P-EFC_95P, EFC_95P, MAX(EFC_99P-AC_Chart_Background_Data[[#This Row],[X]],0))</f>
        <v>118</v>
      </c>
      <c r="AO52" s="151">
        <f t="shared" si="0"/>
        <v>170</v>
      </c>
      <c r="AQ52" s="144">
        <v>48</v>
      </c>
      <c r="AR52" s="144">
        <v>59</v>
      </c>
      <c r="AS52" s="144">
        <v>78</v>
      </c>
      <c r="AT52" s="144">
        <v>97</v>
      </c>
      <c r="AU52" s="144">
        <v>118</v>
      </c>
      <c r="AV52" s="144">
        <v>170</v>
      </c>
      <c r="AX52" s="102">
        <v>118.25</v>
      </c>
      <c r="AY52" s="103">
        <v>85329</v>
      </c>
      <c r="AZ52" s="104">
        <f t="shared" si="1"/>
        <v>0</v>
      </c>
      <c r="BA52" s="8"/>
      <c r="BB52" s="102">
        <v>97.49</v>
      </c>
      <c r="BC52" s="103">
        <v>1038</v>
      </c>
      <c r="BD52" s="105">
        <f t="shared" si="2"/>
        <v>0</v>
      </c>
    </row>
    <row r="53" spans="1:56" ht="15" hidden="1" customHeight="1" x14ac:dyDescent="0.25">
      <c r="A53" s="284"/>
      <c r="B53" s="285"/>
      <c r="C53" s="134"/>
      <c r="AJ53" s="150">
        <f t="shared" si="3"/>
        <v>49</v>
      </c>
      <c r="AK53" s="151">
        <f>IF(AC_Chart_Background_Data[[#This Row],[X]] &lt; EFC_70P-EFC_50P, EFC_50P, MAX(EFC_70P-AC_Chart_Background_Data[[#This Row],[X]],0))</f>
        <v>58</v>
      </c>
      <c r="AL53" s="151">
        <f>IF(AC_Chart_Background_Data[[#This Row],[X]] &lt; EFC_85P-EFC_70P, EFC_70P, MAX(EFC_85P-AC_Chart_Background_Data[[#This Row],[X]],0))</f>
        <v>77</v>
      </c>
      <c r="AM53" s="151">
        <f>IF(AC_Chart_Background_Data[[#This Row],[X]] &lt; EFC_95P-EFC_85P, EFC_85P, MAX(EFC_95P-AC_Chart_Background_Data[[#This Row],[X]],0))</f>
        <v>96</v>
      </c>
      <c r="AN53" s="151">
        <f>IF(AC_Chart_Background_Data[[#This Row],[X]] &lt; EFC_99P-EFC_95P, EFC_95P, MAX(EFC_99P-AC_Chart_Background_Data[[#This Row],[X]],0))</f>
        <v>117</v>
      </c>
      <c r="AO53" s="151">
        <f t="shared" si="0"/>
        <v>170</v>
      </c>
      <c r="AQ53" s="144">
        <v>49</v>
      </c>
      <c r="AR53" s="144">
        <v>58</v>
      </c>
      <c r="AS53" s="144">
        <v>77</v>
      </c>
      <c r="AT53" s="144">
        <v>96</v>
      </c>
      <c r="AU53" s="144">
        <v>117</v>
      </c>
      <c r="AV53" s="144">
        <v>170</v>
      </c>
      <c r="AX53" s="102">
        <v>117.45</v>
      </c>
      <c r="AY53" s="103">
        <v>1293</v>
      </c>
      <c r="AZ53" s="104">
        <f t="shared" si="1"/>
        <v>0</v>
      </c>
      <c r="BA53" s="8"/>
      <c r="BB53" s="102">
        <v>95.14</v>
      </c>
      <c r="BC53" s="103">
        <v>773</v>
      </c>
      <c r="BD53" s="105">
        <f t="shared" si="2"/>
        <v>0</v>
      </c>
    </row>
    <row r="54" spans="1:56" ht="15.75" hidden="1" customHeight="1" thickBot="1" x14ac:dyDescent="0.3">
      <c r="A54" s="54"/>
      <c r="B54" s="55" t="s">
        <v>739</v>
      </c>
      <c r="C54" s="137" t="str">
        <f ca="1">IF(AC_Step5_Running_Total_Passed,(AI_Project_Cost/AC_Connections/20/12),"")</f>
        <v/>
      </c>
      <c r="E54" s="56"/>
      <c r="AJ54" s="150">
        <f t="shared" si="3"/>
        <v>50</v>
      </c>
      <c r="AK54" s="151">
        <f>IF(AC_Chart_Background_Data[[#This Row],[X]] &lt; EFC_70P-EFC_50P, EFC_50P, MAX(EFC_70P-AC_Chart_Background_Data[[#This Row],[X]],0))</f>
        <v>57</v>
      </c>
      <c r="AL54" s="151">
        <f>IF(AC_Chart_Background_Data[[#This Row],[X]] &lt; EFC_85P-EFC_70P, EFC_70P, MAX(EFC_85P-AC_Chart_Background_Data[[#This Row],[X]],0))</f>
        <v>76</v>
      </c>
      <c r="AM54" s="151">
        <f>IF(AC_Chart_Background_Data[[#This Row],[X]] &lt; EFC_95P-EFC_85P, EFC_85P, MAX(EFC_95P-AC_Chart_Background_Data[[#This Row],[X]],0))</f>
        <v>95</v>
      </c>
      <c r="AN54" s="151">
        <f>IF(AC_Chart_Background_Data[[#This Row],[X]] &lt; EFC_99P-EFC_95P, EFC_95P, MAX(EFC_99P-AC_Chart_Background_Data[[#This Row],[X]],0))</f>
        <v>116</v>
      </c>
      <c r="AO54" s="151">
        <f t="shared" si="0"/>
        <v>170</v>
      </c>
      <c r="AQ54" s="144">
        <v>50</v>
      </c>
      <c r="AR54" s="144">
        <v>57</v>
      </c>
      <c r="AS54" s="144">
        <v>76</v>
      </c>
      <c r="AT54" s="144">
        <v>95</v>
      </c>
      <c r="AU54" s="144">
        <v>116</v>
      </c>
      <c r="AV54" s="144">
        <v>170</v>
      </c>
      <c r="AX54" s="102">
        <v>130.34</v>
      </c>
      <c r="AY54" s="103">
        <v>566</v>
      </c>
      <c r="AZ54" s="104">
        <f t="shared" si="1"/>
        <v>0</v>
      </c>
      <c r="BA54" s="8"/>
      <c r="BB54" s="102">
        <v>122.73</v>
      </c>
      <c r="BC54" s="103">
        <v>595</v>
      </c>
      <c r="BD54" s="105">
        <f t="shared" si="2"/>
        <v>0</v>
      </c>
    </row>
    <row r="55" spans="1:56" ht="15" hidden="1" customHeight="1" x14ac:dyDescent="0.25">
      <c r="B55" s="57"/>
      <c r="C55" s="56"/>
      <c r="E55" s="56"/>
      <c r="AJ55" s="150">
        <f t="shared" si="3"/>
        <v>51</v>
      </c>
      <c r="AK55" s="151">
        <f>IF(AC_Chart_Background_Data[[#This Row],[X]] &lt; EFC_70P-EFC_50P, EFC_50P, MAX(EFC_70P-AC_Chart_Background_Data[[#This Row],[X]],0))</f>
        <v>56</v>
      </c>
      <c r="AL55" s="151">
        <f>IF(AC_Chart_Background_Data[[#This Row],[X]] &lt; EFC_85P-EFC_70P, EFC_70P, MAX(EFC_85P-AC_Chart_Background_Data[[#This Row],[X]],0))</f>
        <v>75</v>
      </c>
      <c r="AM55" s="151">
        <f>IF(AC_Chart_Background_Data[[#This Row],[X]] &lt; EFC_95P-EFC_85P, EFC_85P, MAX(EFC_95P-AC_Chart_Background_Data[[#This Row],[X]],0))</f>
        <v>94</v>
      </c>
      <c r="AN55" s="151">
        <f>IF(AC_Chart_Background_Data[[#This Row],[X]] &lt; EFC_99P-EFC_95P, EFC_95P, MAX(EFC_99P-AC_Chart_Background_Data[[#This Row],[X]],0))</f>
        <v>115</v>
      </c>
      <c r="AO55" s="151">
        <f t="shared" si="0"/>
        <v>170</v>
      </c>
      <c r="AQ55" s="144">
        <v>51</v>
      </c>
      <c r="AR55" s="144">
        <v>56</v>
      </c>
      <c r="AS55" s="144">
        <v>75</v>
      </c>
      <c r="AT55" s="144">
        <v>94</v>
      </c>
      <c r="AU55" s="144">
        <v>115</v>
      </c>
      <c r="AV55" s="144">
        <v>170</v>
      </c>
      <c r="AX55" s="102">
        <v>100.98</v>
      </c>
      <c r="AY55" s="103">
        <v>1300</v>
      </c>
      <c r="AZ55" s="104">
        <f t="shared" si="1"/>
        <v>0</v>
      </c>
      <c r="BA55" s="8"/>
      <c r="BB55" s="102">
        <v>75.180000000000007</v>
      </c>
      <c r="BC55" s="103">
        <v>2033</v>
      </c>
      <c r="BD55" s="105">
        <f t="shared" si="2"/>
        <v>0</v>
      </c>
    </row>
    <row r="56" spans="1:56" ht="18.75" hidden="1" customHeight="1" x14ac:dyDescent="0.3">
      <c r="A56" s="96" t="s">
        <v>820</v>
      </c>
      <c r="B56" s="57"/>
      <c r="C56" s="56"/>
      <c r="E56" s="56"/>
      <c r="AJ56" s="150">
        <f t="shared" si="3"/>
        <v>52</v>
      </c>
      <c r="AK56" s="151">
        <f>IF(AC_Chart_Background_Data[[#This Row],[X]] &lt; EFC_70P-EFC_50P, EFC_50P, MAX(EFC_70P-AC_Chart_Background_Data[[#This Row],[X]],0))</f>
        <v>55</v>
      </c>
      <c r="AL56" s="151">
        <f>IF(AC_Chart_Background_Data[[#This Row],[X]] &lt; EFC_85P-EFC_70P, EFC_70P, MAX(EFC_85P-AC_Chart_Background_Data[[#This Row],[X]],0))</f>
        <v>74</v>
      </c>
      <c r="AM56" s="151">
        <f>IF(AC_Chart_Background_Data[[#This Row],[X]] &lt; EFC_95P-EFC_85P, EFC_85P, MAX(EFC_95P-AC_Chart_Background_Data[[#This Row],[X]],0))</f>
        <v>93</v>
      </c>
      <c r="AN56" s="151">
        <f>IF(AC_Chart_Background_Data[[#This Row],[X]] &lt; EFC_99P-EFC_95P, EFC_95P, MAX(EFC_99P-AC_Chart_Background_Data[[#This Row],[X]],0))</f>
        <v>114</v>
      </c>
      <c r="AO56" s="151">
        <f t="shared" si="0"/>
        <v>170</v>
      </c>
      <c r="AQ56" s="144">
        <v>52</v>
      </c>
      <c r="AR56" s="144">
        <v>55</v>
      </c>
      <c r="AS56" s="144">
        <v>74</v>
      </c>
      <c r="AT56" s="144">
        <v>93</v>
      </c>
      <c r="AU56" s="144">
        <v>114</v>
      </c>
      <c r="AV56" s="144">
        <v>170</v>
      </c>
      <c r="AX56" s="102">
        <v>74.2</v>
      </c>
      <c r="AY56" s="103">
        <v>486</v>
      </c>
      <c r="AZ56" s="104">
        <f t="shared" si="1"/>
        <v>0</v>
      </c>
      <c r="BA56" s="8"/>
      <c r="BB56" s="102">
        <v>123.27</v>
      </c>
      <c r="BC56" s="103">
        <v>306</v>
      </c>
      <c r="BD56" s="105">
        <f t="shared" si="2"/>
        <v>0</v>
      </c>
    </row>
    <row r="57" spans="1:56" ht="15" hidden="1" customHeight="1" x14ac:dyDescent="0.25">
      <c r="A57" s="97" t="s">
        <v>740</v>
      </c>
      <c r="B57" s="57"/>
      <c r="C57" s="56"/>
      <c r="E57" s="56"/>
      <c r="AJ57" s="150">
        <f t="shared" si="3"/>
        <v>53</v>
      </c>
      <c r="AK57" s="151">
        <f>IF(AC_Chart_Background_Data[[#This Row],[X]] &lt; EFC_70P-EFC_50P, EFC_50P, MAX(EFC_70P-AC_Chart_Background_Data[[#This Row],[X]],0))</f>
        <v>54</v>
      </c>
      <c r="AL57" s="151">
        <f>IF(AC_Chart_Background_Data[[#This Row],[X]] &lt; EFC_85P-EFC_70P, EFC_70P, MAX(EFC_85P-AC_Chart_Background_Data[[#This Row],[X]],0))</f>
        <v>73</v>
      </c>
      <c r="AM57" s="151">
        <f>IF(AC_Chart_Background_Data[[#This Row],[X]] &lt; EFC_95P-EFC_85P, EFC_85P, MAX(EFC_95P-AC_Chart_Background_Data[[#This Row],[X]],0))</f>
        <v>92</v>
      </c>
      <c r="AN57" s="151">
        <f>IF(AC_Chart_Background_Data[[#This Row],[X]] &lt; EFC_99P-EFC_95P, EFC_95P, MAX(EFC_99P-AC_Chart_Background_Data[[#This Row],[X]],0))</f>
        <v>113</v>
      </c>
      <c r="AO57" s="151">
        <f t="shared" si="0"/>
        <v>170</v>
      </c>
      <c r="AQ57" s="144">
        <v>53</v>
      </c>
      <c r="AR57" s="144">
        <v>54</v>
      </c>
      <c r="AS57" s="144">
        <v>73</v>
      </c>
      <c r="AT57" s="144">
        <v>92</v>
      </c>
      <c r="AU57" s="144">
        <v>113</v>
      </c>
      <c r="AV57" s="144">
        <v>170</v>
      </c>
      <c r="AX57" s="102">
        <v>95.42</v>
      </c>
      <c r="AY57" s="103">
        <v>1363</v>
      </c>
      <c r="AZ57" s="104">
        <f t="shared" si="1"/>
        <v>0</v>
      </c>
      <c r="BA57" s="8"/>
      <c r="BB57" s="102">
        <v>58.75</v>
      </c>
      <c r="BC57" s="103">
        <v>9046</v>
      </c>
      <c r="BD57" s="105">
        <f t="shared" si="2"/>
        <v>0</v>
      </c>
    </row>
    <row r="58" spans="1:56" ht="17.25" hidden="1" customHeight="1" x14ac:dyDescent="0.25">
      <c r="A58" s="11" t="s">
        <v>821</v>
      </c>
      <c r="B58" s="57"/>
      <c r="C58" s="56"/>
      <c r="E58" s="56"/>
      <c r="AJ58" s="150">
        <f t="shared" si="3"/>
        <v>54</v>
      </c>
      <c r="AK58" s="151">
        <f>IF(AC_Chart_Background_Data[[#This Row],[X]] &lt; EFC_70P-EFC_50P, EFC_50P, MAX(EFC_70P-AC_Chart_Background_Data[[#This Row],[X]],0))</f>
        <v>53</v>
      </c>
      <c r="AL58" s="151">
        <f>IF(AC_Chart_Background_Data[[#This Row],[X]] &lt; EFC_85P-EFC_70P, EFC_70P, MAX(EFC_85P-AC_Chart_Background_Data[[#This Row],[X]],0))</f>
        <v>72</v>
      </c>
      <c r="AM58" s="151">
        <f>IF(AC_Chart_Background_Data[[#This Row],[X]] &lt; EFC_95P-EFC_85P, EFC_85P, MAX(EFC_95P-AC_Chart_Background_Data[[#This Row],[X]],0))</f>
        <v>91</v>
      </c>
      <c r="AN58" s="151">
        <f>IF(AC_Chart_Background_Data[[#This Row],[X]] &lt; EFC_99P-EFC_95P, EFC_95P, MAX(EFC_99P-AC_Chart_Background_Data[[#This Row],[X]],0))</f>
        <v>112</v>
      </c>
      <c r="AO58" s="151">
        <f t="shared" si="0"/>
        <v>170</v>
      </c>
      <c r="AQ58" s="144">
        <v>54</v>
      </c>
      <c r="AR58" s="144">
        <v>53</v>
      </c>
      <c r="AS58" s="144">
        <v>72</v>
      </c>
      <c r="AT58" s="144">
        <v>91</v>
      </c>
      <c r="AU58" s="144">
        <v>112</v>
      </c>
      <c r="AV58" s="144">
        <v>170</v>
      </c>
      <c r="AX58" s="102">
        <v>116.25</v>
      </c>
      <c r="AY58" s="103">
        <v>823</v>
      </c>
      <c r="AZ58" s="104">
        <f t="shared" si="1"/>
        <v>0</v>
      </c>
      <c r="BA58" s="8"/>
      <c r="BB58" s="102">
        <v>87.22</v>
      </c>
      <c r="BC58" s="103">
        <v>10872</v>
      </c>
      <c r="BD58" s="105">
        <f t="shared" si="2"/>
        <v>0</v>
      </c>
    </row>
    <row r="59" spans="1:56" ht="15" hidden="1" customHeight="1" x14ac:dyDescent="0.25">
      <c r="B59" s="57"/>
      <c r="C59" s="56"/>
      <c r="E59" s="56"/>
      <c r="AH59" s="77"/>
      <c r="AI59" s="77"/>
      <c r="AJ59" s="150">
        <f t="shared" si="3"/>
        <v>55</v>
      </c>
      <c r="AK59" s="151">
        <f>IF(AC_Chart_Background_Data[[#This Row],[X]] &lt; EFC_70P-EFC_50P, EFC_50P, MAX(EFC_70P-AC_Chart_Background_Data[[#This Row],[X]],0))</f>
        <v>52</v>
      </c>
      <c r="AL59" s="151">
        <f>IF(AC_Chart_Background_Data[[#This Row],[X]] &lt; EFC_85P-EFC_70P, EFC_70P, MAX(EFC_85P-AC_Chart_Background_Data[[#This Row],[X]],0))</f>
        <v>71</v>
      </c>
      <c r="AM59" s="151">
        <f>IF(AC_Chart_Background_Data[[#This Row],[X]] &lt; EFC_95P-EFC_85P, EFC_85P, MAX(EFC_95P-AC_Chart_Background_Data[[#This Row],[X]],0))</f>
        <v>90</v>
      </c>
      <c r="AN59" s="151">
        <f>IF(AC_Chart_Background_Data[[#This Row],[X]] &lt; EFC_99P-EFC_95P, EFC_95P, MAX(EFC_99P-AC_Chart_Background_Data[[#This Row],[X]],0))</f>
        <v>111</v>
      </c>
      <c r="AO59" s="151">
        <f t="shared" si="0"/>
        <v>170</v>
      </c>
      <c r="AP59" s="77"/>
      <c r="AQ59" s="153">
        <v>55</v>
      </c>
      <c r="AR59" s="153">
        <v>52</v>
      </c>
      <c r="AS59" s="153">
        <v>71</v>
      </c>
      <c r="AT59" s="153">
        <v>90</v>
      </c>
      <c r="AU59" s="153">
        <v>111</v>
      </c>
      <c r="AV59" s="153">
        <v>170</v>
      </c>
      <c r="AX59" s="102">
        <v>87.22</v>
      </c>
      <c r="AY59" s="103">
        <v>21438</v>
      </c>
      <c r="AZ59" s="104">
        <f t="shared" si="1"/>
        <v>0</v>
      </c>
      <c r="BA59" s="8"/>
      <c r="BB59" s="102">
        <v>60</v>
      </c>
      <c r="BC59" s="103">
        <v>136</v>
      </c>
      <c r="BD59" s="105">
        <f t="shared" si="2"/>
        <v>0</v>
      </c>
    </row>
    <row r="60" spans="1:56" ht="15" hidden="1" customHeight="1" x14ac:dyDescent="0.25">
      <c r="A60" s="277" t="s">
        <v>822</v>
      </c>
      <c r="B60" s="57"/>
      <c r="C60" s="56"/>
      <c r="E60" s="56"/>
      <c r="AB60" s="14"/>
      <c r="AC60" s="8"/>
      <c r="AD60" s="8"/>
      <c r="AE60" s="8"/>
      <c r="AF60" s="8"/>
      <c r="AG60" s="8"/>
      <c r="AH60" s="8"/>
      <c r="AI60" s="8"/>
      <c r="AJ60" s="150">
        <f t="shared" si="3"/>
        <v>56</v>
      </c>
      <c r="AK60" s="151">
        <f>IF(AC_Chart_Background_Data[[#This Row],[X]] &lt; EFC_70P-EFC_50P, EFC_50P, MAX(EFC_70P-AC_Chart_Background_Data[[#This Row],[X]],0))</f>
        <v>51</v>
      </c>
      <c r="AL60" s="151">
        <f>IF(AC_Chart_Background_Data[[#This Row],[X]] &lt; EFC_85P-EFC_70P, EFC_70P, MAX(EFC_85P-AC_Chart_Background_Data[[#This Row],[X]],0))</f>
        <v>70</v>
      </c>
      <c r="AM60" s="151">
        <f>IF(AC_Chart_Background_Data[[#This Row],[X]] &lt; EFC_95P-EFC_85P, EFC_85P, MAX(EFC_95P-AC_Chart_Background_Data[[#This Row],[X]],0))</f>
        <v>89</v>
      </c>
      <c r="AN60" s="151">
        <f>IF(AC_Chart_Background_Data[[#This Row],[X]] &lt; EFC_99P-EFC_95P, EFC_95P, MAX(EFC_99P-AC_Chart_Background_Data[[#This Row],[X]],0))</f>
        <v>110</v>
      </c>
      <c r="AO60" s="151">
        <f t="shared" si="0"/>
        <v>170</v>
      </c>
      <c r="AP60" s="8"/>
      <c r="AQ60" s="154">
        <v>56</v>
      </c>
      <c r="AR60" s="154">
        <v>51</v>
      </c>
      <c r="AS60" s="154">
        <v>70</v>
      </c>
      <c r="AT60" s="154">
        <v>89</v>
      </c>
      <c r="AU60" s="154">
        <v>110</v>
      </c>
      <c r="AV60" s="154">
        <v>170</v>
      </c>
      <c r="AX60" s="102">
        <v>100.76</v>
      </c>
      <c r="AY60" s="103">
        <v>634</v>
      </c>
      <c r="AZ60" s="104">
        <f t="shared" si="1"/>
        <v>0</v>
      </c>
      <c r="BA60" s="8"/>
      <c r="BB60" s="102">
        <v>137.72999999999999</v>
      </c>
      <c r="BC60" s="103">
        <v>1144</v>
      </c>
      <c r="BD60" s="105">
        <f t="shared" si="2"/>
        <v>0</v>
      </c>
    </row>
    <row r="61" spans="1:56" ht="15" hidden="1" customHeight="1" x14ac:dyDescent="0.25">
      <c r="A61" s="277"/>
      <c r="B61" s="57"/>
      <c r="C61" s="56"/>
      <c r="E61" s="56"/>
      <c r="AB61" s="14"/>
      <c r="AC61" s="77"/>
      <c r="AD61" s="77"/>
      <c r="AE61" s="77"/>
      <c r="AF61" s="77"/>
      <c r="AG61" s="77"/>
      <c r="AH61" s="77"/>
      <c r="AI61" s="77"/>
      <c r="AJ61" s="150">
        <f t="shared" si="3"/>
        <v>57</v>
      </c>
      <c r="AK61" s="151">
        <f>IF(AC_Chart_Background_Data[[#This Row],[X]] &lt; EFC_70P-EFC_50P, EFC_50P, MAX(EFC_70P-AC_Chart_Background_Data[[#This Row],[X]],0))</f>
        <v>50</v>
      </c>
      <c r="AL61" s="151">
        <f>IF(AC_Chart_Background_Data[[#This Row],[X]] &lt; EFC_85P-EFC_70P, EFC_70P, MAX(EFC_85P-AC_Chart_Background_Data[[#This Row],[X]],0))</f>
        <v>69</v>
      </c>
      <c r="AM61" s="151">
        <f>IF(AC_Chart_Background_Data[[#This Row],[X]] &lt; EFC_95P-EFC_85P, EFC_85P, MAX(EFC_95P-AC_Chart_Background_Data[[#This Row],[X]],0))</f>
        <v>88</v>
      </c>
      <c r="AN61" s="151">
        <f>IF(AC_Chart_Background_Data[[#This Row],[X]] &lt; EFC_99P-EFC_95P, EFC_95P, MAX(EFC_99P-AC_Chart_Background_Data[[#This Row],[X]],0))</f>
        <v>109</v>
      </c>
      <c r="AO61" s="151">
        <f t="shared" si="0"/>
        <v>170</v>
      </c>
      <c r="AP61" s="77"/>
      <c r="AQ61" s="153">
        <v>57</v>
      </c>
      <c r="AR61" s="153">
        <v>50</v>
      </c>
      <c r="AS61" s="153">
        <v>69</v>
      </c>
      <c r="AT61" s="153">
        <v>88</v>
      </c>
      <c r="AU61" s="153">
        <v>109</v>
      </c>
      <c r="AV61" s="153">
        <v>170</v>
      </c>
      <c r="AX61" s="102">
        <v>90.04</v>
      </c>
      <c r="AY61" s="103">
        <v>2512</v>
      </c>
      <c r="AZ61" s="104">
        <f t="shared" si="1"/>
        <v>0</v>
      </c>
      <c r="BA61" s="8"/>
      <c r="BB61" s="102">
        <v>105.5</v>
      </c>
      <c r="BC61" s="103">
        <v>956</v>
      </c>
      <c r="BD61" s="105">
        <f t="shared" si="2"/>
        <v>0</v>
      </c>
    </row>
    <row r="62" spans="1:56" ht="15" hidden="1" customHeight="1" thickBot="1" x14ac:dyDescent="0.3">
      <c r="A62" s="277"/>
      <c r="B62" s="57"/>
      <c r="C62" s="56"/>
      <c r="E62" s="56"/>
      <c r="AB62" s="14"/>
      <c r="AC62" s="77"/>
      <c r="AD62" s="77"/>
      <c r="AE62" s="77"/>
      <c r="AF62" s="77"/>
      <c r="AG62" s="77"/>
      <c r="AH62" s="77"/>
      <c r="AI62" s="77"/>
      <c r="AJ62" s="150">
        <f t="shared" si="3"/>
        <v>58</v>
      </c>
      <c r="AK62" s="151">
        <f>IF(AC_Chart_Background_Data[[#This Row],[X]] &lt; EFC_70P-EFC_50P, EFC_50P, MAX(EFC_70P-AC_Chart_Background_Data[[#This Row],[X]],0))</f>
        <v>49</v>
      </c>
      <c r="AL62" s="151">
        <f>IF(AC_Chart_Background_Data[[#This Row],[X]] &lt; EFC_85P-EFC_70P, EFC_70P, MAX(EFC_85P-AC_Chart_Background_Data[[#This Row],[X]],0))</f>
        <v>68</v>
      </c>
      <c r="AM62" s="151">
        <f>IF(AC_Chart_Background_Data[[#This Row],[X]] &lt; EFC_95P-EFC_85P, EFC_85P, MAX(EFC_95P-AC_Chart_Background_Data[[#This Row],[X]],0))</f>
        <v>87</v>
      </c>
      <c r="AN62" s="151">
        <f>IF(AC_Chart_Background_Data[[#This Row],[X]] &lt; EFC_99P-EFC_95P, EFC_95P, MAX(EFC_99P-AC_Chart_Background_Data[[#This Row],[X]],0))</f>
        <v>108</v>
      </c>
      <c r="AO62" s="151">
        <f t="shared" si="0"/>
        <v>170</v>
      </c>
      <c r="AP62" s="77"/>
      <c r="AQ62" s="153">
        <v>58</v>
      </c>
      <c r="AR62" s="153">
        <v>49</v>
      </c>
      <c r="AS62" s="153">
        <v>68</v>
      </c>
      <c r="AT62" s="153">
        <v>87</v>
      </c>
      <c r="AU62" s="153">
        <v>108</v>
      </c>
      <c r="AV62" s="153">
        <v>170</v>
      </c>
      <c r="AX62" s="102">
        <v>60.72</v>
      </c>
      <c r="AY62" s="103">
        <v>623</v>
      </c>
      <c r="AZ62" s="104">
        <f t="shared" si="1"/>
        <v>0</v>
      </c>
      <c r="BA62" s="8"/>
      <c r="BB62" s="102">
        <v>101.33</v>
      </c>
      <c r="BC62" s="103">
        <v>1824</v>
      </c>
      <c r="BD62" s="105">
        <f t="shared" si="2"/>
        <v>0</v>
      </c>
    </row>
    <row r="63" spans="1:56" ht="15" hidden="1" customHeight="1" x14ac:dyDescent="0.25">
      <c r="A63" s="279" t="str" cm="1">
        <f t="array" aca="1" ref="A63" ca="1">_xlfn.IFS(AI_Applicant&lt;&gt;"",
             IF(VU_D1="Yes","100% (Igonre chart)
 D1 Unit",
                 IF(AC_Step5_Running_Total_Passed,
                        AC_Grant_Eligibility,
                        "You are only eligible for SRF Principal Forgiveness/SRP grant if you receive 4.C.4 points or BIL EC funding. You are eligible for loans."
                      )
                  ),
     AI_Applicant="",""
           )</f>
        <v/>
      </c>
      <c r="B63" s="57"/>
      <c r="C63" s="56"/>
      <c r="E63" s="56"/>
      <c r="AB63" s="14"/>
      <c r="AC63" s="77"/>
      <c r="AD63" s="77"/>
      <c r="AE63" s="77"/>
      <c r="AF63" s="77"/>
      <c r="AG63" s="77"/>
      <c r="AH63" s="77"/>
      <c r="AI63" s="77"/>
      <c r="AJ63" s="150">
        <f t="shared" si="3"/>
        <v>59</v>
      </c>
      <c r="AK63" s="151">
        <f>IF(AC_Chart_Background_Data[[#This Row],[X]] &lt; EFC_70P-EFC_50P, EFC_50P, MAX(EFC_70P-AC_Chart_Background_Data[[#This Row],[X]],0))</f>
        <v>48</v>
      </c>
      <c r="AL63" s="151">
        <f>IF(AC_Chart_Background_Data[[#This Row],[X]] &lt; EFC_85P-EFC_70P, EFC_70P, MAX(EFC_85P-AC_Chart_Background_Data[[#This Row],[X]],0))</f>
        <v>67</v>
      </c>
      <c r="AM63" s="151">
        <f>IF(AC_Chart_Background_Data[[#This Row],[X]] &lt; EFC_95P-EFC_85P, EFC_85P, MAX(EFC_95P-AC_Chart_Background_Data[[#This Row],[X]],0))</f>
        <v>86</v>
      </c>
      <c r="AN63" s="151">
        <f>IF(AC_Chart_Background_Data[[#This Row],[X]] &lt; EFC_99P-EFC_95P, EFC_95P, MAX(EFC_99P-AC_Chart_Background_Data[[#This Row],[X]],0))</f>
        <v>107</v>
      </c>
      <c r="AO63" s="151">
        <f t="shared" si="0"/>
        <v>170</v>
      </c>
      <c r="AP63" s="77"/>
      <c r="AQ63" s="153">
        <v>59</v>
      </c>
      <c r="AR63" s="153">
        <v>48</v>
      </c>
      <c r="AS63" s="153">
        <v>67</v>
      </c>
      <c r="AT63" s="153">
        <v>86</v>
      </c>
      <c r="AU63" s="153">
        <v>107</v>
      </c>
      <c r="AV63" s="153">
        <v>170</v>
      </c>
      <c r="AX63" s="102">
        <v>136.01</v>
      </c>
      <c r="AY63" s="103">
        <v>335</v>
      </c>
      <c r="AZ63" s="104">
        <f t="shared" si="1"/>
        <v>0</v>
      </c>
      <c r="BA63" s="8"/>
      <c r="BB63" s="102">
        <v>114.65</v>
      </c>
      <c r="BC63" s="103">
        <v>522</v>
      </c>
      <c r="BD63" s="105">
        <f t="shared" si="2"/>
        <v>0</v>
      </c>
    </row>
    <row r="64" spans="1:56" ht="15" hidden="1" customHeight="1" x14ac:dyDescent="0.25">
      <c r="A64" s="280"/>
      <c r="B64" s="57"/>
      <c r="C64" s="56"/>
      <c r="E64" s="56"/>
      <c r="AB64" s="8"/>
      <c r="AC64" s="77"/>
      <c r="AD64" s="77"/>
      <c r="AE64" s="77"/>
      <c r="AF64" s="77"/>
      <c r="AG64" s="77"/>
      <c r="AH64" s="77"/>
      <c r="AI64" s="77"/>
      <c r="AJ64" s="150">
        <f t="shared" si="3"/>
        <v>60</v>
      </c>
      <c r="AK64" s="151">
        <f>IF(AC_Chart_Background_Data[[#This Row],[X]] &lt; EFC_70P-EFC_50P, EFC_50P, MAX(EFC_70P-AC_Chart_Background_Data[[#This Row],[X]],0))</f>
        <v>47</v>
      </c>
      <c r="AL64" s="151">
        <f>IF(AC_Chart_Background_Data[[#This Row],[X]] &lt; EFC_85P-EFC_70P, EFC_70P, MAX(EFC_85P-AC_Chart_Background_Data[[#This Row],[X]],0))</f>
        <v>66</v>
      </c>
      <c r="AM64" s="151">
        <f>IF(AC_Chart_Background_Data[[#This Row],[X]] &lt; EFC_95P-EFC_85P, EFC_85P, MAX(EFC_95P-AC_Chart_Background_Data[[#This Row],[X]],0))</f>
        <v>85</v>
      </c>
      <c r="AN64" s="151">
        <f>IF(AC_Chart_Background_Data[[#This Row],[X]] &lt; EFC_99P-EFC_95P, EFC_95P, MAX(EFC_99P-AC_Chart_Background_Data[[#This Row],[X]],0))</f>
        <v>106</v>
      </c>
      <c r="AO64" s="151">
        <f t="shared" si="0"/>
        <v>170</v>
      </c>
      <c r="AP64" s="77"/>
      <c r="AQ64" s="153">
        <v>60</v>
      </c>
      <c r="AR64" s="153">
        <v>47</v>
      </c>
      <c r="AS64" s="153">
        <v>66</v>
      </c>
      <c r="AT64" s="153">
        <v>85</v>
      </c>
      <c r="AU64" s="153">
        <v>106</v>
      </c>
      <c r="AV64" s="153">
        <v>170</v>
      </c>
      <c r="AX64" s="102">
        <v>86</v>
      </c>
      <c r="AY64" s="103">
        <v>2310</v>
      </c>
      <c r="AZ64" s="104">
        <f t="shared" si="1"/>
        <v>0</v>
      </c>
      <c r="BA64" s="8"/>
      <c r="BB64" s="102">
        <v>102.86</v>
      </c>
      <c r="BC64" s="103">
        <v>4600</v>
      </c>
      <c r="BD64" s="105">
        <f t="shared" si="2"/>
        <v>0</v>
      </c>
    </row>
    <row r="65" spans="1:56" ht="15" hidden="1" customHeight="1" x14ac:dyDescent="0.25">
      <c r="A65" s="280"/>
      <c r="AB65" s="8"/>
      <c r="AC65" s="8"/>
      <c r="AD65" s="8"/>
      <c r="AE65" s="8"/>
      <c r="AF65" s="8"/>
      <c r="AG65" s="8"/>
      <c r="AH65" s="8"/>
      <c r="AI65" s="8"/>
      <c r="AJ65" s="150">
        <f t="shared" si="3"/>
        <v>61</v>
      </c>
      <c r="AK65" s="151">
        <f>IF(AC_Chart_Background_Data[[#This Row],[X]] &lt; EFC_70P-EFC_50P, EFC_50P, MAX(EFC_70P-AC_Chart_Background_Data[[#This Row],[X]],0))</f>
        <v>46</v>
      </c>
      <c r="AL65" s="151">
        <f>IF(AC_Chart_Background_Data[[#This Row],[X]] &lt; EFC_85P-EFC_70P, EFC_70P, MAX(EFC_85P-AC_Chart_Background_Data[[#This Row],[X]],0))</f>
        <v>65</v>
      </c>
      <c r="AM65" s="151">
        <f>IF(AC_Chart_Background_Data[[#This Row],[X]] &lt; EFC_95P-EFC_85P, EFC_85P, MAX(EFC_95P-AC_Chart_Background_Data[[#This Row],[X]],0))</f>
        <v>84</v>
      </c>
      <c r="AN65" s="151">
        <f>IF(AC_Chart_Background_Data[[#This Row],[X]] &lt; EFC_99P-EFC_95P, EFC_95P, MAX(EFC_99P-AC_Chart_Background_Data[[#This Row],[X]],0))</f>
        <v>105</v>
      </c>
      <c r="AO65" s="151">
        <f t="shared" si="0"/>
        <v>170</v>
      </c>
      <c r="AP65" s="8"/>
      <c r="AQ65" s="154">
        <v>61</v>
      </c>
      <c r="AR65" s="154">
        <v>46</v>
      </c>
      <c r="AS65" s="154">
        <v>65</v>
      </c>
      <c r="AT65" s="154">
        <v>84</v>
      </c>
      <c r="AU65" s="154">
        <v>105</v>
      </c>
      <c r="AV65" s="154">
        <v>170</v>
      </c>
      <c r="AX65" s="102">
        <v>138.25</v>
      </c>
      <c r="AY65" s="103">
        <v>12437</v>
      </c>
      <c r="AZ65" s="104">
        <f t="shared" si="1"/>
        <v>0</v>
      </c>
      <c r="BA65" s="8"/>
      <c r="BB65" s="102">
        <v>76.37</v>
      </c>
      <c r="BC65" s="103">
        <v>474</v>
      </c>
      <c r="BD65" s="105">
        <f t="shared" ref="BD65:BD74" si="4" xml:space="preserve"> AI_Project_Cost/BC65/20/12</f>
        <v>0</v>
      </c>
    </row>
    <row r="66" spans="1:56" ht="15" hidden="1" customHeight="1" x14ac:dyDescent="0.25">
      <c r="A66" s="280"/>
      <c r="AB66" s="8"/>
      <c r="AC66" s="8"/>
      <c r="AD66" s="8"/>
      <c r="AE66" s="8"/>
      <c r="AF66" s="8"/>
      <c r="AG66" s="8"/>
      <c r="AH66" s="8"/>
      <c r="AI66" s="8"/>
      <c r="AJ66" s="150">
        <f t="shared" si="3"/>
        <v>62</v>
      </c>
      <c r="AK66" s="151">
        <f>IF(AC_Chart_Background_Data[[#This Row],[X]] &lt; EFC_70P-EFC_50P, EFC_50P, MAX(EFC_70P-AC_Chart_Background_Data[[#This Row],[X]],0))</f>
        <v>45</v>
      </c>
      <c r="AL66" s="151">
        <f>IF(AC_Chart_Background_Data[[#This Row],[X]] &lt; EFC_85P-EFC_70P, EFC_70P, MAX(EFC_85P-AC_Chart_Background_Data[[#This Row],[X]],0))</f>
        <v>64</v>
      </c>
      <c r="AM66" s="151">
        <f>IF(AC_Chart_Background_Data[[#This Row],[X]] &lt; EFC_95P-EFC_85P, EFC_85P, MAX(EFC_95P-AC_Chart_Background_Data[[#This Row],[X]],0))</f>
        <v>83</v>
      </c>
      <c r="AN66" s="151">
        <f>IF(AC_Chart_Background_Data[[#This Row],[X]] &lt; EFC_99P-EFC_95P, EFC_95P, MAX(EFC_99P-AC_Chart_Background_Data[[#This Row],[X]],0))</f>
        <v>104</v>
      </c>
      <c r="AO66" s="151">
        <f t="shared" si="0"/>
        <v>170</v>
      </c>
      <c r="AP66" s="8"/>
      <c r="AQ66" s="154">
        <v>62</v>
      </c>
      <c r="AR66" s="154">
        <v>45</v>
      </c>
      <c r="AS66" s="154">
        <v>64</v>
      </c>
      <c r="AT66" s="154">
        <v>83</v>
      </c>
      <c r="AU66" s="154">
        <v>104</v>
      </c>
      <c r="AV66" s="154">
        <v>170</v>
      </c>
      <c r="AX66" s="102">
        <v>108.05</v>
      </c>
      <c r="AY66" s="103">
        <v>1500</v>
      </c>
      <c r="AZ66" s="104">
        <f t="shared" si="1"/>
        <v>0</v>
      </c>
      <c r="BA66" s="8"/>
      <c r="BB66" s="102">
        <v>251.1</v>
      </c>
      <c r="BC66" s="103">
        <v>114</v>
      </c>
      <c r="BD66" s="105">
        <f t="shared" si="4"/>
        <v>0</v>
      </c>
    </row>
    <row r="67" spans="1:56" ht="15" hidden="1" customHeight="1" x14ac:dyDescent="0.25">
      <c r="A67" s="280"/>
      <c r="AD67" s="8"/>
      <c r="AE67" s="8"/>
      <c r="AF67" s="8"/>
      <c r="AG67" s="8"/>
      <c r="AH67" s="8"/>
      <c r="AI67" s="8"/>
      <c r="AJ67" s="150">
        <f t="shared" si="3"/>
        <v>63</v>
      </c>
      <c r="AK67" s="151">
        <f>IF(AC_Chart_Background_Data[[#This Row],[X]] &lt; EFC_70P-EFC_50P, EFC_50P, MAX(EFC_70P-AC_Chart_Background_Data[[#This Row],[X]],0))</f>
        <v>44</v>
      </c>
      <c r="AL67" s="151">
        <f>IF(AC_Chart_Background_Data[[#This Row],[X]] &lt; EFC_85P-EFC_70P, EFC_70P, MAX(EFC_85P-AC_Chart_Background_Data[[#This Row],[X]],0))</f>
        <v>63</v>
      </c>
      <c r="AM67" s="151">
        <f>IF(AC_Chart_Background_Data[[#This Row],[X]] &lt; EFC_95P-EFC_85P, EFC_85P, MAX(EFC_95P-AC_Chart_Background_Data[[#This Row],[X]],0))</f>
        <v>82</v>
      </c>
      <c r="AN67" s="151">
        <f>IF(AC_Chart_Background_Data[[#This Row],[X]] &lt; EFC_99P-EFC_95P, EFC_95P, MAX(EFC_99P-AC_Chart_Background_Data[[#This Row],[X]],0))</f>
        <v>103</v>
      </c>
      <c r="AO67" s="151">
        <f t="shared" si="0"/>
        <v>170</v>
      </c>
      <c r="AP67" s="8"/>
      <c r="AQ67" s="154">
        <v>63</v>
      </c>
      <c r="AR67" s="154">
        <v>44</v>
      </c>
      <c r="AS67" s="154">
        <v>63</v>
      </c>
      <c r="AT67" s="154">
        <v>82</v>
      </c>
      <c r="AU67" s="154">
        <v>103</v>
      </c>
      <c r="AV67" s="154">
        <v>170</v>
      </c>
      <c r="AX67" s="102">
        <v>161.1</v>
      </c>
      <c r="AY67" s="103">
        <v>79</v>
      </c>
      <c r="AZ67" s="104">
        <f t="shared" si="1"/>
        <v>0</v>
      </c>
      <c r="BA67" s="8"/>
      <c r="BB67" s="102">
        <v>132.94999999999999</v>
      </c>
      <c r="BC67" s="103">
        <v>769</v>
      </c>
      <c r="BD67" s="105">
        <f t="shared" si="4"/>
        <v>0</v>
      </c>
    </row>
    <row r="68" spans="1:56" ht="17.25" hidden="1" customHeight="1" x14ac:dyDescent="0.25">
      <c r="A68" s="280"/>
      <c r="AD68" s="8"/>
      <c r="AE68" s="8"/>
      <c r="AF68" s="8"/>
      <c r="AG68" s="8"/>
      <c r="AH68" s="8"/>
      <c r="AI68" s="8"/>
      <c r="AJ68" s="150">
        <f t="shared" si="3"/>
        <v>64</v>
      </c>
      <c r="AK68" s="151">
        <f>IF(AC_Chart_Background_Data[[#This Row],[X]] &lt; EFC_70P-EFC_50P, EFC_50P, MAX(EFC_70P-AC_Chart_Background_Data[[#This Row],[X]],0))</f>
        <v>43</v>
      </c>
      <c r="AL68" s="151">
        <f>IF(AC_Chart_Background_Data[[#This Row],[X]] &lt; EFC_85P-EFC_70P, EFC_70P, MAX(EFC_85P-AC_Chart_Background_Data[[#This Row],[X]],0))</f>
        <v>62</v>
      </c>
      <c r="AM68" s="151">
        <f>IF(AC_Chart_Background_Data[[#This Row],[X]] &lt; EFC_95P-EFC_85P, EFC_85P, MAX(EFC_95P-AC_Chart_Background_Data[[#This Row],[X]],0))</f>
        <v>81</v>
      </c>
      <c r="AN68" s="151">
        <f>IF(AC_Chart_Background_Data[[#This Row],[X]] &lt; EFC_99P-EFC_95P, EFC_95P, MAX(EFC_99P-AC_Chart_Background_Data[[#This Row],[X]],0))</f>
        <v>102</v>
      </c>
      <c r="AO68" s="151">
        <f t="shared" ref="AO68:AO131" si="5">AC_Ymax</f>
        <v>170</v>
      </c>
      <c r="AP68" s="8"/>
      <c r="AQ68" s="154">
        <v>64</v>
      </c>
      <c r="AR68" s="154">
        <v>43</v>
      </c>
      <c r="AS68" s="154">
        <v>62</v>
      </c>
      <c r="AT68" s="154">
        <v>81</v>
      </c>
      <c r="AU68" s="154">
        <v>102</v>
      </c>
      <c r="AV68" s="154">
        <v>170</v>
      </c>
      <c r="AX68" s="102">
        <v>0</v>
      </c>
      <c r="AY68" s="103">
        <v>2122</v>
      </c>
      <c r="AZ68" s="104">
        <f t="shared" ref="AZ68:AZ90" si="6" xml:space="preserve"> AI_Project_Cost/AY68/20/12</f>
        <v>0</v>
      </c>
      <c r="BA68" s="8"/>
      <c r="BB68" s="102">
        <v>77.709999999999994</v>
      </c>
      <c r="BC68" s="103">
        <v>5327</v>
      </c>
      <c r="BD68" s="105">
        <f t="shared" si="4"/>
        <v>0</v>
      </c>
    </row>
    <row r="69" spans="1:56" ht="15.75" hidden="1" customHeight="1" x14ac:dyDescent="0.25">
      <c r="A69" s="280"/>
      <c r="AJ69" s="150">
        <f t="shared" si="3"/>
        <v>65</v>
      </c>
      <c r="AK69" s="151">
        <f>IF(AC_Chart_Background_Data[[#This Row],[X]] &lt; EFC_70P-EFC_50P, EFC_50P, MAX(EFC_70P-AC_Chart_Background_Data[[#This Row],[X]],0))</f>
        <v>42</v>
      </c>
      <c r="AL69" s="151">
        <f>IF(AC_Chart_Background_Data[[#This Row],[X]] &lt; EFC_85P-EFC_70P, EFC_70P, MAX(EFC_85P-AC_Chart_Background_Data[[#This Row],[X]],0))</f>
        <v>61</v>
      </c>
      <c r="AM69" s="151">
        <f>IF(AC_Chart_Background_Data[[#This Row],[X]] &lt; EFC_95P-EFC_85P, EFC_85P, MAX(EFC_95P-AC_Chart_Background_Data[[#This Row],[X]],0))</f>
        <v>80</v>
      </c>
      <c r="AN69" s="151">
        <f>IF(AC_Chart_Background_Data[[#This Row],[X]] &lt; EFC_99P-EFC_95P, EFC_95P, MAX(EFC_99P-AC_Chart_Background_Data[[#This Row],[X]],0))</f>
        <v>101</v>
      </c>
      <c r="AO69" s="151">
        <f t="shared" si="5"/>
        <v>170</v>
      </c>
      <c r="AQ69" s="144">
        <v>65</v>
      </c>
      <c r="AR69" s="144">
        <v>42</v>
      </c>
      <c r="AS69" s="144">
        <v>61</v>
      </c>
      <c r="AT69" s="144">
        <v>80</v>
      </c>
      <c r="AU69" s="144">
        <v>101</v>
      </c>
      <c r="AV69" s="144">
        <v>170</v>
      </c>
      <c r="AX69" s="102">
        <v>77.38</v>
      </c>
      <c r="AY69" s="103">
        <v>6015</v>
      </c>
      <c r="AZ69" s="104">
        <f t="shared" si="6"/>
        <v>0</v>
      </c>
      <c r="BA69" s="8"/>
      <c r="BB69" s="102">
        <v>132.66999999999999</v>
      </c>
      <c r="BC69" s="103">
        <v>17</v>
      </c>
      <c r="BD69" s="105">
        <f t="shared" si="4"/>
        <v>0</v>
      </c>
    </row>
    <row r="70" spans="1:56" ht="15" hidden="1" customHeight="1" thickBot="1" x14ac:dyDescent="0.3">
      <c r="A70" s="281"/>
      <c r="AJ70" s="150">
        <f t="shared" si="3"/>
        <v>66</v>
      </c>
      <c r="AK70" s="151">
        <f>IF(AC_Chart_Background_Data[[#This Row],[X]] &lt; EFC_70P-EFC_50P, EFC_50P, MAX(EFC_70P-AC_Chart_Background_Data[[#This Row],[X]],0))</f>
        <v>41</v>
      </c>
      <c r="AL70" s="151">
        <f>IF(AC_Chart_Background_Data[[#This Row],[X]] &lt; EFC_85P-EFC_70P, EFC_70P, MAX(EFC_85P-AC_Chart_Background_Data[[#This Row],[X]],0))</f>
        <v>60</v>
      </c>
      <c r="AM70" s="151">
        <f>IF(AC_Chart_Background_Data[[#This Row],[X]] &lt; EFC_95P-EFC_85P, EFC_85P, MAX(EFC_95P-AC_Chart_Background_Data[[#This Row],[X]],0))</f>
        <v>79</v>
      </c>
      <c r="AN70" s="151">
        <f>IF(AC_Chart_Background_Data[[#This Row],[X]] &lt; EFC_99P-EFC_95P, EFC_95P, MAX(EFC_99P-AC_Chart_Background_Data[[#This Row],[X]],0))</f>
        <v>100</v>
      </c>
      <c r="AO70" s="151">
        <f t="shared" si="5"/>
        <v>170</v>
      </c>
      <c r="AQ70" s="144">
        <v>66</v>
      </c>
      <c r="AR70" s="144">
        <v>41</v>
      </c>
      <c r="AS70" s="144">
        <v>60</v>
      </c>
      <c r="AT70" s="144">
        <v>79</v>
      </c>
      <c r="AU70" s="144">
        <v>100</v>
      </c>
      <c r="AV70" s="144">
        <v>170</v>
      </c>
      <c r="AX70" s="102">
        <v>87.75</v>
      </c>
      <c r="AY70" s="103">
        <v>44419</v>
      </c>
      <c r="AZ70" s="104">
        <f t="shared" si="6"/>
        <v>0</v>
      </c>
      <c r="BA70" s="8"/>
      <c r="BB70" s="102">
        <v>66.25</v>
      </c>
      <c r="BC70" s="103">
        <v>5037</v>
      </c>
      <c r="BD70" s="105">
        <f t="shared" si="4"/>
        <v>0</v>
      </c>
    </row>
    <row r="71" spans="1:56" ht="15.75" hidden="1" customHeight="1" x14ac:dyDescent="0.25">
      <c r="A71" s="278" t="s">
        <v>823</v>
      </c>
      <c r="B71" s="278"/>
      <c r="AJ71" s="150">
        <f t="shared" ref="AJ71:AJ134" si="7">AJ70+1</f>
        <v>67</v>
      </c>
      <c r="AK71" s="151">
        <f>IF(AC_Chart_Background_Data[[#This Row],[X]] &lt; EFC_70P-EFC_50P, EFC_50P, MAX(EFC_70P-AC_Chart_Background_Data[[#This Row],[X]],0))</f>
        <v>40</v>
      </c>
      <c r="AL71" s="151">
        <f>IF(AC_Chart_Background_Data[[#This Row],[X]] &lt; EFC_85P-EFC_70P, EFC_70P, MAX(EFC_85P-AC_Chart_Background_Data[[#This Row],[X]],0))</f>
        <v>59</v>
      </c>
      <c r="AM71" s="151">
        <f>IF(AC_Chart_Background_Data[[#This Row],[X]] &lt; EFC_95P-EFC_85P, EFC_85P, MAX(EFC_95P-AC_Chart_Background_Data[[#This Row],[X]],0))</f>
        <v>78</v>
      </c>
      <c r="AN71" s="151">
        <f>IF(AC_Chart_Background_Data[[#This Row],[X]] &lt; EFC_99P-EFC_95P, EFC_95P, MAX(EFC_99P-AC_Chart_Background_Data[[#This Row],[X]],0))</f>
        <v>99</v>
      </c>
      <c r="AO71" s="151">
        <f t="shared" si="5"/>
        <v>170</v>
      </c>
      <c r="AQ71" s="144">
        <v>67</v>
      </c>
      <c r="AR71" s="144">
        <v>40</v>
      </c>
      <c r="AS71" s="144">
        <v>59</v>
      </c>
      <c r="AT71" s="144">
        <v>78</v>
      </c>
      <c r="AU71" s="144">
        <v>99</v>
      </c>
      <c r="AV71" s="144">
        <v>170</v>
      </c>
      <c r="AX71" s="102">
        <v>64.599999999999994</v>
      </c>
      <c r="AY71" s="103">
        <v>8755</v>
      </c>
      <c r="AZ71" s="104">
        <f t="shared" si="6"/>
        <v>0</v>
      </c>
      <c r="BA71" s="8"/>
      <c r="BB71" s="102">
        <v>60.72</v>
      </c>
      <c r="BC71" s="103">
        <v>619</v>
      </c>
      <c r="BD71" s="105">
        <f t="shared" si="4"/>
        <v>0</v>
      </c>
    </row>
    <row r="72" spans="1:56" ht="15" hidden="1" customHeight="1" x14ac:dyDescent="0.25">
      <c r="A72" s="278"/>
      <c r="B72" s="278"/>
      <c r="AJ72" s="150">
        <f t="shared" si="7"/>
        <v>68</v>
      </c>
      <c r="AK72" s="151">
        <f>IF(AC_Chart_Background_Data[[#This Row],[X]] &lt; EFC_70P-EFC_50P, EFC_50P, MAX(EFC_70P-AC_Chart_Background_Data[[#This Row],[X]],0))</f>
        <v>39</v>
      </c>
      <c r="AL72" s="151">
        <f>IF(AC_Chart_Background_Data[[#This Row],[X]] &lt; EFC_85P-EFC_70P, EFC_70P, MAX(EFC_85P-AC_Chart_Background_Data[[#This Row],[X]],0))</f>
        <v>58</v>
      </c>
      <c r="AM72" s="151">
        <f>IF(AC_Chart_Background_Data[[#This Row],[X]] &lt; EFC_95P-EFC_85P, EFC_85P, MAX(EFC_95P-AC_Chart_Background_Data[[#This Row],[X]],0))</f>
        <v>77</v>
      </c>
      <c r="AN72" s="151">
        <f>IF(AC_Chart_Background_Data[[#This Row],[X]] &lt; EFC_99P-EFC_95P, EFC_95P, MAX(EFC_99P-AC_Chart_Background_Data[[#This Row],[X]],0))</f>
        <v>98</v>
      </c>
      <c r="AO72" s="151">
        <f t="shared" si="5"/>
        <v>170</v>
      </c>
      <c r="AQ72" s="144">
        <v>68</v>
      </c>
      <c r="AR72" s="144">
        <v>39</v>
      </c>
      <c r="AS72" s="144">
        <v>58</v>
      </c>
      <c r="AT72" s="144">
        <v>77</v>
      </c>
      <c r="AU72" s="144">
        <v>98</v>
      </c>
      <c r="AV72" s="144">
        <v>170</v>
      </c>
      <c r="AX72" s="102">
        <v>185.25</v>
      </c>
      <c r="AY72" s="103">
        <v>5090</v>
      </c>
      <c r="AZ72" s="104">
        <f t="shared" si="6"/>
        <v>0</v>
      </c>
      <c r="BA72" s="8"/>
      <c r="BB72" s="102">
        <v>136.72</v>
      </c>
      <c r="BC72" s="103">
        <v>2306</v>
      </c>
      <c r="BD72" s="105">
        <f t="shared" si="4"/>
        <v>0</v>
      </c>
    </row>
    <row r="73" spans="1:56" ht="15" hidden="1" customHeight="1" x14ac:dyDescent="0.25">
      <c r="A73" s="289" t="s">
        <v>824</v>
      </c>
      <c r="B73" s="289"/>
      <c r="AJ73" s="150">
        <f t="shared" si="7"/>
        <v>69</v>
      </c>
      <c r="AK73" s="151">
        <f>IF(AC_Chart_Background_Data[[#This Row],[X]] &lt; EFC_70P-EFC_50P, EFC_50P, MAX(EFC_70P-AC_Chart_Background_Data[[#This Row],[X]],0))</f>
        <v>38</v>
      </c>
      <c r="AL73" s="151">
        <f>IF(AC_Chart_Background_Data[[#This Row],[X]] &lt; EFC_85P-EFC_70P, EFC_70P, MAX(EFC_85P-AC_Chart_Background_Data[[#This Row],[X]],0))</f>
        <v>57</v>
      </c>
      <c r="AM73" s="151">
        <f>IF(AC_Chart_Background_Data[[#This Row],[X]] &lt; EFC_95P-EFC_85P, EFC_85P, MAX(EFC_95P-AC_Chart_Background_Data[[#This Row],[X]],0))</f>
        <v>76</v>
      </c>
      <c r="AN73" s="151">
        <f>IF(AC_Chart_Background_Data[[#This Row],[X]] &lt; EFC_99P-EFC_95P, EFC_95P, MAX(EFC_99P-AC_Chart_Background_Data[[#This Row],[X]],0))</f>
        <v>97</v>
      </c>
      <c r="AO73" s="151">
        <f t="shared" si="5"/>
        <v>170</v>
      </c>
      <c r="AQ73" s="144">
        <v>69</v>
      </c>
      <c r="AR73" s="144">
        <v>38</v>
      </c>
      <c r="AS73" s="144">
        <v>57</v>
      </c>
      <c r="AT73" s="144">
        <v>76</v>
      </c>
      <c r="AU73" s="144">
        <v>97</v>
      </c>
      <c r="AV73" s="144">
        <v>170</v>
      </c>
      <c r="AX73" s="102">
        <v>141.34</v>
      </c>
      <c r="AY73" s="103">
        <v>1684</v>
      </c>
      <c r="AZ73" s="104">
        <f t="shared" si="6"/>
        <v>0</v>
      </c>
      <c r="BA73" s="8"/>
      <c r="BB73" s="102">
        <v>86</v>
      </c>
      <c r="BC73" s="103">
        <v>2231</v>
      </c>
      <c r="BD73" s="105">
        <f t="shared" si="4"/>
        <v>0</v>
      </c>
    </row>
    <row r="74" spans="1:56" ht="15" hidden="1" customHeight="1" x14ac:dyDescent="0.25">
      <c r="A74" s="290" t="s">
        <v>825</v>
      </c>
      <c r="B74" s="290"/>
      <c r="AJ74" s="150">
        <f t="shared" si="7"/>
        <v>70</v>
      </c>
      <c r="AK74" s="151">
        <f>IF(AC_Chart_Background_Data[[#This Row],[X]] &lt; EFC_70P-EFC_50P, EFC_50P, MAX(EFC_70P-AC_Chart_Background_Data[[#This Row],[X]],0))</f>
        <v>37</v>
      </c>
      <c r="AL74" s="151">
        <f>IF(AC_Chart_Background_Data[[#This Row],[X]] &lt; EFC_85P-EFC_70P, EFC_70P, MAX(EFC_85P-AC_Chart_Background_Data[[#This Row],[X]],0))</f>
        <v>56</v>
      </c>
      <c r="AM74" s="151">
        <f>IF(AC_Chart_Background_Data[[#This Row],[X]] &lt; EFC_95P-EFC_85P, EFC_85P, MAX(EFC_95P-AC_Chart_Background_Data[[#This Row],[X]],0))</f>
        <v>75</v>
      </c>
      <c r="AN74" s="151">
        <f>IF(AC_Chart_Background_Data[[#This Row],[X]] &lt; EFC_99P-EFC_95P, EFC_95P, MAX(EFC_99P-AC_Chart_Background_Data[[#This Row],[X]],0))</f>
        <v>96</v>
      </c>
      <c r="AO74" s="151">
        <f t="shared" si="5"/>
        <v>170</v>
      </c>
      <c r="AQ74" s="144">
        <v>70</v>
      </c>
      <c r="AR74" s="144">
        <v>37</v>
      </c>
      <c r="AS74" s="144">
        <v>56</v>
      </c>
      <c r="AT74" s="144">
        <v>75</v>
      </c>
      <c r="AU74" s="144">
        <v>96</v>
      </c>
      <c r="AV74" s="144">
        <v>170</v>
      </c>
      <c r="AX74" s="102">
        <v>15.15</v>
      </c>
      <c r="AY74" s="103">
        <v>6</v>
      </c>
      <c r="AZ74" s="104">
        <f t="shared" si="6"/>
        <v>0</v>
      </c>
      <c r="BA74" s="8"/>
      <c r="BB74" s="102">
        <v>105.42</v>
      </c>
      <c r="BC74" s="103">
        <v>2921</v>
      </c>
      <c r="BD74" s="105">
        <f t="shared" si="4"/>
        <v>0</v>
      </c>
    </row>
    <row r="75" spans="1:56" ht="15.75" hidden="1" customHeight="1" x14ac:dyDescent="0.25">
      <c r="A75" s="290"/>
      <c r="B75" s="290"/>
      <c r="AJ75" s="150">
        <f t="shared" si="7"/>
        <v>71</v>
      </c>
      <c r="AK75" s="151">
        <f>IF(AC_Chart_Background_Data[[#This Row],[X]] &lt; EFC_70P-EFC_50P, EFC_50P, MAX(EFC_70P-AC_Chart_Background_Data[[#This Row],[X]],0))</f>
        <v>36</v>
      </c>
      <c r="AL75" s="151">
        <f>IF(AC_Chart_Background_Data[[#This Row],[X]] &lt; EFC_85P-EFC_70P, EFC_70P, MAX(EFC_85P-AC_Chart_Background_Data[[#This Row],[X]],0))</f>
        <v>55</v>
      </c>
      <c r="AM75" s="151">
        <f>IF(AC_Chart_Background_Data[[#This Row],[X]] &lt; EFC_95P-EFC_85P, EFC_85P, MAX(EFC_95P-AC_Chart_Background_Data[[#This Row],[X]],0))</f>
        <v>74</v>
      </c>
      <c r="AN75" s="151">
        <f>IF(AC_Chart_Background_Data[[#This Row],[X]] &lt; EFC_99P-EFC_95P, EFC_95P, MAX(EFC_99P-AC_Chart_Background_Data[[#This Row],[X]],0))</f>
        <v>95</v>
      </c>
      <c r="AO75" s="151">
        <f t="shared" si="5"/>
        <v>170</v>
      </c>
      <c r="AQ75" s="144">
        <v>71</v>
      </c>
      <c r="AR75" s="144">
        <v>36</v>
      </c>
      <c r="AS75" s="144">
        <v>55</v>
      </c>
      <c r="AT75" s="144">
        <v>74</v>
      </c>
      <c r="AU75" s="144">
        <v>95</v>
      </c>
      <c r="AV75" s="144">
        <v>170</v>
      </c>
      <c r="AX75" s="102">
        <v>82.75</v>
      </c>
      <c r="AY75" s="103">
        <v>3918</v>
      </c>
      <c r="AZ75" s="104">
        <f t="shared" si="6"/>
        <v>0</v>
      </c>
      <c r="BA75" s="8"/>
      <c r="BB75" s="8"/>
      <c r="BC75" s="8"/>
      <c r="BD75" s="8"/>
    </row>
    <row r="76" spans="1:56" ht="15" hidden="1" customHeight="1" x14ac:dyDescent="0.25">
      <c r="A76" s="290"/>
      <c r="B76" s="290"/>
      <c r="K76" s="6" t="s">
        <v>718</v>
      </c>
      <c r="AJ76" s="150">
        <f t="shared" si="7"/>
        <v>72</v>
      </c>
      <c r="AK76" s="151">
        <f>IF(AC_Chart_Background_Data[[#This Row],[X]] &lt; EFC_70P-EFC_50P, EFC_50P, MAX(EFC_70P-AC_Chart_Background_Data[[#This Row],[X]],0))</f>
        <v>35</v>
      </c>
      <c r="AL76" s="151">
        <f>IF(AC_Chart_Background_Data[[#This Row],[X]] &lt; EFC_85P-EFC_70P, EFC_70P, MAX(EFC_85P-AC_Chart_Background_Data[[#This Row],[X]],0))</f>
        <v>54</v>
      </c>
      <c r="AM76" s="151">
        <f>IF(AC_Chart_Background_Data[[#This Row],[X]] &lt; EFC_95P-EFC_85P, EFC_85P, MAX(EFC_95P-AC_Chart_Background_Data[[#This Row],[X]],0))</f>
        <v>73</v>
      </c>
      <c r="AN76" s="151">
        <f>IF(AC_Chart_Background_Data[[#This Row],[X]] &lt; EFC_99P-EFC_95P, EFC_95P, MAX(EFC_99P-AC_Chart_Background_Data[[#This Row],[X]],0))</f>
        <v>94</v>
      </c>
      <c r="AO76" s="151">
        <f t="shared" si="5"/>
        <v>170</v>
      </c>
      <c r="AQ76" s="144">
        <v>72</v>
      </c>
      <c r="AR76" s="144">
        <v>35</v>
      </c>
      <c r="AS76" s="144">
        <v>54</v>
      </c>
      <c r="AT76" s="144">
        <v>73</v>
      </c>
      <c r="AU76" s="144">
        <v>94</v>
      </c>
      <c r="AV76" s="144">
        <v>170</v>
      </c>
      <c r="AX76" s="102">
        <v>155.61000000000001</v>
      </c>
      <c r="AY76" s="103">
        <v>5699</v>
      </c>
      <c r="AZ76" s="104">
        <f t="shared" si="6"/>
        <v>0</v>
      </c>
      <c r="BA76" s="8"/>
      <c r="BB76" s="8"/>
      <c r="BC76" s="8"/>
      <c r="BD76" s="8"/>
    </row>
    <row r="77" spans="1:56" ht="15" hidden="1" customHeight="1" x14ac:dyDescent="0.25">
      <c r="A77" s="290"/>
      <c r="B77" s="290"/>
      <c r="AJ77" s="150">
        <f t="shared" si="7"/>
        <v>73</v>
      </c>
      <c r="AK77" s="151">
        <f>IF(AC_Chart_Background_Data[[#This Row],[X]] &lt; EFC_70P-EFC_50P, EFC_50P, MAX(EFC_70P-AC_Chart_Background_Data[[#This Row],[X]],0))</f>
        <v>34</v>
      </c>
      <c r="AL77" s="151">
        <f>IF(AC_Chart_Background_Data[[#This Row],[X]] &lt; EFC_85P-EFC_70P, EFC_70P, MAX(EFC_85P-AC_Chart_Background_Data[[#This Row],[X]],0))</f>
        <v>53</v>
      </c>
      <c r="AM77" s="151">
        <f>IF(AC_Chart_Background_Data[[#This Row],[X]] &lt; EFC_95P-EFC_85P, EFC_85P, MAX(EFC_95P-AC_Chart_Background_Data[[#This Row],[X]],0))</f>
        <v>72</v>
      </c>
      <c r="AN77" s="151">
        <f>IF(AC_Chart_Background_Data[[#This Row],[X]] &lt; EFC_99P-EFC_95P, EFC_95P, MAX(EFC_99P-AC_Chart_Background_Data[[#This Row],[X]],0))</f>
        <v>93</v>
      </c>
      <c r="AO77" s="151">
        <f t="shared" si="5"/>
        <v>170</v>
      </c>
      <c r="AQ77" s="144">
        <v>73</v>
      </c>
      <c r="AR77" s="144">
        <v>34</v>
      </c>
      <c r="AS77" s="144">
        <v>53</v>
      </c>
      <c r="AT77" s="144">
        <v>72</v>
      </c>
      <c r="AU77" s="144">
        <v>93</v>
      </c>
      <c r="AV77" s="144">
        <v>170</v>
      </c>
      <c r="AX77" s="102">
        <v>129.30000000000001</v>
      </c>
      <c r="AY77" s="103">
        <v>975</v>
      </c>
      <c r="AZ77" s="104">
        <f t="shared" si="6"/>
        <v>0</v>
      </c>
      <c r="BA77" s="8"/>
      <c r="BB77" s="8"/>
      <c r="BC77" s="8"/>
      <c r="BD77" s="8"/>
    </row>
    <row r="78" spans="1:56" ht="15" hidden="1" customHeight="1" x14ac:dyDescent="0.25">
      <c r="A78" s="290"/>
      <c r="B78" s="290"/>
      <c r="AJ78" s="150">
        <f t="shared" si="7"/>
        <v>74</v>
      </c>
      <c r="AK78" s="151">
        <f>IF(AC_Chart_Background_Data[[#This Row],[X]] &lt; EFC_70P-EFC_50P, EFC_50P, MAX(EFC_70P-AC_Chart_Background_Data[[#This Row],[X]],0))</f>
        <v>33</v>
      </c>
      <c r="AL78" s="151">
        <f>IF(AC_Chart_Background_Data[[#This Row],[X]] &lt; EFC_85P-EFC_70P, EFC_70P, MAX(EFC_85P-AC_Chart_Background_Data[[#This Row],[X]],0))</f>
        <v>52</v>
      </c>
      <c r="AM78" s="151">
        <f>IF(AC_Chart_Background_Data[[#This Row],[X]] &lt; EFC_95P-EFC_85P, EFC_85P, MAX(EFC_95P-AC_Chart_Background_Data[[#This Row],[X]],0))</f>
        <v>71</v>
      </c>
      <c r="AN78" s="151">
        <f>IF(AC_Chart_Background_Data[[#This Row],[X]] &lt; EFC_99P-EFC_95P, EFC_95P, MAX(EFC_99P-AC_Chart_Background_Data[[#This Row],[X]],0))</f>
        <v>92</v>
      </c>
      <c r="AO78" s="151">
        <f t="shared" si="5"/>
        <v>170</v>
      </c>
      <c r="AQ78" s="144">
        <v>74</v>
      </c>
      <c r="AR78" s="144">
        <v>33</v>
      </c>
      <c r="AS78" s="144">
        <v>52</v>
      </c>
      <c r="AT78" s="144">
        <v>71</v>
      </c>
      <c r="AU78" s="144">
        <v>92</v>
      </c>
      <c r="AV78" s="144">
        <v>170</v>
      </c>
      <c r="AX78" s="102">
        <v>109.45</v>
      </c>
      <c r="AY78" s="103">
        <v>5560</v>
      </c>
      <c r="AZ78" s="104">
        <f t="shared" si="6"/>
        <v>0</v>
      </c>
      <c r="BA78" s="8"/>
      <c r="BB78" s="8"/>
      <c r="BC78" s="8"/>
      <c r="BD78" s="8"/>
    </row>
    <row r="79" spans="1:56" ht="15" hidden="1" customHeight="1" x14ac:dyDescent="0.25">
      <c r="C79" s="112" t="s">
        <v>773</v>
      </c>
      <c r="AJ79" s="150">
        <f t="shared" si="7"/>
        <v>75</v>
      </c>
      <c r="AK79" s="151">
        <f>IF(AC_Chart_Background_Data[[#This Row],[X]] &lt; EFC_70P-EFC_50P, EFC_50P, MAX(EFC_70P-AC_Chart_Background_Data[[#This Row],[X]],0))</f>
        <v>32</v>
      </c>
      <c r="AL79" s="151">
        <f>IF(AC_Chart_Background_Data[[#This Row],[X]] &lt; EFC_85P-EFC_70P, EFC_70P, MAX(EFC_85P-AC_Chart_Background_Data[[#This Row],[X]],0))</f>
        <v>51</v>
      </c>
      <c r="AM79" s="151">
        <f>IF(AC_Chart_Background_Data[[#This Row],[X]] &lt; EFC_95P-EFC_85P, EFC_85P, MAX(EFC_95P-AC_Chart_Background_Data[[#This Row],[X]],0))</f>
        <v>70</v>
      </c>
      <c r="AN79" s="151">
        <f>IF(AC_Chart_Background_Data[[#This Row],[X]] &lt; EFC_99P-EFC_95P, EFC_95P, MAX(EFC_99P-AC_Chart_Background_Data[[#This Row],[X]],0))</f>
        <v>91</v>
      </c>
      <c r="AO79" s="151">
        <f t="shared" si="5"/>
        <v>170</v>
      </c>
      <c r="AQ79" s="144">
        <v>75</v>
      </c>
      <c r="AR79" s="144">
        <v>32</v>
      </c>
      <c r="AS79" s="144">
        <v>51</v>
      </c>
      <c r="AT79" s="144">
        <v>70</v>
      </c>
      <c r="AU79" s="144">
        <v>91</v>
      </c>
      <c r="AV79" s="144">
        <v>170</v>
      </c>
      <c r="AX79" s="102">
        <v>133.6</v>
      </c>
      <c r="AY79" s="103">
        <v>450</v>
      </c>
      <c r="AZ79" s="104">
        <f t="shared" si="6"/>
        <v>0</v>
      </c>
      <c r="BA79" s="8"/>
      <c r="BB79" s="8"/>
      <c r="BC79" s="8"/>
      <c r="BD79" s="8"/>
    </row>
    <row r="80" spans="1:56" ht="15" hidden="1" customHeight="1" x14ac:dyDescent="0.25">
      <c r="C80" s="112" t="s">
        <v>837</v>
      </c>
      <c r="AJ80" s="150">
        <f t="shared" si="7"/>
        <v>76</v>
      </c>
      <c r="AK80" s="151">
        <f>IF(AC_Chart_Background_Data[[#This Row],[X]] &lt; EFC_70P-EFC_50P, EFC_50P, MAX(EFC_70P-AC_Chart_Background_Data[[#This Row],[X]],0))</f>
        <v>31</v>
      </c>
      <c r="AL80" s="151">
        <f>IF(AC_Chart_Background_Data[[#This Row],[X]] &lt; EFC_85P-EFC_70P, EFC_70P, MAX(EFC_85P-AC_Chart_Background_Data[[#This Row],[X]],0))</f>
        <v>50</v>
      </c>
      <c r="AM80" s="151">
        <f>IF(AC_Chart_Background_Data[[#This Row],[X]] &lt; EFC_95P-EFC_85P, EFC_85P, MAX(EFC_95P-AC_Chart_Background_Data[[#This Row],[X]],0))</f>
        <v>69</v>
      </c>
      <c r="AN80" s="151">
        <f>IF(AC_Chart_Background_Data[[#This Row],[X]] &lt; EFC_99P-EFC_95P, EFC_95P, MAX(EFC_99P-AC_Chart_Background_Data[[#This Row],[X]],0))</f>
        <v>90</v>
      </c>
      <c r="AO80" s="151">
        <f t="shared" si="5"/>
        <v>170</v>
      </c>
      <c r="AQ80" s="144">
        <v>76</v>
      </c>
      <c r="AR80" s="144">
        <v>31</v>
      </c>
      <c r="AS80" s="144">
        <v>50</v>
      </c>
      <c r="AT80" s="144">
        <v>69</v>
      </c>
      <c r="AU80" s="144">
        <v>90</v>
      </c>
      <c r="AV80" s="144">
        <v>170</v>
      </c>
      <c r="AX80" s="102">
        <v>71.290000000000006</v>
      </c>
      <c r="AY80" s="103">
        <v>30628</v>
      </c>
      <c r="AZ80" s="104">
        <f t="shared" si="6"/>
        <v>0</v>
      </c>
      <c r="BA80" s="8"/>
      <c r="BB80" s="8"/>
      <c r="BC80" s="8"/>
      <c r="BD80" s="8"/>
    </row>
    <row r="81" spans="1:56" ht="15.75" hidden="1" customHeight="1" x14ac:dyDescent="0.25">
      <c r="A81" s="66"/>
      <c r="AJ81" s="150">
        <f t="shared" si="7"/>
        <v>77</v>
      </c>
      <c r="AK81" s="151">
        <f>IF(AC_Chart_Background_Data[[#This Row],[X]] &lt; EFC_70P-EFC_50P, EFC_50P, MAX(EFC_70P-AC_Chart_Background_Data[[#This Row],[X]],0))</f>
        <v>30</v>
      </c>
      <c r="AL81" s="151">
        <f>IF(AC_Chart_Background_Data[[#This Row],[X]] &lt; EFC_85P-EFC_70P, EFC_70P, MAX(EFC_85P-AC_Chart_Background_Data[[#This Row],[X]],0))</f>
        <v>49</v>
      </c>
      <c r="AM81" s="151">
        <f>IF(AC_Chart_Background_Data[[#This Row],[X]] &lt; EFC_95P-EFC_85P, EFC_85P, MAX(EFC_95P-AC_Chart_Background_Data[[#This Row],[X]],0))</f>
        <v>68</v>
      </c>
      <c r="AN81" s="151">
        <f>IF(AC_Chart_Background_Data[[#This Row],[X]] &lt; EFC_99P-EFC_95P, EFC_95P, MAX(EFC_99P-AC_Chart_Background_Data[[#This Row],[X]],0))</f>
        <v>89</v>
      </c>
      <c r="AO81" s="151">
        <f t="shared" si="5"/>
        <v>170</v>
      </c>
      <c r="AQ81" s="144">
        <v>77</v>
      </c>
      <c r="AR81" s="144">
        <v>30</v>
      </c>
      <c r="AS81" s="144">
        <v>49</v>
      </c>
      <c r="AT81" s="144">
        <v>68</v>
      </c>
      <c r="AU81" s="144">
        <v>89</v>
      </c>
      <c r="AV81" s="144">
        <v>170</v>
      </c>
      <c r="AX81" s="102">
        <v>106.63</v>
      </c>
      <c r="AY81" s="103">
        <v>2016</v>
      </c>
      <c r="AZ81" s="104">
        <f t="shared" si="6"/>
        <v>0</v>
      </c>
      <c r="BA81" s="8"/>
      <c r="BB81" s="8"/>
      <c r="BC81" s="8"/>
      <c r="BD81" s="8"/>
    </row>
    <row r="82" spans="1:56" ht="16.5" hidden="1" customHeight="1" x14ac:dyDescent="0.25">
      <c r="A82" s="67"/>
      <c r="AJ82" s="150">
        <f t="shared" si="7"/>
        <v>78</v>
      </c>
      <c r="AK82" s="151">
        <f>IF(AC_Chart_Background_Data[[#This Row],[X]] &lt; EFC_70P-EFC_50P, EFC_50P, MAX(EFC_70P-AC_Chart_Background_Data[[#This Row],[X]],0))</f>
        <v>29</v>
      </c>
      <c r="AL82" s="151">
        <f>IF(AC_Chart_Background_Data[[#This Row],[X]] &lt; EFC_85P-EFC_70P, EFC_70P, MAX(EFC_85P-AC_Chart_Background_Data[[#This Row],[X]],0))</f>
        <v>48</v>
      </c>
      <c r="AM82" s="151">
        <f>IF(AC_Chart_Background_Data[[#This Row],[X]] &lt; EFC_95P-EFC_85P, EFC_85P, MAX(EFC_95P-AC_Chart_Background_Data[[#This Row],[X]],0))</f>
        <v>67</v>
      </c>
      <c r="AN82" s="151">
        <f>IF(AC_Chart_Background_Data[[#This Row],[X]] &lt; EFC_99P-EFC_95P, EFC_95P, MAX(EFC_99P-AC_Chart_Background_Data[[#This Row],[X]],0))</f>
        <v>88</v>
      </c>
      <c r="AO82" s="151">
        <f t="shared" si="5"/>
        <v>170</v>
      </c>
      <c r="AQ82" s="144">
        <v>78</v>
      </c>
      <c r="AR82" s="144">
        <v>29</v>
      </c>
      <c r="AS82" s="144">
        <v>48</v>
      </c>
      <c r="AT82" s="144">
        <v>67</v>
      </c>
      <c r="AU82" s="144">
        <v>88</v>
      </c>
      <c r="AV82" s="144">
        <v>170</v>
      </c>
      <c r="AX82" s="102">
        <v>97.49</v>
      </c>
      <c r="AY82" s="103">
        <v>1270</v>
      </c>
      <c r="AZ82" s="104">
        <f t="shared" si="6"/>
        <v>0</v>
      </c>
      <c r="BA82" s="8"/>
      <c r="BB82" s="8"/>
      <c r="BC82" s="8"/>
      <c r="BD82" s="8"/>
    </row>
    <row r="83" spans="1:56" ht="15" customHeight="1" x14ac:dyDescent="0.25">
      <c r="A83" s="67"/>
      <c r="AJ83" s="150">
        <f t="shared" si="7"/>
        <v>79</v>
      </c>
      <c r="AK83" s="151">
        <f>IF(AC_Chart_Background_Data[[#This Row],[X]] &lt; EFC_70P-EFC_50P, EFC_50P, MAX(EFC_70P-AC_Chart_Background_Data[[#This Row],[X]],0))</f>
        <v>28</v>
      </c>
      <c r="AL83" s="151">
        <f>IF(AC_Chart_Background_Data[[#This Row],[X]] &lt; EFC_85P-EFC_70P, EFC_70P, MAX(EFC_85P-AC_Chart_Background_Data[[#This Row],[X]],0))</f>
        <v>47</v>
      </c>
      <c r="AM83" s="151">
        <f>IF(AC_Chart_Background_Data[[#This Row],[X]] &lt; EFC_95P-EFC_85P, EFC_85P, MAX(EFC_95P-AC_Chart_Background_Data[[#This Row],[X]],0))</f>
        <v>66</v>
      </c>
      <c r="AN83" s="151">
        <f>IF(AC_Chart_Background_Data[[#This Row],[X]] &lt; EFC_99P-EFC_95P, EFC_95P, MAX(EFC_99P-AC_Chart_Background_Data[[#This Row],[X]],0))</f>
        <v>87</v>
      </c>
      <c r="AO83" s="151">
        <f t="shared" si="5"/>
        <v>170</v>
      </c>
      <c r="AQ83" s="144">
        <v>79</v>
      </c>
      <c r="AR83" s="144">
        <v>28</v>
      </c>
      <c r="AS83" s="144">
        <v>47</v>
      </c>
      <c r="AT83" s="144">
        <v>66</v>
      </c>
      <c r="AU83" s="144">
        <v>87</v>
      </c>
      <c r="AV83" s="144">
        <v>170</v>
      </c>
      <c r="AX83" s="102">
        <v>133.85</v>
      </c>
      <c r="AY83" s="103">
        <v>1311</v>
      </c>
      <c r="AZ83" s="104">
        <f t="shared" si="6"/>
        <v>0</v>
      </c>
      <c r="BA83" s="8"/>
      <c r="BB83" s="8"/>
      <c r="BC83" s="8"/>
      <c r="BD83" s="8"/>
    </row>
    <row r="84" spans="1:56" s="8" customFormat="1" ht="15" customHeight="1" thickBot="1" x14ac:dyDescent="0.3">
      <c r="A84" s="67"/>
      <c r="AA84" s="75"/>
      <c r="AJ84" s="192">
        <f t="shared" si="7"/>
        <v>80</v>
      </c>
      <c r="AK84" s="151">
        <f>IF(AC_Chart_Background_Data[[#This Row],[X]] &lt; EFC_70P-EFC_50P, EFC_50P, MAX(EFC_70P-AC_Chart_Background_Data[[#This Row],[X]],0))</f>
        <v>27</v>
      </c>
      <c r="AL84" s="151">
        <f>IF(AC_Chart_Background_Data[[#This Row],[X]] &lt; EFC_85P-EFC_70P, EFC_70P, MAX(EFC_85P-AC_Chart_Background_Data[[#This Row],[X]],0))</f>
        <v>46</v>
      </c>
      <c r="AM84" s="151">
        <f>IF(AC_Chart_Background_Data[[#This Row],[X]] &lt; EFC_95P-EFC_85P, EFC_85P, MAX(EFC_95P-AC_Chart_Background_Data[[#This Row],[X]],0))</f>
        <v>65</v>
      </c>
      <c r="AN84" s="151">
        <f>IF(AC_Chart_Background_Data[[#This Row],[X]] &lt; EFC_99P-EFC_95P, EFC_95P, MAX(EFC_99P-AC_Chart_Background_Data[[#This Row],[X]],0))</f>
        <v>86</v>
      </c>
      <c r="AO84" s="151">
        <f t="shared" si="5"/>
        <v>170</v>
      </c>
      <c r="AQ84" s="154">
        <v>80</v>
      </c>
      <c r="AR84" s="154">
        <v>27</v>
      </c>
      <c r="AS84" s="154">
        <v>46</v>
      </c>
      <c r="AT84" s="154">
        <v>65</v>
      </c>
      <c r="AU84" s="154">
        <v>86</v>
      </c>
      <c r="AV84" s="154">
        <v>170</v>
      </c>
      <c r="AX84" s="102">
        <v>101.88</v>
      </c>
      <c r="AY84" s="103">
        <v>7594</v>
      </c>
      <c r="AZ84" s="104">
        <f t="shared" si="6"/>
        <v>0</v>
      </c>
    </row>
    <row r="85" spans="1:56" ht="15" customHeight="1" x14ac:dyDescent="0.3">
      <c r="A85" s="16" t="s">
        <v>859</v>
      </c>
      <c r="B85" s="17"/>
      <c r="C85" s="17"/>
      <c r="D85" s="43"/>
      <c r="E85" s="193"/>
      <c r="AJ85" s="150">
        <f t="shared" si="7"/>
        <v>81</v>
      </c>
      <c r="AK85" s="151">
        <f>IF(AC_Chart_Background_Data[[#This Row],[X]] &lt; EFC_70P-EFC_50P, EFC_50P, MAX(EFC_70P-AC_Chart_Background_Data[[#This Row],[X]],0))</f>
        <v>26</v>
      </c>
      <c r="AL85" s="151">
        <f>IF(AC_Chart_Background_Data[[#This Row],[X]] &lt; EFC_85P-EFC_70P, EFC_70P, MAX(EFC_85P-AC_Chart_Background_Data[[#This Row],[X]],0))</f>
        <v>45</v>
      </c>
      <c r="AM85" s="151">
        <f>IF(AC_Chart_Background_Data[[#This Row],[X]] &lt; EFC_95P-EFC_85P, EFC_85P, MAX(EFC_95P-AC_Chart_Background_Data[[#This Row],[X]],0))</f>
        <v>64</v>
      </c>
      <c r="AN85" s="151">
        <f>IF(AC_Chart_Background_Data[[#This Row],[X]] &lt; EFC_99P-EFC_95P, EFC_95P, MAX(EFC_99P-AC_Chart_Background_Data[[#This Row],[X]],0))</f>
        <v>85</v>
      </c>
      <c r="AO85" s="151">
        <f t="shared" si="5"/>
        <v>170</v>
      </c>
      <c r="AX85" s="102">
        <v>108.87</v>
      </c>
      <c r="AY85" s="103">
        <v>721</v>
      </c>
      <c r="AZ85" s="104">
        <f t="shared" si="6"/>
        <v>0</v>
      </c>
      <c r="BA85" s="8"/>
      <c r="BB85" s="8"/>
      <c r="BC85" s="8"/>
      <c r="BD85" s="8"/>
    </row>
    <row r="86" spans="1:56" ht="15" customHeight="1" x14ac:dyDescent="0.25">
      <c r="A86" s="18" t="s">
        <v>860</v>
      </c>
      <c r="B86" s="193"/>
      <c r="C86" s="193"/>
      <c r="D86" s="199">
        <v>5400</v>
      </c>
      <c r="E86" s="193"/>
      <c r="AJ86" s="150">
        <f t="shared" si="7"/>
        <v>82</v>
      </c>
      <c r="AK86" s="151">
        <f>IF(AC_Chart_Background_Data[[#This Row],[X]] &lt; EFC_70P-EFC_50P, EFC_50P, MAX(EFC_70P-AC_Chart_Background_Data[[#This Row],[X]],0))</f>
        <v>25</v>
      </c>
      <c r="AL86" s="151">
        <f>IF(AC_Chart_Background_Data[[#This Row],[X]] &lt; EFC_85P-EFC_70P, EFC_70P, MAX(EFC_85P-AC_Chart_Background_Data[[#This Row],[X]],0))</f>
        <v>44</v>
      </c>
      <c r="AM86" s="151">
        <f>IF(AC_Chart_Background_Data[[#This Row],[X]] &lt; EFC_95P-EFC_85P, EFC_85P, MAX(EFC_95P-AC_Chart_Background_Data[[#This Row],[X]],0))</f>
        <v>63</v>
      </c>
      <c r="AN86" s="151">
        <f>IF(AC_Chart_Background_Data[[#This Row],[X]] &lt; EFC_99P-EFC_95P, EFC_95P, MAX(EFC_99P-AC_Chart_Background_Data[[#This Row],[X]],0))</f>
        <v>84</v>
      </c>
      <c r="AO86" s="151">
        <f t="shared" si="5"/>
        <v>170</v>
      </c>
      <c r="AX86" s="102">
        <v>109.13</v>
      </c>
      <c r="AY86" s="103">
        <v>6558</v>
      </c>
      <c r="AZ86" s="104">
        <f t="shared" si="6"/>
        <v>0</v>
      </c>
      <c r="BA86" s="8"/>
      <c r="BB86" s="8"/>
      <c r="BC86" s="8"/>
      <c r="BD86" s="8"/>
    </row>
    <row r="87" spans="1:56" ht="15" customHeight="1" x14ac:dyDescent="0.25">
      <c r="A87" s="18" t="s">
        <v>861</v>
      </c>
      <c r="B87" s="193"/>
      <c r="C87" s="193"/>
      <c r="D87" s="199"/>
      <c r="E87" s="193"/>
      <c r="AJ87" s="150">
        <f t="shared" si="7"/>
        <v>83</v>
      </c>
      <c r="AK87" s="151">
        <f>IF(AC_Chart_Background_Data[[#This Row],[X]] &lt; EFC_70P-EFC_50P, EFC_50P, MAX(EFC_70P-AC_Chart_Background_Data[[#This Row],[X]],0))</f>
        <v>24</v>
      </c>
      <c r="AL87" s="151">
        <f>IF(AC_Chart_Background_Data[[#This Row],[X]] &lt; EFC_85P-EFC_70P, EFC_70P, MAX(EFC_85P-AC_Chart_Background_Data[[#This Row],[X]],0))</f>
        <v>43</v>
      </c>
      <c r="AM87" s="151">
        <f>IF(AC_Chart_Background_Data[[#This Row],[X]] &lt; EFC_95P-EFC_85P, EFC_85P, MAX(EFC_95P-AC_Chart_Background_Data[[#This Row],[X]],0))</f>
        <v>62</v>
      </c>
      <c r="AN87" s="151">
        <f>IF(AC_Chart_Background_Data[[#This Row],[X]] &lt; EFC_99P-EFC_95P, EFC_95P, MAX(EFC_99P-AC_Chart_Background_Data[[#This Row],[X]],0))</f>
        <v>83</v>
      </c>
      <c r="AO87" s="151">
        <f t="shared" si="5"/>
        <v>170</v>
      </c>
      <c r="AX87" s="102">
        <v>114.65</v>
      </c>
      <c r="AY87" s="103">
        <v>519</v>
      </c>
      <c r="AZ87" s="104">
        <f t="shared" si="6"/>
        <v>0</v>
      </c>
      <c r="BA87" s="8"/>
      <c r="BB87" s="8"/>
      <c r="BC87" s="8"/>
      <c r="BD87" s="8"/>
    </row>
    <row r="88" spans="1:56" ht="15" customHeight="1" x14ac:dyDescent="0.25">
      <c r="A88" s="18"/>
      <c r="B88" s="193"/>
      <c r="C88" s="193"/>
      <c r="D88" s="194"/>
      <c r="E88" s="193"/>
      <c r="AJ88" s="150">
        <f t="shared" si="7"/>
        <v>84</v>
      </c>
      <c r="AK88" s="151">
        <f>IF(AC_Chart_Background_Data[[#This Row],[X]] &lt; EFC_70P-EFC_50P, EFC_50P, MAX(EFC_70P-AC_Chart_Background_Data[[#This Row],[X]],0))</f>
        <v>23</v>
      </c>
      <c r="AL88" s="151">
        <f>IF(AC_Chart_Background_Data[[#This Row],[X]] &lt; EFC_85P-EFC_70P, EFC_70P, MAX(EFC_85P-AC_Chart_Background_Data[[#This Row],[X]],0))</f>
        <v>42</v>
      </c>
      <c r="AM88" s="151">
        <f>IF(AC_Chart_Background_Data[[#This Row],[X]] &lt; EFC_95P-EFC_85P, EFC_85P, MAX(EFC_95P-AC_Chart_Background_Data[[#This Row],[X]],0))</f>
        <v>61</v>
      </c>
      <c r="AN88" s="151">
        <f>IF(AC_Chart_Background_Data[[#This Row],[X]] &lt; EFC_99P-EFC_95P, EFC_95P, MAX(EFC_99P-AC_Chart_Background_Data[[#This Row],[X]],0))</f>
        <v>82</v>
      </c>
      <c r="AO88" s="151">
        <f t="shared" si="5"/>
        <v>170</v>
      </c>
      <c r="AX88" s="102">
        <v>92.35</v>
      </c>
      <c r="AY88" s="103">
        <v>10819</v>
      </c>
      <c r="AZ88" s="104">
        <f t="shared" si="6"/>
        <v>0</v>
      </c>
      <c r="BA88" s="8"/>
      <c r="BB88" s="8"/>
      <c r="BC88" s="8"/>
      <c r="BD88" s="8"/>
    </row>
    <row r="89" spans="1:56" ht="15" customHeight="1" thickBot="1" x14ac:dyDescent="0.3">
      <c r="A89" s="195"/>
      <c r="B89" s="196"/>
      <c r="C89" s="197" t="s">
        <v>862</v>
      </c>
      <c r="D89" s="198">
        <f>IF(AND(D86="",D87=""),"",MAX(D86:D87))</f>
        <v>5400</v>
      </c>
      <c r="E89" s="193"/>
      <c r="AJ89" s="150">
        <f t="shared" si="7"/>
        <v>85</v>
      </c>
      <c r="AK89" s="151">
        <f>IF(AC_Chart_Background_Data[[#This Row],[X]] &lt; EFC_70P-EFC_50P, EFC_50P, MAX(EFC_70P-AC_Chart_Background_Data[[#This Row],[X]],0))</f>
        <v>22</v>
      </c>
      <c r="AL89" s="151">
        <f>IF(AC_Chart_Background_Data[[#This Row],[X]] &lt; EFC_85P-EFC_70P, EFC_70P, MAX(EFC_85P-AC_Chart_Background_Data[[#This Row],[X]],0))</f>
        <v>41</v>
      </c>
      <c r="AM89" s="151">
        <f>IF(AC_Chart_Background_Data[[#This Row],[X]] &lt; EFC_95P-EFC_85P, EFC_85P, MAX(EFC_95P-AC_Chart_Background_Data[[#This Row],[X]],0))</f>
        <v>60</v>
      </c>
      <c r="AN89" s="151">
        <f>IF(AC_Chart_Background_Data[[#This Row],[X]] &lt; EFC_99P-EFC_95P, EFC_95P, MAX(EFC_99P-AC_Chart_Background_Data[[#This Row],[X]],0))</f>
        <v>81</v>
      </c>
      <c r="AO89" s="151">
        <f t="shared" si="5"/>
        <v>170</v>
      </c>
      <c r="AX89" s="102">
        <v>90.62</v>
      </c>
      <c r="AY89" s="103">
        <v>1960</v>
      </c>
      <c r="AZ89" s="104">
        <f t="shared" si="6"/>
        <v>0</v>
      </c>
      <c r="BA89" s="8"/>
      <c r="BB89" s="8"/>
      <c r="BC89" s="8"/>
      <c r="BD89" s="8"/>
    </row>
    <row r="90" spans="1:56" ht="15" customHeight="1" x14ac:dyDescent="0.25">
      <c r="A90" s="193"/>
      <c r="B90" s="193"/>
      <c r="C90" s="193"/>
      <c r="D90" s="193"/>
      <c r="E90" s="193"/>
      <c r="AJ90" s="150">
        <f t="shared" si="7"/>
        <v>86</v>
      </c>
      <c r="AK90" s="151">
        <f>IF(AC_Chart_Background_Data[[#This Row],[X]] &lt; EFC_70P-EFC_50P, EFC_50P, MAX(EFC_70P-AC_Chart_Background_Data[[#This Row],[X]],0))</f>
        <v>21</v>
      </c>
      <c r="AL90" s="151">
        <f>IF(AC_Chart_Background_Data[[#This Row],[X]] &lt; EFC_85P-EFC_70P, EFC_70P, MAX(EFC_85P-AC_Chart_Background_Data[[#This Row],[X]],0))</f>
        <v>40</v>
      </c>
      <c r="AM90" s="151">
        <f>IF(AC_Chart_Background_Data[[#This Row],[X]] &lt; EFC_95P-EFC_85P, EFC_85P, MAX(EFC_95P-AC_Chart_Background_Data[[#This Row],[X]],0))</f>
        <v>59</v>
      </c>
      <c r="AN90" s="151">
        <f>IF(AC_Chart_Background_Data[[#This Row],[X]] &lt; EFC_99P-EFC_95P, EFC_95P, MAX(EFC_99P-AC_Chart_Background_Data[[#This Row],[X]],0))</f>
        <v>80</v>
      </c>
      <c r="AO90" s="151">
        <f t="shared" si="5"/>
        <v>170</v>
      </c>
      <c r="AX90" s="102">
        <v>80.489999999999995</v>
      </c>
      <c r="AY90" s="103">
        <v>4345</v>
      </c>
      <c r="AZ90" s="104">
        <f t="shared" si="6"/>
        <v>0</v>
      </c>
      <c r="BA90" s="8"/>
      <c r="BB90" s="8"/>
      <c r="BC90" s="8"/>
      <c r="BD90" s="8"/>
    </row>
    <row r="91" spans="1:56" ht="15" customHeight="1" x14ac:dyDescent="0.25">
      <c r="AJ91" s="150">
        <f t="shared" si="7"/>
        <v>87</v>
      </c>
      <c r="AK91" s="151">
        <f>IF(AC_Chart_Background_Data[[#This Row],[X]] &lt; EFC_70P-EFC_50P, EFC_50P, MAX(EFC_70P-AC_Chart_Background_Data[[#This Row],[X]],0))</f>
        <v>20</v>
      </c>
      <c r="AL91" s="151">
        <f>IF(AC_Chart_Background_Data[[#This Row],[X]] &lt; EFC_85P-EFC_70P, EFC_70P, MAX(EFC_85P-AC_Chart_Background_Data[[#This Row],[X]],0))</f>
        <v>39</v>
      </c>
      <c r="AM91" s="151">
        <f>IF(AC_Chart_Background_Data[[#This Row],[X]] &lt; EFC_95P-EFC_85P, EFC_85P, MAX(EFC_95P-AC_Chart_Background_Data[[#This Row],[X]],0))</f>
        <v>58</v>
      </c>
      <c r="AN91" s="151">
        <f>IF(AC_Chart_Background_Data[[#This Row],[X]] &lt; EFC_99P-EFC_95P, EFC_95P, MAX(EFC_99P-AC_Chart_Background_Data[[#This Row],[X]],0))</f>
        <v>79</v>
      </c>
      <c r="AO91" s="151">
        <f t="shared" si="5"/>
        <v>170</v>
      </c>
      <c r="BA91" s="8"/>
      <c r="BB91" s="8"/>
      <c r="BC91" s="8"/>
      <c r="BD91" s="8"/>
    </row>
    <row r="92" spans="1:56" ht="15" customHeight="1" x14ac:dyDescent="0.25">
      <c r="AJ92" s="150">
        <f t="shared" si="7"/>
        <v>88</v>
      </c>
      <c r="AK92" s="151">
        <f>IF(AC_Chart_Background_Data[[#This Row],[X]] &lt; EFC_70P-EFC_50P, EFC_50P, MAX(EFC_70P-AC_Chart_Background_Data[[#This Row],[X]],0))</f>
        <v>19</v>
      </c>
      <c r="AL92" s="151">
        <f>IF(AC_Chart_Background_Data[[#This Row],[X]] &lt; EFC_85P-EFC_70P, EFC_70P, MAX(EFC_85P-AC_Chart_Background_Data[[#This Row],[X]],0))</f>
        <v>38</v>
      </c>
      <c r="AM92" s="151">
        <f>IF(AC_Chart_Background_Data[[#This Row],[X]] &lt; EFC_95P-EFC_85P, EFC_85P, MAX(EFC_95P-AC_Chart_Background_Data[[#This Row],[X]],0))</f>
        <v>57</v>
      </c>
      <c r="AN92" s="151">
        <f>IF(AC_Chart_Background_Data[[#This Row],[X]] &lt; EFC_99P-EFC_95P, EFC_95P, MAX(EFC_99P-AC_Chart_Background_Data[[#This Row],[X]],0))</f>
        <v>78</v>
      </c>
      <c r="AO92" s="151">
        <f t="shared" si="5"/>
        <v>170</v>
      </c>
      <c r="BA92" s="8"/>
      <c r="BB92" s="8"/>
      <c r="BC92" s="8"/>
      <c r="BD92" s="8"/>
    </row>
    <row r="93" spans="1:56" ht="18.75" x14ac:dyDescent="0.3">
      <c r="A93" s="96" t="s">
        <v>868</v>
      </c>
      <c r="AJ93" s="150">
        <f t="shared" si="7"/>
        <v>89</v>
      </c>
      <c r="AK93" s="151">
        <f>IF(AC_Chart_Background_Data[[#This Row],[X]] &lt; EFC_70P-EFC_50P, EFC_50P, MAX(EFC_70P-AC_Chart_Background_Data[[#This Row],[X]],0))</f>
        <v>18</v>
      </c>
      <c r="AL93" s="151">
        <f>IF(AC_Chart_Background_Data[[#This Row],[X]] &lt; EFC_85P-EFC_70P, EFC_70P, MAX(EFC_85P-AC_Chart_Background_Data[[#This Row],[X]],0))</f>
        <v>37</v>
      </c>
      <c r="AM93" s="151">
        <f>IF(AC_Chart_Background_Data[[#This Row],[X]] &lt; EFC_95P-EFC_85P, EFC_85P, MAX(EFC_95P-AC_Chart_Background_Data[[#This Row],[X]],0))</f>
        <v>56</v>
      </c>
      <c r="AN93" s="151">
        <f>IF(AC_Chart_Background_Data[[#This Row],[X]] &lt; EFC_99P-EFC_95P, EFC_95P, MAX(EFC_99P-AC_Chart_Background_Data[[#This Row],[X]],0))</f>
        <v>77</v>
      </c>
      <c r="AO93" s="151">
        <f t="shared" si="5"/>
        <v>170</v>
      </c>
      <c r="BA93" s="8"/>
      <c r="BB93" s="8"/>
      <c r="BC93" s="8"/>
      <c r="BD93" s="8"/>
    </row>
    <row r="94" spans="1:56" x14ac:dyDescent="0.25">
      <c r="A94" s="6" t="s">
        <v>858</v>
      </c>
      <c r="AJ94" s="150">
        <f t="shared" si="7"/>
        <v>90</v>
      </c>
      <c r="AK94" s="151">
        <f>IF(AC_Chart_Background_Data[[#This Row],[X]] &lt; EFC_70P-EFC_50P, EFC_50P, MAX(EFC_70P-AC_Chart_Background_Data[[#This Row],[X]],0))</f>
        <v>17</v>
      </c>
      <c r="AL94" s="151">
        <f>IF(AC_Chart_Background_Data[[#This Row],[X]] &lt; EFC_85P-EFC_70P, EFC_70P, MAX(EFC_85P-AC_Chart_Background_Data[[#This Row],[X]],0))</f>
        <v>36</v>
      </c>
      <c r="AM94" s="151">
        <f>IF(AC_Chart_Background_Data[[#This Row],[X]] &lt; EFC_95P-EFC_85P, EFC_85P, MAX(EFC_95P-AC_Chart_Background_Data[[#This Row],[X]],0))</f>
        <v>55</v>
      </c>
      <c r="AN94" s="151">
        <f>IF(AC_Chart_Background_Data[[#This Row],[X]] &lt; EFC_99P-EFC_95P, EFC_95P, MAX(EFC_99P-AC_Chart_Background_Data[[#This Row],[X]],0))</f>
        <v>76</v>
      </c>
      <c r="AO94" s="151">
        <f t="shared" si="5"/>
        <v>170</v>
      </c>
      <c r="BA94" s="8"/>
      <c r="BB94" s="8"/>
      <c r="BC94" s="8"/>
      <c r="BD94" s="8"/>
    </row>
    <row r="95" spans="1:56" x14ac:dyDescent="0.25">
      <c r="A95" s="6" t="s">
        <v>869</v>
      </c>
      <c r="AJ95" s="150">
        <f t="shared" si="7"/>
        <v>91</v>
      </c>
      <c r="AK95" s="151">
        <f>IF(AC_Chart_Background_Data[[#This Row],[X]] &lt; EFC_70P-EFC_50P, EFC_50P, MAX(EFC_70P-AC_Chart_Background_Data[[#This Row],[X]],0))</f>
        <v>16</v>
      </c>
      <c r="AL95" s="151">
        <f>IF(AC_Chart_Background_Data[[#This Row],[X]] &lt; EFC_85P-EFC_70P, EFC_70P, MAX(EFC_85P-AC_Chart_Background_Data[[#This Row],[X]],0))</f>
        <v>35</v>
      </c>
      <c r="AM95" s="151">
        <f>IF(AC_Chart_Background_Data[[#This Row],[X]] &lt; EFC_95P-EFC_85P, EFC_85P, MAX(EFC_95P-AC_Chart_Background_Data[[#This Row],[X]],0))</f>
        <v>54</v>
      </c>
      <c r="AN95" s="151">
        <f>IF(AC_Chart_Background_Data[[#This Row],[X]] &lt; EFC_99P-EFC_95P, EFC_95P, MAX(EFC_99P-AC_Chart_Background_Data[[#This Row],[X]],0))</f>
        <v>75</v>
      </c>
      <c r="AO95" s="151">
        <f t="shared" si="5"/>
        <v>170</v>
      </c>
      <c r="BA95" s="8"/>
      <c r="BB95" s="8"/>
      <c r="BC95" s="8"/>
      <c r="BD95" s="8"/>
    </row>
    <row r="96" spans="1:56" x14ac:dyDescent="0.25">
      <c r="A96" s="6" t="s">
        <v>872</v>
      </c>
      <c r="AJ96" s="150">
        <f t="shared" si="7"/>
        <v>92</v>
      </c>
      <c r="AK96" s="151">
        <f>IF(AC_Chart_Background_Data[[#This Row],[X]] &lt; EFC_70P-EFC_50P, EFC_50P, MAX(EFC_70P-AC_Chart_Background_Data[[#This Row],[X]],0))</f>
        <v>15</v>
      </c>
      <c r="AL96" s="151">
        <f>IF(AC_Chart_Background_Data[[#This Row],[X]] &lt; EFC_85P-EFC_70P, EFC_70P, MAX(EFC_85P-AC_Chart_Background_Data[[#This Row],[X]],0))</f>
        <v>34</v>
      </c>
      <c r="AM96" s="151">
        <f>IF(AC_Chart_Background_Data[[#This Row],[X]] &lt; EFC_95P-EFC_85P, EFC_85P, MAX(EFC_95P-AC_Chart_Background_Data[[#This Row],[X]],0))</f>
        <v>53</v>
      </c>
      <c r="AN96" s="151">
        <f>IF(AC_Chart_Background_Data[[#This Row],[X]] &lt; EFC_99P-EFC_95P, EFC_95P, MAX(EFC_99P-AC_Chart_Background_Data[[#This Row],[X]],0))</f>
        <v>74</v>
      </c>
      <c r="AO96" s="151">
        <f t="shared" si="5"/>
        <v>170</v>
      </c>
      <c r="BA96" s="8"/>
      <c r="BB96" s="8"/>
      <c r="BC96" s="8"/>
      <c r="BD96" s="8"/>
    </row>
    <row r="97" spans="1:56" x14ac:dyDescent="0.25">
      <c r="A97" s="6" t="s">
        <v>871</v>
      </c>
      <c r="AJ97" s="150">
        <f t="shared" si="7"/>
        <v>93</v>
      </c>
      <c r="AK97" s="151">
        <f>IF(AC_Chart_Background_Data[[#This Row],[X]] &lt; EFC_70P-EFC_50P, EFC_50P, MAX(EFC_70P-AC_Chart_Background_Data[[#This Row],[X]],0))</f>
        <v>14</v>
      </c>
      <c r="AL97" s="151">
        <f>IF(AC_Chart_Background_Data[[#This Row],[X]] &lt; EFC_85P-EFC_70P, EFC_70P, MAX(EFC_85P-AC_Chart_Background_Data[[#This Row],[X]],0))</f>
        <v>33</v>
      </c>
      <c r="AM97" s="151">
        <f>IF(AC_Chart_Background_Data[[#This Row],[X]] &lt; EFC_95P-EFC_85P, EFC_85P, MAX(EFC_95P-AC_Chart_Background_Data[[#This Row],[X]],0))</f>
        <v>52</v>
      </c>
      <c r="AN97" s="151">
        <f>IF(AC_Chart_Background_Data[[#This Row],[X]] &lt; EFC_99P-EFC_95P, EFC_95P, MAX(EFC_99P-AC_Chart_Background_Data[[#This Row],[X]],0))</f>
        <v>73</v>
      </c>
      <c r="AO97" s="151">
        <f t="shared" si="5"/>
        <v>170</v>
      </c>
      <c r="BA97" s="8"/>
      <c r="BB97" s="8"/>
      <c r="BC97" s="8"/>
      <c r="BD97" s="8"/>
    </row>
    <row r="98" spans="1:56" x14ac:dyDescent="0.25">
      <c r="AJ98" s="150">
        <f t="shared" si="7"/>
        <v>94</v>
      </c>
      <c r="AK98" s="151">
        <f>IF(AC_Chart_Background_Data[[#This Row],[X]] &lt; EFC_70P-EFC_50P, EFC_50P, MAX(EFC_70P-AC_Chart_Background_Data[[#This Row],[X]],0))</f>
        <v>13</v>
      </c>
      <c r="AL98" s="151">
        <f>IF(AC_Chart_Background_Data[[#This Row],[X]] &lt; EFC_85P-EFC_70P, EFC_70P, MAX(EFC_85P-AC_Chart_Background_Data[[#This Row],[X]],0))</f>
        <v>32</v>
      </c>
      <c r="AM98" s="151">
        <f>IF(AC_Chart_Background_Data[[#This Row],[X]] &lt; EFC_95P-EFC_85P, EFC_85P, MAX(EFC_95P-AC_Chart_Background_Data[[#This Row],[X]],0))</f>
        <v>51</v>
      </c>
      <c r="AN98" s="151">
        <f>IF(AC_Chart_Background_Data[[#This Row],[X]] &lt; EFC_99P-EFC_95P, EFC_95P, MAX(EFC_99P-AC_Chart_Background_Data[[#This Row],[X]],0))</f>
        <v>72</v>
      </c>
      <c r="AO98" s="151">
        <f t="shared" si="5"/>
        <v>170</v>
      </c>
      <c r="BA98" s="8"/>
      <c r="BB98" s="8"/>
      <c r="BC98" s="8"/>
      <c r="BD98" s="8"/>
    </row>
    <row r="99" spans="1:56" x14ac:dyDescent="0.25">
      <c r="A99" s="286" t="s">
        <v>870</v>
      </c>
      <c r="C99" s="286" t="s">
        <v>865</v>
      </c>
      <c r="D99" s="210" t="s">
        <v>873</v>
      </c>
      <c r="E99" s="210"/>
      <c r="AJ99" s="150">
        <f t="shared" si="7"/>
        <v>95</v>
      </c>
      <c r="AK99" s="151">
        <f>IF(AC_Chart_Background_Data[[#This Row],[X]] &lt; EFC_70P-EFC_50P, EFC_50P, MAX(EFC_70P-AC_Chart_Background_Data[[#This Row],[X]],0))</f>
        <v>12</v>
      </c>
      <c r="AL99" s="151">
        <f>IF(AC_Chart_Background_Data[[#This Row],[X]] &lt; EFC_85P-EFC_70P, EFC_70P, MAX(EFC_85P-AC_Chart_Background_Data[[#This Row],[X]],0))</f>
        <v>31</v>
      </c>
      <c r="AM99" s="151">
        <f>IF(AC_Chart_Background_Data[[#This Row],[X]] &lt; EFC_95P-EFC_85P, EFC_85P, MAX(EFC_95P-AC_Chart_Background_Data[[#This Row],[X]],0))</f>
        <v>50</v>
      </c>
      <c r="AN99" s="151">
        <f>IF(AC_Chart_Background_Data[[#This Row],[X]] &lt; EFC_99P-EFC_95P, EFC_95P, MAX(EFC_99P-AC_Chart_Background_Data[[#This Row],[X]],0))</f>
        <v>71</v>
      </c>
      <c r="AO99" s="151">
        <f t="shared" si="5"/>
        <v>170</v>
      </c>
      <c r="BA99" s="8"/>
      <c r="BB99" s="8"/>
      <c r="BC99" s="8"/>
      <c r="BD99" s="8"/>
    </row>
    <row r="100" spans="1:56" x14ac:dyDescent="0.25">
      <c r="A100" s="286"/>
      <c r="C100" s="286"/>
      <c r="D100" s="211"/>
      <c r="E100" s="211"/>
      <c r="S100" s="204" t="s">
        <v>863</v>
      </c>
      <c r="T100" s="202"/>
      <c r="U100" s="202"/>
      <c r="V100" s="202"/>
      <c r="AJ100" s="150">
        <f t="shared" si="7"/>
        <v>96</v>
      </c>
      <c r="AK100" s="151">
        <f>IF(AC_Chart_Background_Data[[#This Row],[X]] &lt; EFC_70P-EFC_50P, EFC_50P, MAX(EFC_70P-AC_Chart_Background_Data[[#This Row],[X]],0))</f>
        <v>11</v>
      </c>
      <c r="AL100" s="151">
        <f>IF(AC_Chart_Background_Data[[#This Row],[X]] &lt; EFC_85P-EFC_70P, EFC_70P, MAX(EFC_85P-AC_Chart_Background_Data[[#This Row],[X]],0))</f>
        <v>30</v>
      </c>
      <c r="AM100" s="151">
        <f>IF(AC_Chart_Background_Data[[#This Row],[X]] &lt; EFC_95P-EFC_85P, EFC_85P, MAX(EFC_95P-AC_Chart_Background_Data[[#This Row],[X]],0))</f>
        <v>49</v>
      </c>
      <c r="AN100" s="151">
        <f>IF(AC_Chart_Background_Data[[#This Row],[X]] &lt; EFC_99P-EFC_95P, EFC_95P, MAX(EFC_99P-AC_Chart_Background_Data[[#This Row],[X]],0))</f>
        <v>70</v>
      </c>
      <c r="AO100" s="151">
        <f t="shared" si="5"/>
        <v>170</v>
      </c>
      <c r="BA100" s="8"/>
      <c r="BB100" s="8"/>
      <c r="BC100" s="8"/>
      <c r="BD100" s="8"/>
    </row>
    <row r="101" spans="1:56" ht="15.75" thickBot="1" x14ac:dyDescent="0.3">
      <c r="A101" s="286"/>
      <c r="C101" s="286"/>
      <c r="D101" s="212" t="s">
        <v>874</v>
      </c>
      <c r="E101" s="212"/>
      <c r="S101" s="202"/>
      <c r="T101" s="202"/>
      <c r="U101" s="202"/>
      <c r="V101" s="202"/>
      <c r="AJ101" s="150">
        <f t="shared" si="7"/>
        <v>97</v>
      </c>
      <c r="AK101" s="151">
        <f>IF(AC_Chart_Background_Data[[#This Row],[X]] &lt; EFC_70P-EFC_50P, EFC_50P, MAX(EFC_70P-AC_Chart_Background_Data[[#This Row],[X]],0))</f>
        <v>10</v>
      </c>
      <c r="AL101" s="151">
        <f>IF(AC_Chart_Background_Data[[#This Row],[X]] &lt; EFC_85P-EFC_70P, EFC_70P, MAX(EFC_85P-AC_Chart_Background_Data[[#This Row],[X]],0))</f>
        <v>29</v>
      </c>
      <c r="AM101" s="151">
        <f>IF(AC_Chart_Background_Data[[#This Row],[X]] &lt; EFC_95P-EFC_85P, EFC_85P, MAX(EFC_95P-AC_Chart_Background_Data[[#This Row],[X]],0))</f>
        <v>48</v>
      </c>
      <c r="AN101" s="151">
        <f>IF(AC_Chart_Background_Data[[#This Row],[X]] &lt; EFC_99P-EFC_95P, EFC_95P, MAX(EFC_99P-AC_Chart_Background_Data[[#This Row],[X]],0))</f>
        <v>69</v>
      </c>
      <c r="AO101" s="151">
        <f t="shared" si="5"/>
        <v>170</v>
      </c>
      <c r="BA101" s="8"/>
      <c r="BB101" s="8"/>
      <c r="BC101" s="8"/>
      <c r="BD101" s="8"/>
    </row>
    <row r="102" spans="1:56" ht="15" customHeight="1" x14ac:dyDescent="0.25">
      <c r="A102" s="279" t="str" cm="1">
        <f t="array" aca="1" ref="A102" ca="1">_xlfn.IFS(AI_Applicant="","",
          Condition1="Yes","75%",
            Condition2="Yes","75%",
              Condition3="Yes","50%",
TRUE,"30%")</f>
        <v/>
      </c>
      <c r="B102" s="193"/>
      <c r="C102" s="279" t="str" cm="1">
        <f t="array" aca="1" ref="C102" ca="1">_xlfn.IFS(AI_Applicant="","",
          Initial1="Yes","100% for First $5,000,000",
           Initial2="Yes","100% for First $5,000,000",
            Initial3="Yes","100% for first $5,000,000",
TRUE,"You do not qualify for additional initial cost principal forgiveness")</f>
        <v/>
      </c>
      <c r="D102" s="213" t="s">
        <v>876</v>
      </c>
      <c r="E102" s="215"/>
      <c r="S102" s="202" t="s">
        <v>884</v>
      </c>
      <c r="T102" s="202"/>
      <c r="U102" s="202"/>
      <c r="V102" s="203" t="str">
        <f>IF(VU_Distressed="Yes", "Yes", "No")</f>
        <v>No</v>
      </c>
      <c r="AJ102" s="150">
        <f t="shared" si="7"/>
        <v>98</v>
      </c>
      <c r="AK102" s="151">
        <f>IF(AC_Chart_Background_Data[[#This Row],[X]] &lt; EFC_70P-EFC_50P, EFC_50P, MAX(EFC_70P-AC_Chart_Background_Data[[#This Row],[X]],0))</f>
        <v>9</v>
      </c>
      <c r="AL102" s="151">
        <f>IF(AC_Chart_Background_Data[[#This Row],[X]] &lt; EFC_85P-EFC_70P, EFC_70P, MAX(EFC_85P-AC_Chart_Background_Data[[#This Row],[X]],0))</f>
        <v>28</v>
      </c>
      <c r="AM102" s="151">
        <f>IF(AC_Chart_Background_Data[[#This Row],[X]] &lt; EFC_95P-EFC_85P, EFC_85P, MAX(EFC_95P-AC_Chart_Background_Data[[#This Row],[X]],0))</f>
        <v>47</v>
      </c>
      <c r="AN102" s="151">
        <f>IF(AC_Chart_Background_Data[[#This Row],[X]] &lt; EFC_99P-EFC_95P, EFC_95P, MAX(EFC_99P-AC_Chart_Background_Data[[#This Row],[X]],0))</f>
        <v>68</v>
      </c>
      <c r="AO102" s="151">
        <f t="shared" si="5"/>
        <v>170</v>
      </c>
      <c r="BA102" s="8"/>
      <c r="BB102" s="8"/>
      <c r="BC102" s="8"/>
      <c r="BD102" s="8"/>
    </row>
    <row r="103" spans="1:56" ht="15" customHeight="1" x14ac:dyDescent="0.25">
      <c r="A103" s="280"/>
      <c r="B103" s="193"/>
      <c r="C103" s="280"/>
      <c r="D103" s="213" t="s">
        <v>877</v>
      </c>
      <c r="E103" s="213"/>
      <c r="S103" s="202" t="s">
        <v>883</v>
      </c>
      <c r="T103" s="202"/>
      <c r="U103" s="202"/>
      <c r="V103" s="203" t="str">
        <f ca="1">IF(AND(ISNUMBER(AI_Connections_Res.), AI_Connections_Res.&lt;=20000,AC_IWSB&gt;=2),"Yes","No")</f>
        <v>No</v>
      </c>
      <c r="AJ103" s="150">
        <f t="shared" si="7"/>
        <v>99</v>
      </c>
      <c r="AK103" s="151">
        <f>IF(AC_Chart_Background_Data[[#This Row],[X]] &lt; EFC_70P-EFC_50P, EFC_50P, MAX(EFC_70P-AC_Chart_Background_Data[[#This Row],[X]],0))</f>
        <v>8</v>
      </c>
      <c r="AL103" s="151">
        <f>IF(AC_Chart_Background_Data[[#This Row],[X]] &lt; EFC_85P-EFC_70P, EFC_70P, MAX(EFC_85P-AC_Chart_Background_Data[[#This Row],[X]],0))</f>
        <v>27</v>
      </c>
      <c r="AM103" s="151">
        <f>IF(AC_Chart_Background_Data[[#This Row],[X]] &lt; EFC_95P-EFC_85P, EFC_85P, MAX(EFC_95P-AC_Chart_Background_Data[[#This Row],[X]],0))</f>
        <v>46</v>
      </c>
      <c r="AN103" s="151">
        <f>IF(AC_Chart_Background_Data[[#This Row],[X]] &lt; EFC_99P-EFC_95P, EFC_95P, MAX(EFC_99P-AC_Chart_Background_Data[[#This Row],[X]],0))</f>
        <v>67</v>
      </c>
      <c r="AO103" s="151">
        <f t="shared" si="5"/>
        <v>170</v>
      </c>
      <c r="BA103" s="8"/>
      <c r="BB103" s="8"/>
      <c r="BC103" s="8"/>
      <c r="BD103" s="8"/>
    </row>
    <row r="104" spans="1:56" ht="15" customHeight="1" x14ac:dyDescent="0.25">
      <c r="A104" s="280"/>
      <c r="B104" s="193"/>
      <c r="C104" s="280"/>
      <c r="D104" s="213" t="s">
        <v>878</v>
      </c>
      <c r="E104" s="213"/>
      <c r="S104" s="202" t="s">
        <v>885</v>
      </c>
      <c r="T104" s="202"/>
      <c r="U104" s="202"/>
      <c r="V104" s="203" t="str">
        <f ca="1">IF(AND(ISNUMBER(AI_Connections_Res.), AI_Connections_Res.&gt;20000,AI_Connections_Res.&lt;=40000,AC_IWSB&gt;=2),"Yes","No")</f>
        <v>No</v>
      </c>
      <c r="AJ104" s="150">
        <f t="shared" si="7"/>
        <v>100</v>
      </c>
      <c r="AK104" s="151">
        <f>IF(AC_Chart_Background_Data[[#This Row],[X]] &lt; EFC_70P-EFC_50P, EFC_50P, MAX(EFC_70P-AC_Chart_Background_Data[[#This Row],[X]],0))</f>
        <v>7</v>
      </c>
      <c r="AL104" s="151">
        <f>IF(AC_Chart_Background_Data[[#This Row],[X]] &lt; EFC_85P-EFC_70P, EFC_70P, MAX(EFC_85P-AC_Chart_Background_Data[[#This Row],[X]],0))</f>
        <v>26</v>
      </c>
      <c r="AM104" s="151">
        <f>IF(AC_Chart_Background_Data[[#This Row],[X]] &lt; EFC_95P-EFC_85P, EFC_85P, MAX(EFC_95P-AC_Chart_Background_Data[[#This Row],[X]],0))</f>
        <v>45</v>
      </c>
      <c r="AN104" s="151">
        <f>IF(AC_Chart_Background_Data[[#This Row],[X]] &lt; EFC_99P-EFC_95P, EFC_95P, MAX(EFC_99P-AC_Chart_Background_Data[[#This Row],[X]],0))</f>
        <v>66</v>
      </c>
      <c r="AO104" s="151">
        <f t="shared" si="5"/>
        <v>170</v>
      </c>
      <c r="BA104" s="8"/>
      <c r="BB104" s="8"/>
      <c r="BC104" s="8"/>
      <c r="BD104" s="8"/>
    </row>
    <row r="105" spans="1:56" ht="15" customHeight="1" x14ac:dyDescent="0.25">
      <c r="A105" s="280"/>
      <c r="B105" s="193"/>
      <c r="C105" s="280"/>
      <c r="D105" s="215" t="s">
        <v>875</v>
      </c>
      <c r="E105" s="213"/>
      <c r="S105" s="202"/>
      <c r="T105" s="202"/>
      <c r="U105" s="202"/>
      <c r="V105" s="202"/>
      <c r="AJ105" s="150">
        <f t="shared" si="7"/>
        <v>101</v>
      </c>
      <c r="AK105" s="151">
        <f>IF(AC_Chart_Background_Data[[#This Row],[X]] &lt; EFC_70P-EFC_50P, EFC_50P, MAX(EFC_70P-AC_Chart_Background_Data[[#This Row],[X]],0))</f>
        <v>6</v>
      </c>
      <c r="AL105" s="151">
        <f>IF(AC_Chart_Background_Data[[#This Row],[X]] &lt; EFC_85P-EFC_70P, EFC_70P, MAX(EFC_85P-AC_Chart_Background_Data[[#This Row],[X]],0))</f>
        <v>25</v>
      </c>
      <c r="AM105" s="151">
        <f>IF(AC_Chart_Background_Data[[#This Row],[X]] &lt; EFC_95P-EFC_85P, EFC_85P, MAX(EFC_95P-AC_Chart_Background_Data[[#This Row],[X]],0))</f>
        <v>44</v>
      </c>
      <c r="AN105" s="151">
        <f>IF(AC_Chart_Background_Data[[#This Row],[X]] &lt; EFC_99P-EFC_95P, EFC_95P, MAX(EFC_99P-AC_Chart_Background_Data[[#This Row],[X]],0))</f>
        <v>65</v>
      </c>
      <c r="AO105" s="151">
        <f t="shared" si="5"/>
        <v>170</v>
      </c>
      <c r="BA105" s="8"/>
      <c r="BB105" s="8"/>
      <c r="BC105" s="8"/>
      <c r="BD105" s="8"/>
    </row>
    <row r="106" spans="1:56" ht="15" customHeight="1" x14ac:dyDescent="0.25">
      <c r="A106" s="280"/>
      <c r="B106" s="193"/>
      <c r="C106" s="280"/>
      <c r="E106" s="213"/>
      <c r="S106" s="204" t="s">
        <v>864</v>
      </c>
      <c r="T106" s="202"/>
      <c r="U106" s="202"/>
      <c r="V106" s="202"/>
      <c r="AJ106" s="150">
        <f t="shared" si="7"/>
        <v>102</v>
      </c>
      <c r="AK106" s="151">
        <f>IF(AC_Chart_Background_Data[[#This Row],[X]] &lt; EFC_70P-EFC_50P, EFC_50P, MAX(EFC_70P-AC_Chart_Background_Data[[#This Row],[X]],0))</f>
        <v>5</v>
      </c>
      <c r="AL106" s="151">
        <f>IF(AC_Chart_Background_Data[[#This Row],[X]] &lt; EFC_85P-EFC_70P, EFC_70P, MAX(EFC_85P-AC_Chart_Background_Data[[#This Row],[X]],0))</f>
        <v>24</v>
      </c>
      <c r="AM106" s="151">
        <f>IF(AC_Chart_Background_Data[[#This Row],[X]] &lt; EFC_95P-EFC_85P, EFC_85P, MAX(EFC_95P-AC_Chart_Background_Data[[#This Row],[X]],0))</f>
        <v>43</v>
      </c>
      <c r="AN106" s="151">
        <f>IF(AC_Chart_Background_Data[[#This Row],[X]] &lt; EFC_99P-EFC_95P, EFC_95P, MAX(EFC_99P-AC_Chart_Background_Data[[#This Row],[X]],0))</f>
        <v>64</v>
      </c>
      <c r="AO106" s="151">
        <f t="shared" si="5"/>
        <v>170</v>
      </c>
      <c r="BA106" s="8"/>
      <c r="BB106" s="8"/>
      <c r="BC106" s="8"/>
      <c r="BD106" s="8"/>
    </row>
    <row r="107" spans="1:56" ht="15.75" customHeight="1" x14ac:dyDescent="0.25">
      <c r="A107" s="280"/>
      <c r="B107" s="193"/>
      <c r="C107" s="280"/>
      <c r="E107" s="212"/>
      <c r="F107" s="201"/>
      <c r="S107" s="202" t="s">
        <v>886</v>
      </c>
      <c r="T107" s="202"/>
      <c r="U107" s="202"/>
      <c r="V107" s="203" t="str">
        <f>IF(VU_Distressed="Yes", "Yes", "No")</f>
        <v>No</v>
      </c>
      <c r="AJ107" s="150">
        <f t="shared" si="7"/>
        <v>103</v>
      </c>
      <c r="AK107" s="151">
        <f>IF(AC_Chart_Background_Data[[#This Row],[X]] &lt; EFC_70P-EFC_50P, EFC_50P, MAX(EFC_70P-AC_Chart_Background_Data[[#This Row],[X]],0))</f>
        <v>4</v>
      </c>
      <c r="AL107" s="151">
        <f>IF(AC_Chart_Background_Data[[#This Row],[X]] &lt; EFC_85P-EFC_70P, EFC_70P, MAX(EFC_85P-AC_Chart_Background_Data[[#This Row],[X]],0))</f>
        <v>23</v>
      </c>
      <c r="AM107" s="151">
        <f>IF(AC_Chart_Background_Data[[#This Row],[X]] &lt; EFC_95P-EFC_85P, EFC_85P, MAX(EFC_95P-AC_Chart_Background_Data[[#This Row],[X]],0))</f>
        <v>42</v>
      </c>
      <c r="AN107" s="151">
        <f>IF(AC_Chart_Background_Data[[#This Row],[X]] &lt; EFC_99P-EFC_95P, EFC_95P, MAX(EFC_99P-AC_Chart_Background_Data[[#This Row],[X]],0))</f>
        <v>63</v>
      </c>
      <c r="AO107" s="151">
        <f t="shared" si="5"/>
        <v>170</v>
      </c>
      <c r="BA107" s="8"/>
      <c r="BB107" s="8"/>
      <c r="BC107" s="8"/>
      <c r="BD107" s="8"/>
    </row>
    <row r="108" spans="1:56" ht="15" customHeight="1" thickBot="1" x14ac:dyDescent="0.3">
      <c r="A108" s="281"/>
      <c r="B108" s="193"/>
      <c r="C108" s="281"/>
      <c r="D108" s="212" t="s">
        <v>879</v>
      </c>
      <c r="E108" s="213"/>
      <c r="F108" s="205"/>
      <c r="S108" s="202" t="s">
        <v>888</v>
      </c>
      <c r="T108" s="202"/>
      <c r="U108" s="202"/>
      <c r="V108" s="203" t="str">
        <f ca="1">IF(AND(ISNUMBER(AI_Connections_Res.), AI_Connections_Res.&lt;=20000,AC_IWSB&gt;=2),"Yes","No")</f>
        <v>No</v>
      </c>
      <c r="AJ108" s="150">
        <f t="shared" si="7"/>
        <v>104</v>
      </c>
      <c r="AK108" s="151">
        <f>IF(AC_Chart_Background_Data[[#This Row],[X]] &lt; EFC_70P-EFC_50P, EFC_50P, MAX(EFC_70P-AC_Chart_Background_Data[[#This Row],[X]],0))</f>
        <v>3</v>
      </c>
      <c r="AL108" s="151">
        <f>IF(AC_Chart_Background_Data[[#This Row],[X]] &lt; EFC_85P-EFC_70P, EFC_70P, MAX(EFC_85P-AC_Chart_Background_Data[[#This Row],[X]],0))</f>
        <v>22</v>
      </c>
      <c r="AM108" s="151">
        <f>IF(AC_Chart_Background_Data[[#This Row],[X]] &lt; EFC_95P-EFC_85P, EFC_85P, MAX(EFC_95P-AC_Chart_Background_Data[[#This Row],[X]],0))</f>
        <v>41</v>
      </c>
      <c r="AN108" s="151">
        <f>IF(AC_Chart_Background_Data[[#This Row],[X]] &lt; EFC_99P-EFC_95P, EFC_95P, MAX(EFC_99P-AC_Chart_Background_Data[[#This Row],[X]],0))</f>
        <v>62</v>
      </c>
      <c r="AO108" s="151">
        <f t="shared" si="5"/>
        <v>170</v>
      </c>
      <c r="BA108" s="8"/>
      <c r="BB108" s="8"/>
      <c r="BC108" s="8"/>
      <c r="BD108" s="8"/>
    </row>
    <row r="109" spans="1:56" ht="15.75" customHeight="1" x14ac:dyDescent="0.25">
      <c r="B109" s="193"/>
      <c r="C109" s="205"/>
      <c r="D109" s="213" t="s">
        <v>880</v>
      </c>
      <c r="E109" s="214"/>
      <c r="F109" s="205"/>
      <c r="S109" s="202" t="s">
        <v>887</v>
      </c>
      <c r="T109" s="202"/>
      <c r="U109" s="202"/>
      <c r="V109" s="203" t="str">
        <f>IF(Service_Population&lt;=20000,"Yes","No")</f>
        <v>Yes</v>
      </c>
      <c r="AJ109" s="150">
        <f t="shared" si="7"/>
        <v>105</v>
      </c>
      <c r="AK109" s="151">
        <f>IF(AC_Chart_Background_Data[[#This Row],[X]] &lt; EFC_70P-EFC_50P, EFC_50P, MAX(EFC_70P-AC_Chart_Background_Data[[#This Row],[X]],0))</f>
        <v>2</v>
      </c>
      <c r="AL109" s="151">
        <f>IF(AC_Chart_Background_Data[[#This Row],[X]] &lt; EFC_85P-EFC_70P, EFC_70P, MAX(EFC_85P-AC_Chart_Background_Data[[#This Row],[X]],0))</f>
        <v>21</v>
      </c>
      <c r="AM109" s="151">
        <f>IF(AC_Chart_Background_Data[[#This Row],[X]] &lt; EFC_95P-EFC_85P, EFC_85P, MAX(EFC_95P-AC_Chart_Background_Data[[#This Row],[X]],0))</f>
        <v>40</v>
      </c>
      <c r="AN109" s="151">
        <f>IF(AC_Chart_Background_Data[[#This Row],[X]] &lt; EFC_99P-EFC_95P, EFC_95P, MAX(EFC_99P-AC_Chart_Background_Data[[#This Row],[X]],0))</f>
        <v>61</v>
      </c>
      <c r="AO109" s="151">
        <f t="shared" si="5"/>
        <v>170</v>
      </c>
      <c r="BA109" s="8"/>
      <c r="BB109" s="8"/>
      <c r="BC109" s="8"/>
      <c r="BD109" s="8"/>
    </row>
    <row r="110" spans="1:56" ht="15" customHeight="1" x14ac:dyDescent="0.25">
      <c r="B110" s="193"/>
      <c r="C110" s="193"/>
      <c r="D110" s="213" t="s">
        <v>882</v>
      </c>
      <c r="F110" s="205"/>
      <c r="V110" s="200"/>
      <c r="AJ110" s="150">
        <f t="shared" si="7"/>
        <v>106</v>
      </c>
      <c r="AK110" s="151">
        <f>IF(AC_Chart_Background_Data[[#This Row],[X]] &lt; EFC_70P-EFC_50P, EFC_50P, MAX(EFC_70P-AC_Chart_Background_Data[[#This Row],[X]],0))</f>
        <v>1</v>
      </c>
      <c r="AL110" s="151">
        <f>IF(AC_Chart_Background_Data[[#This Row],[X]] &lt; EFC_85P-EFC_70P, EFC_70P, MAX(EFC_85P-AC_Chart_Background_Data[[#This Row],[X]],0))</f>
        <v>20</v>
      </c>
      <c r="AM110" s="151">
        <f>IF(AC_Chart_Background_Data[[#This Row],[X]] &lt; EFC_95P-EFC_85P, EFC_85P, MAX(EFC_95P-AC_Chart_Background_Data[[#This Row],[X]],0))</f>
        <v>39</v>
      </c>
      <c r="AN110" s="151">
        <f>IF(AC_Chart_Background_Data[[#This Row],[X]] &lt; EFC_99P-EFC_95P, EFC_95P, MAX(EFC_99P-AC_Chart_Background_Data[[#This Row],[X]],0))</f>
        <v>60</v>
      </c>
      <c r="AO110" s="151">
        <f t="shared" si="5"/>
        <v>170</v>
      </c>
      <c r="BA110" s="8"/>
      <c r="BB110" s="8"/>
      <c r="BC110" s="8"/>
      <c r="BD110" s="8"/>
    </row>
    <row r="111" spans="1:56" ht="15" customHeight="1" x14ac:dyDescent="0.25">
      <c r="B111" s="193"/>
      <c r="C111" s="193"/>
      <c r="D111" s="213" t="s">
        <v>881</v>
      </c>
      <c r="F111" s="205"/>
      <c r="V111" s="200"/>
      <c r="AJ111" s="150">
        <f t="shared" si="7"/>
        <v>107</v>
      </c>
      <c r="AK111" s="151">
        <f>IF(AC_Chart_Background_Data[[#This Row],[X]] &lt; EFC_70P-EFC_50P, EFC_50P, MAX(EFC_70P-AC_Chart_Background_Data[[#This Row],[X]],0))</f>
        <v>0</v>
      </c>
      <c r="AL111" s="151">
        <f>IF(AC_Chart_Background_Data[[#This Row],[X]] &lt; EFC_85P-EFC_70P, EFC_70P, MAX(EFC_85P-AC_Chart_Background_Data[[#This Row],[X]],0))</f>
        <v>19</v>
      </c>
      <c r="AM111" s="151">
        <f>IF(AC_Chart_Background_Data[[#This Row],[X]] &lt; EFC_95P-EFC_85P, EFC_85P, MAX(EFC_95P-AC_Chart_Background_Data[[#This Row],[X]],0))</f>
        <v>38</v>
      </c>
      <c r="AN111" s="151">
        <f>IF(AC_Chart_Background_Data[[#This Row],[X]] &lt; EFC_99P-EFC_95P, EFC_95P, MAX(EFC_99P-AC_Chart_Background_Data[[#This Row],[X]],0))</f>
        <v>59</v>
      </c>
      <c r="AO111" s="151">
        <f t="shared" si="5"/>
        <v>170</v>
      </c>
      <c r="BA111" s="8"/>
      <c r="BB111" s="8"/>
      <c r="BC111" s="8"/>
      <c r="BD111" s="8"/>
    </row>
    <row r="112" spans="1:56" ht="15" customHeight="1" x14ac:dyDescent="0.25">
      <c r="F112" s="205"/>
      <c r="V112" s="200"/>
      <c r="AJ112" s="150">
        <f t="shared" si="7"/>
        <v>108</v>
      </c>
      <c r="AK112" s="151">
        <f>IF(AC_Chart_Background_Data[[#This Row],[X]] &lt; EFC_70P-EFC_50P, EFC_50P, MAX(EFC_70P-AC_Chart_Background_Data[[#This Row],[X]],0))</f>
        <v>0</v>
      </c>
      <c r="AL112" s="151">
        <f>IF(AC_Chart_Background_Data[[#This Row],[X]] &lt; EFC_85P-EFC_70P, EFC_70P, MAX(EFC_85P-AC_Chart_Background_Data[[#This Row],[X]],0))</f>
        <v>18</v>
      </c>
      <c r="AM112" s="151">
        <f>IF(AC_Chart_Background_Data[[#This Row],[X]] &lt; EFC_95P-EFC_85P, EFC_85P, MAX(EFC_95P-AC_Chart_Background_Data[[#This Row],[X]],0))</f>
        <v>37</v>
      </c>
      <c r="AN112" s="151">
        <f>IF(AC_Chart_Background_Data[[#This Row],[X]] &lt; EFC_99P-EFC_95P, EFC_95P, MAX(EFC_99P-AC_Chart_Background_Data[[#This Row],[X]],0))</f>
        <v>58</v>
      </c>
      <c r="AO112" s="151">
        <f t="shared" si="5"/>
        <v>170</v>
      </c>
      <c r="BA112" s="8"/>
      <c r="BB112" s="8"/>
      <c r="BC112" s="8"/>
      <c r="BD112" s="8"/>
    </row>
    <row r="113" spans="1:56" ht="15" customHeight="1" thickBot="1" x14ac:dyDescent="0.3">
      <c r="F113" s="205"/>
      <c r="V113" s="200"/>
      <c r="AJ113" s="150">
        <f t="shared" si="7"/>
        <v>109</v>
      </c>
      <c r="AK113" s="151">
        <f>IF(AC_Chart_Background_Data[[#This Row],[X]] &lt; EFC_70P-EFC_50P, EFC_50P, MAX(EFC_70P-AC_Chart_Background_Data[[#This Row],[X]],0))</f>
        <v>0</v>
      </c>
      <c r="AL113" s="151">
        <f>IF(AC_Chart_Background_Data[[#This Row],[X]] &lt; EFC_85P-EFC_70P, EFC_70P, MAX(EFC_85P-AC_Chart_Background_Data[[#This Row],[X]],0))</f>
        <v>17</v>
      </c>
      <c r="AM113" s="151">
        <f>IF(AC_Chart_Background_Data[[#This Row],[X]] &lt; EFC_95P-EFC_85P, EFC_85P, MAX(EFC_95P-AC_Chart_Background_Data[[#This Row],[X]],0))</f>
        <v>36</v>
      </c>
      <c r="AN113" s="151">
        <f>IF(AC_Chart_Background_Data[[#This Row],[X]] &lt; EFC_99P-EFC_95P, EFC_95P, MAX(EFC_99P-AC_Chart_Background_Data[[#This Row],[X]],0))</f>
        <v>57</v>
      </c>
      <c r="AO113" s="151">
        <f t="shared" si="5"/>
        <v>170</v>
      </c>
      <c r="BA113" s="8"/>
      <c r="BB113" s="8"/>
      <c r="BC113" s="8"/>
      <c r="BD113" s="8"/>
    </row>
    <row r="114" spans="1:56" ht="15" customHeight="1" thickBot="1" x14ac:dyDescent="0.3">
      <c r="A114" s="274" t="s">
        <v>768</v>
      </c>
      <c r="B114" s="275"/>
      <c r="C114" s="275"/>
      <c r="D114" s="275"/>
      <c r="E114" s="276"/>
      <c r="F114" s="205"/>
      <c r="V114" s="200"/>
      <c r="AJ114" s="150">
        <f t="shared" si="7"/>
        <v>110</v>
      </c>
      <c r="AK114" s="151">
        <f>IF(AC_Chart_Background_Data[[#This Row],[X]] &lt; EFC_70P-EFC_50P, EFC_50P, MAX(EFC_70P-AC_Chart_Background_Data[[#This Row],[X]],0))</f>
        <v>0</v>
      </c>
      <c r="AL114" s="151">
        <f>IF(AC_Chart_Background_Data[[#This Row],[X]] &lt; EFC_85P-EFC_70P, EFC_70P, MAX(EFC_85P-AC_Chart_Background_Data[[#This Row],[X]],0))</f>
        <v>16</v>
      </c>
      <c r="AM114" s="151">
        <f>IF(AC_Chart_Background_Data[[#This Row],[X]] &lt; EFC_95P-EFC_85P, EFC_85P, MAX(EFC_95P-AC_Chart_Background_Data[[#This Row],[X]],0))</f>
        <v>35</v>
      </c>
      <c r="AN114" s="151">
        <f>IF(AC_Chart_Background_Data[[#This Row],[X]] &lt; EFC_99P-EFC_95P, EFC_95P, MAX(EFC_99P-AC_Chart_Background_Data[[#This Row],[X]],0))</f>
        <v>56</v>
      </c>
      <c r="AO114" s="151">
        <f t="shared" si="5"/>
        <v>170</v>
      </c>
      <c r="BA114" s="8"/>
      <c r="BB114" s="8"/>
      <c r="BC114" s="8"/>
      <c r="BD114" s="8"/>
    </row>
    <row r="115" spans="1:56" ht="15.75" customHeight="1" x14ac:dyDescent="0.25">
      <c r="F115" s="205"/>
      <c r="V115" s="200"/>
      <c r="AJ115" s="150">
        <f t="shared" si="7"/>
        <v>111</v>
      </c>
      <c r="AK115" s="151">
        <f>IF(AC_Chart_Background_Data[[#This Row],[X]] &lt; EFC_70P-EFC_50P, EFC_50P, MAX(EFC_70P-AC_Chart_Background_Data[[#This Row],[X]],0))</f>
        <v>0</v>
      </c>
      <c r="AL115" s="151">
        <f>IF(AC_Chart_Background_Data[[#This Row],[X]] &lt; EFC_85P-EFC_70P, EFC_70P, MAX(EFC_85P-AC_Chart_Background_Data[[#This Row],[X]],0))</f>
        <v>15</v>
      </c>
      <c r="AM115" s="151">
        <f>IF(AC_Chart_Background_Data[[#This Row],[X]] &lt; EFC_95P-EFC_85P, EFC_85P, MAX(EFC_95P-AC_Chart_Background_Data[[#This Row],[X]],0))</f>
        <v>34</v>
      </c>
      <c r="AN115" s="151">
        <f>IF(AC_Chart_Background_Data[[#This Row],[X]] &lt; EFC_99P-EFC_95P, EFC_95P, MAX(EFC_99P-AC_Chart_Background_Data[[#This Row],[X]],0))</f>
        <v>55</v>
      </c>
      <c r="AO115" s="151">
        <f t="shared" si="5"/>
        <v>170</v>
      </c>
      <c r="BA115" s="8"/>
      <c r="BB115" s="8"/>
      <c r="BC115" s="8"/>
      <c r="BD115" s="8"/>
    </row>
    <row r="116" spans="1:56" x14ac:dyDescent="0.25">
      <c r="AJ116" s="150">
        <f t="shared" si="7"/>
        <v>112</v>
      </c>
      <c r="AK116" s="151">
        <f>IF(AC_Chart_Background_Data[[#This Row],[X]] &lt; EFC_70P-EFC_50P, EFC_50P, MAX(EFC_70P-AC_Chart_Background_Data[[#This Row],[X]],0))</f>
        <v>0</v>
      </c>
      <c r="AL116" s="151">
        <f>IF(AC_Chart_Background_Data[[#This Row],[X]] &lt; EFC_85P-EFC_70P, EFC_70P, MAX(EFC_85P-AC_Chart_Background_Data[[#This Row],[X]],0))</f>
        <v>14</v>
      </c>
      <c r="AM116" s="151">
        <f>IF(AC_Chart_Background_Data[[#This Row],[X]] &lt; EFC_95P-EFC_85P, EFC_85P, MAX(EFC_95P-AC_Chart_Background_Data[[#This Row],[X]],0))</f>
        <v>33</v>
      </c>
      <c r="AN116" s="151">
        <f>IF(AC_Chart_Background_Data[[#This Row],[X]] &lt; EFC_99P-EFC_95P, EFC_95P, MAX(EFC_99P-AC_Chart_Background_Data[[#This Row],[X]],0))</f>
        <v>54</v>
      </c>
      <c r="AO116" s="151">
        <f t="shared" si="5"/>
        <v>170</v>
      </c>
      <c r="BA116" s="8"/>
      <c r="BB116" s="8"/>
      <c r="BC116" s="8"/>
      <c r="BD116" s="8"/>
    </row>
    <row r="117" spans="1:56" x14ac:dyDescent="0.25">
      <c r="AJ117" s="150">
        <f t="shared" si="7"/>
        <v>113</v>
      </c>
      <c r="AK117" s="151">
        <f>IF(AC_Chart_Background_Data[[#This Row],[X]] &lt; EFC_70P-EFC_50P, EFC_50P, MAX(EFC_70P-AC_Chart_Background_Data[[#This Row],[X]],0))</f>
        <v>0</v>
      </c>
      <c r="AL117" s="151">
        <f>IF(AC_Chart_Background_Data[[#This Row],[X]] &lt; EFC_85P-EFC_70P, EFC_70P, MAX(EFC_85P-AC_Chart_Background_Data[[#This Row],[X]],0))</f>
        <v>13</v>
      </c>
      <c r="AM117" s="151">
        <f>IF(AC_Chart_Background_Data[[#This Row],[X]] &lt; EFC_95P-EFC_85P, EFC_85P, MAX(EFC_95P-AC_Chart_Background_Data[[#This Row],[X]],0))</f>
        <v>32</v>
      </c>
      <c r="AN117" s="151">
        <f>IF(AC_Chart_Background_Data[[#This Row],[X]] &lt; EFC_99P-EFC_95P, EFC_95P, MAX(EFC_99P-AC_Chart_Background_Data[[#This Row],[X]],0))</f>
        <v>53</v>
      </c>
      <c r="AO117" s="151">
        <f t="shared" si="5"/>
        <v>170</v>
      </c>
      <c r="BA117" s="8"/>
      <c r="BB117" s="8"/>
      <c r="BC117" s="8"/>
      <c r="BD117" s="8"/>
    </row>
    <row r="118" spans="1:56" x14ac:dyDescent="0.25">
      <c r="AJ118" s="150">
        <f t="shared" si="7"/>
        <v>114</v>
      </c>
      <c r="AK118" s="151">
        <f>IF(AC_Chart_Background_Data[[#This Row],[X]] &lt; EFC_70P-EFC_50P, EFC_50P, MAX(EFC_70P-AC_Chart_Background_Data[[#This Row],[X]],0))</f>
        <v>0</v>
      </c>
      <c r="AL118" s="151">
        <f>IF(AC_Chart_Background_Data[[#This Row],[X]] &lt; EFC_85P-EFC_70P, EFC_70P, MAX(EFC_85P-AC_Chart_Background_Data[[#This Row],[X]],0))</f>
        <v>12</v>
      </c>
      <c r="AM118" s="151">
        <f>IF(AC_Chart_Background_Data[[#This Row],[X]] &lt; EFC_95P-EFC_85P, EFC_85P, MAX(EFC_95P-AC_Chart_Background_Data[[#This Row],[X]],0))</f>
        <v>31</v>
      </c>
      <c r="AN118" s="151">
        <f>IF(AC_Chart_Background_Data[[#This Row],[X]] &lt; EFC_99P-EFC_95P, EFC_95P, MAX(EFC_99P-AC_Chart_Background_Data[[#This Row],[X]],0))</f>
        <v>52</v>
      </c>
      <c r="AO118" s="151">
        <f t="shared" si="5"/>
        <v>170</v>
      </c>
      <c r="BA118" s="8"/>
      <c r="BB118" s="8"/>
      <c r="BC118" s="8"/>
      <c r="BD118" s="8"/>
    </row>
    <row r="119" spans="1:56" x14ac:dyDescent="0.25">
      <c r="AJ119" s="150">
        <f t="shared" si="7"/>
        <v>115</v>
      </c>
      <c r="AK119" s="151">
        <f>IF(AC_Chart_Background_Data[[#This Row],[X]] &lt; EFC_70P-EFC_50P, EFC_50P, MAX(EFC_70P-AC_Chart_Background_Data[[#This Row],[X]],0))</f>
        <v>0</v>
      </c>
      <c r="AL119" s="151">
        <f>IF(AC_Chart_Background_Data[[#This Row],[X]] &lt; EFC_85P-EFC_70P, EFC_70P, MAX(EFC_85P-AC_Chart_Background_Data[[#This Row],[X]],0))</f>
        <v>11</v>
      </c>
      <c r="AM119" s="151">
        <f>IF(AC_Chart_Background_Data[[#This Row],[X]] &lt; EFC_95P-EFC_85P, EFC_85P, MAX(EFC_95P-AC_Chart_Background_Data[[#This Row],[X]],0))</f>
        <v>30</v>
      </c>
      <c r="AN119" s="151">
        <f>IF(AC_Chart_Background_Data[[#This Row],[X]] &lt; EFC_99P-EFC_95P, EFC_95P, MAX(EFC_99P-AC_Chart_Background_Data[[#This Row],[X]],0))</f>
        <v>51</v>
      </c>
      <c r="AO119" s="151">
        <f t="shared" si="5"/>
        <v>170</v>
      </c>
      <c r="BA119" s="8"/>
      <c r="BB119" s="8"/>
      <c r="BC119" s="8"/>
      <c r="BD119" s="8"/>
    </row>
    <row r="120" spans="1:56" x14ac:dyDescent="0.25">
      <c r="AJ120" s="150">
        <f t="shared" si="7"/>
        <v>116</v>
      </c>
      <c r="AK120" s="151">
        <f>IF(AC_Chart_Background_Data[[#This Row],[X]] &lt; EFC_70P-EFC_50P, EFC_50P, MAX(EFC_70P-AC_Chart_Background_Data[[#This Row],[X]],0))</f>
        <v>0</v>
      </c>
      <c r="AL120" s="151">
        <f>IF(AC_Chart_Background_Data[[#This Row],[X]] &lt; EFC_85P-EFC_70P, EFC_70P, MAX(EFC_85P-AC_Chart_Background_Data[[#This Row],[X]],0))</f>
        <v>10</v>
      </c>
      <c r="AM120" s="151">
        <f>IF(AC_Chart_Background_Data[[#This Row],[X]] &lt; EFC_95P-EFC_85P, EFC_85P, MAX(EFC_95P-AC_Chart_Background_Data[[#This Row],[X]],0))</f>
        <v>29</v>
      </c>
      <c r="AN120" s="151">
        <f>IF(AC_Chart_Background_Data[[#This Row],[X]] &lt; EFC_99P-EFC_95P, EFC_95P, MAX(EFC_99P-AC_Chart_Background_Data[[#This Row],[X]],0))</f>
        <v>50</v>
      </c>
      <c r="AO120" s="151">
        <f t="shared" si="5"/>
        <v>170</v>
      </c>
      <c r="BA120" s="8"/>
      <c r="BB120" s="8"/>
      <c r="BC120" s="8"/>
      <c r="BD120" s="8"/>
    </row>
    <row r="121" spans="1:56" x14ac:dyDescent="0.25">
      <c r="AJ121" s="150">
        <f t="shared" si="7"/>
        <v>117</v>
      </c>
      <c r="AK121" s="151">
        <f>IF(AC_Chart_Background_Data[[#This Row],[X]] &lt; EFC_70P-EFC_50P, EFC_50P, MAX(EFC_70P-AC_Chart_Background_Data[[#This Row],[X]],0))</f>
        <v>0</v>
      </c>
      <c r="AL121" s="151">
        <f>IF(AC_Chart_Background_Data[[#This Row],[X]] &lt; EFC_85P-EFC_70P, EFC_70P, MAX(EFC_85P-AC_Chart_Background_Data[[#This Row],[X]],0))</f>
        <v>9</v>
      </c>
      <c r="AM121" s="151">
        <f>IF(AC_Chart_Background_Data[[#This Row],[X]] &lt; EFC_95P-EFC_85P, EFC_85P, MAX(EFC_95P-AC_Chart_Background_Data[[#This Row],[X]],0))</f>
        <v>28</v>
      </c>
      <c r="AN121" s="151">
        <f>IF(AC_Chart_Background_Data[[#This Row],[X]] &lt; EFC_99P-EFC_95P, EFC_95P, MAX(EFC_99P-AC_Chart_Background_Data[[#This Row],[X]],0))</f>
        <v>49</v>
      </c>
      <c r="AO121" s="151">
        <f t="shared" si="5"/>
        <v>170</v>
      </c>
      <c r="BA121" s="8"/>
      <c r="BB121" s="8"/>
      <c r="BC121" s="8"/>
      <c r="BD121" s="8"/>
    </row>
    <row r="122" spans="1:56" x14ac:dyDescent="0.25">
      <c r="AJ122" s="150">
        <f t="shared" si="7"/>
        <v>118</v>
      </c>
      <c r="AK122" s="151">
        <f>IF(AC_Chart_Background_Data[[#This Row],[X]] &lt; EFC_70P-EFC_50P, EFC_50P, MAX(EFC_70P-AC_Chart_Background_Data[[#This Row],[X]],0))</f>
        <v>0</v>
      </c>
      <c r="AL122" s="151">
        <f>IF(AC_Chart_Background_Data[[#This Row],[X]] &lt; EFC_85P-EFC_70P, EFC_70P, MAX(EFC_85P-AC_Chart_Background_Data[[#This Row],[X]],0))</f>
        <v>8</v>
      </c>
      <c r="AM122" s="151">
        <f>IF(AC_Chart_Background_Data[[#This Row],[X]] &lt; EFC_95P-EFC_85P, EFC_85P, MAX(EFC_95P-AC_Chart_Background_Data[[#This Row],[X]],0))</f>
        <v>27</v>
      </c>
      <c r="AN122" s="151">
        <f>IF(AC_Chart_Background_Data[[#This Row],[X]] &lt; EFC_99P-EFC_95P, EFC_95P, MAX(EFC_99P-AC_Chart_Background_Data[[#This Row],[X]],0))</f>
        <v>48</v>
      </c>
      <c r="AO122" s="151">
        <f t="shared" si="5"/>
        <v>170</v>
      </c>
      <c r="BA122" s="8"/>
      <c r="BB122" s="8"/>
      <c r="BC122" s="8"/>
      <c r="BD122" s="8"/>
    </row>
    <row r="123" spans="1:56" x14ac:dyDescent="0.25">
      <c r="AJ123" s="150">
        <f t="shared" si="7"/>
        <v>119</v>
      </c>
      <c r="AK123" s="151">
        <f>IF(AC_Chart_Background_Data[[#This Row],[X]] &lt; EFC_70P-EFC_50P, EFC_50P, MAX(EFC_70P-AC_Chart_Background_Data[[#This Row],[X]],0))</f>
        <v>0</v>
      </c>
      <c r="AL123" s="151">
        <f>IF(AC_Chart_Background_Data[[#This Row],[X]] &lt; EFC_85P-EFC_70P, EFC_70P, MAX(EFC_85P-AC_Chart_Background_Data[[#This Row],[X]],0))</f>
        <v>7</v>
      </c>
      <c r="AM123" s="151">
        <f>IF(AC_Chart_Background_Data[[#This Row],[X]] &lt; EFC_95P-EFC_85P, EFC_85P, MAX(EFC_95P-AC_Chart_Background_Data[[#This Row],[X]],0))</f>
        <v>26</v>
      </c>
      <c r="AN123" s="151">
        <f>IF(AC_Chart_Background_Data[[#This Row],[X]] &lt; EFC_99P-EFC_95P, EFC_95P, MAX(EFC_99P-AC_Chart_Background_Data[[#This Row],[X]],0))</f>
        <v>47</v>
      </c>
      <c r="AO123" s="151">
        <f t="shared" si="5"/>
        <v>170</v>
      </c>
      <c r="BA123" s="8"/>
      <c r="BB123" s="8"/>
      <c r="BC123" s="8"/>
      <c r="BD123" s="8"/>
    </row>
    <row r="124" spans="1:56" x14ac:dyDescent="0.25">
      <c r="AJ124" s="150">
        <f t="shared" si="7"/>
        <v>120</v>
      </c>
      <c r="AK124" s="151">
        <f>IF(AC_Chart_Background_Data[[#This Row],[X]] &lt; EFC_70P-EFC_50P, EFC_50P, MAX(EFC_70P-AC_Chart_Background_Data[[#This Row],[X]],0))</f>
        <v>0</v>
      </c>
      <c r="AL124" s="151">
        <f>IF(AC_Chart_Background_Data[[#This Row],[X]] &lt; EFC_85P-EFC_70P, EFC_70P, MAX(EFC_85P-AC_Chart_Background_Data[[#This Row],[X]],0))</f>
        <v>6</v>
      </c>
      <c r="AM124" s="151">
        <f>IF(AC_Chart_Background_Data[[#This Row],[X]] &lt; EFC_95P-EFC_85P, EFC_85P, MAX(EFC_95P-AC_Chart_Background_Data[[#This Row],[X]],0))</f>
        <v>25</v>
      </c>
      <c r="AN124" s="151">
        <f>IF(AC_Chart_Background_Data[[#This Row],[X]] &lt; EFC_99P-EFC_95P, EFC_95P, MAX(EFC_99P-AC_Chart_Background_Data[[#This Row],[X]],0))</f>
        <v>46</v>
      </c>
      <c r="AO124" s="151">
        <f t="shared" si="5"/>
        <v>170</v>
      </c>
      <c r="BA124" s="8"/>
      <c r="BB124" s="8"/>
      <c r="BC124" s="8"/>
      <c r="BD124" s="8"/>
    </row>
    <row r="125" spans="1:56" x14ac:dyDescent="0.25">
      <c r="AJ125" s="150">
        <f t="shared" si="7"/>
        <v>121</v>
      </c>
      <c r="AK125" s="151">
        <f>IF(AC_Chart_Background_Data[[#This Row],[X]] &lt; EFC_70P-EFC_50P, EFC_50P, MAX(EFC_70P-AC_Chart_Background_Data[[#This Row],[X]],0))</f>
        <v>0</v>
      </c>
      <c r="AL125" s="151">
        <f>IF(AC_Chart_Background_Data[[#This Row],[X]] &lt; EFC_85P-EFC_70P, EFC_70P, MAX(EFC_85P-AC_Chart_Background_Data[[#This Row],[X]],0))</f>
        <v>5</v>
      </c>
      <c r="AM125" s="151">
        <f>IF(AC_Chart_Background_Data[[#This Row],[X]] &lt; EFC_95P-EFC_85P, EFC_85P, MAX(EFC_95P-AC_Chart_Background_Data[[#This Row],[X]],0))</f>
        <v>24</v>
      </c>
      <c r="AN125" s="151">
        <f>IF(AC_Chart_Background_Data[[#This Row],[X]] &lt; EFC_99P-EFC_95P, EFC_95P, MAX(EFC_99P-AC_Chart_Background_Data[[#This Row],[X]],0))</f>
        <v>45</v>
      </c>
      <c r="AO125" s="151">
        <f t="shared" si="5"/>
        <v>170</v>
      </c>
      <c r="BA125" s="8"/>
      <c r="BB125" s="8"/>
      <c r="BC125" s="8"/>
      <c r="BD125" s="8"/>
    </row>
    <row r="126" spans="1:56" x14ac:dyDescent="0.25">
      <c r="AJ126" s="150">
        <f t="shared" si="7"/>
        <v>122</v>
      </c>
      <c r="AK126" s="151">
        <f>IF(AC_Chart_Background_Data[[#This Row],[X]] &lt; EFC_70P-EFC_50P, EFC_50P, MAX(EFC_70P-AC_Chart_Background_Data[[#This Row],[X]],0))</f>
        <v>0</v>
      </c>
      <c r="AL126" s="151">
        <f>IF(AC_Chart_Background_Data[[#This Row],[X]] &lt; EFC_85P-EFC_70P, EFC_70P, MAX(EFC_85P-AC_Chart_Background_Data[[#This Row],[X]],0))</f>
        <v>4</v>
      </c>
      <c r="AM126" s="151">
        <f>IF(AC_Chart_Background_Data[[#This Row],[X]] &lt; EFC_95P-EFC_85P, EFC_85P, MAX(EFC_95P-AC_Chart_Background_Data[[#This Row],[X]],0))</f>
        <v>23</v>
      </c>
      <c r="AN126" s="151">
        <f>IF(AC_Chart_Background_Data[[#This Row],[X]] &lt; EFC_99P-EFC_95P, EFC_95P, MAX(EFC_99P-AC_Chart_Background_Data[[#This Row],[X]],0))</f>
        <v>44</v>
      </c>
      <c r="AO126" s="151">
        <f t="shared" si="5"/>
        <v>170</v>
      </c>
      <c r="BA126" s="8"/>
      <c r="BB126" s="8"/>
      <c r="BC126" s="8"/>
      <c r="BD126" s="8"/>
    </row>
    <row r="127" spans="1:56" x14ac:dyDescent="0.25">
      <c r="AJ127" s="150">
        <f t="shared" si="7"/>
        <v>123</v>
      </c>
      <c r="AK127" s="151">
        <f>IF(AC_Chart_Background_Data[[#This Row],[X]] &lt; EFC_70P-EFC_50P, EFC_50P, MAX(EFC_70P-AC_Chart_Background_Data[[#This Row],[X]],0))</f>
        <v>0</v>
      </c>
      <c r="AL127" s="151">
        <f>IF(AC_Chart_Background_Data[[#This Row],[X]] &lt; EFC_85P-EFC_70P, EFC_70P, MAX(EFC_85P-AC_Chart_Background_Data[[#This Row],[X]],0))</f>
        <v>3</v>
      </c>
      <c r="AM127" s="151">
        <f>IF(AC_Chart_Background_Data[[#This Row],[X]] &lt; EFC_95P-EFC_85P, EFC_85P, MAX(EFC_95P-AC_Chart_Background_Data[[#This Row],[X]],0))</f>
        <v>22</v>
      </c>
      <c r="AN127" s="151">
        <f>IF(AC_Chart_Background_Data[[#This Row],[X]] &lt; EFC_99P-EFC_95P, EFC_95P, MAX(EFC_99P-AC_Chart_Background_Data[[#This Row],[X]],0))</f>
        <v>43</v>
      </c>
      <c r="AO127" s="151">
        <f t="shared" si="5"/>
        <v>170</v>
      </c>
      <c r="BA127" s="8"/>
      <c r="BB127" s="8"/>
      <c r="BC127" s="8"/>
      <c r="BD127" s="8"/>
    </row>
    <row r="128" spans="1:56" x14ac:dyDescent="0.25">
      <c r="AJ128" s="150">
        <f t="shared" si="7"/>
        <v>124</v>
      </c>
      <c r="AK128" s="151">
        <f>IF(AC_Chart_Background_Data[[#This Row],[X]] &lt; EFC_70P-EFC_50P, EFC_50P, MAX(EFC_70P-AC_Chart_Background_Data[[#This Row],[X]],0))</f>
        <v>0</v>
      </c>
      <c r="AL128" s="151">
        <f>IF(AC_Chart_Background_Data[[#This Row],[X]] &lt; EFC_85P-EFC_70P, EFC_70P, MAX(EFC_85P-AC_Chart_Background_Data[[#This Row],[X]],0))</f>
        <v>2</v>
      </c>
      <c r="AM128" s="151">
        <f>IF(AC_Chart_Background_Data[[#This Row],[X]] &lt; EFC_95P-EFC_85P, EFC_85P, MAX(EFC_95P-AC_Chart_Background_Data[[#This Row],[X]],0))</f>
        <v>21</v>
      </c>
      <c r="AN128" s="151">
        <f>IF(AC_Chart_Background_Data[[#This Row],[X]] &lt; EFC_99P-EFC_95P, EFC_95P, MAX(EFC_99P-AC_Chart_Background_Data[[#This Row],[X]],0))</f>
        <v>42</v>
      </c>
      <c r="AO128" s="151">
        <f t="shared" si="5"/>
        <v>170</v>
      </c>
      <c r="BA128" s="8"/>
      <c r="BB128" s="8"/>
      <c r="BC128" s="8"/>
      <c r="BD128" s="8"/>
    </row>
    <row r="129" spans="36:56" x14ac:dyDescent="0.25">
      <c r="AJ129" s="150">
        <f t="shared" si="7"/>
        <v>125</v>
      </c>
      <c r="AK129" s="151">
        <f>IF(AC_Chart_Background_Data[[#This Row],[X]] &lt; EFC_70P-EFC_50P, EFC_50P, MAX(EFC_70P-AC_Chart_Background_Data[[#This Row],[X]],0))</f>
        <v>0</v>
      </c>
      <c r="AL129" s="151">
        <f>IF(AC_Chart_Background_Data[[#This Row],[X]] &lt; EFC_85P-EFC_70P, EFC_70P, MAX(EFC_85P-AC_Chart_Background_Data[[#This Row],[X]],0))</f>
        <v>1</v>
      </c>
      <c r="AM129" s="151">
        <f>IF(AC_Chart_Background_Data[[#This Row],[X]] &lt; EFC_95P-EFC_85P, EFC_85P, MAX(EFC_95P-AC_Chart_Background_Data[[#This Row],[X]],0))</f>
        <v>20</v>
      </c>
      <c r="AN129" s="151">
        <f>IF(AC_Chart_Background_Data[[#This Row],[X]] &lt; EFC_99P-EFC_95P, EFC_95P, MAX(EFC_99P-AC_Chart_Background_Data[[#This Row],[X]],0))</f>
        <v>41</v>
      </c>
      <c r="AO129" s="151">
        <f t="shared" si="5"/>
        <v>170</v>
      </c>
      <c r="BA129" s="8"/>
      <c r="BB129" s="8"/>
      <c r="BC129" s="8"/>
      <c r="BD129" s="8"/>
    </row>
    <row r="130" spans="36:56" x14ac:dyDescent="0.25">
      <c r="AJ130" s="150">
        <f t="shared" si="7"/>
        <v>126</v>
      </c>
      <c r="AK130" s="151">
        <f>IF(AC_Chart_Background_Data[[#This Row],[X]] &lt; EFC_70P-EFC_50P, EFC_50P, MAX(EFC_70P-AC_Chart_Background_Data[[#This Row],[X]],0))</f>
        <v>0</v>
      </c>
      <c r="AL130" s="151">
        <f>IF(AC_Chart_Background_Data[[#This Row],[X]] &lt; EFC_85P-EFC_70P, EFC_70P, MAX(EFC_85P-AC_Chart_Background_Data[[#This Row],[X]],0))</f>
        <v>0</v>
      </c>
      <c r="AM130" s="151">
        <f>IF(AC_Chart_Background_Data[[#This Row],[X]] &lt; EFC_95P-EFC_85P, EFC_85P, MAX(EFC_95P-AC_Chart_Background_Data[[#This Row],[X]],0))</f>
        <v>19</v>
      </c>
      <c r="AN130" s="151">
        <f>IF(AC_Chart_Background_Data[[#This Row],[X]] &lt; EFC_99P-EFC_95P, EFC_95P, MAX(EFC_99P-AC_Chart_Background_Data[[#This Row],[X]],0))</f>
        <v>40</v>
      </c>
      <c r="AO130" s="151">
        <f t="shared" si="5"/>
        <v>170</v>
      </c>
      <c r="BA130" s="8"/>
      <c r="BB130" s="8"/>
      <c r="BC130" s="8"/>
      <c r="BD130" s="8"/>
    </row>
    <row r="131" spans="36:56" x14ac:dyDescent="0.25">
      <c r="AJ131" s="150">
        <f t="shared" si="7"/>
        <v>127</v>
      </c>
      <c r="AK131" s="151">
        <f>IF(AC_Chart_Background_Data[[#This Row],[X]] &lt; EFC_70P-EFC_50P, EFC_50P, MAX(EFC_70P-AC_Chart_Background_Data[[#This Row],[X]],0))</f>
        <v>0</v>
      </c>
      <c r="AL131" s="151">
        <f>IF(AC_Chart_Background_Data[[#This Row],[X]] &lt; EFC_85P-EFC_70P, EFC_70P, MAX(EFC_85P-AC_Chart_Background_Data[[#This Row],[X]],0))</f>
        <v>0</v>
      </c>
      <c r="AM131" s="151">
        <f>IF(AC_Chart_Background_Data[[#This Row],[X]] &lt; EFC_95P-EFC_85P, EFC_85P, MAX(EFC_95P-AC_Chart_Background_Data[[#This Row],[X]],0))</f>
        <v>18</v>
      </c>
      <c r="AN131" s="151">
        <f>IF(AC_Chart_Background_Data[[#This Row],[X]] &lt; EFC_99P-EFC_95P, EFC_95P, MAX(EFC_99P-AC_Chart_Background_Data[[#This Row],[X]],0))</f>
        <v>39</v>
      </c>
      <c r="AO131" s="151">
        <f t="shared" si="5"/>
        <v>170</v>
      </c>
      <c r="BA131" s="8"/>
      <c r="BB131" s="8"/>
      <c r="BC131" s="8"/>
      <c r="BD131" s="8"/>
    </row>
    <row r="132" spans="36:56" x14ac:dyDescent="0.25">
      <c r="AJ132" s="150">
        <f t="shared" si="7"/>
        <v>128</v>
      </c>
      <c r="AK132" s="151">
        <f>IF(AC_Chart_Background_Data[[#This Row],[X]] &lt; EFC_70P-EFC_50P, EFC_50P, MAX(EFC_70P-AC_Chart_Background_Data[[#This Row],[X]],0))</f>
        <v>0</v>
      </c>
      <c r="AL132" s="151">
        <f>IF(AC_Chart_Background_Data[[#This Row],[X]] &lt; EFC_85P-EFC_70P, EFC_70P, MAX(EFC_85P-AC_Chart_Background_Data[[#This Row],[X]],0))</f>
        <v>0</v>
      </c>
      <c r="AM132" s="151">
        <f>IF(AC_Chart_Background_Data[[#This Row],[X]] &lt; EFC_95P-EFC_85P, EFC_85P, MAX(EFC_95P-AC_Chart_Background_Data[[#This Row],[X]],0))</f>
        <v>17</v>
      </c>
      <c r="AN132" s="151">
        <f>IF(AC_Chart_Background_Data[[#This Row],[X]] &lt; EFC_99P-EFC_95P, EFC_95P, MAX(EFC_99P-AC_Chart_Background_Data[[#This Row],[X]],0))</f>
        <v>38</v>
      </c>
      <c r="AO132" s="151">
        <f t="shared" ref="AO132:AO195" si="8">AC_Ymax</f>
        <v>170</v>
      </c>
      <c r="BA132" s="8"/>
      <c r="BB132" s="8"/>
      <c r="BC132" s="8"/>
      <c r="BD132" s="8"/>
    </row>
    <row r="133" spans="36:56" x14ac:dyDescent="0.25">
      <c r="AJ133" s="150">
        <f t="shared" si="7"/>
        <v>129</v>
      </c>
      <c r="AK133" s="151">
        <f>IF(AC_Chart_Background_Data[[#This Row],[X]] &lt; EFC_70P-EFC_50P, EFC_50P, MAX(EFC_70P-AC_Chart_Background_Data[[#This Row],[X]],0))</f>
        <v>0</v>
      </c>
      <c r="AL133" s="151">
        <f>IF(AC_Chart_Background_Data[[#This Row],[X]] &lt; EFC_85P-EFC_70P, EFC_70P, MAX(EFC_85P-AC_Chart_Background_Data[[#This Row],[X]],0))</f>
        <v>0</v>
      </c>
      <c r="AM133" s="151">
        <f>IF(AC_Chart_Background_Data[[#This Row],[X]] &lt; EFC_95P-EFC_85P, EFC_85P, MAX(EFC_95P-AC_Chart_Background_Data[[#This Row],[X]],0))</f>
        <v>16</v>
      </c>
      <c r="AN133" s="151">
        <f>IF(AC_Chart_Background_Data[[#This Row],[X]] &lt; EFC_99P-EFC_95P, EFC_95P, MAX(EFC_99P-AC_Chart_Background_Data[[#This Row],[X]],0))</f>
        <v>37</v>
      </c>
      <c r="AO133" s="151">
        <f t="shared" si="8"/>
        <v>170</v>
      </c>
      <c r="BA133" s="8"/>
      <c r="BB133" s="8"/>
      <c r="BC133" s="8"/>
      <c r="BD133" s="8"/>
    </row>
    <row r="134" spans="36:56" x14ac:dyDescent="0.25">
      <c r="AJ134" s="150">
        <f t="shared" si="7"/>
        <v>130</v>
      </c>
      <c r="AK134" s="151">
        <f>IF(AC_Chart_Background_Data[[#This Row],[X]] &lt; EFC_70P-EFC_50P, EFC_50P, MAX(EFC_70P-AC_Chart_Background_Data[[#This Row],[X]],0))</f>
        <v>0</v>
      </c>
      <c r="AL134" s="151">
        <f>IF(AC_Chart_Background_Data[[#This Row],[X]] &lt; EFC_85P-EFC_70P, EFC_70P, MAX(EFC_85P-AC_Chart_Background_Data[[#This Row],[X]],0))</f>
        <v>0</v>
      </c>
      <c r="AM134" s="151">
        <f>IF(AC_Chart_Background_Data[[#This Row],[X]] &lt; EFC_95P-EFC_85P, EFC_85P, MAX(EFC_95P-AC_Chart_Background_Data[[#This Row],[X]],0))</f>
        <v>15</v>
      </c>
      <c r="AN134" s="151">
        <f>IF(AC_Chart_Background_Data[[#This Row],[X]] &lt; EFC_99P-EFC_95P, EFC_95P, MAX(EFC_99P-AC_Chart_Background_Data[[#This Row],[X]],0))</f>
        <v>36</v>
      </c>
      <c r="AO134" s="151">
        <f t="shared" si="8"/>
        <v>170</v>
      </c>
      <c r="BA134" s="8"/>
      <c r="BB134" s="8"/>
      <c r="BC134" s="8"/>
      <c r="BD134" s="8"/>
    </row>
    <row r="135" spans="36:56" x14ac:dyDescent="0.25">
      <c r="AJ135" s="150">
        <f t="shared" ref="AJ135:AJ198" si="9">AJ134+1</f>
        <v>131</v>
      </c>
      <c r="AK135" s="151">
        <f>IF(AC_Chart_Background_Data[[#This Row],[X]] &lt; EFC_70P-EFC_50P, EFC_50P, MAX(EFC_70P-AC_Chart_Background_Data[[#This Row],[X]],0))</f>
        <v>0</v>
      </c>
      <c r="AL135" s="151">
        <f>IF(AC_Chart_Background_Data[[#This Row],[X]] &lt; EFC_85P-EFC_70P, EFC_70P, MAX(EFC_85P-AC_Chart_Background_Data[[#This Row],[X]],0))</f>
        <v>0</v>
      </c>
      <c r="AM135" s="151">
        <f>IF(AC_Chart_Background_Data[[#This Row],[X]] &lt; EFC_95P-EFC_85P, EFC_85P, MAX(EFC_95P-AC_Chart_Background_Data[[#This Row],[X]],0))</f>
        <v>14</v>
      </c>
      <c r="AN135" s="151">
        <f>IF(AC_Chart_Background_Data[[#This Row],[X]] &lt; EFC_99P-EFC_95P, EFC_95P, MAX(EFC_99P-AC_Chart_Background_Data[[#This Row],[X]],0))</f>
        <v>35</v>
      </c>
      <c r="AO135" s="151">
        <f t="shared" si="8"/>
        <v>170</v>
      </c>
      <c r="BA135" s="8"/>
      <c r="BB135" s="8"/>
      <c r="BC135" s="8"/>
      <c r="BD135" s="8"/>
    </row>
    <row r="136" spans="36:56" x14ac:dyDescent="0.25">
      <c r="AJ136" s="150">
        <f t="shared" si="9"/>
        <v>132</v>
      </c>
      <c r="AK136" s="151">
        <f>IF(AC_Chart_Background_Data[[#This Row],[X]] &lt; EFC_70P-EFC_50P, EFC_50P, MAX(EFC_70P-AC_Chart_Background_Data[[#This Row],[X]],0))</f>
        <v>0</v>
      </c>
      <c r="AL136" s="151">
        <f>IF(AC_Chart_Background_Data[[#This Row],[X]] &lt; EFC_85P-EFC_70P, EFC_70P, MAX(EFC_85P-AC_Chart_Background_Data[[#This Row],[X]],0))</f>
        <v>0</v>
      </c>
      <c r="AM136" s="151">
        <f>IF(AC_Chart_Background_Data[[#This Row],[X]] &lt; EFC_95P-EFC_85P, EFC_85P, MAX(EFC_95P-AC_Chart_Background_Data[[#This Row],[X]],0))</f>
        <v>13</v>
      </c>
      <c r="AN136" s="151">
        <f>IF(AC_Chart_Background_Data[[#This Row],[X]] &lt; EFC_99P-EFC_95P, EFC_95P, MAX(EFC_99P-AC_Chart_Background_Data[[#This Row],[X]],0))</f>
        <v>34</v>
      </c>
      <c r="AO136" s="151">
        <f t="shared" si="8"/>
        <v>170</v>
      </c>
      <c r="BA136" s="8"/>
      <c r="BB136" s="8"/>
      <c r="BC136" s="8"/>
      <c r="BD136" s="8"/>
    </row>
    <row r="137" spans="36:56" x14ac:dyDescent="0.25">
      <c r="AJ137" s="150">
        <f t="shared" si="9"/>
        <v>133</v>
      </c>
      <c r="AK137" s="151">
        <f>IF(AC_Chart_Background_Data[[#This Row],[X]] &lt; EFC_70P-EFC_50P, EFC_50P, MAX(EFC_70P-AC_Chart_Background_Data[[#This Row],[X]],0))</f>
        <v>0</v>
      </c>
      <c r="AL137" s="151">
        <f>IF(AC_Chart_Background_Data[[#This Row],[X]] &lt; EFC_85P-EFC_70P, EFC_70P, MAX(EFC_85P-AC_Chart_Background_Data[[#This Row],[X]],0))</f>
        <v>0</v>
      </c>
      <c r="AM137" s="151">
        <f>IF(AC_Chart_Background_Data[[#This Row],[X]] &lt; EFC_95P-EFC_85P, EFC_85P, MAX(EFC_95P-AC_Chart_Background_Data[[#This Row],[X]],0))</f>
        <v>12</v>
      </c>
      <c r="AN137" s="151">
        <f>IF(AC_Chart_Background_Data[[#This Row],[X]] &lt; EFC_99P-EFC_95P, EFC_95P, MAX(EFC_99P-AC_Chart_Background_Data[[#This Row],[X]],0))</f>
        <v>33</v>
      </c>
      <c r="AO137" s="151">
        <f t="shared" si="8"/>
        <v>170</v>
      </c>
      <c r="BA137" s="8"/>
      <c r="BB137" s="8"/>
      <c r="BC137" s="8"/>
      <c r="BD137" s="8"/>
    </row>
    <row r="138" spans="36:56" x14ac:dyDescent="0.25">
      <c r="AJ138" s="150">
        <f t="shared" si="9"/>
        <v>134</v>
      </c>
      <c r="AK138" s="151">
        <f>IF(AC_Chart_Background_Data[[#This Row],[X]] &lt; EFC_70P-EFC_50P, EFC_50P, MAX(EFC_70P-AC_Chart_Background_Data[[#This Row],[X]],0))</f>
        <v>0</v>
      </c>
      <c r="AL138" s="151">
        <f>IF(AC_Chart_Background_Data[[#This Row],[X]] &lt; EFC_85P-EFC_70P, EFC_70P, MAX(EFC_85P-AC_Chart_Background_Data[[#This Row],[X]],0))</f>
        <v>0</v>
      </c>
      <c r="AM138" s="151">
        <f>IF(AC_Chart_Background_Data[[#This Row],[X]] &lt; EFC_95P-EFC_85P, EFC_85P, MAX(EFC_95P-AC_Chart_Background_Data[[#This Row],[X]],0))</f>
        <v>11</v>
      </c>
      <c r="AN138" s="151">
        <f>IF(AC_Chart_Background_Data[[#This Row],[X]] &lt; EFC_99P-EFC_95P, EFC_95P, MAX(EFC_99P-AC_Chart_Background_Data[[#This Row],[X]],0))</f>
        <v>32</v>
      </c>
      <c r="AO138" s="151">
        <f t="shared" si="8"/>
        <v>170</v>
      </c>
      <c r="BA138" s="8"/>
      <c r="BB138" s="8"/>
      <c r="BC138" s="8"/>
      <c r="BD138" s="8"/>
    </row>
    <row r="139" spans="36:56" x14ac:dyDescent="0.25">
      <c r="AJ139" s="150">
        <f t="shared" si="9"/>
        <v>135</v>
      </c>
      <c r="AK139" s="151">
        <f>IF(AC_Chart_Background_Data[[#This Row],[X]] &lt; EFC_70P-EFC_50P, EFC_50P, MAX(EFC_70P-AC_Chart_Background_Data[[#This Row],[X]],0))</f>
        <v>0</v>
      </c>
      <c r="AL139" s="151">
        <f>IF(AC_Chart_Background_Data[[#This Row],[X]] &lt; EFC_85P-EFC_70P, EFC_70P, MAX(EFC_85P-AC_Chart_Background_Data[[#This Row],[X]],0))</f>
        <v>0</v>
      </c>
      <c r="AM139" s="151">
        <f>IF(AC_Chart_Background_Data[[#This Row],[X]] &lt; EFC_95P-EFC_85P, EFC_85P, MAX(EFC_95P-AC_Chart_Background_Data[[#This Row],[X]],0))</f>
        <v>10</v>
      </c>
      <c r="AN139" s="151">
        <f>IF(AC_Chart_Background_Data[[#This Row],[X]] &lt; EFC_99P-EFC_95P, EFC_95P, MAX(EFC_99P-AC_Chart_Background_Data[[#This Row],[X]],0))</f>
        <v>31</v>
      </c>
      <c r="AO139" s="151">
        <f t="shared" si="8"/>
        <v>170</v>
      </c>
      <c r="BA139" s="8"/>
      <c r="BB139" s="8"/>
      <c r="BC139" s="8"/>
      <c r="BD139" s="8"/>
    </row>
    <row r="140" spans="36:56" x14ac:dyDescent="0.25">
      <c r="AJ140" s="150">
        <f t="shared" si="9"/>
        <v>136</v>
      </c>
      <c r="AK140" s="151">
        <f>IF(AC_Chart_Background_Data[[#This Row],[X]] &lt; EFC_70P-EFC_50P, EFC_50P, MAX(EFC_70P-AC_Chart_Background_Data[[#This Row],[X]],0))</f>
        <v>0</v>
      </c>
      <c r="AL140" s="151">
        <f>IF(AC_Chart_Background_Data[[#This Row],[X]] &lt; EFC_85P-EFC_70P, EFC_70P, MAX(EFC_85P-AC_Chart_Background_Data[[#This Row],[X]],0))</f>
        <v>0</v>
      </c>
      <c r="AM140" s="151">
        <f>IF(AC_Chart_Background_Data[[#This Row],[X]] &lt; EFC_95P-EFC_85P, EFC_85P, MAX(EFC_95P-AC_Chart_Background_Data[[#This Row],[X]],0))</f>
        <v>9</v>
      </c>
      <c r="AN140" s="151">
        <f>IF(AC_Chart_Background_Data[[#This Row],[X]] &lt; EFC_99P-EFC_95P, EFC_95P, MAX(EFC_99P-AC_Chart_Background_Data[[#This Row],[X]],0))</f>
        <v>30</v>
      </c>
      <c r="AO140" s="151">
        <f t="shared" si="8"/>
        <v>170</v>
      </c>
      <c r="BA140" s="8"/>
      <c r="BB140" s="8"/>
      <c r="BC140" s="8"/>
      <c r="BD140" s="8"/>
    </row>
    <row r="141" spans="36:56" x14ac:dyDescent="0.25">
      <c r="AJ141" s="150">
        <f t="shared" si="9"/>
        <v>137</v>
      </c>
      <c r="AK141" s="151">
        <f>IF(AC_Chart_Background_Data[[#This Row],[X]] &lt; EFC_70P-EFC_50P, EFC_50P, MAX(EFC_70P-AC_Chart_Background_Data[[#This Row],[X]],0))</f>
        <v>0</v>
      </c>
      <c r="AL141" s="151">
        <f>IF(AC_Chart_Background_Data[[#This Row],[X]] &lt; EFC_85P-EFC_70P, EFC_70P, MAX(EFC_85P-AC_Chart_Background_Data[[#This Row],[X]],0))</f>
        <v>0</v>
      </c>
      <c r="AM141" s="151">
        <f>IF(AC_Chart_Background_Data[[#This Row],[X]] &lt; EFC_95P-EFC_85P, EFC_85P, MAX(EFC_95P-AC_Chart_Background_Data[[#This Row],[X]],0))</f>
        <v>8</v>
      </c>
      <c r="AN141" s="151">
        <f>IF(AC_Chart_Background_Data[[#This Row],[X]] &lt; EFC_99P-EFC_95P, EFC_95P, MAX(EFC_99P-AC_Chart_Background_Data[[#This Row],[X]],0))</f>
        <v>29</v>
      </c>
      <c r="AO141" s="151">
        <f t="shared" si="8"/>
        <v>170</v>
      </c>
      <c r="BA141" s="8"/>
      <c r="BB141" s="8"/>
      <c r="BC141" s="8"/>
      <c r="BD141" s="8"/>
    </row>
    <row r="142" spans="36:56" x14ac:dyDescent="0.25">
      <c r="AJ142" s="150">
        <f t="shared" si="9"/>
        <v>138</v>
      </c>
      <c r="AK142" s="151">
        <f>IF(AC_Chart_Background_Data[[#This Row],[X]] &lt; EFC_70P-EFC_50P, EFC_50P, MAX(EFC_70P-AC_Chart_Background_Data[[#This Row],[X]],0))</f>
        <v>0</v>
      </c>
      <c r="AL142" s="151">
        <f>IF(AC_Chart_Background_Data[[#This Row],[X]] &lt; EFC_85P-EFC_70P, EFC_70P, MAX(EFC_85P-AC_Chart_Background_Data[[#This Row],[X]],0))</f>
        <v>0</v>
      </c>
      <c r="AM142" s="151">
        <f>IF(AC_Chart_Background_Data[[#This Row],[X]] &lt; EFC_95P-EFC_85P, EFC_85P, MAX(EFC_95P-AC_Chart_Background_Data[[#This Row],[X]],0))</f>
        <v>7</v>
      </c>
      <c r="AN142" s="151">
        <f>IF(AC_Chart_Background_Data[[#This Row],[X]] &lt; EFC_99P-EFC_95P, EFC_95P, MAX(EFC_99P-AC_Chart_Background_Data[[#This Row],[X]],0))</f>
        <v>28</v>
      </c>
      <c r="AO142" s="151">
        <f t="shared" si="8"/>
        <v>170</v>
      </c>
      <c r="BA142" s="8"/>
      <c r="BB142" s="8"/>
      <c r="BC142" s="8"/>
      <c r="BD142" s="8"/>
    </row>
    <row r="143" spans="36:56" x14ac:dyDescent="0.25">
      <c r="AJ143" s="150">
        <f t="shared" si="9"/>
        <v>139</v>
      </c>
      <c r="AK143" s="151">
        <f>IF(AC_Chart_Background_Data[[#This Row],[X]] &lt; EFC_70P-EFC_50P, EFC_50P, MAX(EFC_70P-AC_Chart_Background_Data[[#This Row],[X]],0))</f>
        <v>0</v>
      </c>
      <c r="AL143" s="151">
        <f>IF(AC_Chart_Background_Data[[#This Row],[X]] &lt; EFC_85P-EFC_70P, EFC_70P, MAX(EFC_85P-AC_Chart_Background_Data[[#This Row],[X]],0))</f>
        <v>0</v>
      </c>
      <c r="AM143" s="151">
        <f>IF(AC_Chart_Background_Data[[#This Row],[X]] &lt; EFC_95P-EFC_85P, EFC_85P, MAX(EFC_95P-AC_Chart_Background_Data[[#This Row],[X]],0))</f>
        <v>6</v>
      </c>
      <c r="AN143" s="151">
        <f>IF(AC_Chart_Background_Data[[#This Row],[X]] &lt; EFC_99P-EFC_95P, EFC_95P, MAX(EFC_99P-AC_Chart_Background_Data[[#This Row],[X]],0))</f>
        <v>27</v>
      </c>
      <c r="AO143" s="151">
        <f t="shared" si="8"/>
        <v>170</v>
      </c>
      <c r="BA143" s="8"/>
      <c r="BB143" s="8"/>
      <c r="BC143" s="8"/>
      <c r="BD143" s="8"/>
    </row>
    <row r="144" spans="36:56" x14ac:dyDescent="0.25">
      <c r="AJ144" s="150">
        <f t="shared" si="9"/>
        <v>140</v>
      </c>
      <c r="AK144" s="151">
        <f>IF(AC_Chart_Background_Data[[#This Row],[X]] &lt; EFC_70P-EFC_50P, EFC_50P, MAX(EFC_70P-AC_Chart_Background_Data[[#This Row],[X]],0))</f>
        <v>0</v>
      </c>
      <c r="AL144" s="151">
        <f>IF(AC_Chart_Background_Data[[#This Row],[X]] &lt; EFC_85P-EFC_70P, EFC_70P, MAX(EFC_85P-AC_Chart_Background_Data[[#This Row],[X]],0))</f>
        <v>0</v>
      </c>
      <c r="AM144" s="151">
        <f>IF(AC_Chart_Background_Data[[#This Row],[X]] &lt; EFC_95P-EFC_85P, EFC_85P, MAX(EFC_95P-AC_Chart_Background_Data[[#This Row],[X]],0))</f>
        <v>5</v>
      </c>
      <c r="AN144" s="151">
        <f>IF(AC_Chart_Background_Data[[#This Row],[X]] &lt; EFC_99P-EFC_95P, EFC_95P, MAX(EFC_99P-AC_Chart_Background_Data[[#This Row],[X]],0))</f>
        <v>26</v>
      </c>
      <c r="AO144" s="151">
        <f t="shared" si="8"/>
        <v>170</v>
      </c>
      <c r="BA144" s="8"/>
      <c r="BB144" s="8"/>
      <c r="BC144" s="8"/>
      <c r="BD144" s="8"/>
    </row>
    <row r="145" spans="36:56" x14ac:dyDescent="0.25">
      <c r="AJ145" s="150">
        <f t="shared" si="9"/>
        <v>141</v>
      </c>
      <c r="AK145" s="151">
        <f>IF(AC_Chart_Background_Data[[#This Row],[X]] &lt; EFC_70P-EFC_50P, EFC_50P, MAX(EFC_70P-AC_Chart_Background_Data[[#This Row],[X]],0))</f>
        <v>0</v>
      </c>
      <c r="AL145" s="151">
        <f>IF(AC_Chart_Background_Data[[#This Row],[X]] &lt; EFC_85P-EFC_70P, EFC_70P, MAX(EFC_85P-AC_Chart_Background_Data[[#This Row],[X]],0))</f>
        <v>0</v>
      </c>
      <c r="AM145" s="151">
        <f>IF(AC_Chart_Background_Data[[#This Row],[X]] &lt; EFC_95P-EFC_85P, EFC_85P, MAX(EFC_95P-AC_Chart_Background_Data[[#This Row],[X]],0))</f>
        <v>4</v>
      </c>
      <c r="AN145" s="151">
        <f>IF(AC_Chart_Background_Data[[#This Row],[X]] &lt; EFC_99P-EFC_95P, EFC_95P, MAX(EFC_99P-AC_Chart_Background_Data[[#This Row],[X]],0))</f>
        <v>25</v>
      </c>
      <c r="AO145" s="151">
        <f t="shared" si="8"/>
        <v>170</v>
      </c>
      <c r="BA145" s="8"/>
      <c r="BB145" s="8"/>
      <c r="BC145" s="8"/>
      <c r="BD145" s="8"/>
    </row>
    <row r="146" spans="36:56" x14ac:dyDescent="0.25">
      <c r="AJ146" s="150">
        <f t="shared" si="9"/>
        <v>142</v>
      </c>
      <c r="AK146" s="151">
        <f>IF(AC_Chart_Background_Data[[#This Row],[X]] &lt; EFC_70P-EFC_50P, EFC_50P, MAX(EFC_70P-AC_Chart_Background_Data[[#This Row],[X]],0))</f>
        <v>0</v>
      </c>
      <c r="AL146" s="151">
        <f>IF(AC_Chart_Background_Data[[#This Row],[X]] &lt; EFC_85P-EFC_70P, EFC_70P, MAX(EFC_85P-AC_Chart_Background_Data[[#This Row],[X]],0))</f>
        <v>0</v>
      </c>
      <c r="AM146" s="151">
        <f>IF(AC_Chart_Background_Data[[#This Row],[X]] &lt; EFC_95P-EFC_85P, EFC_85P, MAX(EFC_95P-AC_Chart_Background_Data[[#This Row],[X]],0))</f>
        <v>3</v>
      </c>
      <c r="AN146" s="151">
        <f>IF(AC_Chart_Background_Data[[#This Row],[X]] &lt; EFC_99P-EFC_95P, EFC_95P, MAX(EFC_99P-AC_Chart_Background_Data[[#This Row],[X]],0))</f>
        <v>24</v>
      </c>
      <c r="AO146" s="151">
        <f t="shared" si="8"/>
        <v>170</v>
      </c>
      <c r="BA146" s="8"/>
      <c r="BB146" s="8"/>
      <c r="BC146" s="8"/>
      <c r="BD146" s="8"/>
    </row>
    <row r="147" spans="36:56" x14ac:dyDescent="0.25">
      <c r="AJ147" s="150">
        <f t="shared" si="9"/>
        <v>143</v>
      </c>
      <c r="AK147" s="151">
        <f>IF(AC_Chart_Background_Data[[#This Row],[X]] &lt; EFC_70P-EFC_50P, EFC_50P, MAX(EFC_70P-AC_Chart_Background_Data[[#This Row],[X]],0))</f>
        <v>0</v>
      </c>
      <c r="AL147" s="151">
        <f>IF(AC_Chart_Background_Data[[#This Row],[X]] &lt; EFC_85P-EFC_70P, EFC_70P, MAX(EFC_85P-AC_Chart_Background_Data[[#This Row],[X]],0))</f>
        <v>0</v>
      </c>
      <c r="AM147" s="151">
        <f>IF(AC_Chart_Background_Data[[#This Row],[X]] &lt; EFC_95P-EFC_85P, EFC_85P, MAX(EFC_95P-AC_Chart_Background_Data[[#This Row],[X]],0))</f>
        <v>2</v>
      </c>
      <c r="AN147" s="151">
        <f>IF(AC_Chart_Background_Data[[#This Row],[X]] &lt; EFC_99P-EFC_95P, EFC_95P, MAX(EFC_99P-AC_Chart_Background_Data[[#This Row],[X]],0))</f>
        <v>23</v>
      </c>
      <c r="AO147" s="151">
        <f t="shared" si="8"/>
        <v>170</v>
      </c>
      <c r="BA147" s="8"/>
      <c r="BB147" s="8"/>
      <c r="BC147" s="8"/>
      <c r="BD147" s="8"/>
    </row>
    <row r="148" spans="36:56" x14ac:dyDescent="0.25">
      <c r="AJ148" s="150">
        <f t="shared" si="9"/>
        <v>144</v>
      </c>
      <c r="AK148" s="151">
        <f>IF(AC_Chart_Background_Data[[#This Row],[X]] &lt; EFC_70P-EFC_50P, EFC_50P, MAX(EFC_70P-AC_Chart_Background_Data[[#This Row],[X]],0))</f>
        <v>0</v>
      </c>
      <c r="AL148" s="151">
        <f>IF(AC_Chart_Background_Data[[#This Row],[X]] &lt; EFC_85P-EFC_70P, EFC_70P, MAX(EFC_85P-AC_Chart_Background_Data[[#This Row],[X]],0))</f>
        <v>0</v>
      </c>
      <c r="AM148" s="151">
        <f>IF(AC_Chart_Background_Data[[#This Row],[X]] &lt; EFC_95P-EFC_85P, EFC_85P, MAX(EFC_95P-AC_Chart_Background_Data[[#This Row],[X]],0))</f>
        <v>1</v>
      </c>
      <c r="AN148" s="151">
        <f>IF(AC_Chart_Background_Data[[#This Row],[X]] &lt; EFC_99P-EFC_95P, EFC_95P, MAX(EFC_99P-AC_Chart_Background_Data[[#This Row],[X]],0))</f>
        <v>22</v>
      </c>
      <c r="AO148" s="151">
        <f t="shared" si="8"/>
        <v>170</v>
      </c>
      <c r="BA148" s="8"/>
      <c r="BB148" s="8"/>
      <c r="BC148" s="8"/>
      <c r="BD148" s="8"/>
    </row>
    <row r="149" spans="36:56" x14ac:dyDescent="0.25">
      <c r="AJ149" s="150">
        <f t="shared" si="9"/>
        <v>145</v>
      </c>
      <c r="AK149" s="151">
        <f>IF(AC_Chart_Background_Data[[#This Row],[X]] &lt; EFC_70P-EFC_50P, EFC_50P, MAX(EFC_70P-AC_Chart_Background_Data[[#This Row],[X]],0))</f>
        <v>0</v>
      </c>
      <c r="AL149" s="151">
        <f>IF(AC_Chart_Background_Data[[#This Row],[X]] &lt; EFC_85P-EFC_70P, EFC_70P, MAX(EFC_85P-AC_Chart_Background_Data[[#This Row],[X]],0))</f>
        <v>0</v>
      </c>
      <c r="AM149" s="151">
        <f>IF(AC_Chart_Background_Data[[#This Row],[X]] &lt; EFC_95P-EFC_85P, EFC_85P, MAX(EFC_95P-AC_Chart_Background_Data[[#This Row],[X]],0))</f>
        <v>0</v>
      </c>
      <c r="AN149" s="151">
        <f>IF(AC_Chart_Background_Data[[#This Row],[X]] &lt; EFC_99P-EFC_95P, EFC_95P, MAX(EFC_99P-AC_Chart_Background_Data[[#This Row],[X]],0))</f>
        <v>21</v>
      </c>
      <c r="AO149" s="151">
        <f t="shared" si="8"/>
        <v>170</v>
      </c>
      <c r="BA149" s="8"/>
      <c r="BB149" s="8"/>
      <c r="BC149" s="8"/>
      <c r="BD149" s="8"/>
    </row>
    <row r="150" spans="36:56" x14ac:dyDescent="0.25">
      <c r="AJ150" s="150">
        <f t="shared" si="9"/>
        <v>146</v>
      </c>
      <c r="AK150" s="151">
        <f>IF(AC_Chart_Background_Data[[#This Row],[X]] &lt; EFC_70P-EFC_50P, EFC_50P, MAX(EFC_70P-AC_Chart_Background_Data[[#This Row],[X]],0))</f>
        <v>0</v>
      </c>
      <c r="AL150" s="151">
        <f>IF(AC_Chart_Background_Data[[#This Row],[X]] &lt; EFC_85P-EFC_70P, EFC_70P, MAX(EFC_85P-AC_Chart_Background_Data[[#This Row],[X]],0))</f>
        <v>0</v>
      </c>
      <c r="AM150" s="151">
        <f>IF(AC_Chart_Background_Data[[#This Row],[X]] &lt; EFC_95P-EFC_85P, EFC_85P, MAX(EFC_95P-AC_Chart_Background_Data[[#This Row],[X]],0))</f>
        <v>0</v>
      </c>
      <c r="AN150" s="151">
        <f>IF(AC_Chart_Background_Data[[#This Row],[X]] &lt; EFC_99P-EFC_95P, EFC_95P, MAX(EFC_99P-AC_Chart_Background_Data[[#This Row],[X]],0))</f>
        <v>20</v>
      </c>
      <c r="AO150" s="151">
        <f t="shared" si="8"/>
        <v>170</v>
      </c>
      <c r="BA150" s="8"/>
      <c r="BB150" s="8"/>
      <c r="BC150" s="8"/>
      <c r="BD150" s="8"/>
    </row>
    <row r="151" spans="36:56" x14ac:dyDescent="0.25">
      <c r="AJ151" s="150">
        <f t="shared" si="9"/>
        <v>147</v>
      </c>
      <c r="AK151" s="151">
        <f>IF(AC_Chart_Background_Data[[#This Row],[X]] &lt; EFC_70P-EFC_50P, EFC_50P, MAX(EFC_70P-AC_Chart_Background_Data[[#This Row],[X]],0))</f>
        <v>0</v>
      </c>
      <c r="AL151" s="151">
        <f>IF(AC_Chart_Background_Data[[#This Row],[X]] &lt; EFC_85P-EFC_70P, EFC_70P, MAX(EFC_85P-AC_Chart_Background_Data[[#This Row],[X]],0))</f>
        <v>0</v>
      </c>
      <c r="AM151" s="151">
        <f>IF(AC_Chart_Background_Data[[#This Row],[X]] &lt; EFC_95P-EFC_85P, EFC_85P, MAX(EFC_95P-AC_Chart_Background_Data[[#This Row],[X]],0))</f>
        <v>0</v>
      </c>
      <c r="AN151" s="151">
        <f>IF(AC_Chart_Background_Data[[#This Row],[X]] &lt; EFC_99P-EFC_95P, EFC_95P, MAX(EFC_99P-AC_Chart_Background_Data[[#This Row],[X]],0))</f>
        <v>19</v>
      </c>
      <c r="AO151" s="151">
        <f t="shared" si="8"/>
        <v>170</v>
      </c>
      <c r="BA151" s="8"/>
      <c r="BB151" s="8"/>
      <c r="BC151" s="8"/>
      <c r="BD151" s="8"/>
    </row>
    <row r="152" spans="36:56" x14ac:dyDescent="0.25">
      <c r="AJ152" s="150">
        <f t="shared" si="9"/>
        <v>148</v>
      </c>
      <c r="AK152" s="151">
        <f>IF(AC_Chart_Background_Data[[#This Row],[X]] &lt; EFC_70P-EFC_50P, EFC_50P, MAX(EFC_70P-AC_Chart_Background_Data[[#This Row],[X]],0))</f>
        <v>0</v>
      </c>
      <c r="AL152" s="151">
        <f>IF(AC_Chart_Background_Data[[#This Row],[X]] &lt; EFC_85P-EFC_70P, EFC_70P, MAX(EFC_85P-AC_Chart_Background_Data[[#This Row],[X]],0))</f>
        <v>0</v>
      </c>
      <c r="AM152" s="151">
        <f>IF(AC_Chart_Background_Data[[#This Row],[X]] &lt; EFC_95P-EFC_85P, EFC_85P, MAX(EFC_95P-AC_Chart_Background_Data[[#This Row],[X]],0))</f>
        <v>0</v>
      </c>
      <c r="AN152" s="151">
        <f>IF(AC_Chart_Background_Data[[#This Row],[X]] &lt; EFC_99P-EFC_95P, EFC_95P, MAX(EFC_99P-AC_Chart_Background_Data[[#This Row],[X]],0))</f>
        <v>18</v>
      </c>
      <c r="AO152" s="151">
        <f t="shared" si="8"/>
        <v>170</v>
      </c>
      <c r="BA152" s="8"/>
      <c r="BB152" s="8"/>
      <c r="BC152" s="8"/>
      <c r="BD152" s="8"/>
    </row>
    <row r="153" spans="36:56" x14ac:dyDescent="0.25">
      <c r="AJ153" s="150">
        <f t="shared" si="9"/>
        <v>149</v>
      </c>
      <c r="AK153" s="151">
        <f>IF(AC_Chart_Background_Data[[#This Row],[X]] &lt; EFC_70P-EFC_50P, EFC_50P, MAX(EFC_70P-AC_Chart_Background_Data[[#This Row],[X]],0))</f>
        <v>0</v>
      </c>
      <c r="AL153" s="151">
        <f>IF(AC_Chart_Background_Data[[#This Row],[X]] &lt; EFC_85P-EFC_70P, EFC_70P, MAX(EFC_85P-AC_Chart_Background_Data[[#This Row],[X]],0))</f>
        <v>0</v>
      </c>
      <c r="AM153" s="151">
        <f>IF(AC_Chart_Background_Data[[#This Row],[X]] &lt; EFC_95P-EFC_85P, EFC_85P, MAX(EFC_95P-AC_Chart_Background_Data[[#This Row],[X]],0))</f>
        <v>0</v>
      </c>
      <c r="AN153" s="151">
        <f>IF(AC_Chart_Background_Data[[#This Row],[X]] &lt; EFC_99P-EFC_95P, EFC_95P, MAX(EFC_99P-AC_Chart_Background_Data[[#This Row],[X]],0))</f>
        <v>17</v>
      </c>
      <c r="AO153" s="151">
        <f t="shared" si="8"/>
        <v>170</v>
      </c>
      <c r="BA153" s="8"/>
      <c r="BB153" s="8"/>
      <c r="BC153" s="8"/>
      <c r="BD153" s="8"/>
    </row>
    <row r="154" spans="36:56" x14ac:dyDescent="0.25">
      <c r="AJ154" s="150">
        <f t="shared" si="9"/>
        <v>150</v>
      </c>
      <c r="AK154" s="151">
        <f>IF(AC_Chart_Background_Data[[#This Row],[X]] &lt; EFC_70P-EFC_50P, EFC_50P, MAX(EFC_70P-AC_Chart_Background_Data[[#This Row],[X]],0))</f>
        <v>0</v>
      </c>
      <c r="AL154" s="151">
        <f>IF(AC_Chart_Background_Data[[#This Row],[X]] &lt; EFC_85P-EFC_70P, EFC_70P, MAX(EFC_85P-AC_Chart_Background_Data[[#This Row],[X]],0))</f>
        <v>0</v>
      </c>
      <c r="AM154" s="151">
        <f>IF(AC_Chart_Background_Data[[#This Row],[X]] &lt; EFC_95P-EFC_85P, EFC_85P, MAX(EFC_95P-AC_Chart_Background_Data[[#This Row],[X]],0))</f>
        <v>0</v>
      </c>
      <c r="AN154" s="151">
        <f>IF(AC_Chart_Background_Data[[#This Row],[X]] &lt; EFC_99P-EFC_95P, EFC_95P, MAX(EFC_99P-AC_Chart_Background_Data[[#This Row],[X]],0))</f>
        <v>16</v>
      </c>
      <c r="AO154" s="151">
        <f t="shared" si="8"/>
        <v>170</v>
      </c>
      <c r="BA154" s="8"/>
      <c r="BB154" s="8"/>
      <c r="BC154" s="8"/>
      <c r="BD154" s="8"/>
    </row>
    <row r="155" spans="36:56" x14ac:dyDescent="0.25">
      <c r="AJ155" s="150">
        <f t="shared" si="9"/>
        <v>151</v>
      </c>
      <c r="AK155" s="151">
        <f>IF(AC_Chart_Background_Data[[#This Row],[X]] &lt; EFC_70P-EFC_50P, EFC_50P, MAX(EFC_70P-AC_Chart_Background_Data[[#This Row],[X]],0))</f>
        <v>0</v>
      </c>
      <c r="AL155" s="151">
        <f>IF(AC_Chart_Background_Data[[#This Row],[X]] &lt; EFC_85P-EFC_70P, EFC_70P, MAX(EFC_85P-AC_Chart_Background_Data[[#This Row],[X]],0))</f>
        <v>0</v>
      </c>
      <c r="AM155" s="151">
        <f>IF(AC_Chart_Background_Data[[#This Row],[X]] &lt; EFC_95P-EFC_85P, EFC_85P, MAX(EFC_95P-AC_Chart_Background_Data[[#This Row],[X]],0))</f>
        <v>0</v>
      </c>
      <c r="AN155" s="151">
        <f>IF(AC_Chart_Background_Data[[#This Row],[X]] &lt; EFC_99P-EFC_95P, EFC_95P, MAX(EFC_99P-AC_Chart_Background_Data[[#This Row],[X]],0))</f>
        <v>15</v>
      </c>
      <c r="AO155" s="151">
        <f t="shared" si="8"/>
        <v>170</v>
      </c>
      <c r="BA155" s="8"/>
      <c r="BB155" s="8"/>
      <c r="BC155" s="8"/>
      <c r="BD155" s="8"/>
    </row>
    <row r="156" spans="36:56" x14ac:dyDescent="0.25">
      <c r="AJ156" s="150">
        <f t="shared" si="9"/>
        <v>152</v>
      </c>
      <c r="AK156" s="151">
        <f>IF(AC_Chart_Background_Data[[#This Row],[X]] &lt; EFC_70P-EFC_50P, EFC_50P, MAX(EFC_70P-AC_Chart_Background_Data[[#This Row],[X]],0))</f>
        <v>0</v>
      </c>
      <c r="AL156" s="151">
        <f>IF(AC_Chart_Background_Data[[#This Row],[X]] &lt; EFC_85P-EFC_70P, EFC_70P, MAX(EFC_85P-AC_Chart_Background_Data[[#This Row],[X]],0))</f>
        <v>0</v>
      </c>
      <c r="AM156" s="151">
        <f>IF(AC_Chart_Background_Data[[#This Row],[X]] &lt; EFC_95P-EFC_85P, EFC_85P, MAX(EFC_95P-AC_Chart_Background_Data[[#This Row],[X]],0))</f>
        <v>0</v>
      </c>
      <c r="AN156" s="151">
        <f>IF(AC_Chart_Background_Data[[#This Row],[X]] &lt; EFC_99P-EFC_95P, EFC_95P, MAX(EFC_99P-AC_Chart_Background_Data[[#This Row],[X]],0))</f>
        <v>14</v>
      </c>
      <c r="AO156" s="151">
        <f t="shared" si="8"/>
        <v>170</v>
      </c>
      <c r="BA156" s="8"/>
      <c r="BB156" s="8"/>
      <c r="BC156" s="8"/>
      <c r="BD156" s="8"/>
    </row>
    <row r="157" spans="36:56" x14ac:dyDescent="0.25">
      <c r="AJ157" s="150">
        <f t="shared" si="9"/>
        <v>153</v>
      </c>
      <c r="AK157" s="151">
        <f>IF(AC_Chart_Background_Data[[#This Row],[X]] &lt; EFC_70P-EFC_50P, EFC_50P, MAX(EFC_70P-AC_Chart_Background_Data[[#This Row],[X]],0))</f>
        <v>0</v>
      </c>
      <c r="AL157" s="151">
        <f>IF(AC_Chart_Background_Data[[#This Row],[X]] &lt; EFC_85P-EFC_70P, EFC_70P, MAX(EFC_85P-AC_Chart_Background_Data[[#This Row],[X]],0))</f>
        <v>0</v>
      </c>
      <c r="AM157" s="151">
        <f>IF(AC_Chart_Background_Data[[#This Row],[X]] &lt; EFC_95P-EFC_85P, EFC_85P, MAX(EFC_95P-AC_Chart_Background_Data[[#This Row],[X]],0))</f>
        <v>0</v>
      </c>
      <c r="AN157" s="151">
        <f>IF(AC_Chart_Background_Data[[#This Row],[X]] &lt; EFC_99P-EFC_95P, EFC_95P, MAX(EFC_99P-AC_Chart_Background_Data[[#This Row],[X]],0))</f>
        <v>13</v>
      </c>
      <c r="AO157" s="151">
        <f t="shared" si="8"/>
        <v>170</v>
      </c>
      <c r="BA157" s="8"/>
      <c r="BB157" s="8"/>
      <c r="BC157" s="8"/>
      <c r="BD157" s="8"/>
    </row>
    <row r="158" spans="36:56" x14ac:dyDescent="0.25">
      <c r="AJ158" s="150">
        <f t="shared" si="9"/>
        <v>154</v>
      </c>
      <c r="AK158" s="151">
        <f>IF(AC_Chart_Background_Data[[#This Row],[X]] &lt; EFC_70P-EFC_50P, EFC_50P, MAX(EFC_70P-AC_Chart_Background_Data[[#This Row],[X]],0))</f>
        <v>0</v>
      </c>
      <c r="AL158" s="151">
        <f>IF(AC_Chart_Background_Data[[#This Row],[X]] &lt; EFC_85P-EFC_70P, EFC_70P, MAX(EFC_85P-AC_Chart_Background_Data[[#This Row],[X]],0))</f>
        <v>0</v>
      </c>
      <c r="AM158" s="151">
        <f>IF(AC_Chart_Background_Data[[#This Row],[X]] &lt; EFC_95P-EFC_85P, EFC_85P, MAX(EFC_95P-AC_Chart_Background_Data[[#This Row],[X]],0))</f>
        <v>0</v>
      </c>
      <c r="AN158" s="151">
        <f>IF(AC_Chart_Background_Data[[#This Row],[X]] &lt; EFC_99P-EFC_95P, EFC_95P, MAX(EFC_99P-AC_Chart_Background_Data[[#This Row],[X]],0))</f>
        <v>12</v>
      </c>
      <c r="AO158" s="151">
        <f t="shared" si="8"/>
        <v>170</v>
      </c>
      <c r="BA158" s="8"/>
      <c r="BB158" s="8"/>
      <c r="BC158" s="8"/>
      <c r="BD158" s="8"/>
    </row>
    <row r="159" spans="36:56" x14ac:dyDescent="0.25">
      <c r="AJ159" s="150">
        <f t="shared" si="9"/>
        <v>155</v>
      </c>
      <c r="AK159" s="151">
        <f>IF(AC_Chart_Background_Data[[#This Row],[X]] &lt; EFC_70P-EFC_50P, EFC_50P, MAX(EFC_70P-AC_Chart_Background_Data[[#This Row],[X]],0))</f>
        <v>0</v>
      </c>
      <c r="AL159" s="151">
        <f>IF(AC_Chart_Background_Data[[#This Row],[X]] &lt; EFC_85P-EFC_70P, EFC_70P, MAX(EFC_85P-AC_Chart_Background_Data[[#This Row],[X]],0))</f>
        <v>0</v>
      </c>
      <c r="AM159" s="151">
        <f>IF(AC_Chart_Background_Data[[#This Row],[X]] &lt; EFC_95P-EFC_85P, EFC_85P, MAX(EFC_95P-AC_Chart_Background_Data[[#This Row],[X]],0))</f>
        <v>0</v>
      </c>
      <c r="AN159" s="151">
        <f>IF(AC_Chart_Background_Data[[#This Row],[X]] &lt; EFC_99P-EFC_95P, EFC_95P, MAX(EFC_99P-AC_Chart_Background_Data[[#This Row],[X]],0))</f>
        <v>11</v>
      </c>
      <c r="AO159" s="151">
        <f t="shared" si="8"/>
        <v>170</v>
      </c>
      <c r="BA159" s="8"/>
      <c r="BB159" s="8"/>
      <c r="BC159" s="8"/>
      <c r="BD159" s="8"/>
    </row>
    <row r="160" spans="36:56" x14ac:dyDescent="0.25">
      <c r="AJ160" s="150">
        <f t="shared" si="9"/>
        <v>156</v>
      </c>
      <c r="AK160" s="151">
        <f>IF(AC_Chart_Background_Data[[#This Row],[X]] &lt; EFC_70P-EFC_50P, EFC_50P, MAX(EFC_70P-AC_Chart_Background_Data[[#This Row],[X]],0))</f>
        <v>0</v>
      </c>
      <c r="AL160" s="151">
        <f>IF(AC_Chart_Background_Data[[#This Row],[X]] &lt; EFC_85P-EFC_70P, EFC_70P, MAX(EFC_85P-AC_Chart_Background_Data[[#This Row],[X]],0))</f>
        <v>0</v>
      </c>
      <c r="AM160" s="151">
        <f>IF(AC_Chart_Background_Data[[#This Row],[X]] &lt; EFC_95P-EFC_85P, EFC_85P, MAX(EFC_95P-AC_Chart_Background_Data[[#This Row],[X]],0))</f>
        <v>0</v>
      </c>
      <c r="AN160" s="151">
        <f>IF(AC_Chart_Background_Data[[#This Row],[X]] &lt; EFC_99P-EFC_95P, EFC_95P, MAX(EFC_99P-AC_Chart_Background_Data[[#This Row],[X]],0))</f>
        <v>10</v>
      </c>
      <c r="AO160" s="151">
        <f t="shared" si="8"/>
        <v>170</v>
      </c>
      <c r="BA160" s="8"/>
      <c r="BB160" s="8"/>
      <c r="BC160" s="8"/>
      <c r="BD160" s="8"/>
    </row>
    <row r="161" spans="36:56" x14ac:dyDescent="0.25">
      <c r="AJ161" s="150">
        <f t="shared" si="9"/>
        <v>157</v>
      </c>
      <c r="AK161" s="151">
        <f>IF(AC_Chart_Background_Data[[#This Row],[X]] &lt; EFC_70P-EFC_50P, EFC_50P, MAX(EFC_70P-AC_Chart_Background_Data[[#This Row],[X]],0))</f>
        <v>0</v>
      </c>
      <c r="AL161" s="151">
        <f>IF(AC_Chart_Background_Data[[#This Row],[X]] &lt; EFC_85P-EFC_70P, EFC_70P, MAX(EFC_85P-AC_Chart_Background_Data[[#This Row],[X]],0))</f>
        <v>0</v>
      </c>
      <c r="AM161" s="151">
        <f>IF(AC_Chart_Background_Data[[#This Row],[X]] &lt; EFC_95P-EFC_85P, EFC_85P, MAX(EFC_95P-AC_Chart_Background_Data[[#This Row],[X]],0))</f>
        <v>0</v>
      </c>
      <c r="AN161" s="151">
        <f>IF(AC_Chart_Background_Data[[#This Row],[X]] &lt; EFC_99P-EFC_95P, EFC_95P, MAX(EFC_99P-AC_Chart_Background_Data[[#This Row],[X]],0))</f>
        <v>9</v>
      </c>
      <c r="AO161" s="151">
        <f t="shared" si="8"/>
        <v>170</v>
      </c>
      <c r="BA161" s="8"/>
      <c r="BB161" s="8"/>
      <c r="BC161" s="8"/>
      <c r="BD161" s="8"/>
    </row>
    <row r="162" spans="36:56" x14ac:dyDescent="0.25">
      <c r="AJ162" s="150">
        <f t="shared" si="9"/>
        <v>158</v>
      </c>
      <c r="AK162" s="151">
        <f>IF(AC_Chart_Background_Data[[#This Row],[X]] &lt; EFC_70P-EFC_50P, EFC_50P, MAX(EFC_70P-AC_Chart_Background_Data[[#This Row],[X]],0))</f>
        <v>0</v>
      </c>
      <c r="AL162" s="151">
        <f>IF(AC_Chart_Background_Data[[#This Row],[X]] &lt; EFC_85P-EFC_70P, EFC_70P, MAX(EFC_85P-AC_Chart_Background_Data[[#This Row],[X]],0))</f>
        <v>0</v>
      </c>
      <c r="AM162" s="151">
        <f>IF(AC_Chart_Background_Data[[#This Row],[X]] &lt; EFC_95P-EFC_85P, EFC_85P, MAX(EFC_95P-AC_Chart_Background_Data[[#This Row],[X]],0))</f>
        <v>0</v>
      </c>
      <c r="AN162" s="151">
        <f>IF(AC_Chart_Background_Data[[#This Row],[X]] &lt; EFC_99P-EFC_95P, EFC_95P, MAX(EFC_99P-AC_Chart_Background_Data[[#This Row],[X]],0))</f>
        <v>8</v>
      </c>
      <c r="AO162" s="151">
        <f t="shared" si="8"/>
        <v>170</v>
      </c>
      <c r="BA162" s="8"/>
      <c r="BB162" s="8"/>
      <c r="BC162" s="8"/>
      <c r="BD162" s="8"/>
    </row>
    <row r="163" spans="36:56" x14ac:dyDescent="0.25">
      <c r="AJ163" s="150">
        <f t="shared" si="9"/>
        <v>159</v>
      </c>
      <c r="AK163" s="151">
        <f>IF(AC_Chart_Background_Data[[#This Row],[X]] &lt; EFC_70P-EFC_50P, EFC_50P, MAX(EFC_70P-AC_Chart_Background_Data[[#This Row],[X]],0))</f>
        <v>0</v>
      </c>
      <c r="AL163" s="151">
        <f>IF(AC_Chart_Background_Data[[#This Row],[X]] &lt; EFC_85P-EFC_70P, EFC_70P, MAX(EFC_85P-AC_Chart_Background_Data[[#This Row],[X]],0))</f>
        <v>0</v>
      </c>
      <c r="AM163" s="151">
        <f>IF(AC_Chart_Background_Data[[#This Row],[X]] &lt; EFC_95P-EFC_85P, EFC_85P, MAX(EFC_95P-AC_Chart_Background_Data[[#This Row],[X]],0))</f>
        <v>0</v>
      </c>
      <c r="AN163" s="151">
        <f>IF(AC_Chart_Background_Data[[#This Row],[X]] &lt; EFC_99P-EFC_95P, EFC_95P, MAX(EFC_99P-AC_Chart_Background_Data[[#This Row],[X]],0))</f>
        <v>7</v>
      </c>
      <c r="AO163" s="151">
        <f t="shared" si="8"/>
        <v>170</v>
      </c>
      <c r="BA163" s="8"/>
      <c r="BB163" s="8"/>
      <c r="BC163" s="8"/>
      <c r="BD163" s="8"/>
    </row>
    <row r="164" spans="36:56" x14ac:dyDescent="0.25">
      <c r="AJ164" s="150">
        <f t="shared" si="9"/>
        <v>160</v>
      </c>
      <c r="AK164" s="151">
        <f>IF(AC_Chart_Background_Data[[#This Row],[X]] &lt; EFC_70P-EFC_50P, EFC_50P, MAX(EFC_70P-AC_Chart_Background_Data[[#This Row],[X]],0))</f>
        <v>0</v>
      </c>
      <c r="AL164" s="151">
        <f>IF(AC_Chart_Background_Data[[#This Row],[X]] &lt; EFC_85P-EFC_70P, EFC_70P, MAX(EFC_85P-AC_Chart_Background_Data[[#This Row],[X]],0))</f>
        <v>0</v>
      </c>
      <c r="AM164" s="151">
        <f>IF(AC_Chart_Background_Data[[#This Row],[X]] &lt; EFC_95P-EFC_85P, EFC_85P, MAX(EFC_95P-AC_Chart_Background_Data[[#This Row],[X]],0))</f>
        <v>0</v>
      </c>
      <c r="AN164" s="151">
        <f>IF(AC_Chart_Background_Data[[#This Row],[X]] &lt; EFC_99P-EFC_95P, EFC_95P, MAX(EFC_99P-AC_Chart_Background_Data[[#This Row],[X]],0))</f>
        <v>6</v>
      </c>
      <c r="AO164" s="151">
        <f t="shared" si="8"/>
        <v>170</v>
      </c>
      <c r="BA164" s="8"/>
      <c r="BB164" s="8"/>
      <c r="BC164" s="8"/>
      <c r="BD164" s="8"/>
    </row>
    <row r="165" spans="36:56" x14ac:dyDescent="0.25">
      <c r="AJ165" s="150">
        <f t="shared" si="9"/>
        <v>161</v>
      </c>
      <c r="AK165" s="151">
        <f>IF(AC_Chart_Background_Data[[#This Row],[X]] &lt; EFC_70P-EFC_50P, EFC_50P, MAX(EFC_70P-AC_Chart_Background_Data[[#This Row],[X]],0))</f>
        <v>0</v>
      </c>
      <c r="AL165" s="151">
        <f>IF(AC_Chart_Background_Data[[#This Row],[X]] &lt; EFC_85P-EFC_70P, EFC_70P, MAX(EFC_85P-AC_Chart_Background_Data[[#This Row],[X]],0))</f>
        <v>0</v>
      </c>
      <c r="AM165" s="151">
        <f>IF(AC_Chart_Background_Data[[#This Row],[X]] &lt; EFC_95P-EFC_85P, EFC_85P, MAX(EFC_95P-AC_Chart_Background_Data[[#This Row],[X]],0))</f>
        <v>0</v>
      </c>
      <c r="AN165" s="151">
        <f>IF(AC_Chart_Background_Data[[#This Row],[X]] &lt; EFC_99P-EFC_95P, EFC_95P, MAX(EFC_99P-AC_Chart_Background_Data[[#This Row],[X]],0))</f>
        <v>5</v>
      </c>
      <c r="AO165" s="151">
        <f t="shared" si="8"/>
        <v>170</v>
      </c>
      <c r="BA165" s="8"/>
      <c r="BB165" s="8"/>
      <c r="BC165" s="8"/>
      <c r="BD165" s="8"/>
    </row>
    <row r="166" spans="36:56" x14ac:dyDescent="0.25">
      <c r="AJ166" s="150">
        <f t="shared" si="9"/>
        <v>162</v>
      </c>
      <c r="AK166" s="151">
        <f>IF(AC_Chart_Background_Data[[#This Row],[X]] &lt; EFC_70P-EFC_50P, EFC_50P, MAX(EFC_70P-AC_Chart_Background_Data[[#This Row],[X]],0))</f>
        <v>0</v>
      </c>
      <c r="AL166" s="151">
        <f>IF(AC_Chart_Background_Data[[#This Row],[X]] &lt; EFC_85P-EFC_70P, EFC_70P, MAX(EFC_85P-AC_Chart_Background_Data[[#This Row],[X]],0))</f>
        <v>0</v>
      </c>
      <c r="AM166" s="151">
        <f>IF(AC_Chart_Background_Data[[#This Row],[X]] &lt; EFC_95P-EFC_85P, EFC_85P, MAX(EFC_95P-AC_Chart_Background_Data[[#This Row],[X]],0))</f>
        <v>0</v>
      </c>
      <c r="AN166" s="151">
        <f>IF(AC_Chart_Background_Data[[#This Row],[X]] &lt; EFC_99P-EFC_95P, EFC_95P, MAX(EFC_99P-AC_Chart_Background_Data[[#This Row],[X]],0))</f>
        <v>4</v>
      </c>
      <c r="AO166" s="151">
        <f t="shared" si="8"/>
        <v>170</v>
      </c>
      <c r="BA166" s="8"/>
      <c r="BB166" s="8"/>
      <c r="BC166" s="8"/>
      <c r="BD166" s="8"/>
    </row>
    <row r="167" spans="36:56" x14ac:dyDescent="0.25">
      <c r="AJ167" s="150">
        <f t="shared" si="9"/>
        <v>163</v>
      </c>
      <c r="AK167" s="151">
        <f>IF(AC_Chart_Background_Data[[#This Row],[X]] &lt; EFC_70P-EFC_50P, EFC_50P, MAX(EFC_70P-AC_Chart_Background_Data[[#This Row],[X]],0))</f>
        <v>0</v>
      </c>
      <c r="AL167" s="151">
        <f>IF(AC_Chart_Background_Data[[#This Row],[X]] &lt; EFC_85P-EFC_70P, EFC_70P, MAX(EFC_85P-AC_Chart_Background_Data[[#This Row],[X]],0))</f>
        <v>0</v>
      </c>
      <c r="AM167" s="151">
        <f>IF(AC_Chart_Background_Data[[#This Row],[X]] &lt; EFC_95P-EFC_85P, EFC_85P, MAX(EFC_95P-AC_Chart_Background_Data[[#This Row],[X]],0))</f>
        <v>0</v>
      </c>
      <c r="AN167" s="151">
        <f>IF(AC_Chart_Background_Data[[#This Row],[X]] &lt; EFC_99P-EFC_95P, EFC_95P, MAX(EFC_99P-AC_Chart_Background_Data[[#This Row],[X]],0))</f>
        <v>3</v>
      </c>
      <c r="AO167" s="151">
        <f t="shared" si="8"/>
        <v>170</v>
      </c>
      <c r="BA167" s="8"/>
      <c r="BB167" s="8"/>
      <c r="BC167" s="8"/>
      <c r="BD167" s="8"/>
    </row>
    <row r="168" spans="36:56" x14ac:dyDescent="0.25">
      <c r="AJ168" s="150">
        <f t="shared" si="9"/>
        <v>164</v>
      </c>
      <c r="AK168" s="151">
        <f>IF(AC_Chart_Background_Data[[#This Row],[X]] &lt; EFC_70P-EFC_50P, EFC_50P, MAX(EFC_70P-AC_Chart_Background_Data[[#This Row],[X]],0))</f>
        <v>0</v>
      </c>
      <c r="AL168" s="151">
        <f>IF(AC_Chart_Background_Data[[#This Row],[X]] &lt; EFC_85P-EFC_70P, EFC_70P, MAX(EFC_85P-AC_Chart_Background_Data[[#This Row],[X]],0))</f>
        <v>0</v>
      </c>
      <c r="AM168" s="151">
        <f>IF(AC_Chart_Background_Data[[#This Row],[X]] &lt; EFC_95P-EFC_85P, EFC_85P, MAX(EFC_95P-AC_Chart_Background_Data[[#This Row],[X]],0))</f>
        <v>0</v>
      </c>
      <c r="AN168" s="151">
        <f>IF(AC_Chart_Background_Data[[#This Row],[X]] &lt; EFC_99P-EFC_95P, EFC_95P, MAX(EFC_99P-AC_Chart_Background_Data[[#This Row],[X]],0))</f>
        <v>2</v>
      </c>
      <c r="AO168" s="151">
        <f t="shared" si="8"/>
        <v>170</v>
      </c>
      <c r="BA168" s="8"/>
      <c r="BB168" s="8"/>
      <c r="BC168" s="8"/>
      <c r="BD168" s="8"/>
    </row>
    <row r="169" spans="36:56" x14ac:dyDescent="0.25">
      <c r="AJ169" s="150">
        <f t="shared" si="9"/>
        <v>165</v>
      </c>
      <c r="AK169" s="151">
        <f>IF(AC_Chart_Background_Data[[#This Row],[X]] &lt; EFC_70P-EFC_50P, EFC_50P, MAX(EFC_70P-AC_Chart_Background_Data[[#This Row],[X]],0))</f>
        <v>0</v>
      </c>
      <c r="AL169" s="151">
        <f>IF(AC_Chart_Background_Data[[#This Row],[X]] &lt; EFC_85P-EFC_70P, EFC_70P, MAX(EFC_85P-AC_Chart_Background_Data[[#This Row],[X]],0))</f>
        <v>0</v>
      </c>
      <c r="AM169" s="151">
        <f>IF(AC_Chart_Background_Data[[#This Row],[X]] &lt; EFC_95P-EFC_85P, EFC_85P, MAX(EFC_95P-AC_Chart_Background_Data[[#This Row],[X]],0))</f>
        <v>0</v>
      </c>
      <c r="AN169" s="151">
        <f>IF(AC_Chart_Background_Data[[#This Row],[X]] &lt; EFC_99P-EFC_95P, EFC_95P, MAX(EFC_99P-AC_Chart_Background_Data[[#This Row],[X]],0))</f>
        <v>1</v>
      </c>
      <c r="AO169" s="151">
        <f t="shared" si="8"/>
        <v>170</v>
      </c>
      <c r="BA169" s="8"/>
      <c r="BB169" s="8"/>
      <c r="BC169" s="8"/>
      <c r="BD169" s="8"/>
    </row>
    <row r="170" spans="36:56" x14ac:dyDescent="0.25">
      <c r="AJ170" s="150">
        <f t="shared" si="9"/>
        <v>166</v>
      </c>
      <c r="AK170" s="151">
        <f>IF(AC_Chart_Background_Data[[#This Row],[X]] &lt; EFC_70P-EFC_50P, EFC_50P, MAX(EFC_70P-AC_Chart_Background_Data[[#This Row],[X]],0))</f>
        <v>0</v>
      </c>
      <c r="AL170" s="151">
        <f>IF(AC_Chart_Background_Data[[#This Row],[X]] &lt; EFC_85P-EFC_70P, EFC_70P, MAX(EFC_85P-AC_Chart_Background_Data[[#This Row],[X]],0))</f>
        <v>0</v>
      </c>
      <c r="AM170" s="151">
        <f>IF(AC_Chart_Background_Data[[#This Row],[X]] &lt; EFC_95P-EFC_85P, EFC_85P, MAX(EFC_95P-AC_Chart_Background_Data[[#This Row],[X]],0))</f>
        <v>0</v>
      </c>
      <c r="AN170" s="151">
        <f>IF(AC_Chart_Background_Data[[#This Row],[X]] &lt; EFC_99P-EFC_95P, EFC_95P, MAX(EFC_99P-AC_Chart_Background_Data[[#This Row],[X]],0))</f>
        <v>0</v>
      </c>
      <c r="AO170" s="151">
        <f t="shared" si="8"/>
        <v>170</v>
      </c>
      <c r="BA170" s="8"/>
      <c r="BB170" s="8"/>
      <c r="BC170" s="8"/>
      <c r="BD170" s="8"/>
    </row>
    <row r="171" spans="36:56" x14ac:dyDescent="0.25">
      <c r="AJ171" s="150">
        <f t="shared" si="9"/>
        <v>167</v>
      </c>
      <c r="AK171" s="151">
        <f>IF(AC_Chart_Background_Data[[#This Row],[X]] &lt; EFC_70P-EFC_50P, EFC_50P, MAX(EFC_70P-AC_Chart_Background_Data[[#This Row],[X]],0))</f>
        <v>0</v>
      </c>
      <c r="AL171" s="151">
        <f>IF(AC_Chart_Background_Data[[#This Row],[X]] &lt; EFC_85P-EFC_70P, EFC_70P, MAX(EFC_85P-AC_Chart_Background_Data[[#This Row],[X]],0))</f>
        <v>0</v>
      </c>
      <c r="AM171" s="151">
        <f>IF(AC_Chart_Background_Data[[#This Row],[X]] &lt; EFC_95P-EFC_85P, EFC_85P, MAX(EFC_95P-AC_Chart_Background_Data[[#This Row],[X]],0))</f>
        <v>0</v>
      </c>
      <c r="AN171" s="151">
        <f>IF(AC_Chart_Background_Data[[#This Row],[X]] &lt; EFC_99P-EFC_95P, EFC_95P, MAX(EFC_99P-AC_Chart_Background_Data[[#This Row],[X]],0))</f>
        <v>0</v>
      </c>
      <c r="AO171" s="151">
        <f t="shared" si="8"/>
        <v>170</v>
      </c>
      <c r="BA171" s="8"/>
      <c r="BB171" s="8"/>
      <c r="BC171" s="8"/>
      <c r="BD171" s="8"/>
    </row>
    <row r="172" spans="36:56" x14ac:dyDescent="0.25">
      <c r="AJ172" s="150">
        <f t="shared" si="9"/>
        <v>168</v>
      </c>
      <c r="AK172" s="151">
        <f>IF(AC_Chart_Background_Data[[#This Row],[X]] &lt; EFC_70P-EFC_50P, EFC_50P, MAX(EFC_70P-AC_Chart_Background_Data[[#This Row],[X]],0))</f>
        <v>0</v>
      </c>
      <c r="AL172" s="151">
        <f>IF(AC_Chart_Background_Data[[#This Row],[X]] &lt; EFC_85P-EFC_70P, EFC_70P, MAX(EFC_85P-AC_Chart_Background_Data[[#This Row],[X]],0))</f>
        <v>0</v>
      </c>
      <c r="AM172" s="151">
        <f>IF(AC_Chart_Background_Data[[#This Row],[X]] &lt; EFC_95P-EFC_85P, EFC_85P, MAX(EFC_95P-AC_Chart_Background_Data[[#This Row],[X]],0))</f>
        <v>0</v>
      </c>
      <c r="AN172" s="151">
        <f>IF(AC_Chart_Background_Data[[#This Row],[X]] &lt; EFC_99P-EFC_95P, EFC_95P, MAX(EFC_99P-AC_Chart_Background_Data[[#This Row],[X]],0))</f>
        <v>0</v>
      </c>
      <c r="AO172" s="151">
        <f t="shared" si="8"/>
        <v>170</v>
      </c>
      <c r="BA172" s="8"/>
      <c r="BB172" s="8"/>
      <c r="BC172" s="8"/>
      <c r="BD172" s="8"/>
    </row>
    <row r="173" spans="36:56" x14ac:dyDescent="0.25">
      <c r="AJ173" s="150">
        <f t="shared" si="9"/>
        <v>169</v>
      </c>
      <c r="AK173" s="151">
        <f>IF(AC_Chart_Background_Data[[#This Row],[X]] &lt; EFC_70P-EFC_50P, EFC_50P, MAX(EFC_70P-AC_Chart_Background_Data[[#This Row],[X]],0))</f>
        <v>0</v>
      </c>
      <c r="AL173" s="151">
        <f>IF(AC_Chart_Background_Data[[#This Row],[X]] &lt; EFC_85P-EFC_70P, EFC_70P, MAX(EFC_85P-AC_Chart_Background_Data[[#This Row],[X]],0))</f>
        <v>0</v>
      </c>
      <c r="AM173" s="151">
        <f>IF(AC_Chart_Background_Data[[#This Row],[X]] &lt; EFC_95P-EFC_85P, EFC_85P, MAX(EFC_95P-AC_Chart_Background_Data[[#This Row],[X]],0))</f>
        <v>0</v>
      </c>
      <c r="AN173" s="151">
        <f>IF(AC_Chart_Background_Data[[#This Row],[X]] &lt; EFC_99P-EFC_95P, EFC_95P, MAX(EFC_99P-AC_Chart_Background_Data[[#This Row],[X]],0))</f>
        <v>0</v>
      </c>
      <c r="AO173" s="151">
        <f t="shared" si="8"/>
        <v>170</v>
      </c>
      <c r="BA173" s="8"/>
      <c r="BB173" s="8"/>
      <c r="BC173" s="8"/>
      <c r="BD173" s="8"/>
    </row>
    <row r="174" spans="36:56" x14ac:dyDescent="0.25">
      <c r="AJ174" s="150">
        <f t="shared" si="9"/>
        <v>170</v>
      </c>
      <c r="AK174" s="151">
        <f>IF(AC_Chart_Background_Data[[#This Row],[X]] &lt; EFC_70P-EFC_50P, EFC_50P, MAX(EFC_70P-AC_Chart_Background_Data[[#This Row],[X]],0))</f>
        <v>0</v>
      </c>
      <c r="AL174" s="151">
        <f>IF(AC_Chart_Background_Data[[#This Row],[X]] &lt; EFC_85P-EFC_70P, EFC_70P, MAX(EFC_85P-AC_Chart_Background_Data[[#This Row],[X]],0))</f>
        <v>0</v>
      </c>
      <c r="AM174" s="151">
        <f>IF(AC_Chart_Background_Data[[#This Row],[X]] &lt; EFC_95P-EFC_85P, EFC_85P, MAX(EFC_95P-AC_Chart_Background_Data[[#This Row],[X]],0))</f>
        <v>0</v>
      </c>
      <c r="AN174" s="151">
        <f>IF(AC_Chart_Background_Data[[#This Row],[X]] &lt; EFC_99P-EFC_95P, EFC_95P, MAX(EFC_99P-AC_Chart_Background_Data[[#This Row],[X]],0))</f>
        <v>0</v>
      </c>
      <c r="AO174" s="151">
        <f t="shared" si="8"/>
        <v>170</v>
      </c>
      <c r="BA174" s="8"/>
      <c r="BB174" s="8"/>
      <c r="BC174" s="8"/>
      <c r="BD174" s="8"/>
    </row>
    <row r="175" spans="36:56" x14ac:dyDescent="0.25">
      <c r="AJ175" s="150">
        <f t="shared" si="9"/>
        <v>171</v>
      </c>
      <c r="AK175" s="151">
        <f>IF(AC_Chart_Background_Data[[#This Row],[X]] &lt; EFC_70P-EFC_50P, EFC_50P, MAX(EFC_70P-AC_Chart_Background_Data[[#This Row],[X]],0))</f>
        <v>0</v>
      </c>
      <c r="AL175" s="151">
        <f>IF(AC_Chart_Background_Data[[#This Row],[X]] &lt; EFC_85P-EFC_70P, EFC_70P, MAX(EFC_85P-AC_Chart_Background_Data[[#This Row],[X]],0))</f>
        <v>0</v>
      </c>
      <c r="AM175" s="151">
        <f>IF(AC_Chart_Background_Data[[#This Row],[X]] &lt; EFC_95P-EFC_85P, EFC_85P, MAX(EFC_95P-AC_Chart_Background_Data[[#This Row],[X]],0))</f>
        <v>0</v>
      </c>
      <c r="AN175" s="151">
        <f>IF(AC_Chart_Background_Data[[#This Row],[X]] &lt; EFC_99P-EFC_95P, EFC_95P, MAX(EFC_99P-AC_Chart_Background_Data[[#This Row],[X]],0))</f>
        <v>0</v>
      </c>
      <c r="AO175" s="151">
        <f t="shared" si="8"/>
        <v>170</v>
      </c>
      <c r="BA175" s="8"/>
      <c r="BB175" s="8"/>
      <c r="BC175" s="8"/>
      <c r="BD175" s="8"/>
    </row>
    <row r="176" spans="36:56" x14ac:dyDescent="0.25">
      <c r="AJ176" s="150">
        <f t="shared" si="9"/>
        <v>172</v>
      </c>
      <c r="AK176" s="151">
        <f>IF(AC_Chart_Background_Data[[#This Row],[X]] &lt; EFC_70P-EFC_50P, EFC_50P, MAX(EFC_70P-AC_Chart_Background_Data[[#This Row],[X]],0))</f>
        <v>0</v>
      </c>
      <c r="AL176" s="151">
        <f>IF(AC_Chart_Background_Data[[#This Row],[X]] &lt; EFC_85P-EFC_70P, EFC_70P, MAX(EFC_85P-AC_Chart_Background_Data[[#This Row],[X]],0))</f>
        <v>0</v>
      </c>
      <c r="AM176" s="151">
        <f>IF(AC_Chart_Background_Data[[#This Row],[X]] &lt; EFC_95P-EFC_85P, EFC_85P, MAX(EFC_95P-AC_Chart_Background_Data[[#This Row],[X]],0))</f>
        <v>0</v>
      </c>
      <c r="AN176" s="151">
        <f>IF(AC_Chart_Background_Data[[#This Row],[X]] &lt; EFC_99P-EFC_95P, EFC_95P, MAX(EFC_99P-AC_Chart_Background_Data[[#This Row],[X]],0))</f>
        <v>0</v>
      </c>
      <c r="AO176" s="151">
        <f t="shared" si="8"/>
        <v>170</v>
      </c>
      <c r="BA176" s="8"/>
      <c r="BB176" s="8"/>
      <c r="BC176" s="8"/>
      <c r="BD176" s="8"/>
    </row>
    <row r="177" spans="36:56" x14ac:dyDescent="0.25">
      <c r="AJ177" s="150">
        <f t="shared" si="9"/>
        <v>173</v>
      </c>
      <c r="AK177" s="151">
        <f>IF(AC_Chart_Background_Data[[#This Row],[X]] &lt; EFC_70P-EFC_50P, EFC_50P, MAX(EFC_70P-AC_Chart_Background_Data[[#This Row],[X]],0))</f>
        <v>0</v>
      </c>
      <c r="AL177" s="151">
        <f>IF(AC_Chart_Background_Data[[#This Row],[X]] &lt; EFC_85P-EFC_70P, EFC_70P, MAX(EFC_85P-AC_Chart_Background_Data[[#This Row],[X]],0))</f>
        <v>0</v>
      </c>
      <c r="AM177" s="151">
        <f>IF(AC_Chart_Background_Data[[#This Row],[X]] &lt; EFC_95P-EFC_85P, EFC_85P, MAX(EFC_95P-AC_Chart_Background_Data[[#This Row],[X]],0))</f>
        <v>0</v>
      </c>
      <c r="AN177" s="151">
        <f>IF(AC_Chart_Background_Data[[#This Row],[X]] &lt; EFC_99P-EFC_95P, EFC_95P, MAX(EFC_99P-AC_Chart_Background_Data[[#This Row],[X]],0))</f>
        <v>0</v>
      </c>
      <c r="AO177" s="151">
        <f t="shared" si="8"/>
        <v>170</v>
      </c>
      <c r="BA177" s="8"/>
      <c r="BB177" s="8"/>
      <c r="BC177" s="8"/>
      <c r="BD177" s="8"/>
    </row>
    <row r="178" spans="36:56" x14ac:dyDescent="0.25">
      <c r="AJ178" s="150">
        <f t="shared" si="9"/>
        <v>174</v>
      </c>
      <c r="AK178" s="151">
        <f>IF(AC_Chart_Background_Data[[#This Row],[X]] &lt; EFC_70P-EFC_50P, EFC_50P, MAX(EFC_70P-AC_Chart_Background_Data[[#This Row],[X]],0))</f>
        <v>0</v>
      </c>
      <c r="AL178" s="151">
        <f>IF(AC_Chart_Background_Data[[#This Row],[X]] &lt; EFC_85P-EFC_70P, EFC_70P, MAX(EFC_85P-AC_Chart_Background_Data[[#This Row],[X]],0))</f>
        <v>0</v>
      </c>
      <c r="AM178" s="151">
        <f>IF(AC_Chart_Background_Data[[#This Row],[X]] &lt; EFC_95P-EFC_85P, EFC_85P, MAX(EFC_95P-AC_Chart_Background_Data[[#This Row],[X]],0))</f>
        <v>0</v>
      </c>
      <c r="AN178" s="151">
        <f>IF(AC_Chart_Background_Data[[#This Row],[X]] &lt; EFC_99P-EFC_95P, EFC_95P, MAX(EFC_99P-AC_Chart_Background_Data[[#This Row],[X]],0))</f>
        <v>0</v>
      </c>
      <c r="AO178" s="151">
        <f t="shared" si="8"/>
        <v>170</v>
      </c>
      <c r="BA178" s="8"/>
      <c r="BB178" s="8"/>
      <c r="BC178" s="8"/>
      <c r="BD178" s="8"/>
    </row>
    <row r="179" spans="36:56" x14ac:dyDescent="0.25">
      <c r="AJ179" s="150">
        <f t="shared" si="9"/>
        <v>175</v>
      </c>
      <c r="AK179" s="151">
        <f>IF(AC_Chart_Background_Data[[#This Row],[X]] &lt; EFC_70P-EFC_50P, EFC_50P, MAX(EFC_70P-AC_Chart_Background_Data[[#This Row],[X]],0))</f>
        <v>0</v>
      </c>
      <c r="AL179" s="151">
        <f>IF(AC_Chart_Background_Data[[#This Row],[X]] &lt; EFC_85P-EFC_70P, EFC_70P, MAX(EFC_85P-AC_Chart_Background_Data[[#This Row],[X]],0))</f>
        <v>0</v>
      </c>
      <c r="AM179" s="151">
        <f>IF(AC_Chart_Background_Data[[#This Row],[X]] &lt; EFC_95P-EFC_85P, EFC_85P, MAX(EFC_95P-AC_Chart_Background_Data[[#This Row],[X]],0))</f>
        <v>0</v>
      </c>
      <c r="AN179" s="151">
        <f>IF(AC_Chart_Background_Data[[#This Row],[X]] &lt; EFC_99P-EFC_95P, EFC_95P, MAX(EFC_99P-AC_Chart_Background_Data[[#This Row],[X]],0))</f>
        <v>0</v>
      </c>
      <c r="AO179" s="151">
        <f t="shared" si="8"/>
        <v>170</v>
      </c>
      <c r="BA179" s="8"/>
      <c r="BB179" s="8"/>
      <c r="BC179" s="8"/>
      <c r="BD179" s="8"/>
    </row>
    <row r="180" spans="36:56" x14ac:dyDescent="0.25">
      <c r="AJ180" s="150">
        <f t="shared" si="9"/>
        <v>176</v>
      </c>
      <c r="AK180" s="151">
        <f>IF(AC_Chart_Background_Data[[#This Row],[X]] &lt; EFC_70P-EFC_50P, EFC_50P, MAX(EFC_70P-AC_Chart_Background_Data[[#This Row],[X]],0))</f>
        <v>0</v>
      </c>
      <c r="AL180" s="151">
        <f>IF(AC_Chart_Background_Data[[#This Row],[X]] &lt; EFC_85P-EFC_70P, EFC_70P, MAX(EFC_85P-AC_Chart_Background_Data[[#This Row],[X]],0))</f>
        <v>0</v>
      </c>
      <c r="AM180" s="151">
        <f>IF(AC_Chart_Background_Data[[#This Row],[X]] &lt; EFC_95P-EFC_85P, EFC_85P, MAX(EFC_95P-AC_Chart_Background_Data[[#This Row],[X]],0))</f>
        <v>0</v>
      </c>
      <c r="AN180" s="151">
        <f>IF(AC_Chart_Background_Data[[#This Row],[X]] &lt; EFC_99P-EFC_95P, EFC_95P, MAX(EFC_99P-AC_Chart_Background_Data[[#This Row],[X]],0))</f>
        <v>0</v>
      </c>
      <c r="AO180" s="151">
        <f t="shared" si="8"/>
        <v>170</v>
      </c>
      <c r="BA180" s="8"/>
      <c r="BB180" s="8"/>
      <c r="BC180" s="8"/>
      <c r="BD180" s="8"/>
    </row>
    <row r="181" spans="36:56" x14ac:dyDescent="0.25">
      <c r="AJ181" s="150">
        <f t="shared" si="9"/>
        <v>177</v>
      </c>
      <c r="AK181" s="151">
        <f>IF(AC_Chart_Background_Data[[#This Row],[X]] &lt; EFC_70P-EFC_50P, EFC_50P, MAX(EFC_70P-AC_Chart_Background_Data[[#This Row],[X]],0))</f>
        <v>0</v>
      </c>
      <c r="AL181" s="151">
        <f>IF(AC_Chart_Background_Data[[#This Row],[X]] &lt; EFC_85P-EFC_70P, EFC_70P, MAX(EFC_85P-AC_Chart_Background_Data[[#This Row],[X]],0))</f>
        <v>0</v>
      </c>
      <c r="AM181" s="151">
        <f>IF(AC_Chart_Background_Data[[#This Row],[X]] &lt; EFC_95P-EFC_85P, EFC_85P, MAX(EFC_95P-AC_Chart_Background_Data[[#This Row],[X]],0))</f>
        <v>0</v>
      </c>
      <c r="AN181" s="151">
        <f>IF(AC_Chart_Background_Data[[#This Row],[X]] &lt; EFC_99P-EFC_95P, EFC_95P, MAX(EFC_99P-AC_Chart_Background_Data[[#This Row],[X]],0))</f>
        <v>0</v>
      </c>
      <c r="AO181" s="151">
        <f t="shared" si="8"/>
        <v>170</v>
      </c>
      <c r="BA181" s="8"/>
      <c r="BB181" s="8"/>
      <c r="BC181" s="8"/>
      <c r="BD181" s="8"/>
    </row>
    <row r="182" spans="36:56" x14ac:dyDescent="0.25">
      <c r="AJ182" s="150">
        <f t="shared" si="9"/>
        <v>178</v>
      </c>
      <c r="AK182" s="151">
        <f>IF(AC_Chart_Background_Data[[#This Row],[X]] &lt; EFC_70P-EFC_50P, EFC_50P, MAX(EFC_70P-AC_Chart_Background_Data[[#This Row],[X]],0))</f>
        <v>0</v>
      </c>
      <c r="AL182" s="151">
        <f>IF(AC_Chart_Background_Data[[#This Row],[X]] &lt; EFC_85P-EFC_70P, EFC_70P, MAX(EFC_85P-AC_Chart_Background_Data[[#This Row],[X]],0))</f>
        <v>0</v>
      </c>
      <c r="AM182" s="151">
        <f>IF(AC_Chart_Background_Data[[#This Row],[X]] &lt; EFC_95P-EFC_85P, EFC_85P, MAX(EFC_95P-AC_Chart_Background_Data[[#This Row],[X]],0))</f>
        <v>0</v>
      </c>
      <c r="AN182" s="151">
        <f>IF(AC_Chart_Background_Data[[#This Row],[X]] &lt; EFC_99P-EFC_95P, EFC_95P, MAX(EFC_99P-AC_Chart_Background_Data[[#This Row],[X]],0))</f>
        <v>0</v>
      </c>
      <c r="AO182" s="151">
        <f t="shared" si="8"/>
        <v>170</v>
      </c>
      <c r="BA182" s="8"/>
      <c r="BB182" s="8"/>
      <c r="BC182" s="8"/>
      <c r="BD182" s="8"/>
    </row>
    <row r="183" spans="36:56" x14ac:dyDescent="0.25">
      <c r="AJ183" s="150">
        <f t="shared" si="9"/>
        <v>179</v>
      </c>
      <c r="AK183" s="151">
        <f>IF(AC_Chart_Background_Data[[#This Row],[X]] &lt; EFC_70P-EFC_50P, EFC_50P, MAX(EFC_70P-AC_Chart_Background_Data[[#This Row],[X]],0))</f>
        <v>0</v>
      </c>
      <c r="AL183" s="151">
        <f>IF(AC_Chart_Background_Data[[#This Row],[X]] &lt; EFC_85P-EFC_70P, EFC_70P, MAX(EFC_85P-AC_Chart_Background_Data[[#This Row],[X]],0))</f>
        <v>0</v>
      </c>
      <c r="AM183" s="151">
        <f>IF(AC_Chart_Background_Data[[#This Row],[X]] &lt; EFC_95P-EFC_85P, EFC_85P, MAX(EFC_95P-AC_Chart_Background_Data[[#This Row],[X]],0))</f>
        <v>0</v>
      </c>
      <c r="AN183" s="151">
        <f>IF(AC_Chart_Background_Data[[#This Row],[X]] &lt; EFC_99P-EFC_95P, EFC_95P, MAX(EFC_99P-AC_Chart_Background_Data[[#This Row],[X]],0))</f>
        <v>0</v>
      </c>
      <c r="AO183" s="151">
        <f t="shared" si="8"/>
        <v>170</v>
      </c>
      <c r="BA183" s="8"/>
      <c r="BB183" s="8"/>
      <c r="BC183" s="8"/>
      <c r="BD183" s="8"/>
    </row>
    <row r="184" spans="36:56" x14ac:dyDescent="0.25">
      <c r="AJ184" s="150">
        <f t="shared" si="9"/>
        <v>180</v>
      </c>
      <c r="AK184" s="151">
        <f>IF(AC_Chart_Background_Data[[#This Row],[X]] &lt; EFC_70P-EFC_50P, EFC_50P, MAX(EFC_70P-AC_Chart_Background_Data[[#This Row],[X]],0))</f>
        <v>0</v>
      </c>
      <c r="AL184" s="151">
        <f>IF(AC_Chart_Background_Data[[#This Row],[X]] &lt; EFC_85P-EFC_70P, EFC_70P, MAX(EFC_85P-AC_Chart_Background_Data[[#This Row],[X]],0))</f>
        <v>0</v>
      </c>
      <c r="AM184" s="151">
        <f>IF(AC_Chart_Background_Data[[#This Row],[X]] &lt; EFC_95P-EFC_85P, EFC_85P, MAX(EFC_95P-AC_Chart_Background_Data[[#This Row],[X]],0))</f>
        <v>0</v>
      </c>
      <c r="AN184" s="151">
        <f>IF(AC_Chart_Background_Data[[#This Row],[X]] &lt; EFC_99P-EFC_95P, EFC_95P, MAX(EFC_99P-AC_Chart_Background_Data[[#This Row],[X]],0))</f>
        <v>0</v>
      </c>
      <c r="AO184" s="151">
        <f t="shared" si="8"/>
        <v>170</v>
      </c>
      <c r="BA184" s="8"/>
    </row>
    <row r="185" spans="36:56" x14ac:dyDescent="0.25">
      <c r="AJ185" s="150">
        <f t="shared" si="9"/>
        <v>181</v>
      </c>
      <c r="AK185" s="151">
        <f>IF(AC_Chart_Background_Data[[#This Row],[X]] &lt; EFC_70P-EFC_50P, EFC_50P, MAX(EFC_70P-AC_Chart_Background_Data[[#This Row],[X]],0))</f>
        <v>0</v>
      </c>
      <c r="AL185" s="151">
        <f>IF(AC_Chart_Background_Data[[#This Row],[X]] &lt; EFC_85P-EFC_70P, EFC_70P, MAX(EFC_85P-AC_Chart_Background_Data[[#This Row],[X]],0))</f>
        <v>0</v>
      </c>
      <c r="AM185" s="151">
        <f>IF(AC_Chart_Background_Data[[#This Row],[X]] &lt; EFC_95P-EFC_85P, EFC_85P, MAX(EFC_95P-AC_Chart_Background_Data[[#This Row],[X]],0))</f>
        <v>0</v>
      </c>
      <c r="AN185" s="151">
        <f>IF(AC_Chart_Background_Data[[#This Row],[X]] &lt; EFC_99P-EFC_95P, EFC_95P, MAX(EFC_99P-AC_Chart_Background_Data[[#This Row],[X]],0))</f>
        <v>0</v>
      </c>
      <c r="AO185" s="151">
        <f t="shared" si="8"/>
        <v>170</v>
      </c>
      <c r="BA185" s="8"/>
    </row>
    <row r="186" spans="36:56" x14ac:dyDescent="0.25">
      <c r="AJ186" s="150">
        <f t="shared" si="9"/>
        <v>182</v>
      </c>
      <c r="AK186" s="151">
        <f>IF(AC_Chart_Background_Data[[#This Row],[X]] &lt; EFC_70P-EFC_50P, EFC_50P, MAX(EFC_70P-AC_Chart_Background_Data[[#This Row],[X]],0))</f>
        <v>0</v>
      </c>
      <c r="AL186" s="151">
        <f>IF(AC_Chart_Background_Data[[#This Row],[X]] &lt; EFC_85P-EFC_70P, EFC_70P, MAX(EFC_85P-AC_Chart_Background_Data[[#This Row],[X]],0))</f>
        <v>0</v>
      </c>
      <c r="AM186" s="151">
        <f>IF(AC_Chart_Background_Data[[#This Row],[X]] &lt; EFC_95P-EFC_85P, EFC_85P, MAX(EFC_95P-AC_Chart_Background_Data[[#This Row],[X]],0))</f>
        <v>0</v>
      </c>
      <c r="AN186" s="151">
        <f>IF(AC_Chart_Background_Data[[#This Row],[X]] &lt; EFC_99P-EFC_95P, EFC_95P, MAX(EFC_99P-AC_Chart_Background_Data[[#This Row],[X]],0))</f>
        <v>0</v>
      </c>
      <c r="AO186" s="151">
        <f t="shared" si="8"/>
        <v>170</v>
      </c>
      <c r="BA186" s="8"/>
    </row>
    <row r="187" spans="36:56" x14ac:dyDescent="0.25">
      <c r="AJ187" s="150">
        <f t="shared" si="9"/>
        <v>183</v>
      </c>
      <c r="AK187" s="151">
        <f>IF(AC_Chart_Background_Data[[#This Row],[X]] &lt; EFC_70P-EFC_50P, EFC_50P, MAX(EFC_70P-AC_Chart_Background_Data[[#This Row],[X]],0))</f>
        <v>0</v>
      </c>
      <c r="AL187" s="151">
        <f>IF(AC_Chart_Background_Data[[#This Row],[X]] &lt; EFC_85P-EFC_70P, EFC_70P, MAX(EFC_85P-AC_Chart_Background_Data[[#This Row],[X]],0))</f>
        <v>0</v>
      </c>
      <c r="AM187" s="151">
        <f>IF(AC_Chart_Background_Data[[#This Row],[X]] &lt; EFC_95P-EFC_85P, EFC_85P, MAX(EFC_95P-AC_Chart_Background_Data[[#This Row],[X]],0))</f>
        <v>0</v>
      </c>
      <c r="AN187" s="151">
        <f>IF(AC_Chart_Background_Data[[#This Row],[X]] &lt; EFC_99P-EFC_95P, EFC_95P, MAX(EFC_99P-AC_Chart_Background_Data[[#This Row],[X]],0))</f>
        <v>0</v>
      </c>
      <c r="AO187" s="151">
        <f t="shared" si="8"/>
        <v>170</v>
      </c>
      <c r="BA187" s="8"/>
    </row>
    <row r="188" spans="36:56" x14ac:dyDescent="0.25">
      <c r="AJ188" s="150">
        <f t="shared" si="9"/>
        <v>184</v>
      </c>
      <c r="AK188" s="151">
        <f>IF(AC_Chart_Background_Data[[#This Row],[X]] &lt; EFC_70P-EFC_50P, EFC_50P, MAX(EFC_70P-AC_Chart_Background_Data[[#This Row],[X]],0))</f>
        <v>0</v>
      </c>
      <c r="AL188" s="151">
        <f>IF(AC_Chart_Background_Data[[#This Row],[X]] &lt; EFC_85P-EFC_70P, EFC_70P, MAX(EFC_85P-AC_Chart_Background_Data[[#This Row],[X]],0))</f>
        <v>0</v>
      </c>
      <c r="AM188" s="151">
        <f>IF(AC_Chart_Background_Data[[#This Row],[X]] &lt; EFC_95P-EFC_85P, EFC_85P, MAX(EFC_95P-AC_Chart_Background_Data[[#This Row],[X]],0))</f>
        <v>0</v>
      </c>
      <c r="AN188" s="151">
        <f>IF(AC_Chart_Background_Data[[#This Row],[X]] &lt; EFC_99P-EFC_95P, EFC_95P, MAX(EFC_99P-AC_Chart_Background_Data[[#This Row],[X]],0))</f>
        <v>0</v>
      </c>
      <c r="AO188" s="151">
        <f t="shared" si="8"/>
        <v>170</v>
      </c>
      <c r="BA188" s="8"/>
    </row>
    <row r="189" spans="36:56" x14ac:dyDescent="0.25">
      <c r="AJ189" s="150">
        <f t="shared" si="9"/>
        <v>185</v>
      </c>
      <c r="AK189" s="151">
        <f>IF(AC_Chart_Background_Data[[#This Row],[X]] &lt; EFC_70P-EFC_50P, EFC_50P, MAX(EFC_70P-AC_Chart_Background_Data[[#This Row],[X]],0))</f>
        <v>0</v>
      </c>
      <c r="AL189" s="151">
        <f>IF(AC_Chart_Background_Data[[#This Row],[X]] &lt; EFC_85P-EFC_70P, EFC_70P, MAX(EFC_85P-AC_Chart_Background_Data[[#This Row],[X]],0))</f>
        <v>0</v>
      </c>
      <c r="AM189" s="151">
        <f>IF(AC_Chart_Background_Data[[#This Row],[X]] &lt; EFC_95P-EFC_85P, EFC_85P, MAX(EFC_95P-AC_Chart_Background_Data[[#This Row],[X]],0))</f>
        <v>0</v>
      </c>
      <c r="AN189" s="151">
        <f>IF(AC_Chart_Background_Data[[#This Row],[X]] &lt; EFC_99P-EFC_95P, EFC_95P, MAX(EFC_99P-AC_Chart_Background_Data[[#This Row],[X]],0))</f>
        <v>0</v>
      </c>
      <c r="AO189" s="151">
        <f t="shared" si="8"/>
        <v>170</v>
      </c>
      <c r="BA189" s="8"/>
    </row>
    <row r="190" spans="36:56" x14ac:dyDescent="0.25">
      <c r="AJ190" s="150">
        <f t="shared" si="9"/>
        <v>186</v>
      </c>
      <c r="AK190" s="151">
        <f>IF(AC_Chart_Background_Data[[#This Row],[X]] &lt; EFC_70P-EFC_50P, EFC_50P, MAX(EFC_70P-AC_Chart_Background_Data[[#This Row],[X]],0))</f>
        <v>0</v>
      </c>
      <c r="AL190" s="151">
        <f>IF(AC_Chart_Background_Data[[#This Row],[X]] &lt; EFC_85P-EFC_70P, EFC_70P, MAX(EFC_85P-AC_Chart_Background_Data[[#This Row],[X]],0))</f>
        <v>0</v>
      </c>
      <c r="AM190" s="151">
        <f>IF(AC_Chart_Background_Data[[#This Row],[X]] &lt; EFC_95P-EFC_85P, EFC_85P, MAX(EFC_95P-AC_Chart_Background_Data[[#This Row],[X]],0))</f>
        <v>0</v>
      </c>
      <c r="AN190" s="151">
        <f>IF(AC_Chart_Background_Data[[#This Row],[X]] &lt; EFC_99P-EFC_95P, EFC_95P, MAX(EFC_99P-AC_Chart_Background_Data[[#This Row],[X]],0))</f>
        <v>0</v>
      </c>
      <c r="AO190" s="151">
        <f t="shared" si="8"/>
        <v>170</v>
      </c>
      <c r="BA190" s="8"/>
    </row>
    <row r="191" spans="36:56" x14ac:dyDescent="0.25">
      <c r="AJ191" s="150">
        <f t="shared" si="9"/>
        <v>187</v>
      </c>
      <c r="AK191" s="151">
        <f>IF(AC_Chart_Background_Data[[#This Row],[X]] &lt; EFC_70P-EFC_50P, EFC_50P, MAX(EFC_70P-AC_Chart_Background_Data[[#This Row],[X]],0))</f>
        <v>0</v>
      </c>
      <c r="AL191" s="151">
        <f>IF(AC_Chart_Background_Data[[#This Row],[X]] &lt; EFC_85P-EFC_70P, EFC_70P, MAX(EFC_85P-AC_Chart_Background_Data[[#This Row],[X]],0))</f>
        <v>0</v>
      </c>
      <c r="AM191" s="151">
        <f>IF(AC_Chart_Background_Data[[#This Row],[X]] &lt; EFC_95P-EFC_85P, EFC_85P, MAX(EFC_95P-AC_Chart_Background_Data[[#This Row],[X]],0))</f>
        <v>0</v>
      </c>
      <c r="AN191" s="151">
        <f>IF(AC_Chart_Background_Data[[#This Row],[X]] &lt; EFC_99P-EFC_95P, EFC_95P, MAX(EFC_99P-AC_Chart_Background_Data[[#This Row],[X]],0))</f>
        <v>0</v>
      </c>
      <c r="AO191" s="151">
        <f t="shared" si="8"/>
        <v>170</v>
      </c>
      <c r="BA191" s="8"/>
    </row>
    <row r="192" spans="36:56" x14ac:dyDescent="0.25">
      <c r="AJ192" s="150">
        <f t="shared" si="9"/>
        <v>188</v>
      </c>
      <c r="AK192" s="151">
        <f>IF(AC_Chart_Background_Data[[#This Row],[X]] &lt; EFC_70P-EFC_50P, EFC_50P, MAX(EFC_70P-AC_Chart_Background_Data[[#This Row],[X]],0))</f>
        <v>0</v>
      </c>
      <c r="AL192" s="151">
        <f>IF(AC_Chart_Background_Data[[#This Row],[X]] &lt; EFC_85P-EFC_70P, EFC_70P, MAX(EFC_85P-AC_Chart_Background_Data[[#This Row],[X]],0))</f>
        <v>0</v>
      </c>
      <c r="AM192" s="151">
        <f>IF(AC_Chart_Background_Data[[#This Row],[X]] &lt; EFC_95P-EFC_85P, EFC_85P, MAX(EFC_95P-AC_Chart_Background_Data[[#This Row],[X]],0))</f>
        <v>0</v>
      </c>
      <c r="AN192" s="151">
        <f>IF(AC_Chart_Background_Data[[#This Row],[X]] &lt; EFC_99P-EFC_95P, EFC_95P, MAX(EFC_99P-AC_Chart_Background_Data[[#This Row],[X]],0))</f>
        <v>0</v>
      </c>
      <c r="AO192" s="151">
        <f t="shared" si="8"/>
        <v>170</v>
      </c>
      <c r="BA192" s="8"/>
    </row>
    <row r="193" spans="36:53" x14ac:dyDescent="0.25">
      <c r="AJ193" s="150">
        <f t="shared" si="9"/>
        <v>189</v>
      </c>
      <c r="AK193" s="151">
        <f>IF(AC_Chart_Background_Data[[#This Row],[X]] &lt; EFC_70P-EFC_50P, EFC_50P, MAX(EFC_70P-AC_Chart_Background_Data[[#This Row],[X]],0))</f>
        <v>0</v>
      </c>
      <c r="AL193" s="151">
        <f>IF(AC_Chart_Background_Data[[#This Row],[X]] &lt; EFC_85P-EFC_70P, EFC_70P, MAX(EFC_85P-AC_Chart_Background_Data[[#This Row],[X]],0))</f>
        <v>0</v>
      </c>
      <c r="AM193" s="151">
        <f>IF(AC_Chart_Background_Data[[#This Row],[X]] &lt; EFC_95P-EFC_85P, EFC_85P, MAX(EFC_95P-AC_Chart_Background_Data[[#This Row],[X]],0))</f>
        <v>0</v>
      </c>
      <c r="AN193" s="151">
        <f>IF(AC_Chart_Background_Data[[#This Row],[X]] &lt; EFC_99P-EFC_95P, EFC_95P, MAX(EFC_99P-AC_Chart_Background_Data[[#This Row],[X]],0))</f>
        <v>0</v>
      </c>
      <c r="AO193" s="151">
        <f t="shared" si="8"/>
        <v>170</v>
      </c>
      <c r="BA193" s="8"/>
    </row>
    <row r="194" spans="36:53" x14ac:dyDescent="0.25">
      <c r="AJ194" s="150">
        <f t="shared" si="9"/>
        <v>190</v>
      </c>
      <c r="AK194" s="151">
        <f>IF(AC_Chart_Background_Data[[#This Row],[X]] &lt; EFC_70P-EFC_50P, EFC_50P, MAX(EFC_70P-AC_Chart_Background_Data[[#This Row],[X]],0))</f>
        <v>0</v>
      </c>
      <c r="AL194" s="151">
        <f>IF(AC_Chart_Background_Data[[#This Row],[X]] &lt; EFC_85P-EFC_70P, EFC_70P, MAX(EFC_85P-AC_Chart_Background_Data[[#This Row],[X]],0))</f>
        <v>0</v>
      </c>
      <c r="AM194" s="151">
        <f>IF(AC_Chart_Background_Data[[#This Row],[X]] &lt; EFC_95P-EFC_85P, EFC_85P, MAX(EFC_95P-AC_Chart_Background_Data[[#This Row],[X]],0))</f>
        <v>0</v>
      </c>
      <c r="AN194" s="151">
        <f>IF(AC_Chart_Background_Data[[#This Row],[X]] &lt; EFC_99P-EFC_95P, EFC_95P, MAX(EFC_99P-AC_Chart_Background_Data[[#This Row],[X]],0))</f>
        <v>0</v>
      </c>
      <c r="AO194" s="151">
        <f t="shared" si="8"/>
        <v>170</v>
      </c>
      <c r="BA194" s="8"/>
    </row>
    <row r="195" spans="36:53" x14ac:dyDescent="0.25">
      <c r="AJ195" s="150">
        <f t="shared" si="9"/>
        <v>191</v>
      </c>
      <c r="AK195" s="151">
        <f>IF(AC_Chart_Background_Data[[#This Row],[X]] &lt; EFC_70P-EFC_50P, EFC_50P, MAX(EFC_70P-AC_Chart_Background_Data[[#This Row],[X]],0))</f>
        <v>0</v>
      </c>
      <c r="AL195" s="151">
        <f>IF(AC_Chart_Background_Data[[#This Row],[X]] &lt; EFC_85P-EFC_70P, EFC_70P, MAX(EFC_85P-AC_Chart_Background_Data[[#This Row],[X]],0))</f>
        <v>0</v>
      </c>
      <c r="AM195" s="151">
        <f>IF(AC_Chart_Background_Data[[#This Row],[X]] &lt; EFC_95P-EFC_85P, EFC_85P, MAX(EFC_95P-AC_Chart_Background_Data[[#This Row],[X]],0))</f>
        <v>0</v>
      </c>
      <c r="AN195" s="151">
        <f>IF(AC_Chart_Background_Data[[#This Row],[X]] &lt; EFC_99P-EFC_95P, EFC_95P, MAX(EFC_99P-AC_Chart_Background_Data[[#This Row],[X]],0))</f>
        <v>0</v>
      </c>
      <c r="AO195" s="151">
        <f t="shared" si="8"/>
        <v>170</v>
      </c>
      <c r="BA195" s="8"/>
    </row>
    <row r="196" spans="36:53" x14ac:dyDescent="0.25">
      <c r="AJ196" s="150">
        <f t="shared" si="9"/>
        <v>192</v>
      </c>
      <c r="AK196" s="151">
        <f>IF(AC_Chart_Background_Data[[#This Row],[X]] &lt; EFC_70P-EFC_50P, EFC_50P, MAX(EFC_70P-AC_Chart_Background_Data[[#This Row],[X]],0))</f>
        <v>0</v>
      </c>
      <c r="AL196" s="151">
        <f>IF(AC_Chart_Background_Data[[#This Row],[X]] &lt; EFC_85P-EFC_70P, EFC_70P, MAX(EFC_85P-AC_Chart_Background_Data[[#This Row],[X]],0))</f>
        <v>0</v>
      </c>
      <c r="AM196" s="151">
        <f>IF(AC_Chart_Background_Data[[#This Row],[X]] &lt; EFC_95P-EFC_85P, EFC_85P, MAX(EFC_95P-AC_Chart_Background_Data[[#This Row],[X]],0))</f>
        <v>0</v>
      </c>
      <c r="AN196" s="151">
        <f>IF(AC_Chart_Background_Data[[#This Row],[X]] &lt; EFC_99P-EFC_95P, EFC_95P, MAX(EFC_99P-AC_Chart_Background_Data[[#This Row],[X]],0))</f>
        <v>0</v>
      </c>
      <c r="AO196" s="151">
        <f t="shared" ref="AO196:AO259" si="10">AC_Ymax</f>
        <v>170</v>
      </c>
      <c r="BA196" s="8"/>
    </row>
    <row r="197" spans="36:53" x14ac:dyDescent="0.25">
      <c r="AJ197" s="150">
        <f t="shared" si="9"/>
        <v>193</v>
      </c>
      <c r="AK197" s="151">
        <f>IF(AC_Chart_Background_Data[[#This Row],[X]] &lt; EFC_70P-EFC_50P, EFC_50P, MAX(EFC_70P-AC_Chart_Background_Data[[#This Row],[X]],0))</f>
        <v>0</v>
      </c>
      <c r="AL197" s="151">
        <f>IF(AC_Chart_Background_Data[[#This Row],[X]] &lt; EFC_85P-EFC_70P, EFC_70P, MAX(EFC_85P-AC_Chart_Background_Data[[#This Row],[X]],0))</f>
        <v>0</v>
      </c>
      <c r="AM197" s="151">
        <f>IF(AC_Chart_Background_Data[[#This Row],[X]] &lt; EFC_95P-EFC_85P, EFC_85P, MAX(EFC_95P-AC_Chart_Background_Data[[#This Row],[X]],0))</f>
        <v>0</v>
      </c>
      <c r="AN197" s="151">
        <f>IF(AC_Chart_Background_Data[[#This Row],[X]] &lt; EFC_99P-EFC_95P, EFC_95P, MAX(EFC_99P-AC_Chart_Background_Data[[#This Row],[X]],0))</f>
        <v>0</v>
      </c>
      <c r="AO197" s="151">
        <f t="shared" si="10"/>
        <v>170</v>
      </c>
      <c r="BA197" s="8"/>
    </row>
    <row r="198" spans="36:53" x14ac:dyDescent="0.25">
      <c r="AJ198" s="150">
        <f t="shared" si="9"/>
        <v>194</v>
      </c>
      <c r="AK198" s="151">
        <f>IF(AC_Chart_Background_Data[[#This Row],[X]] &lt; EFC_70P-EFC_50P, EFC_50P, MAX(EFC_70P-AC_Chart_Background_Data[[#This Row],[X]],0))</f>
        <v>0</v>
      </c>
      <c r="AL198" s="151">
        <f>IF(AC_Chart_Background_Data[[#This Row],[X]] &lt; EFC_85P-EFC_70P, EFC_70P, MAX(EFC_85P-AC_Chart_Background_Data[[#This Row],[X]],0))</f>
        <v>0</v>
      </c>
      <c r="AM198" s="151">
        <f>IF(AC_Chart_Background_Data[[#This Row],[X]] &lt; EFC_95P-EFC_85P, EFC_85P, MAX(EFC_95P-AC_Chart_Background_Data[[#This Row],[X]],0))</f>
        <v>0</v>
      </c>
      <c r="AN198" s="151">
        <f>IF(AC_Chart_Background_Data[[#This Row],[X]] &lt; EFC_99P-EFC_95P, EFC_95P, MAX(EFC_99P-AC_Chart_Background_Data[[#This Row],[X]],0))</f>
        <v>0</v>
      </c>
      <c r="AO198" s="151">
        <f t="shared" si="10"/>
        <v>170</v>
      </c>
      <c r="BA198" s="8"/>
    </row>
    <row r="199" spans="36:53" x14ac:dyDescent="0.25">
      <c r="AJ199" s="150">
        <f t="shared" ref="AJ199:AJ262" si="11">AJ198+1</f>
        <v>195</v>
      </c>
      <c r="AK199" s="151">
        <f>IF(AC_Chart_Background_Data[[#This Row],[X]] &lt; EFC_70P-EFC_50P, EFC_50P, MAX(EFC_70P-AC_Chart_Background_Data[[#This Row],[X]],0))</f>
        <v>0</v>
      </c>
      <c r="AL199" s="151">
        <f>IF(AC_Chart_Background_Data[[#This Row],[X]] &lt; EFC_85P-EFC_70P, EFC_70P, MAX(EFC_85P-AC_Chart_Background_Data[[#This Row],[X]],0))</f>
        <v>0</v>
      </c>
      <c r="AM199" s="151">
        <f>IF(AC_Chart_Background_Data[[#This Row],[X]] &lt; EFC_95P-EFC_85P, EFC_85P, MAX(EFC_95P-AC_Chart_Background_Data[[#This Row],[X]],0))</f>
        <v>0</v>
      </c>
      <c r="AN199" s="151">
        <f>IF(AC_Chart_Background_Data[[#This Row],[X]] &lt; EFC_99P-EFC_95P, EFC_95P, MAX(EFC_99P-AC_Chart_Background_Data[[#This Row],[X]],0))</f>
        <v>0</v>
      </c>
      <c r="AO199" s="151">
        <f t="shared" si="10"/>
        <v>170</v>
      </c>
      <c r="BA199" s="8"/>
    </row>
    <row r="200" spans="36:53" x14ac:dyDescent="0.25">
      <c r="AJ200" s="150">
        <f t="shared" si="11"/>
        <v>196</v>
      </c>
      <c r="AK200" s="151">
        <f>IF(AC_Chart_Background_Data[[#This Row],[X]] &lt; EFC_70P-EFC_50P, EFC_50P, MAX(EFC_70P-AC_Chart_Background_Data[[#This Row],[X]],0))</f>
        <v>0</v>
      </c>
      <c r="AL200" s="151">
        <f>IF(AC_Chart_Background_Data[[#This Row],[X]] &lt; EFC_85P-EFC_70P, EFC_70P, MAX(EFC_85P-AC_Chart_Background_Data[[#This Row],[X]],0))</f>
        <v>0</v>
      </c>
      <c r="AM200" s="151">
        <f>IF(AC_Chart_Background_Data[[#This Row],[X]] &lt; EFC_95P-EFC_85P, EFC_85P, MAX(EFC_95P-AC_Chart_Background_Data[[#This Row],[X]],0))</f>
        <v>0</v>
      </c>
      <c r="AN200" s="151">
        <f>IF(AC_Chart_Background_Data[[#This Row],[X]] &lt; EFC_99P-EFC_95P, EFC_95P, MAX(EFC_99P-AC_Chart_Background_Data[[#This Row],[X]],0))</f>
        <v>0</v>
      </c>
      <c r="AO200" s="151">
        <f t="shared" si="10"/>
        <v>170</v>
      </c>
      <c r="BA200" s="8"/>
    </row>
    <row r="201" spans="36:53" x14ac:dyDescent="0.25">
      <c r="AJ201" s="150">
        <f t="shared" si="11"/>
        <v>197</v>
      </c>
      <c r="AK201" s="151">
        <f>IF(AC_Chart_Background_Data[[#This Row],[X]] &lt; EFC_70P-EFC_50P, EFC_50P, MAX(EFC_70P-AC_Chart_Background_Data[[#This Row],[X]],0))</f>
        <v>0</v>
      </c>
      <c r="AL201" s="151">
        <f>IF(AC_Chart_Background_Data[[#This Row],[X]] &lt; EFC_85P-EFC_70P, EFC_70P, MAX(EFC_85P-AC_Chart_Background_Data[[#This Row],[X]],0))</f>
        <v>0</v>
      </c>
      <c r="AM201" s="151">
        <f>IF(AC_Chart_Background_Data[[#This Row],[X]] &lt; EFC_95P-EFC_85P, EFC_85P, MAX(EFC_95P-AC_Chart_Background_Data[[#This Row],[X]],0))</f>
        <v>0</v>
      </c>
      <c r="AN201" s="151">
        <f>IF(AC_Chart_Background_Data[[#This Row],[X]] &lt; EFC_99P-EFC_95P, EFC_95P, MAX(EFC_99P-AC_Chart_Background_Data[[#This Row],[X]],0))</f>
        <v>0</v>
      </c>
      <c r="AO201" s="151">
        <f t="shared" si="10"/>
        <v>170</v>
      </c>
      <c r="BA201" s="8"/>
    </row>
    <row r="202" spans="36:53" x14ac:dyDescent="0.25">
      <c r="AJ202" s="150">
        <f t="shared" si="11"/>
        <v>198</v>
      </c>
      <c r="AK202" s="151">
        <f>IF(AC_Chart_Background_Data[[#This Row],[X]] &lt; EFC_70P-EFC_50P, EFC_50P, MAX(EFC_70P-AC_Chart_Background_Data[[#This Row],[X]],0))</f>
        <v>0</v>
      </c>
      <c r="AL202" s="151">
        <f>IF(AC_Chart_Background_Data[[#This Row],[X]] &lt; EFC_85P-EFC_70P, EFC_70P, MAX(EFC_85P-AC_Chart_Background_Data[[#This Row],[X]],0))</f>
        <v>0</v>
      </c>
      <c r="AM202" s="151">
        <f>IF(AC_Chart_Background_Data[[#This Row],[X]] &lt; EFC_95P-EFC_85P, EFC_85P, MAX(EFC_95P-AC_Chart_Background_Data[[#This Row],[X]],0))</f>
        <v>0</v>
      </c>
      <c r="AN202" s="151">
        <f>IF(AC_Chart_Background_Data[[#This Row],[X]] &lt; EFC_99P-EFC_95P, EFC_95P, MAX(EFC_99P-AC_Chart_Background_Data[[#This Row],[X]],0))</f>
        <v>0</v>
      </c>
      <c r="AO202" s="151">
        <f t="shared" si="10"/>
        <v>170</v>
      </c>
      <c r="BA202" s="8"/>
    </row>
    <row r="203" spans="36:53" x14ac:dyDescent="0.25">
      <c r="AJ203" s="150">
        <f t="shared" si="11"/>
        <v>199</v>
      </c>
      <c r="AK203" s="151">
        <f>IF(AC_Chart_Background_Data[[#This Row],[X]] &lt; EFC_70P-EFC_50P, EFC_50P, MAX(EFC_70P-AC_Chart_Background_Data[[#This Row],[X]],0))</f>
        <v>0</v>
      </c>
      <c r="AL203" s="151">
        <f>IF(AC_Chart_Background_Data[[#This Row],[X]] &lt; EFC_85P-EFC_70P, EFC_70P, MAX(EFC_85P-AC_Chart_Background_Data[[#This Row],[X]],0))</f>
        <v>0</v>
      </c>
      <c r="AM203" s="151">
        <f>IF(AC_Chart_Background_Data[[#This Row],[X]] &lt; EFC_95P-EFC_85P, EFC_85P, MAX(EFC_95P-AC_Chart_Background_Data[[#This Row],[X]],0))</f>
        <v>0</v>
      </c>
      <c r="AN203" s="151">
        <f>IF(AC_Chart_Background_Data[[#This Row],[X]] &lt; EFC_99P-EFC_95P, EFC_95P, MAX(EFC_99P-AC_Chart_Background_Data[[#This Row],[X]],0))</f>
        <v>0</v>
      </c>
      <c r="AO203" s="151">
        <f t="shared" si="10"/>
        <v>170</v>
      </c>
      <c r="BA203" s="8"/>
    </row>
    <row r="204" spans="36:53" x14ac:dyDescent="0.25">
      <c r="AJ204" s="150">
        <f t="shared" si="11"/>
        <v>200</v>
      </c>
      <c r="AK204" s="151">
        <f>IF(AC_Chart_Background_Data[[#This Row],[X]] &lt; EFC_70P-EFC_50P, EFC_50P, MAX(EFC_70P-AC_Chart_Background_Data[[#This Row],[X]],0))</f>
        <v>0</v>
      </c>
      <c r="AL204" s="151">
        <f>IF(AC_Chart_Background_Data[[#This Row],[X]] &lt; EFC_85P-EFC_70P, EFC_70P, MAX(EFC_85P-AC_Chart_Background_Data[[#This Row],[X]],0))</f>
        <v>0</v>
      </c>
      <c r="AM204" s="151">
        <f>IF(AC_Chart_Background_Data[[#This Row],[X]] &lt; EFC_95P-EFC_85P, EFC_85P, MAX(EFC_95P-AC_Chart_Background_Data[[#This Row],[X]],0))</f>
        <v>0</v>
      </c>
      <c r="AN204" s="151">
        <f>IF(AC_Chart_Background_Data[[#This Row],[X]] &lt; EFC_99P-EFC_95P, EFC_95P, MAX(EFC_99P-AC_Chart_Background_Data[[#This Row],[X]],0))</f>
        <v>0</v>
      </c>
      <c r="AO204" s="151">
        <f t="shared" si="10"/>
        <v>170</v>
      </c>
      <c r="BA204" s="8"/>
    </row>
    <row r="205" spans="36:53" x14ac:dyDescent="0.25">
      <c r="AJ205" s="150">
        <f t="shared" si="11"/>
        <v>201</v>
      </c>
      <c r="AK205" s="151">
        <f>IF(AC_Chart_Background_Data[[#This Row],[X]] &lt; EFC_70P-EFC_50P, EFC_50P, MAX(EFC_70P-AC_Chart_Background_Data[[#This Row],[X]],0))</f>
        <v>0</v>
      </c>
      <c r="AL205" s="151">
        <f>IF(AC_Chart_Background_Data[[#This Row],[X]] &lt; EFC_85P-EFC_70P, EFC_70P, MAX(EFC_85P-AC_Chart_Background_Data[[#This Row],[X]],0))</f>
        <v>0</v>
      </c>
      <c r="AM205" s="151">
        <f>IF(AC_Chart_Background_Data[[#This Row],[X]] &lt; EFC_95P-EFC_85P, EFC_85P, MAX(EFC_95P-AC_Chart_Background_Data[[#This Row],[X]],0))</f>
        <v>0</v>
      </c>
      <c r="AN205" s="151">
        <f>IF(AC_Chart_Background_Data[[#This Row],[X]] &lt; EFC_99P-EFC_95P, EFC_95P, MAX(EFC_99P-AC_Chart_Background_Data[[#This Row],[X]],0))</f>
        <v>0</v>
      </c>
      <c r="AO205" s="151">
        <f t="shared" si="10"/>
        <v>170</v>
      </c>
      <c r="BA205" s="8"/>
    </row>
    <row r="206" spans="36:53" x14ac:dyDescent="0.25">
      <c r="AJ206" s="150">
        <f t="shared" si="11"/>
        <v>202</v>
      </c>
      <c r="AK206" s="151">
        <f>IF(AC_Chart_Background_Data[[#This Row],[X]] &lt; EFC_70P-EFC_50P, EFC_50P, MAX(EFC_70P-AC_Chart_Background_Data[[#This Row],[X]],0))</f>
        <v>0</v>
      </c>
      <c r="AL206" s="151">
        <f>IF(AC_Chart_Background_Data[[#This Row],[X]] &lt; EFC_85P-EFC_70P, EFC_70P, MAX(EFC_85P-AC_Chart_Background_Data[[#This Row],[X]],0))</f>
        <v>0</v>
      </c>
      <c r="AM206" s="151">
        <f>IF(AC_Chart_Background_Data[[#This Row],[X]] &lt; EFC_95P-EFC_85P, EFC_85P, MAX(EFC_95P-AC_Chart_Background_Data[[#This Row],[X]],0))</f>
        <v>0</v>
      </c>
      <c r="AN206" s="151">
        <f>IF(AC_Chart_Background_Data[[#This Row],[X]] &lt; EFC_99P-EFC_95P, EFC_95P, MAX(EFC_99P-AC_Chart_Background_Data[[#This Row],[X]],0))</f>
        <v>0</v>
      </c>
      <c r="AO206" s="151">
        <f t="shared" si="10"/>
        <v>170</v>
      </c>
      <c r="BA206" s="8"/>
    </row>
    <row r="207" spans="36:53" x14ac:dyDescent="0.25">
      <c r="AJ207" s="150">
        <f t="shared" si="11"/>
        <v>203</v>
      </c>
      <c r="AK207" s="151">
        <f>IF(AC_Chart_Background_Data[[#This Row],[X]] &lt; EFC_70P-EFC_50P, EFC_50P, MAX(EFC_70P-AC_Chart_Background_Data[[#This Row],[X]],0))</f>
        <v>0</v>
      </c>
      <c r="AL207" s="151">
        <f>IF(AC_Chart_Background_Data[[#This Row],[X]] &lt; EFC_85P-EFC_70P, EFC_70P, MAX(EFC_85P-AC_Chart_Background_Data[[#This Row],[X]],0))</f>
        <v>0</v>
      </c>
      <c r="AM207" s="151">
        <f>IF(AC_Chart_Background_Data[[#This Row],[X]] &lt; EFC_95P-EFC_85P, EFC_85P, MAX(EFC_95P-AC_Chart_Background_Data[[#This Row],[X]],0))</f>
        <v>0</v>
      </c>
      <c r="AN207" s="151">
        <f>IF(AC_Chart_Background_Data[[#This Row],[X]] &lt; EFC_99P-EFC_95P, EFC_95P, MAX(EFC_99P-AC_Chart_Background_Data[[#This Row],[X]],0))</f>
        <v>0</v>
      </c>
      <c r="AO207" s="151">
        <f t="shared" si="10"/>
        <v>170</v>
      </c>
      <c r="BA207" s="8"/>
    </row>
    <row r="208" spans="36:53" x14ac:dyDescent="0.25">
      <c r="AJ208" s="150">
        <f t="shared" si="11"/>
        <v>204</v>
      </c>
      <c r="AK208" s="151">
        <f>IF(AC_Chart_Background_Data[[#This Row],[X]] &lt; EFC_70P-EFC_50P, EFC_50P, MAX(EFC_70P-AC_Chart_Background_Data[[#This Row],[X]],0))</f>
        <v>0</v>
      </c>
      <c r="AL208" s="151">
        <f>IF(AC_Chart_Background_Data[[#This Row],[X]] &lt; EFC_85P-EFC_70P, EFC_70P, MAX(EFC_85P-AC_Chart_Background_Data[[#This Row],[X]],0))</f>
        <v>0</v>
      </c>
      <c r="AM208" s="151">
        <f>IF(AC_Chart_Background_Data[[#This Row],[X]] &lt; EFC_95P-EFC_85P, EFC_85P, MAX(EFC_95P-AC_Chart_Background_Data[[#This Row],[X]],0))</f>
        <v>0</v>
      </c>
      <c r="AN208" s="151">
        <f>IF(AC_Chart_Background_Data[[#This Row],[X]] &lt; EFC_99P-EFC_95P, EFC_95P, MAX(EFC_99P-AC_Chart_Background_Data[[#This Row],[X]],0))</f>
        <v>0</v>
      </c>
      <c r="AO208" s="151">
        <f t="shared" si="10"/>
        <v>170</v>
      </c>
      <c r="BA208" s="8"/>
    </row>
    <row r="209" spans="36:53" x14ac:dyDescent="0.25">
      <c r="AJ209" s="150">
        <f t="shared" si="11"/>
        <v>205</v>
      </c>
      <c r="AK209" s="151">
        <f>IF(AC_Chart_Background_Data[[#This Row],[X]] &lt; EFC_70P-EFC_50P, EFC_50P, MAX(EFC_70P-AC_Chart_Background_Data[[#This Row],[X]],0))</f>
        <v>0</v>
      </c>
      <c r="AL209" s="151">
        <f>IF(AC_Chart_Background_Data[[#This Row],[X]] &lt; EFC_85P-EFC_70P, EFC_70P, MAX(EFC_85P-AC_Chart_Background_Data[[#This Row],[X]],0))</f>
        <v>0</v>
      </c>
      <c r="AM209" s="151">
        <f>IF(AC_Chart_Background_Data[[#This Row],[X]] &lt; EFC_95P-EFC_85P, EFC_85P, MAX(EFC_95P-AC_Chart_Background_Data[[#This Row],[X]],0))</f>
        <v>0</v>
      </c>
      <c r="AN209" s="151">
        <f>IF(AC_Chart_Background_Data[[#This Row],[X]] &lt; EFC_99P-EFC_95P, EFC_95P, MAX(EFC_99P-AC_Chart_Background_Data[[#This Row],[X]],0))</f>
        <v>0</v>
      </c>
      <c r="AO209" s="151">
        <f t="shared" si="10"/>
        <v>170</v>
      </c>
      <c r="BA209" s="8"/>
    </row>
    <row r="210" spans="36:53" x14ac:dyDescent="0.25">
      <c r="AJ210" s="150">
        <f t="shared" si="11"/>
        <v>206</v>
      </c>
      <c r="AK210" s="151">
        <f>IF(AC_Chart_Background_Data[[#This Row],[X]] &lt; EFC_70P-EFC_50P, EFC_50P, MAX(EFC_70P-AC_Chart_Background_Data[[#This Row],[X]],0))</f>
        <v>0</v>
      </c>
      <c r="AL210" s="151">
        <f>IF(AC_Chart_Background_Data[[#This Row],[X]] &lt; EFC_85P-EFC_70P, EFC_70P, MAX(EFC_85P-AC_Chart_Background_Data[[#This Row],[X]],0))</f>
        <v>0</v>
      </c>
      <c r="AM210" s="151">
        <f>IF(AC_Chart_Background_Data[[#This Row],[X]] &lt; EFC_95P-EFC_85P, EFC_85P, MAX(EFC_95P-AC_Chart_Background_Data[[#This Row],[X]],0))</f>
        <v>0</v>
      </c>
      <c r="AN210" s="151">
        <f>IF(AC_Chart_Background_Data[[#This Row],[X]] &lt; EFC_99P-EFC_95P, EFC_95P, MAX(EFC_99P-AC_Chart_Background_Data[[#This Row],[X]],0))</f>
        <v>0</v>
      </c>
      <c r="AO210" s="151">
        <f t="shared" si="10"/>
        <v>170</v>
      </c>
      <c r="BA210" s="8"/>
    </row>
    <row r="211" spans="36:53" x14ac:dyDescent="0.25">
      <c r="AJ211" s="150">
        <f t="shared" si="11"/>
        <v>207</v>
      </c>
      <c r="AK211" s="151">
        <f>IF(AC_Chart_Background_Data[[#This Row],[X]] &lt; EFC_70P-EFC_50P, EFC_50P, MAX(EFC_70P-AC_Chart_Background_Data[[#This Row],[X]],0))</f>
        <v>0</v>
      </c>
      <c r="AL211" s="151">
        <f>IF(AC_Chart_Background_Data[[#This Row],[X]] &lt; EFC_85P-EFC_70P, EFC_70P, MAX(EFC_85P-AC_Chart_Background_Data[[#This Row],[X]],0))</f>
        <v>0</v>
      </c>
      <c r="AM211" s="151">
        <f>IF(AC_Chart_Background_Data[[#This Row],[X]] &lt; EFC_95P-EFC_85P, EFC_85P, MAX(EFC_95P-AC_Chart_Background_Data[[#This Row],[X]],0))</f>
        <v>0</v>
      </c>
      <c r="AN211" s="151">
        <f>IF(AC_Chart_Background_Data[[#This Row],[X]] &lt; EFC_99P-EFC_95P, EFC_95P, MAX(EFC_99P-AC_Chart_Background_Data[[#This Row],[X]],0))</f>
        <v>0</v>
      </c>
      <c r="AO211" s="151">
        <f t="shared" si="10"/>
        <v>170</v>
      </c>
      <c r="BA211" s="8"/>
    </row>
    <row r="212" spans="36:53" x14ac:dyDescent="0.25">
      <c r="AJ212" s="150">
        <f t="shared" si="11"/>
        <v>208</v>
      </c>
      <c r="AK212" s="151">
        <f>IF(AC_Chart_Background_Data[[#This Row],[X]] &lt; EFC_70P-EFC_50P, EFC_50P, MAX(EFC_70P-AC_Chart_Background_Data[[#This Row],[X]],0))</f>
        <v>0</v>
      </c>
      <c r="AL212" s="151">
        <f>IF(AC_Chart_Background_Data[[#This Row],[X]] &lt; EFC_85P-EFC_70P, EFC_70P, MAX(EFC_85P-AC_Chart_Background_Data[[#This Row],[X]],0))</f>
        <v>0</v>
      </c>
      <c r="AM212" s="151">
        <f>IF(AC_Chart_Background_Data[[#This Row],[X]] &lt; EFC_95P-EFC_85P, EFC_85P, MAX(EFC_95P-AC_Chart_Background_Data[[#This Row],[X]],0))</f>
        <v>0</v>
      </c>
      <c r="AN212" s="151">
        <f>IF(AC_Chart_Background_Data[[#This Row],[X]] &lt; EFC_99P-EFC_95P, EFC_95P, MAX(EFC_99P-AC_Chart_Background_Data[[#This Row],[X]],0))</f>
        <v>0</v>
      </c>
      <c r="AO212" s="151">
        <f t="shared" si="10"/>
        <v>170</v>
      </c>
      <c r="BA212" s="8"/>
    </row>
    <row r="213" spans="36:53" x14ac:dyDescent="0.25">
      <c r="AJ213" s="150">
        <f t="shared" si="11"/>
        <v>209</v>
      </c>
      <c r="AK213" s="151">
        <f>IF(AC_Chart_Background_Data[[#This Row],[X]] &lt; EFC_70P-EFC_50P, EFC_50P, MAX(EFC_70P-AC_Chart_Background_Data[[#This Row],[X]],0))</f>
        <v>0</v>
      </c>
      <c r="AL213" s="151">
        <f>IF(AC_Chart_Background_Data[[#This Row],[X]] &lt; EFC_85P-EFC_70P, EFC_70P, MAX(EFC_85P-AC_Chart_Background_Data[[#This Row],[X]],0))</f>
        <v>0</v>
      </c>
      <c r="AM213" s="151">
        <f>IF(AC_Chart_Background_Data[[#This Row],[X]] &lt; EFC_95P-EFC_85P, EFC_85P, MAX(EFC_95P-AC_Chart_Background_Data[[#This Row],[X]],0))</f>
        <v>0</v>
      </c>
      <c r="AN213" s="151">
        <f>IF(AC_Chart_Background_Data[[#This Row],[X]] &lt; EFC_99P-EFC_95P, EFC_95P, MAX(EFC_99P-AC_Chart_Background_Data[[#This Row],[X]],0))</f>
        <v>0</v>
      </c>
      <c r="AO213" s="151">
        <f t="shared" si="10"/>
        <v>170</v>
      </c>
      <c r="BA213" s="8"/>
    </row>
    <row r="214" spans="36:53" x14ac:dyDescent="0.25">
      <c r="AJ214" s="150">
        <f t="shared" si="11"/>
        <v>210</v>
      </c>
      <c r="AK214" s="151">
        <f>IF(AC_Chart_Background_Data[[#This Row],[X]] &lt; EFC_70P-EFC_50P, EFC_50P, MAX(EFC_70P-AC_Chart_Background_Data[[#This Row],[X]],0))</f>
        <v>0</v>
      </c>
      <c r="AL214" s="151">
        <f>IF(AC_Chart_Background_Data[[#This Row],[X]] &lt; EFC_85P-EFC_70P, EFC_70P, MAX(EFC_85P-AC_Chart_Background_Data[[#This Row],[X]],0))</f>
        <v>0</v>
      </c>
      <c r="AM214" s="151">
        <f>IF(AC_Chart_Background_Data[[#This Row],[X]] &lt; EFC_95P-EFC_85P, EFC_85P, MAX(EFC_95P-AC_Chart_Background_Data[[#This Row],[X]],0))</f>
        <v>0</v>
      </c>
      <c r="AN214" s="151">
        <f>IF(AC_Chart_Background_Data[[#This Row],[X]] &lt; EFC_99P-EFC_95P, EFC_95P, MAX(EFC_99P-AC_Chart_Background_Data[[#This Row],[X]],0))</f>
        <v>0</v>
      </c>
      <c r="AO214" s="151">
        <f t="shared" si="10"/>
        <v>170</v>
      </c>
      <c r="BA214" s="8"/>
    </row>
    <row r="215" spans="36:53" x14ac:dyDescent="0.25">
      <c r="AJ215" s="150">
        <f t="shared" si="11"/>
        <v>211</v>
      </c>
      <c r="AK215" s="151">
        <f>IF(AC_Chart_Background_Data[[#This Row],[X]] &lt; EFC_70P-EFC_50P, EFC_50P, MAX(EFC_70P-AC_Chart_Background_Data[[#This Row],[X]],0))</f>
        <v>0</v>
      </c>
      <c r="AL215" s="151">
        <f>IF(AC_Chart_Background_Data[[#This Row],[X]] &lt; EFC_85P-EFC_70P, EFC_70P, MAX(EFC_85P-AC_Chart_Background_Data[[#This Row],[X]],0))</f>
        <v>0</v>
      </c>
      <c r="AM215" s="151">
        <f>IF(AC_Chart_Background_Data[[#This Row],[X]] &lt; EFC_95P-EFC_85P, EFC_85P, MAX(EFC_95P-AC_Chart_Background_Data[[#This Row],[X]],0))</f>
        <v>0</v>
      </c>
      <c r="AN215" s="151">
        <f>IF(AC_Chart_Background_Data[[#This Row],[X]] &lt; EFC_99P-EFC_95P, EFC_95P, MAX(EFC_99P-AC_Chart_Background_Data[[#This Row],[X]],0))</f>
        <v>0</v>
      </c>
      <c r="AO215" s="151">
        <f t="shared" si="10"/>
        <v>170</v>
      </c>
      <c r="BA215" s="8"/>
    </row>
    <row r="216" spans="36:53" x14ac:dyDescent="0.25">
      <c r="AJ216" s="150">
        <f t="shared" si="11"/>
        <v>212</v>
      </c>
      <c r="AK216" s="151">
        <f>IF(AC_Chart_Background_Data[[#This Row],[X]] &lt; EFC_70P-EFC_50P, EFC_50P, MAX(EFC_70P-AC_Chart_Background_Data[[#This Row],[X]],0))</f>
        <v>0</v>
      </c>
      <c r="AL216" s="151">
        <f>IF(AC_Chart_Background_Data[[#This Row],[X]] &lt; EFC_85P-EFC_70P, EFC_70P, MAX(EFC_85P-AC_Chart_Background_Data[[#This Row],[X]],0))</f>
        <v>0</v>
      </c>
      <c r="AM216" s="151">
        <f>IF(AC_Chart_Background_Data[[#This Row],[X]] &lt; EFC_95P-EFC_85P, EFC_85P, MAX(EFC_95P-AC_Chart_Background_Data[[#This Row],[X]],0))</f>
        <v>0</v>
      </c>
      <c r="AN216" s="151">
        <f>IF(AC_Chart_Background_Data[[#This Row],[X]] &lt; EFC_99P-EFC_95P, EFC_95P, MAX(EFC_99P-AC_Chart_Background_Data[[#This Row],[X]],0))</f>
        <v>0</v>
      </c>
      <c r="AO216" s="151">
        <f t="shared" si="10"/>
        <v>170</v>
      </c>
      <c r="BA216" s="8"/>
    </row>
    <row r="217" spans="36:53" x14ac:dyDescent="0.25">
      <c r="AJ217" s="150">
        <f t="shared" si="11"/>
        <v>213</v>
      </c>
      <c r="AK217" s="151">
        <f>IF(AC_Chart_Background_Data[[#This Row],[X]] &lt; EFC_70P-EFC_50P, EFC_50P, MAX(EFC_70P-AC_Chart_Background_Data[[#This Row],[X]],0))</f>
        <v>0</v>
      </c>
      <c r="AL217" s="151">
        <f>IF(AC_Chart_Background_Data[[#This Row],[X]] &lt; EFC_85P-EFC_70P, EFC_70P, MAX(EFC_85P-AC_Chart_Background_Data[[#This Row],[X]],0))</f>
        <v>0</v>
      </c>
      <c r="AM217" s="151">
        <f>IF(AC_Chart_Background_Data[[#This Row],[X]] &lt; EFC_95P-EFC_85P, EFC_85P, MAX(EFC_95P-AC_Chart_Background_Data[[#This Row],[X]],0))</f>
        <v>0</v>
      </c>
      <c r="AN217" s="151">
        <f>IF(AC_Chart_Background_Data[[#This Row],[X]] &lt; EFC_99P-EFC_95P, EFC_95P, MAX(EFC_99P-AC_Chart_Background_Data[[#This Row],[X]],0))</f>
        <v>0</v>
      </c>
      <c r="AO217" s="151">
        <f t="shared" si="10"/>
        <v>170</v>
      </c>
      <c r="BA217" s="8"/>
    </row>
    <row r="218" spans="36:53" x14ac:dyDescent="0.25">
      <c r="AJ218" s="150">
        <f t="shared" si="11"/>
        <v>214</v>
      </c>
      <c r="AK218" s="151">
        <f>IF(AC_Chart_Background_Data[[#This Row],[X]] &lt; EFC_70P-EFC_50P, EFC_50P, MAX(EFC_70P-AC_Chart_Background_Data[[#This Row],[X]],0))</f>
        <v>0</v>
      </c>
      <c r="AL218" s="151">
        <f>IF(AC_Chart_Background_Data[[#This Row],[X]] &lt; EFC_85P-EFC_70P, EFC_70P, MAX(EFC_85P-AC_Chart_Background_Data[[#This Row],[X]],0))</f>
        <v>0</v>
      </c>
      <c r="AM218" s="151">
        <f>IF(AC_Chart_Background_Data[[#This Row],[X]] &lt; EFC_95P-EFC_85P, EFC_85P, MAX(EFC_95P-AC_Chart_Background_Data[[#This Row],[X]],0))</f>
        <v>0</v>
      </c>
      <c r="AN218" s="151">
        <f>IF(AC_Chart_Background_Data[[#This Row],[X]] &lt; EFC_99P-EFC_95P, EFC_95P, MAX(EFC_99P-AC_Chart_Background_Data[[#This Row],[X]],0))</f>
        <v>0</v>
      </c>
      <c r="AO218" s="151">
        <f t="shared" si="10"/>
        <v>170</v>
      </c>
      <c r="BA218" s="8"/>
    </row>
    <row r="219" spans="36:53" x14ac:dyDescent="0.25">
      <c r="AJ219" s="150">
        <f t="shared" si="11"/>
        <v>215</v>
      </c>
      <c r="AK219" s="151">
        <f>IF(AC_Chart_Background_Data[[#This Row],[X]] &lt; EFC_70P-EFC_50P, EFC_50P, MAX(EFC_70P-AC_Chart_Background_Data[[#This Row],[X]],0))</f>
        <v>0</v>
      </c>
      <c r="AL219" s="151">
        <f>IF(AC_Chart_Background_Data[[#This Row],[X]] &lt; EFC_85P-EFC_70P, EFC_70P, MAX(EFC_85P-AC_Chart_Background_Data[[#This Row],[X]],0))</f>
        <v>0</v>
      </c>
      <c r="AM219" s="151">
        <f>IF(AC_Chart_Background_Data[[#This Row],[X]] &lt; EFC_95P-EFC_85P, EFC_85P, MAX(EFC_95P-AC_Chart_Background_Data[[#This Row],[X]],0))</f>
        <v>0</v>
      </c>
      <c r="AN219" s="151">
        <f>IF(AC_Chart_Background_Data[[#This Row],[X]] &lt; EFC_99P-EFC_95P, EFC_95P, MAX(EFC_99P-AC_Chart_Background_Data[[#This Row],[X]],0))</f>
        <v>0</v>
      </c>
      <c r="AO219" s="151">
        <f t="shared" si="10"/>
        <v>170</v>
      </c>
      <c r="BA219" s="8"/>
    </row>
    <row r="220" spans="36:53" x14ac:dyDescent="0.25">
      <c r="AJ220" s="150">
        <f t="shared" si="11"/>
        <v>216</v>
      </c>
      <c r="AK220" s="151">
        <f>IF(AC_Chart_Background_Data[[#This Row],[X]] &lt; EFC_70P-EFC_50P, EFC_50P, MAX(EFC_70P-AC_Chart_Background_Data[[#This Row],[X]],0))</f>
        <v>0</v>
      </c>
      <c r="AL220" s="151">
        <f>IF(AC_Chart_Background_Data[[#This Row],[X]] &lt; EFC_85P-EFC_70P, EFC_70P, MAX(EFC_85P-AC_Chart_Background_Data[[#This Row],[X]],0))</f>
        <v>0</v>
      </c>
      <c r="AM220" s="151">
        <f>IF(AC_Chart_Background_Data[[#This Row],[X]] &lt; EFC_95P-EFC_85P, EFC_85P, MAX(EFC_95P-AC_Chart_Background_Data[[#This Row],[X]],0))</f>
        <v>0</v>
      </c>
      <c r="AN220" s="151">
        <f>IF(AC_Chart_Background_Data[[#This Row],[X]] &lt; EFC_99P-EFC_95P, EFC_95P, MAX(EFC_99P-AC_Chart_Background_Data[[#This Row],[X]],0))</f>
        <v>0</v>
      </c>
      <c r="AO220" s="151">
        <f t="shared" si="10"/>
        <v>170</v>
      </c>
      <c r="BA220" s="8"/>
    </row>
    <row r="221" spans="36:53" x14ac:dyDescent="0.25">
      <c r="AJ221" s="150">
        <f t="shared" si="11"/>
        <v>217</v>
      </c>
      <c r="AK221" s="151">
        <f>IF(AC_Chart_Background_Data[[#This Row],[X]] &lt; EFC_70P-EFC_50P, EFC_50P, MAX(EFC_70P-AC_Chart_Background_Data[[#This Row],[X]],0))</f>
        <v>0</v>
      </c>
      <c r="AL221" s="151">
        <f>IF(AC_Chart_Background_Data[[#This Row],[X]] &lt; EFC_85P-EFC_70P, EFC_70P, MAX(EFC_85P-AC_Chart_Background_Data[[#This Row],[X]],0))</f>
        <v>0</v>
      </c>
      <c r="AM221" s="151">
        <f>IF(AC_Chart_Background_Data[[#This Row],[X]] &lt; EFC_95P-EFC_85P, EFC_85P, MAX(EFC_95P-AC_Chart_Background_Data[[#This Row],[X]],0))</f>
        <v>0</v>
      </c>
      <c r="AN221" s="151">
        <f>IF(AC_Chart_Background_Data[[#This Row],[X]] &lt; EFC_99P-EFC_95P, EFC_95P, MAX(EFC_99P-AC_Chart_Background_Data[[#This Row],[X]],0))</f>
        <v>0</v>
      </c>
      <c r="AO221" s="151">
        <f t="shared" si="10"/>
        <v>170</v>
      </c>
      <c r="BA221" s="8"/>
    </row>
    <row r="222" spans="36:53" x14ac:dyDescent="0.25">
      <c r="AJ222" s="150">
        <f t="shared" si="11"/>
        <v>218</v>
      </c>
      <c r="AK222" s="151">
        <f>IF(AC_Chart_Background_Data[[#This Row],[X]] &lt; EFC_70P-EFC_50P, EFC_50P, MAX(EFC_70P-AC_Chart_Background_Data[[#This Row],[X]],0))</f>
        <v>0</v>
      </c>
      <c r="AL222" s="151">
        <f>IF(AC_Chart_Background_Data[[#This Row],[X]] &lt; EFC_85P-EFC_70P, EFC_70P, MAX(EFC_85P-AC_Chart_Background_Data[[#This Row],[X]],0))</f>
        <v>0</v>
      </c>
      <c r="AM222" s="151">
        <f>IF(AC_Chart_Background_Data[[#This Row],[X]] &lt; EFC_95P-EFC_85P, EFC_85P, MAX(EFC_95P-AC_Chart_Background_Data[[#This Row],[X]],0))</f>
        <v>0</v>
      </c>
      <c r="AN222" s="151">
        <f>IF(AC_Chart_Background_Data[[#This Row],[X]] &lt; EFC_99P-EFC_95P, EFC_95P, MAX(EFC_99P-AC_Chart_Background_Data[[#This Row],[X]],0))</f>
        <v>0</v>
      </c>
      <c r="AO222" s="151">
        <f t="shared" si="10"/>
        <v>170</v>
      </c>
      <c r="BA222" s="8"/>
    </row>
    <row r="223" spans="36:53" x14ac:dyDescent="0.25">
      <c r="AJ223" s="150">
        <f t="shared" si="11"/>
        <v>219</v>
      </c>
      <c r="AK223" s="151">
        <f>IF(AC_Chart_Background_Data[[#This Row],[X]] &lt; EFC_70P-EFC_50P, EFC_50P, MAX(EFC_70P-AC_Chart_Background_Data[[#This Row],[X]],0))</f>
        <v>0</v>
      </c>
      <c r="AL223" s="151">
        <f>IF(AC_Chart_Background_Data[[#This Row],[X]] &lt; EFC_85P-EFC_70P, EFC_70P, MAX(EFC_85P-AC_Chart_Background_Data[[#This Row],[X]],0))</f>
        <v>0</v>
      </c>
      <c r="AM223" s="151">
        <f>IF(AC_Chart_Background_Data[[#This Row],[X]] &lt; EFC_95P-EFC_85P, EFC_85P, MAX(EFC_95P-AC_Chart_Background_Data[[#This Row],[X]],0))</f>
        <v>0</v>
      </c>
      <c r="AN223" s="151">
        <f>IF(AC_Chart_Background_Data[[#This Row],[X]] &lt; EFC_99P-EFC_95P, EFC_95P, MAX(EFC_99P-AC_Chart_Background_Data[[#This Row],[X]],0))</f>
        <v>0</v>
      </c>
      <c r="AO223" s="151">
        <f t="shared" si="10"/>
        <v>170</v>
      </c>
      <c r="BA223" s="8"/>
    </row>
    <row r="224" spans="36:53" x14ac:dyDescent="0.25">
      <c r="AJ224" s="150">
        <f t="shared" si="11"/>
        <v>220</v>
      </c>
      <c r="AK224" s="151">
        <f>IF(AC_Chart_Background_Data[[#This Row],[X]] &lt; EFC_70P-EFC_50P, EFC_50P, MAX(EFC_70P-AC_Chart_Background_Data[[#This Row],[X]],0))</f>
        <v>0</v>
      </c>
      <c r="AL224" s="151">
        <f>IF(AC_Chart_Background_Data[[#This Row],[X]] &lt; EFC_85P-EFC_70P, EFC_70P, MAX(EFC_85P-AC_Chart_Background_Data[[#This Row],[X]],0))</f>
        <v>0</v>
      </c>
      <c r="AM224" s="151">
        <f>IF(AC_Chart_Background_Data[[#This Row],[X]] &lt; EFC_95P-EFC_85P, EFC_85P, MAX(EFC_95P-AC_Chart_Background_Data[[#This Row],[X]],0))</f>
        <v>0</v>
      </c>
      <c r="AN224" s="151">
        <f>IF(AC_Chart_Background_Data[[#This Row],[X]] &lt; EFC_99P-EFC_95P, EFC_95P, MAX(EFC_99P-AC_Chart_Background_Data[[#This Row],[X]],0))</f>
        <v>0</v>
      </c>
      <c r="AO224" s="151">
        <f t="shared" si="10"/>
        <v>170</v>
      </c>
      <c r="BA224" s="8"/>
    </row>
    <row r="225" spans="36:53" x14ac:dyDescent="0.25">
      <c r="AJ225" s="150">
        <f t="shared" si="11"/>
        <v>221</v>
      </c>
      <c r="AK225" s="151">
        <f>IF(AC_Chart_Background_Data[[#This Row],[X]] &lt; EFC_70P-EFC_50P, EFC_50P, MAX(EFC_70P-AC_Chart_Background_Data[[#This Row],[X]],0))</f>
        <v>0</v>
      </c>
      <c r="AL225" s="151">
        <f>IF(AC_Chart_Background_Data[[#This Row],[X]] &lt; EFC_85P-EFC_70P, EFC_70P, MAX(EFC_85P-AC_Chart_Background_Data[[#This Row],[X]],0))</f>
        <v>0</v>
      </c>
      <c r="AM225" s="151">
        <f>IF(AC_Chart_Background_Data[[#This Row],[X]] &lt; EFC_95P-EFC_85P, EFC_85P, MAX(EFC_95P-AC_Chart_Background_Data[[#This Row],[X]],0))</f>
        <v>0</v>
      </c>
      <c r="AN225" s="151">
        <f>IF(AC_Chart_Background_Data[[#This Row],[X]] &lt; EFC_99P-EFC_95P, EFC_95P, MAX(EFC_99P-AC_Chart_Background_Data[[#This Row],[X]],0))</f>
        <v>0</v>
      </c>
      <c r="AO225" s="151">
        <f t="shared" si="10"/>
        <v>170</v>
      </c>
      <c r="BA225" s="8"/>
    </row>
    <row r="226" spans="36:53" x14ac:dyDescent="0.25">
      <c r="AJ226" s="150">
        <f t="shared" si="11"/>
        <v>222</v>
      </c>
      <c r="AK226" s="151">
        <f>IF(AC_Chart_Background_Data[[#This Row],[X]] &lt; EFC_70P-EFC_50P, EFC_50P, MAX(EFC_70P-AC_Chart_Background_Data[[#This Row],[X]],0))</f>
        <v>0</v>
      </c>
      <c r="AL226" s="151">
        <f>IF(AC_Chart_Background_Data[[#This Row],[X]] &lt; EFC_85P-EFC_70P, EFC_70P, MAX(EFC_85P-AC_Chart_Background_Data[[#This Row],[X]],0))</f>
        <v>0</v>
      </c>
      <c r="AM226" s="151">
        <f>IF(AC_Chart_Background_Data[[#This Row],[X]] &lt; EFC_95P-EFC_85P, EFC_85P, MAX(EFC_95P-AC_Chart_Background_Data[[#This Row],[X]],0))</f>
        <v>0</v>
      </c>
      <c r="AN226" s="151">
        <f>IF(AC_Chart_Background_Data[[#This Row],[X]] &lt; EFC_99P-EFC_95P, EFC_95P, MAX(EFC_99P-AC_Chart_Background_Data[[#This Row],[X]],0))</f>
        <v>0</v>
      </c>
      <c r="AO226" s="151">
        <f t="shared" si="10"/>
        <v>170</v>
      </c>
      <c r="BA226" s="8"/>
    </row>
    <row r="227" spans="36:53" x14ac:dyDescent="0.25">
      <c r="AJ227" s="150">
        <f t="shared" si="11"/>
        <v>223</v>
      </c>
      <c r="AK227" s="151">
        <f>IF(AC_Chart_Background_Data[[#This Row],[X]] &lt; EFC_70P-EFC_50P, EFC_50P, MAX(EFC_70P-AC_Chart_Background_Data[[#This Row],[X]],0))</f>
        <v>0</v>
      </c>
      <c r="AL227" s="151">
        <f>IF(AC_Chart_Background_Data[[#This Row],[X]] &lt; EFC_85P-EFC_70P, EFC_70P, MAX(EFC_85P-AC_Chart_Background_Data[[#This Row],[X]],0))</f>
        <v>0</v>
      </c>
      <c r="AM227" s="151">
        <f>IF(AC_Chart_Background_Data[[#This Row],[X]] &lt; EFC_95P-EFC_85P, EFC_85P, MAX(EFC_95P-AC_Chart_Background_Data[[#This Row],[X]],0))</f>
        <v>0</v>
      </c>
      <c r="AN227" s="151">
        <f>IF(AC_Chart_Background_Data[[#This Row],[X]] &lt; EFC_99P-EFC_95P, EFC_95P, MAX(EFC_99P-AC_Chart_Background_Data[[#This Row],[X]],0))</f>
        <v>0</v>
      </c>
      <c r="AO227" s="151">
        <f t="shared" si="10"/>
        <v>170</v>
      </c>
      <c r="BA227" s="8"/>
    </row>
    <row r="228" spans="36:53" x14ac:dyDescent="0.25">
      <c r="AJ228" s="150">
        <f t="shared" si="11"/>
        <v>224</v>
      </c>
      <c r="AK228" s="151">
        <f>IF(AC_Chart_Background_Data[[#This Row],[X]] &lt; EFC_70P-EFC_50P, EFC_50P, MAX(EFC_70P-AC_Chart_Background_Data[[#This Row],[X]],0))</f>
        <v>0</v>
      </c>
      <c r="AL228" s="151">
        <f>IF(AC_Chart_Background_Data[[#This Row],[X]] &lt; EFC_85P-EFC_70P, EFC_70P, MAX(EFC_85P-AC_Chart_Background_Data[[#This Row],[X]],0))</f>
        <v>0</v>
      </c>
      <c r="AM228" s="151">
        <f>IF(AC_Chart_Background_Data[[#This Row],[X]] &lt; EFC_95P-EFC_85P, EFC_85P, MAX(EFC_95P-AC_Chart_Background_Data[[#This Row],[X]],0))</f>
        <v>0</v>
      </c>
      <c r="AN228" s="151">
        <f>IF(AC_Chart_Background_Data[[#This Row],[X]] &lt; EFC_99P-EFC_95P, EFC_95P, MAX(EFC_99P-AC_Chart_Background_Data[[#This Row],[X]],0))</f>
        <v>0</v>
      </c>
      <c r="AO228" s="151">
        <f t="shared" si="10"/>
        <v>170</v>
      </c>
      <c r="BA228" s="8"/>
    </row>
    <row r="229" spans="36:53" x14ac:dyDescent="0.25">
      <c r="AJ229" s="150">
        <f t="shared" si="11"/>
        <v>225</v>
      </c>
      <c r="AK229" s="151">
        <f>IF(AC_Chart_Background_Data[[#This Row],[X]] &lt; EFC_70P-EFC_50P, EFC_50P, MAX(EFC_70P-AC_Chart_Background_Data[[#This Row],[X]],0))</f>
        <v>0</v>
      </c>
      <c r="AL229" s="151">
        <f>IF(AC_Chart_Background_Data[[#This Row],[X]] &lt; EFC_85P-EFC_70P, EFC_70P, MAX(EFC_85P-AC_Chart_Background_Data[[#This Row],[X]],0))</f>
        <v>0</v>
      </c>
      <c r="AM229" s="151">
        <f>IF(AC_Chart_Background_Data[[#This Row],[X]] &lt; EFC_95P-EFC_85P, EFC_85P, MAX(EFC_95P-AC_Chart_Background_Data[[#This Row],[X]],0))</f>
        <v>0</v>
      </c>
      <c r="AN229" s="151">
        <f>IF(AC_Chart_Background_Data[[#This Row],[X]] &lt; EFC_99P-EFC_95P, EFC_95P, MAX(EFC_99P-AC_Chart_Background_Data[[#This Row],[X]],0))</f>
        <v>0</v>
      </c>
      <c r="AO229" s="151">
        <f t="shared" si="10"/>
        <v>170</v>
      </c>
      <c r="BA229" s="8"/>
    </row>
    <row r="230" spans="36:53" x14ac:dyDescent="0.25">
      <c r="AJ230" s="150">
        <f t="shared" si="11"/>
        <v>226</v>
      </c>
      <c r="AK230" s="151">
        <f>IF(AC_Chart_Background_Data[[#This Row],[X]] &lt; EFC_70P-EFC_50P, EFC_50P, MAX(EFC_70P-AC_Chart_Background_Data[[#This Row],[X]],0))</f>
        <v>0</v>
      </c>
      <c r="AL230" s="151">
        <f>IF(AC_Chart_Background_Data[[#This Row],[X]] &lt; EFC_85P-EFC_70P, EFC_70P, MAX(EFC_85P-AC_Chart_Background_Data[[#This Row],[X]],0))</f>
        <v>0</v>
      </c>
      <c r="AM230" s="151">
        <f>IF(AC_Chart_Background_Data[[#This Row],[X]] &lt; EFC_95P-EFC_85P, EFC_85P, MAX(EFC_95P-AC_Chart_Background_Data[[#This Row],[X]],0))</f>
        <v>0</v>
      </c>
      <c r="AN230" s="151">
        <f>IF(AC_Chart_Background_Data[[#This Row],[X]] &lt; EFC_99P-EFC_95P, EFC_95P, MAX(EFC_99P-AC_Chart_Background_Data[[#This Row],[X]],0))</f>
        <v>0</v>
      </c>
      <c r="AO230" s="151">
        <f t="shared" si="10"/>
        <v>170</v>
      </c>
      <c r="BA230" s="8"/>
    </row>
    <row r="231" spans="36:53" x14ac:dyDescent="0.25">
      <c r="AJ231" s="150">
        <f t="shared" si="11"/>
        <v>227</v>
      </c>
      <c r="AK231" s="151">
        <f>IF(AC_Chart_Background_Data[[#This Row],[X]] &lt; EFC_70P-EFC_50P, EFC_50P, MAX(EFC_70P-AC_Chart_Background_Data[[#This Row],[X]],0))</f>
        <v>0</v>
      </c>
      <c r="AL231" s="151">
        <f>IF(AC_Chart_Background_Data[[#This Row],[X]] &lt; EFC_85P-EFC_70P, EFC_70P, MAX(EFC_85P-AC_Chart_Background_Data[[#This Row],[X]],0))</f>
        <v>0</v>
      </c>
      <c r="AM231" s="151">
        <f>IF(AC_Chart_Background_Data[[#This Row],[X]] &lt; EFC_95P-EFC_85P, EFC_85P, MAX(EFC_95P-AC_Chart_Background_Data[[#This Row],[X]],0))</f>
        <v>0</v>
      </c>
      <c r="AN231" s="151">
        <f>IF(AC_Chart_Background_Data[[#This Row],[X]] &lt; EFC_99P-EFC_95P, EFC_95P, MAX(EFC_99P-AC_Chart_Background_Data[[#This Row],[X]],0))</f>
        <v>0</v>
      </c>
      <c r="AO231" s="151">
        <f t="shared" si="10"/>
        <v>170</v>
      </c>
      <c r="BA231" s="8"/>
    </row>
    <row r="232" spans="36:53" x14ac:dyDescent="0.25">
      <c r="AJ232" s="150">
        <f t="shared" si="11"/>
        <v>228</v>
      </c>
      <c r="AK232" s="151">
        <f>IF(AC_Chart_Background_Data[[#This Row],[X]] &lt; EFC_70P-EFC_50P, EFC_50P, MAX(EFC_70P-AC_Chart_Background_Data[[#This Row],[X]],0))</f>
        <v>0</v>
      </c>
      <c r="AL232" s="151">
        <f>IF(AC_Chart_Background_Data[[#This Row],[X]] &lt; EFC_85P-EFC_70P, EFC_70P, MAX(EFC_85P-AC_Chart_Background_Data[[#This Row],[X]],0))</f>
        <v>0</v>
      </c>
      <c r="AM232" s="151">
        <f>IF(AC_Chart_Background_Data[[#This Row],[X]] &lt; EFC_95P-EFC_85P, EFC_85P, MAX(EFC_95P-AC_Chart_Background_Data[[#This Row],[X]],0))</f>
        <v>0</v>
      </c>
      <c r="AN232" s="151">
        <f>IF(AC_Chart_Background_Data[[#This Row],[X]] &lt; EFC_99P-EFC_95P, EFC_95P, MAX(EFC_99P-AC_Chart_Background_Data[[#This Row],[X]],0))</f>
        <v>0</v>
      </c>
      <c r="AO232" s="151">
        <f t="shared" si="10"/>
        <v>170</v>
      </c>
      <c r="BA232" s="8"/>
    </row>
    <row r="233" spans="36:53" x14ac:dyDescent="0.25">
      <c r="AJ233" s="150">
        <f t="shared" si="11"/>
        <v>229</v>
      </c>
      <c r="AK233" s="151">
        <f>IF(AC_Chart_Background_Data[[#This Row],[X]] &lt; EFC_70P-EFC_50P, EFC_50P, MAX(EFC_70P-AC_Chart_Background_Data[[#This Row],[X]],0))</f>
        <v>0</v>
      </c>
      <c r="AL233" s="151">
        <f>IF(AC_Chart_Background_Data[[#This Row],[X]] &lt; EFC_85P-EFC_70P, EFC_70P, MAX(EFC_85P-AC_Chart_Background_Data[[#This Row],[X]],0))</f>
        <v>0</v>
      </c>
      <c r="AM233" s="151">
        <f>IF(AC_Chart_Background_Data[[#This Row],[X]] &lt; EFC_95P-EFC_85P, EFC_85P, MAX(EFC_95P-AC_Chart_Background_Data[[#This Row],[X]],0))</f>
        <v>0</v>
      </c>
      <c r="AN233" s="151">
        <f>IF(AC_Chart_Background_Data[[#This Row],[X]] &lt; EFC_99P-EFC_95P, EFC_95P, MAX(EFC_99P-AC_Chart_Background_Data[[#This Row],[X]],0))</f>
        <v>0</v>
      </c>
      <c r="AO233" s="151">
        <f t="shared" si="10"/>
        <v>170</v>
      </c>
      <c r="BA233" s="8"/>
    </row>
    <row r="234" spans="36:53" x14ac:dyDescent="0.25">
      <c r="AJ234" s="150">
        <f t="shared" si="11"/>
        <v>230</v>
      </c>
      <c r="AK234" s="151">
        <f>IF(AC_Chart_Background_Data[[#This Row],[X]] &lt; EFC_70P-EFC_50P, EFC_50P, MAX(EFC_70P-AC_Chart_Background_Data[[#This Row],[X]],0))</f>
        <v>0</v>
      </c>
      <c r="AL234" s="151">
        <f>IF(AC_Chart_Background_Data[[#This Row],[X]] &lt; EFC_85P-EFC_70P, EFC_70P, MAX(EFC_85P-AC_Chart_Background_Data[[#This Row],[X]],0))</f>
        <v>0</v>
      </c>
      <c r="AM234" s="151">
        <f>IF(AC_Chart_Background_Data[[#This Row],[X]] &lt; EFC_95P-EFC_85P, EFC_85P, MAX(EFC_95P-AC_Chart_Background_Data[[#This Row],[X]],0))</f>
        <v>0</v>
      </c>
      <c r="AN234" s="151">
        <f>IF(AC_Chart_Background_Data[[#This Row],[X]] &lt; EFC_99P-EFC_95P, EFC_95P, MAX(EFC_99P-AC_Chart_Background_Data[[#This Row],[X]],0))</f>
        <v>0</v>
      </c>
      <c r="AO234" s="151">
        <f t="shared" si="10"/>
        <v>170</v>
      </c>
      <c r="BA234" s="8"/>
    </row>
    <row r="235" spans="36:53" x14ac:dyDescent="0.25">
      <c r="AJ235" s="150">
        <f t="shared" si="11"/>
        <v>231</v>
      </c>
      <c r="AK235" s="151">
        <f>IF(AC_Chart_Background_Data[[#This Row],[X]] &lt; EFC_70P-EFC_50P, EFC_50P, MAX(EFC_70P-AC_Chart_Background_Data[[#This Row],[X]],0))</f>
        <v>0</v>
      </c>
      <c r="AL235" s="151">
        <f>IF(AC_Chart_Background_Data[[#This Row],[X]] &lt; EFC_85P-EFC_70P, EFC_70P, MAX(EFC_85P-AC_Chart_Background_Data[[#This Row],[X]],0))</f>
        <v>0</v>
      </c>
      <c r="AM235" s="151">
        <f>IF(AC_Chart_Background_Data[[#This Row],[X]] &lt; EFC_95P-EFC_85P, EFC_85P, MAX(EFC_95P-AC_Chart_Background_Data[[#This Row],[X]],0))</f>
        <v>0</v>
      </c>
      <c r="AN235" s="151">
        <f>IF(AC_Chart_Background_Data[[#This Row],[X]] &lt; EFC_99P-EFC_95P, EFC_95P, MAX(EFC_99P-AC_Chart_Background_Data[[#This Row],[X]],0))</f>
        <v>0</v>
      </c>
      <c r="AO235" s="151">
        <f t="shared" si="10"/>
        <v>170</v>
      </c>
      <c r="BA235" s="8"/>
    </row>
    <row r="236" spans="36:53" x14ac:dyDescent="0.25">
      <c r="AJ236" s="150">
        <f t="shared" si="11"/>
        <v>232</v>
      </c>
      <c r="AK236" s="151">
        <f>IF(AC_Chart_Background_Data[[#This Row],[X]] &lt; EFC_70P-EFC_50P, EFC_50P, MAX(EFC_70P-AC_Chart_Background_Data[[#This Row],[X]],0))</f>
        <v>0</v>
      </c>
      <c r="AL236" s="151">
        <f>IF(AC_Chart_Background_Data[[#This Row],[X]] &lt; EFC_85P-EFC_70P, EFC_70P, MAX(EFC_85P-AC_Chart_Background_Data[[#This Row],[X]],0))</f>
        <v>0</v>
      </c>
      <c r="AM236" s="151">
        <f>IF(AC_Chart_Background_Data[[#This Row],[X]] &lt; EFC_95P-EFC_85P, EFC_85P, MAX(EFC_95P-AC_Chart_Background_Data[[#This Row],[X]],0))</f>
        <v>0</v>
      </c>
      <c r="AN236" s="151">
        <f>IF(AC_Chart_Background_Data[[#This Row],[X]] &lt; EFC_99P-EFC_95P, EFC_95P, MAX(EFC_99P-AC_Chart_Background_Data[[#This Row],[X]],0))</f>
        <v>0</v>
      </c>
      <c r="AO236" s="151">
        <f t="shared" si="10"/>
        <v>170</v>
      </c>
      <c r="BA236" s="8"/>
    </row>
    <row r="237" spans="36:53" x14ac:dyDescent="0.25">
      <c r="AJ237" s="150">
        <f t="shared" si="11"/>
        <v>233</v>
      </c>
      <c r="AK237" s="151">
        <f>IF(AC_Chart_Background_Data[[#This Row],[X]] &lt; EFC_70P-EFC_50P, EFC_50P, MAX(EFC_70P-AC_Chart_Background_Data[[#This Row],[X]],0))</f>
        <v>0</v>
      </c>
      <c r="AL237" s="151">
        <f>IF(AC_Chart_Background_Data[[#This Row],[X]] &lt; EFC_85P-EFC_70P, EFC_70P, MAX(EFC_85P-AC_Chart_Background_Data[[#This Row],[X]],0))</f>
        <v>0</v>
      </c>
      <c r="AM237" s="151">
        <f>IF(AC_Chart_Background_Data[[#This Row],[X]] &lt; EFC_95P-EFC_85P, EFC_85P, MAX(EFC_95P-AC_Chart_Background_Data[[#This Row],[X]],0))</f>
        <v>0</v>
      </c>
      <c r="AN237" s="151">
        <f>IF(AC_Chart_Background_Data[[#This Row],[X]] &lt; EFC_99P-EFC_95P, EFC_95P, MAX(EFC_99P-AC_Chart_Background_Data[[#This Row],[X]],0))</f>
        <v>0</v>
      </c>
      <c r="AO237" s="151">
        <f t="shared" si="10"/>
        <v>170</v>
      </c>
      <c r="BA237" s="8"/>
    </row>
    <row r="238" spans="36:53" x14ac:dyDescent="0.25">
      <c r="AJ238" s="150">
        <f t="shared" si="11"/>
        <v>234</v>
      </c>
      <c r="AK238" s="151">
        <f>IF(AC_Chart_Background_Data[[#This Row],[X]] &lt; EFC_70P-EFC_50P, EFC_50P, MAX(EFC_70P-AC_Chart_Background_Data[[#This Row],[X]],0))</f>
        <v>0</v>
      </c>
      <c r="AL238" s="151">
        <f>IF(AC_Chart_Background_Data[[#This Row],[X]] &lt; EFC_85P-EFC_70P, EFC_70P, MAX(EFC_85P-AC_Chart_Background_Data[[#This Row],[X]],0))</f>
        <v>0</v>
      </c>
      <c r="AM238" s="151">
        <f>IF(AC_Chart_Background_Data[[#This Row],[X]] &lt; EFC_95P-EFC_85P, EFC_85P, MAX(EFC_95P-AC_Chart_Background_Data[[#This Row],[X]],0))</f>
        <v>0</v>
      </c>
      <c r="AN238" s="151">
        <f>IF(AC_Chart_Background_Data[[#This Row],[X]] &lt; EFC_99P-EFC_95P, EFC_95P, MAX(EFC_99P-AC_Chart_Background_Data[[#This Row],[X]],0))</f>
        <v>0</v>
      </c>
      <c r="AO238" s="151">
        <f t="shared" si="10"/>
        <v>170</v>
      </c>
      <c r="BA238" s="8"/>
    </row>
    <row r="239" spans="36:53" x14ac:dyDescent="0.25">
      <c r="AJ239" s="150">
        <f t="shared" si="11"/>
        <v>235</v>
      </c>
      <c r="AK239" s="151">
        <f>IF(AC_Chart_Background_Data[[#This Row],[X]] &lt; EFC_70P-EFC_50P, EFC_50P, MAX(EFC_70P-AC_Chart_Background_Data[[#This Row],[X]],0))</f>
        <v>0</v>
      </c>
      <c r="AL239" s="151">
        <f>IF(AC_Chart_Background_Data[[#This Row],[X]] &lt; EFC_85P-EFC_70P, EFC_70P, MAX(EFC_85P-AC_Chart_Background_Data[[#This Row],[X]],0))</f>
        <v>0</v>
      </c>
      <c r="AM239" s="151">
        <f>IF(AC_Chart_Background_Data[[#This Row],[X]] &lt; EFC_95P-EFC_85P, EFC_85P, MAX(EFC_95P-AC_Chart_Background_Data[[#This Row],[X]],0))</f>
        <v>0</v>
      </c>
      <c r="AN239" s="151">
        <f>IF(AC_Chart_Background_Data[[#This Row],[X]] &lt; EFC_99P-EFC_95P, EFC_95P, MAX(EFC_99P-AC_Chart_Background_Data[[#This Row],[X]],0))</f>
        <v>0</v>
      </c>
      <c r="AO239" s="151">
        <f t="shared" si="10"/>
        <v>170</v>
      </c>
      <c r="BA239" s="8"/>
    </row>
    <row r="240" spans="36:53" x14ac:dyDescent="0.25">
      <c r="AJ240" s="150">
        <f t="shared" si="11"/>
        <v>236</v>
      </c>
      <c r="AK240" s="151">
        <f>IF(AC_Chart_Background_Data[[#This Row],[X]] &lt; EFC_70P-EFC_50P, EFC_50P, MAX(EFC_70P-AC_Chart_Background_Data[[#This Row],[X]],0))</f>
        <v>0</v>
      </c>
      <c r="AL240" s="151">
        <f>IF(AC_Chart_Background_Data[[#This Row],[X]] &lt; EFC_85P-EFC_70P, EFC_70P, MAX(EFC_85P-AC_Chart_Background_Data[[#This Row],[X]],0))</f>
        <v>0</v>
      </c>
      <c r="AM240" s="151">
        <f>IF(AC_Chart_Background_Data[[#This Row],[X]] &lt; EFC_95P-EFC_85P, EFC_85P, MAX(EFC_95P-AC_Chart_Background_Data[[#This Row],[X]],0))</f>
        <v>0</v>
      </c>
      <c r="AN240" s="151">
        <f>IF(AC_Chart_Background_Data[[#This Row],[X]] &lt; EFC_99P-EFC_95P, EFC_95P, MAX(EFC_99P-AC_Chart_Background_Data[[#This Row],[X]],0))</f>
        <v>0</v>
      </c>
      <c r="AO240" s="151">
        <f t="shared" si="10"/>
        <v>170</v>
      </c>
      <c r="BA240" s="8"/>
    </row>
    <row r="241" spans="36:53" x14ac:dyDescent="0.25">
      <c r="AJ241" s="150">
        <f t="shared" si="11"/>
        <v>237</v>
      </c>
      <c r="AK241" s="151">
        <f>IF(AC_Chart_Background_Data[[#This Row],[X]] &lt; EFC_70P-EFC_50P, EFC_50P, MAX(EFC_70P-AC_Chart_Background_Data[[#This Row],[X]],0))</f>
        <v>0</v>
      </c>
      <c r="AL241" s="151">
        <f>IF(AC_Chart_Background_Data[[#This Row],[X]] &lt; EFC_85P-EFC_70P, EFC_70P, MAX(EFC_85P-AC_Chart_Background_Data[[#This Row],[X]],0))</f>
        <v>0</v>
      </c>
      <c r="AM241" s="151">
        <f>IF(AC_Chart_Background_Data[[#This Row],[X]] &lt; EFC_95P-EFC_85P, EFC_85P, MAX(EFC_95P-AC_Chart_Background_Data[[#This Row],[X]],0))</f>
        <v>0</v>
      </c>
      <c r="AN241" s="151">
        <f>IF(AC_Chart_Background_Data[[#This Row],[X]] &lt; EFC_99P-EFC_95P, EFC_95P, MAX(EFC_99P-AC_Chart_Background_Data[[#This Row],[X]],0))</f>
        <v>0</v>
      </c>
      <c r="AO241" s="151">
        <f t="shared" si="10"/>
        <v>170</v>
      </c>
      <c r="BA241" s="8"/>
    </row>
    <row r="242" spans="36:53" x14ac:dyDescent="0.25">
      <c r="AJ242" s="150">
        <f t="shared" si="11"/>
        <v>238</v>
      </c>
      <c r="AK242" s="151">
        <f>IF(AC_Chart_Background_Data[[#This Row],[X]] &lt; EFC_70P-EFC_50P, EFC_50P, MAX(EFC_70P-AC_Chart_Background_Data[[#This Row],[X]],0))</f>
        <v>0</v>
      </c>
      <c r="AL242" s="151">
        <f>IF(AC_Chart_Background_Data[[#This Row],[X]] &lt; EFC_85P-EFC_70P, EFC_70P, MAX(EFC_85P-AC_Chart_Background_Data[[#This Row],[X]],0))</f>
        <v>0</v>
      </c>
      <c r="AM242" s="151">
        <f>IF(AC_Chart_Background_Data[[#This Row],[X]] &lt; EFC_95P-EFC_85P, EFC_85P, MAX(EFC_95P-AC_Chart_Background_Data[[#This Row],[X]],0))</f>
        <v>0</v>
      </c>
      <c r="AN242" s="151">
        <f>IF(AC_Chart_Background_Data[[#This Row],[X]] &lt; EFC_99P-EFC_95P, EFC_95P, MAX(EFC_99P-AC_Chart_Background_Data[[#This Row],[X]],0))</f>
        <v>0</v>
      </c>
      <c r="AO242" s="151">
        <f t="shared" si="10"/>
        <v>170</v>
      </c>
      <c r="BA242" s="8"/>
    </row>
    <row r="243" spans="36:53" x14ac:dyDescent="0.25">
      <c r="AJ243" s="150">
        <f t="shared" si="11"/>
        <v>239</v>
      </c>
      <c r="AK243" s="151">
        <f>IF(AC_Chart_Background_Data[[#This Row],[X]] &lt; EFC_70P-EFC_50P, EFC_50P, MAX(EFC_70P-AC_Chart_Background_Data[[#This Row],[X]],0))</f>
        <v>0</v>
      </c>
      <c r="AL243" s="151">
        <f>IF(AC_Chart_Background_Data[[#This Row],[X]] &lt; EFC_85P-EFC_70P, EFC_70P, MAX(EFC_85P-AC_Chart_Background_Data[[#This Row],[X]],0))</f>
        <v>0</v>
      </c>
      <c r="AM243" s="151">
        <f>IF(AC_Chart_Background_Data[[#This Row],[X]] &lt; EFC_95P-EFC_85P, EFC_85P, MAX(EFC_95P-AC_Chart_Background_Data[[#This Row],[X]],0))</f>
        <v>0</v>
      </c>
      <c r="AN243" s="151">
        <f>IF(AC_Chart_Background_Data[[#This Row],[X]] &lt; EFC_99P-EFC_95P, EFC_95P, MAX(EFC_99P-AC_Chart_Background_Data[[#This Row],[X]],0))</f>
        <v>0</v>
      </c>
      <c r="AO243" s="151">
        <f t="shared" si="10"/>
        <v>170</v>
      </c>
      <c r="BA243" s="8"/>
    </row>
    <row r="244" spans="36:53" x14ac:dyDescent="0.25">
      <c r="AJ244" s="150">
        <f t="shared" si="11"/>
        <v>240</v>
      </c>
      <c r="AK244" s="151">
        <f>IF(AC_Chart_Background_Data[[#This Row],[X]] &lt; EFC_70P-EFC_50P, EFC_50P, MAX(EFC_70P-AC_Chart_Background_Data[[#This Row],[X]],0))</f>
        <v>0</v>
      </c>
      <c r="AL244" s="151">
        <f>IF(AC_Chart_Background_Data[[#This Row],[X]] &lt; EFC_85P-EFC_70P, EFC_70P, MAX(EFC_85P-AC_Chart_Background_Data[[#This Row],[X]],0))</f>
        <v>0</v>
      </c>
      <c r="AM244" s="151">
        <f>IF(AC_Chart_Background_Data[[#This Row],[X]] &lt; EFC_95P-EFC_85P, EFC_85P, MAX(EFC_95P-AC_Chart_Background_Data[[#This Row],[X]],0))</f>
        <v>0</v>
      </c>
      <c r="AN244" s="151">
        <f>IF(AC_Chart_Background_Data[[#This Row],[X]] &lt; EFC_99P-EFC_95P, EFC_95P, MAX(EFC_99P-AC_Chart_Background_Data[[#This Row],[X]],0))</f>
        <v>0</v>
      </c>
      <c r="AO244" s="151">
        <f t="shared" si="10"/>
        <v>170</v>
      </c>
      <c r="BA244" s="8"/>
    </row>
    <row r="245" spans="36:53" x14ac:dyDescent="0.25">
      <c r="AJ245" s="150">
        <f t="shared" si="11"/>
        <v>241</v>
      </c>
      <c r="AK245" s="151">
        <f>IF(AC_Chart_Background_Data[[#This Row],[X]] &lt; EFC_70P-EFC_50P, EFC_50P, MAX(EFC_70P-AC_Chart_Background_Data[[#This Row],[X]],0))</f>
        <v>0</v>
      </c>
      <c r="AL245" s="151">
        <f>IF(AC_Chart_Background_Data[[#This Row],[X]] &lt; EFC_85P-EFC_70P, EFC_70P, MAX(EFC_85P-AC_Chart_Background_Data[[#This Row],[X]],0))</f>
        <v>0</v>
      </c>
      <c r="AM245" s="151">
        <f>IF(AC_Chart_Background_Data[[#This Row],[X]] &lt; EFC_95P-EFC_85P, EFC_85P, MAX(EFC_95P-AC_Chart_Background_Data[[#This Row],[X]],0))</f>
        <v>0</v>
      </c>
      <c r="AN245" s="151">
        <f>IF(AC_Chart_Background_Data[[#This Row],[X]] &lt; EFC_99P-EFC_95P, EFC_95P, MAX(EFC_99P-AC_Chart_Background_Data[[#This Row],[X]],0))</f>
        <v>0</v>
      </c>
      <c r="AO245" s="151">
        <f t="shared" si="10"/>
        <v>170</v>
      </c>
      <c r="BA245" s="8"/>
    </row>
    <row r="246" spans="36:53" x14ac:dyDescent="0.25">
      <c r="AJ246" s="150">
        <f t="shared" si="11"/>
        <v>242</v>
      </c>
      <c r="AK246" s="151">
        <f>IF(AC_Chart_Background_Data[[#This Row],[X]] &lt; EFC_70P-EFC_50P, EFC_50P, MAX(EFC_70P-AC_Chart_Background_Data[[#This Row],[X]],0))</f>
        <v>0</v>
      </c>
      <c r="AL246" s="151">
        <f>IF(AC_Chart_Background_Data[[#This Row],[X]] &lt; EFC_85P-EFC_70P, EFC_70P, MAX(EFC_85P-AC_Chart_Background_Data[[#This Row],[X]],0))</f>
        <v>0</v>
      </c>
      <c r="AM246" s="151">
        <f>IF(AC_Chart_Background_Data[[#This Row],[X]] &lt; EFC_95P-EFC_85P, EFC_85P, MAX(EFC_95P-AC_Chart_Background_Data[[#This Row],[X]],0))</f>
        <v>0</v>
      </c>
      <c r="AN246" s="151">
        <f>IF(AC_Chart_Background_Data[[#This Row],[X]] &lt; EFC_99P-EFC_95P, EFC_95P, MAX(EFC_99P-AC_Chart_Background_Data[[#This Row],[X]],0))</f>
        <v>0</v>
      </c>
      <c r="AO246" s="151">
        <f t="shared" si="10"/>
        <v>170</v>
      </c>
      <c r="BA246" s="8"/>
    </row>
    <row r="247" spans="36:53" x14ac:dyDescent="0.25">
      <c r="AJ247" s="150">
        <f t="shared" si="11"/>
        <v>243</v>
      </c>
      <c r="AK247" s="151">
        <f>IF(AC_Chart_Background_Data[[#This Row],[X]] &lt; EFC_70P-EFC_50P, EFC_50P, MAX(EFC_70P-AC_Chart_Background_Data[[#This Row],[X]],0))</f>
        <v>0</v>
      </c>
      <c r="AL247" s="151">
        <f>IF(AC_Chart_Background_Data[[#This Row],[X]] &lt; EFC_85P-EFC_70P, EFC_70P, MAX(EFC_85P-AC_Chart_Background_Data[[#This Row],[X]],0))</f>
        <v>0</v>
      </c>
      <c r="AM247" s="151">
        <f>IF(AC_Chart_Background_Data[[#This Row],[X]] &lt; EFC_95P-EFC_85P, EFC_85P, MAX(EFC_95P-AC_Chart_Background_Data[[#This Row],[X]],0))</f>
        <v>0</v>
      </c>
      <c r="AN247" s="151">
        <f>IF(AC_Chart_Background_Data[[#This Row],[X]] &lt; EFC_99P-EFC_95P, EFC_95P, MAX(EFC_99P-AC_Chart_Background_Data[[#This Row],[X]],0))</f>
        <v>0</v>
      </c>
      <c r="AO247" s="151">
        <f t="shared" si="10"/>
        <v>170</v>
      </c>
      <c r="BA247" s="8"/>
    </row>
    <row r="248" spans="36:53" x14ac:dyDescent="0.25">
      <c r="AJ248" s="150">
        <f t="shared" si="11"/>
        <v>244</v>
      </c>
      <c r="AK248" s="151">
        <f>IF(AC_Chart_Background_Data[[#This Row],[X]] &lt; EFC_70P-EFC_50P, EFC_50P, MAX(EFC_70P-AC_Chart_Background_Data[[#This Row],[X]],0))</f>
        <v>0</v>
      </c>
      <c r="AL248" s="151">
        <f>IF(AC_Chart_Background_Data[[#This Row],[X]] &lt; EFC_85P-EFC_70P, EFC_70P, MAX(EFC_85P-AC_Chart_Background_Data[[#This Row],[X]],0))</f>
        <v>0</v>
      </c>
      <c r="AM248" s="151">
        <f>IF(AC_Chart_Background_Data[[#This Row],[X]] &lt; EFC_95P-EFC_85P, EFC_85P, MAX(EFC_95P-AC_Chart_Background_Data[[#This Row],[X]],0))</f>
        <v>0</v>
      </c>
      <c r="AN248" s="151">
        <f>IF(AC_Chart_Background_Data[[#This Row],[X]] &lt; EFC_99P-EFC_95P, EFC_95P, MAX(EFC_99P-AC_Chart_Background_Data[[#This Row],[X]],0))</f>
        <v>0</v>
      </c>
      <c r="AO248" s="151">
        <f t="shared" si="10"/>
        <v>170</v>
      </c>
      <c r="BA248" s="8"/>
    </row>
    <row r="249" spans="36:53" x14ac:dyDescent="0.25">
      <c r="AJ249" s="150">
        <f t="shared" si="11"/>
        <v>245</v>
      </c>
      <c r="AK249" s="151">
        <f>IF(AC_Chart_Background_Data[[#This Row],[X]] &lt; EFC_70P-EFC_50P, EFC_50P, MAX(EFC_70P-AC_Chart_Background_Data[[#This Row],[X]],0))</f>
        <v>0</v>
      </c>
      <c r="AL249" s="151">
        <f>IF(AC_Chart_Background_Data[[#This Row],[X]] &lt; EFC_85P-EFC_70P, EFC_70P, MAX(EFC_85P-AC_Chart_Background_Data[[#This Row],[X]],0))</f>
        <v>0</v>
      </c>
      <c r="AM249" s="151">
        <f>IF(AC_Chart_Background_Data[[#This Row],[X]] &lt; EFC_95P-EFC_85P, EFC_85P, MAX(EFC_95P-AC_Chart_Background_Data[[#This Row],[X]],0))</f>
        <v>0</v>
      </c>
      <c r="AN249" s="151">
        <f>IF(AC_Chart_Background_Data[[#This Row],[X]] &lt; EFC_99P-EFC_95P, EFC_95P, MAX(EFC_99P-AC_Chart_Background_Data[[#This Row],[X]],0))</f>
        <v>0</v>
      </c>
      <c r="AO249" s="151">
        <f t="shared" si="10"/>
        <v>170</v>
      </c>
      <c r="BA249" s="8"/>
    </row>
    <row r="250" spans="36:53" x14ac:dyDescent="0.25">
      <c r="AJ250" s="150">
        <f t="shared" si="11"/>
        <v>246</v>
      </c>
      <c r="AK250" s="151">
        <f>IF(AC_Chart_Background_Data[[#This Row],[X]] &lt; EFC_70P-EFC_50P, EFC_50P, MAX(EFC_70P-AC_Chart_Background_Data[[#This Row],[X]],0))</f>
        <v>0</v>
      </c>
      <c r="AL250" s="151">
        <f>IF(AC_Chart_Background_Data[[#This Row],[X]] &lt; EFC_85P-EFC_70P, EFC_70P, MAX(EFC_85P-AC_Chart_Background_Data[[#This Row],[X]],0))</f>
        <v>0</v>
      </c>
      <c r="AM250" s="151">
        <f>IF(AC_Chart_Background_Data[[#This Row],[X]] &lt; EFC_95P-EFC_85P, EFC_85P, MAX(EFC_95P-AC_Chart_Background_Data[[#This Row],[X]],0))</f>
        <v>0</v>
      </c>
      <c r="AN250" s="151">
        <f>IF(AC_Chart_Background_Data[[#This Row],[X]] &lt; EFC_99P-EFC_95P, EFC_95P, MAX(EFC_99P-AC_Chart_Background_Data[[#This Row],[X]],0))</f>
        <v>0</v>
      </c>
      <c r="AO250" s="151">
        <f t="shared" si="10"/>
        <v>170</v>
      </c>
      <c r="BA250" s="8"/>
    </row>
    <row r="251" spans="36:53" x14ac:dyDescent="0.25">
      <c r="AJ251" s="150">
        <f t="shared" si="11"/>
        <v>247</v>
      </c>
      <c r="AK251" s="151">
        <f>IF(AC_Chart_Background_Data[[#This Row],[X]] &lt; EFC_70P-EFC_50P, EFC_50P, MAX(EFC_70P-AC_Chart_Background_Data[[#This Row],[X]],0))</f>
        <v>0</v>
      </c>
      <c r="AL251" s="151">
        <f>IF(AC_Chart_Background_Data[[#This Row],[X]] &lt; EFC_85P-EFC_70P, EFC_70P, MAX(EFC_85P-AC_Chart_Background_Data[[#This Row],[X]],0))</f>
        <v>0</v>
      </c>
      <c r="AM251" s="151">
        <f>IF(AC_Chart_Background_Data[[#This Row],[X]] &lt; EFC_95P-EFC_85P, EFC_85P, MAX(EFC_95P-AC_Chart_Background_Data[[#This Row],[X]],0))</f>
        <v>0</v>
      </c>
      <c r="AN251" s="151">
        <f>IF(AC_Chart_Background_Data[[#This Row],[X]] &lt; EFC_99P-EFC_95P, EFC_95P, MAX(EFC_99P-AC_Chart_Background_Data[[#This Row],[X]],0))</f>
        <v>0</v>
      </c>
      <c r="AO251" s="151">
        <f t="shared" si="10"/>
        <v>170</v>
      </c>
      <c r="BA251" s="8"/>
    </row>
    <row r="252" spans="36:53" x14ac:dyDescent="0.25">
      <c r="AJ252" s="150">
        <f t="shared" si="11"/>
        <v>248</v>
      </c>
      <c r="AK252" s="151">
        <f>IF(AC_Chart_Background_Data[[#This Row],[X]] &lt; EFC_70P-EFC_50P, EFC_50P, MAX(EFC_70P-AC_Chart_Background_Data[[#This Row],[X]],0))</f>
        <v>0</v>
      </c>
      <c r="AL252" s="151">
        <f>IF(AC_Chart_Background_Data[[#This Row],[X]] &lt; EFC_85P-EFC_70P, EFC_70P, MAX(EFC_85P-AC_Chart_Background_Data[[#This Row],[X]],0))</f>
        <v>0</v>
      </c>
      <c r="AM252" s="151">
        <f>IF(AC_Chart_Background_Data[[#This Row],[X]] &lt; EFC_95P-EFC_85P, EFC_85P, MAX(EFC_95P-AC_Chart_Background_Data[[#This Row],[X]],0))</f>
        <v>0</v>
      </c>
      <c r="AN252" s="151">
        <f>IF(AC_Chart_Background_Data[[#This Row],[X]] &lt; EFC_99P-EFC_95P, EFC_95P, MAX(EFC_99P-AC_Chart_Background_Data[[#This Row],[X]],0))</f>
        <v>0</v>
      </c>
      <c r="AO252" s="151">
        <f t="shared" si="10"/>
        <v>170</v>
      </c>
      <c r="BA252" s="8"/>
    </row>
    <row r="253" spans="36:53" x14ac:dyDescent="0.25">
      <c r="AJ253" s="150">
        <f t="shared" si="11"/>
        <v>249</v>
      </c>
      <c r="AK253" s="151">
        <f>IF(AC_Chart_Background_Data[[#This Row],[X]] &lt; EFC_70P-EFC_50P, EFC_50P, MAX(EFC_70P-AC_Chart_Background_Data[[#This Row],[X]],0))</f>
        <v>0</v>
      </c>
      <c r="AL253" s="151">
        <f>IF(AC_Chart_Background_Data[[#This Row],[X]] &lt; EFC_85P-EFC_70P, EFC_70P, MAX(EFC_85P-AC_Chart_Background_Data[[#This Row],[X]],0))</f>
        <v>0</v>
      </c>
      <c r="AM253" s="151">
        <f>IF(AC_Chart_Background_Data[[#This Row],[X]] &lt; EFC_95P-EFC_85P, EFC_85P, MAX(EFC_95P-AC_Chart_Background_Data[[#This Row],[X]],0))</f>
        <v>0</v>
      </c>
      <c r="AN253" s="151">
        <f>IF(AC_Chart_Background_Data[[#This Row],[X]] &lt; EFC_99P-EFC_95P, EFC_95P, MAX(EFC_99P-AC_Chart_Background_Data[[#This Row],[X]],0))</f>
        <v>0</v>
      </c>
      <c r="AO253" s="151">
        <f t="shared" si="10"/>
        <v>170</v>
      </c>
      <c r="BA253" s="8"/>
    </row>
    <row r="254" spans="36:53" x14ac:dyDescent="0.25">
      <c r="AJ254" s="150">
        <f t="shared" si="11"/>
        <v>250</v>
      </c>
      <c r="AK254" s="151">
        <f>IF(AC_Chart_Background_Data[[#This Row],[X]] &lt; EFC_70P-EFC_50P, EFC_50P, MAX(EFC_70P-AC_Chart_Background_Data[[#This Row],[X]],0))</f>
        <v>0</v>
      </c>
      <c r="AL254" s="151">
        <f>IF(AC_Chart_Background_Data[[#This Row],[X]] &lt; EFC_85P-EFC_70P, EFC_70P, MAX(EFC_85P-AC_Chart_Background_Data[[#This Row],[X]],0))</f>
        <v>0</v>
      </c>
      <c r="AM254" s="151">
        <f>IF(AC_Chart_Background_Data[[#This Row],[X]] &lt; EFC_95P-EFC_85P, EFC_85P, MAX(EFC_95P-AC_Chart_Background_Data[[#This Row],[X]],0))</f>
        <v>0</v>
      </c>
      <c r="AN254" s="151">
        <f>IF(AC_Chart_Background_Data[[#This Row],[X]] &lt; EFC_99P-EFC_95P, EFC_95P, MAX(EFC_99P-AC_Chart_Background_Data[[#This Row],[X]],0))</f>
        <v>0</v>
      </c>
      <c r="AO254" s="151">
        <f t="shared" si="10"/>
        <v>170</v>
      </c>
      <c r="BA254" s="8"/>
    </row>
    <row r="255" spans="36:53" x14ac:dyDescent="0.25">
      <c r="AJ255" s="150">
        <f t="shared" si="11"/>
        <v>251</v>
      </c>
      <c r="AK255" s="151">
        <f>IF(AC_Chart_Background_Data[[#This Row],[X]] &lt; EFC_70P-EFC_50P, EFC_50P, MAX(EFC_70P-AC_Chart_Background_Data[[#This Row],[X]],0))</f>
        <v>0</v>
      </c>
      <c r="AL255" s="151">
        <f>IF(AC_Chart_Background_Data[[#This Row],[X]] &lt; EFC_85P-EFC_70P, EFC_70P, MAX(EFC_85P-AC_Chart_Background_Data[[#This Row],[X]],0))</f>
        <v>0</v>
      </c>
      <c r="AM255" s="151">
        <f>IF(AC_Chart_Background_Data[[#This Row],[X]] &lt; EFC_95P-EFC_85P, EFC_85P, MAX(EFC_95P-AC_Chart_Background_Data[[#This Row],[X]],0))</f>
        <v>0</v>
      </c>
      <c r="AN255" s="151">
        <f>IF(AC_Chart_Background_Data[[#This Row],[X]] &lt; EFC_99P-EFC_95P, EFC_95P, MAX(EFC_99P-AC_Chart_Background_Data[[#This Row],[X]],0))</f>
        <v>0</v>
      </c>
      <c r="AO255" s="151">
        <f t="shared" si="10"/>
        <v>170</v>
      </c>
      <c r="BA255" s="8"/>
    </row>
    <row r="256" spans="36:53" x14ac:dyDescent="0.25">
      <c r="AJ256" s="150">
        <f t="shared" si="11"/>
        <v>252</v>
      </c>
      <c r="AK256" s="151">
        <f>IF(AC_Chart_Background_Data[[#This Row],[X]] &lt; EFC_70P-EFC_50P, EFC_50P, MAX(EFC_70P-AC_Chart_Background_Data[[#This Row],[X]],0))</f>
        <v>0</v>
      </c>
      <c r="AL256" s="151">
        <f>IF(AC_Chart_Background_Data[[#This Row],[X]] &lt; EFC_85P-EFC_70P, EFC_70P, MAX(EFC_85P-AC_Chart_Background_Data[[#This Row],[X]],0))</f>
        <v>0</v>
      </c>
      <c r="AM256" s="151">
        <f>IF(AC_Chart_Background_Data[[#This Row],[X]] &lt; EFC_95P-EFC_85P, EFC_85P, MAX(EFC_95P-AC_Chart_Background_Data[[#This Row],[X]],0))</f>
        <v>0</v>
      </c>
      <c r="AN256" s="151">
        <f>IF(AC_Chart_Background_Data[[#This Row],[X]] &lt; EFC_99P-EFC_95P, EFC_95P, MAX(EFC_99P-AC_Chart_Background_Data[[#This Row],[X]],0))</f>
        <v>0</v>
      </c>
      <c r="AO256" s="151">
        <f t="shared" si="10"/>
        <v>170</v>
      </c>
      <c r="BA256" s="8"/>
    </row>
    <row r="257" spans="36:53" x14ac:dyDescent="0.25">
      <c r="AJ257" s="150">
        <f t="shared" si="11"/>
        <v>253</v>
      </c>
      <c r="AK257" s="151">
        <f>IF(AC_Chart_Background_Data[[#This Row],[X]] &lt; EFC_70P-EFC_50P, EFC_50P, MAX(EFC_70P-AC_Chart_Background_Data[[#This Row],[X]],0))</f>
        <v>0</v>
      </c>
      <c r="AL257" s="151">
        <f>IF(AC_Chart_Background_Data[[#This Row],[X]] &lt; EFC_85P-EFC_70P, EFC_70P, MAX(EFC_85P-AC_Chart_Background_Data[[#This Row],[X]],0))</f>
        <v>0</v>
      </c>
      <c r="AM257" s="151">
        <f>IF(AC_Chart_Background_Data[[#This Row],[X]] &lt; EFC_95P-EFC_85P, EFC_85P, MAX(EFC_95P-AC_Chart_Background_Data[[#This Row],[X]],0))</f>
        <v>0</v>
      </c>
      <c r="AN257" s="151">
        <f>IF(AC_Chart_Background_Data[[#This Row],[X]] &lt; EFC_99P-EFC_95P, EFC_95P, MAX(EFC_99P-AC_Chart_Background_Data[[#This Row],[X]],0))</f>
        <v>0</v>
      </c>
      <c r="AO257" s="151">
        <f t="shared" si="10"/>
        <v>170</v>
      </c>
      <c r="BA257" s="8"/>
    </row>
    <row r="258" spans="36:53" x14ac:dyDescent="0.25">
      <c r="AJ258" s="150">
        <f t="shared" si="11"/>
        <v>254</v>
      </c>
      <c r="AK258" s="151">
        <f>IF(AC_Chart_Background_Data[[#This Row],[X]] &lt; EFC_70P-EFC_50P, EFC_50P, MAX(EFC_70P-AC_Chart_Background_Data[[#This Row],[X]],0))</f>
        <v>0</v>
      </c>
      <c r="AL258" s="151">
        <f>IF(AC_Chart_Background_Data[[#This Row],[X]] &lt; EFC_85P-EFC_70P, EFC_70P, MAX(EFC_85P-AC_Chart_Background_Data[[#This Row],[X]],0))</f>
        <v>0</v>
      </c>
      <c r="AM258" s="151">
        <f>IF(AC_Chart_Background_Data[[#This Row],[X]] &lt; EFC_95P-EFC_85P, EFC_85P, MAX(EFC_95P-AC_Chart_Background_Data[[#This Row],[X]],0))</f>
        <v>0</v>
      </c>
      <c r="AN258" s="151">
        <f>IF(AC_Chart_Background_Data[[#This Row],[X]] &lt; EFC_99P-EFC_95P, EFC_95P, MAX(EFC_99P-AC_Chart_Background_Data[[#This Row],[X]],0))</f>
        <v>0</v>
      </c>
      <c r="AO258" s="151">
        <f t="shared" si="10"/>
        <v>170</v>
      </c>
      <c r="BA258" s="8"/>
    </row>
    <row r="259" spans="36:53" x14ac:dyDescent="0.25">
      <c r="AJ259" s="150">
        <f t="shared" si="11"/>
        <v>255</v>
      </c>
      <c r="AK259" s="151">
        <f>IF(AC_Chart_Background_Data[[#This Row],[X]] &lt; EFC_70P-EFC_50P, EFC_50P, MAX(EFC_70P-AC_Chart_Background_Data[[#This Row],[X]],0))</f>
        <v>0</v>
      </c>
      <c r="AL259" s="151">
        <f>IF(AC_Chart_Background_Data[[#This Row],[X]] &lt; EFC_85P-EFC_70P, EFC_70P, MAX(EFC_85P-AC_Chart_Background_Data[[#This Row],[X]],0))</f>
        <v>0</v>
      </c>
      <c r="AM259" s="151">
        <f>IF(AC_Chart_Background_Data[[#This Row],[X]] &lt; EFC_95P-EFC_85P, EFC_85P, MAX(EFC_95P-AC_Chart_Background_Data[[#This Row],[X]],0))</f>
        <v>0</v>
      </c>
      <c r="AN259" s="151">
        <f>IF(AC_Chart_Background_Data[[#This Row],[X]] &lt; EFC_99P-EFC_95P, EFC_95P, MAX(EFC_99P-AC_Chart_Background_Data[[#This Row],[X]],0))</f>
        <v>0</v>
      </c>
      <c r="AO259" s="151">
        <f t="shared" si="10"/>
        <v>170</v>
      </c>
      <c r="BA259" s="8"/>
    </row>
    <row r="260" spans="36:53" x14ac:dyDescent="0.25">
      <c r="AJ260" s="150">
        <f t="shared" si="11"/>
        <v>256</v>
      </c>
      <c r="AK260" s="151">
        <f>IF(AC_Chart_Background_Data[[#This Row],[X]] &lt; EFC_70P-EFC_50P, EFC_50P, MAX(EFC_70P-AC_Chart_Background_Data[[#This Row],[X]],0))</f>
        <v>0</v>
      </c>
      <c r="AL260" s="151">
        <f>IF(AC_Chart_Background_Data[[#This Row],[X]] &lt; EFC_85P-EFC_70P, EFC_70P, MAX(EFC_85P-AC_Chart_Background_Data[[#This Row],[X]],0))</f>
        <v>0</v>
      </c>
      <c r="AM260" s="151">
        <f>IF(AC_Chart_Background_Data[[#This Row],[X]] &lt; EFC_95P-EFC_85P, EFC_85P, MAX(EFC_95P-AC_Chart_Background_Data[[#This Row],[X]],0))</f>
        <v>0</v>
      </c>
      <c r="AN260" s="151">
        <f>IF(AC_Chart_Background_Data[[#This Row],[X]] &lt; EFC_99P-EFC_95P, EFC_95P, MAX(EFC_99P-AC_Chart_Background_Data[[#This Row],[X]],0))</f>
        <v>0</v>
      </c>
      <c r="AO260" s="151">
        <f t="shared" ref="AO260:AO304" si="12">AC_Ymax</f>
        <v>170</v>
      </c>
      <c r="BA260" s="8"/>
    </row>
    <row r="261" spans="36:53" x14ac:dyDescent="0.25">
      <c r="AJ261" s="150">
        <f t="shared" si="11"/>
        <v>257</v>
      </c>
      <c r="AK261" s="151">
        <f>IF(AC_Chart_Background_Data[[#This Row],[X]] &lt; EFC_70P-EFC_50P, EFC_50P, MAX(EFC_70P-AC_Chart_Background_Data[[#This Row],[X]],0))</f>
        <v>0</v>
      </c>
      <c r="AL261" s="151">
        <f>IF(AC_Chart_Background_Data[[#This Row],[X]] &lt; EFC_85P-EFC_70P, EFC_70P, MAX(EFC_85P-AC_Chart_Background_Data[[#This Row],[X]],0))</f>
        <v>0</v>
      </c>
      <c r="AM261" s="151">
        <f>IF(AC_Chart_Background_Data[[#This Row],[X]] &lt; EFC_95P-EFC_85P, EFC_85P, MAX(EFC_95P-AC_Chart_Background_Data[[#This Row],[X]],0))</f>
        <v>0</v>
      </c>
      <c r="AN261" s="151">
        <f>IF(AC_Chart_Background_Data[[#This Row],[X]] &lt; EFC_99P-EFC_95P, EFC_95P, MAX(EFC_99P-AC_Chart_Background_Data[[#This Row],[X]],0))</f>
        <v>0</v>
      </c>
      <c r="AO261" s="151">
        <f t="shared" si="12"/>
        <v>170</v>
      </c>
      <c r="BA261" s="8"/>
    </row>
    <row r="262" spans="36:53" x14ac:dyDescent="0.25">
      <c r="AJ262" s="150">
        <f t="shared" si="11"/>
        <v>258</v>
      </c>
      <c r="AK262" s="151">
        <f>IF(AC_Chart_Background_Data[[#This Row],[X]] &lt; EFC_70P-EFC_50P, EFC_50P, MAX(EFC_70P-AC_Chart_Background_Data[[#This Row],[X]],0))</f>
        <v>0</v>
      </c>
      <c r="AL262" s="151">
        <f>IF(AC_Chart_Background_Data[[#This Row],[X]] &lt; EFC_85P-EFC_70P, EFC_70P, MAX(EFC_85P-AC_Chart_Background_Data[[#This Row],[X]],0))</f>
        <v>0</v>
      </c>
      <c r="AM262" s="151">
        <f>IF(AC_Chart_Background_Data[[#This Row],[X]] &lt; EFC_95P-EFC_85P, EFC_85P, MAX(EFC_95P-AC_Chart_Background_Data[[#This Row],[X]],0))</f>
        <v>0</v>
      </c>
      <c r="AN262" s="151">
        <f>IF(AC_Chart_Background_Data[[#This Row],[X]] &lt; EFC_99P-EFC_95P, EFC_95P, MAX(EFC_99P-AC_Chart_Background_Data[[#This Row],[X]],0))</f>
        <v>0</v>
      </c>
      <c r="AO262" s="151">
        <f t="shared" si="12"/>
        <v>170</v>
      </c>
      <c r="BA262" s="8"/>
    </row>
    <row r="263" spans="36:53" x14ac:dyDescent="0.25">
      <c r="AJ263" s="150">
        <f t="shared" ref="AJ263:AJ304" si="13">AJ262+1</f>
        <v>259</v>
      </c>
      <c r="AK263" s="151">
        <f>IF(AC_Chart_Background_Data[[#This Row],[X]] &lt; EFC_70P-EFC_50P, EFC_50P, MAX(EFC_70P-AC_Chart_Background_Data[[#This Row],[X]],0))</f>
        <v>0</v>
      </c>
      <c r="AL263" s="151">
        <f>IF(AC_Chart_Background_Data[[#This Row],[X]] &lt; EFC_85P-EFC_70P, EFC_70P, MAX(EFC_85P-AC_Chart_Background_Data[[#This Row],[X]],0))</f>
        <v>0</v>
      </c>
      <c r="AM263" s="151">
        <f>IF(AC_Chart_Background_Data[[#This Row],[X]] &lt; EFC_95P-EFC_85P, EFC_85P, MAX(EFC_95P-AC_Chart_Background_Data[[#This Row],[X]],0))</f>
        <v>0</v>
      </c>
      <c r="AN263" s="151">
        <f>IF(AC_Chart_Background_Data[[#This Row],[X]] &lt; EFC_99P-EFC_95P, EFC_95P, MAX(EFC_99P-AC_Chart_Background_Data[[#This Row],[X]],0))</f>
        <v>0</v>
      </c>
      <c r="AO263" s="151">
        <f t="shared" si="12"/>
        <v>170</v>
      </c>
      <c r="BA263" s="8"/>
    </row>
    <row r="264" spans="36:53" x14ac:dyDescent="0.25">
      <c r="AJ264" s="150">
        <f t="shared" si="13"/>
        <v>260</v>
      </c>
      <c r="AK264" s="151">
        <f>IF(AC_Chart_Background_Data[[#This Row],[X]] &lt; EFC_70P-EFC_50P, EFC_50P, MAX(EFC_70P-AC_Chart_Background_Data[[#This Row],[X]],0))</f>
        <v>0</v>
      </c>
      <c r="AL264" s="151">
        <f>IF(AC_Chart_Background_Data[[#This Row],[X]] &lt; EFC_85P-EFC_70P, EFC_70P, MAX(EFC_85P-AC_Chart_Background_Data[[#This Row],[X]],0))</f>
        <v>0</v>
      </c>
      <c r="AM264" s="151">
        <f>IF(AC_Chart_Background_Data[[#This Row],[X]] &lt; EFC_95P-EFC_85P, EFC_85P, MAX(EFC_95P-AC_Chart_Background_Data[[#This Row],[X]],0))</f>
        <v>0</v>
      </c>
      <c r="AN264" s="151">
        <f>IF(AC_Chart_Background_Data[[#This Row],[X]] &lt; EFC_99P-EFC_95P, EFC_95P, MAX(EFC_99P-AC_Chart_Background_Data[[#This Row],[X]],0))</f>
        <v>0</v>
      </c>
      <c r="AO264" s="151">
        <f t="shared" si="12"/>
        <v>170</v>
      </c>
      <c r="BA264" s="8"/>
    </row>
    <row r="265" spans="36:53" x14ac:dyDescent="0.25">
      <c r="AJ265" s="150">
        <f t="shared" si="13"/>
        <v>261</v>
      </c>
      <c r="AK265" s="151">
        <f>IF(AC_Chart_Background_Data[[#This Row],[X]] &lt; EFC_70P-EFC_50P, EFC_50P, MAX(EFC_70P-AC_Chart_Background_Data[[#This Row],[X]],0))</f>
        <v>0</v>
      </c>
      <c r="AL265" s="151">
        <f>IF(AC_Chart_Background_Data[[#This Row],[X]] &lt; EFC_85P-EFC_70P, EFC_70P, MAX(EFC_85P-AC_Chart_Background_Data[[#This Row],[X]],0))</f>
        <v>0</v>
      </c>
      <c r="AM265" s="151">
        <f>IF(AC_Chart_Background_Data[[#This Row],[X]] &lt; EFC_95P-EFC_85P, EFC_85P, MAX(EFC_95P-AC_Chart_Background_Data[[#This Row],[X]],0))</f>
        <v>0</v>
      </c>
      <c r="AN265" s="151">
        <f>IF(AC_Chart_Background_Data[[#This Row],[X]] &lt; EFC_99P-EFC_95P, EFC_95P, MAX(EFC_99P-AC_Chart_Background_Data[[#This Row],[X]],0))</f>
        <v>0</v>
      </c>
      <c r="AO265" s="151">
        <f t="shared" si="12"/>
        <v>170</v>
      </c>
      <c r="BA265" s="8"/>
    </row>
    <row r="266" spans="36:53" x14ac:dyDescent="0.25">
      <c r="AJ266" s="150">
        <f t="shared" si="13"/>
        <v>262</v>
      </c>
      <c r="AK266" s="151">
        <f>IF(AC_Chart_Background_Data[[#This Row],[X]] &lt; EFC_70P-EFC_50P, EFC_50P, MAX(EFC_70P-AC_Chart_Background_Data[[#This Row],[X]],0))</f>
        <v>0</v>
      </c>
      <c r="AL266" s="151">
        <f>IF(AC_Chart_Background_Data[[#This Row],[X]] &lt; EFC_85P-EFC_70P, EFC_70P, MAX(EFC_85P-AC_Chart_Background_Data[[#This Row],[X]],0))</f>
        <v>0</v>
      </c>
      <c r="AM266" s="151">
        <f>IF(AC_Chart_Background_Data[[#This Row],[X]] &lt; EFC_95P-EFC_85P, EFC_85P, MAX(EFC_95P-AC_Chart_Background_Data[[#This Row],[X]],0))</f>
        <v>0</v>
      </c>
      <c r="AN266" s="151">
        <f>IF(AC_Chart_Background_Data[[#This Row],[X]] &lt; EFC_99P-EFC_95P, EFC_95P, MAX(EFC_99P-AC_Chart_Background_Data[[#This Row],[X]],0))</f>
        <v>0</v>
      </c>
      <c r="AO266" s="151">
        <f t="shared" si="12"/>
        <v>170</v>
      </c>
      <c r="BA266" s="8"/>
    </row>
    <row r="267" spans="36:53" x14ac:dyDescent="0.25">
      <c r="AJ267" s="150">
        <f t="shared" si="13"/>
        <v>263</v>
      </c>
      <c r="AK267" s="151">
        <f>IF(AC_Chart_Background_Data[[#This Row],[X]] &lt; EFC_70P-EFC_50P, EFC_50P, MAX(EFC_70P-AC_Chart_Background_Data[[#This Row],[X]],0))</f>
        <v>0</v>
      </c>
      <c r="AL267" s="151">
        <f>IF(AC_Chart_Background_Data[[#This Row],[X]] &lt; EFC_85P-EFC_70P, EFC_70P, MAX(EFC_85P-AC_Chart_Background_Data[[#This Row],[X]],0))</f>
        <v>0</v>
      </c>
      <c r="AM267" s="151">
        <f>IF(AC_Chart_Background_Data[[#This Row],[X]] &lt; EFC_95P-EFC_85P, EFC_85P, MAX(EFC_95P-AC_Chart_Background_Data[[#This Row],[X]],0))</f>
        <v>0</v>
      </c>
      <c r="AN267" s="151">
        <f>IF(AC_Chart_Background_Data[[#This Row],[X]] &lt; EFC_99P-EFC_95P, EFC_95P, MAX(EFC_99P-AC_Chart_Background_Data[[#This Row],[X]],0))</f>
        <v>0</v>
      </c>
      <c r="AO267" s="151">
        <f t="shared" si="12"/>
        <v>170</v>
      </c>
      <c r="BA267" s="8"/>
    </row>
    <row r="268" spans="36:53" x14ac:dyDescent="0.25">
      <c r="AJ268" s="150">
        <f t="shared" si="13"/>
        <v>264</v>
      </c>
      <c r="AK268" s="151">
        <f>IF(AC_Chart_Background_Data[[#This Row],[X]] &lt; EFC_70P-EFC_50P, EFC_50P, MAX(EFC_70P-AC_Chart_Background_Data[[#This Row],[X]],0))</f>
        <v>0</v>
      </c>
      <c r="AL268" s="151">
        <f>IF(AC_Chart_Background_Data[[#This Row],[X]] &lt; EFC_85P-EFC_70P, EFC_70P, MAX(EFC_85P-AC_Chart_Background_Data[[#This Row],[X]],0))</f>
        <v>0</v>
      </c>
      <c r="AM268" s="151">
        <f>IF(AC_Chart_Background_Data[[#This Row],[X]] &lt; EFC_95P-EFC_85P, EFC_85P, MAX(EFC_95P-AC_Chart_Background_Data[[#This Row],[X]],0))</f>
        <v>0</v>
      </c>
      <c r="AN268" s="151">
        <f>IF(AC_Chart_Background_Data[[#This Row],[X]] &lt; EFC_99P-EFC_95P, EFC_95P, MAX(EFC_99P-AC_Chart_Background_Data[[#This Row],[X]],0))</f>
        <v>0</v>
      </c>
      <c r="AO268" s="151">
        <f t="shared" si="12"/>
        <v>170</v>
      </c>
      <c r="BA268" s="8"/>
    </row>
    <row r="269" spans="36:53" x14ac:dyDescent="0.25">
      <c r="AJ269" s="150">
        <f t="shared" si="13"/>
        <v>265</v>
      </c>
      <c r="AK269" s="151">
        <f>IF(AC_Chart_Background_Data[[#This Row],[X]] &lt; EFC_70P-EFC_50P, EFC_50P, MAX(EFC_70P-AC_Chart_Background_Data[[#This Row],[X]],0))</f>
        <v>0</v>
      </c>
      <c r="AL269" s="151">
        <f>IF(AC_Chart_Background_Data[[#This Row],[X]] &lt; EFC_85P-EFC_70P, EFC_70P, MAX(EFC_85P-AC_Chart_Background_Data[[#This Row],[X]],0))</f>
        <v>0</v>
      </c>
      <c r="AM269" s="151">
        <f>IF(AC_Chart_Background_Data[[#This Row],[X]] &lt; EFC_95P-EFC_85P, EFC_85P, MAX(EFC_95P-AC_Chart_Background_Data[[#This Row],[X]],0))</f>
        <v>0</v>
      </c>
      <c r="AN269" s="151">
        <f>IF(AC_Chart_Background_Data[[#This Row],[X]] &lt; EFC_99P-EFC_95P, EFC_95P, MAX(EFC_99P-AC_Chart_Background_Data[[#This Row],[X]],0))</f>
        <v>0</v>
      </c>
      <c r="AO269" s="151">
        <f t="shared" si="12"/>
        <v>170</v>
      </c>
      <c r="BA269" s="8"/>
    </row>
    <row r="270" spans="36:53" x14ac:dyDescent="0.25">
      <c r="AJ270" s="150">
        <f t="shared" si="13"/>
        <v>266</v>
      </c>
      <c r="AK270" s="151">
        <f>IF(AC_Chart_Background_Data[[#This Row],[X]] &lt; EFC_70P-EFC_50P, EFC_50P, MAX(EFC_70P-AC_Chart_Background_Data[[#This Row],[X]],0))</f>
        <v>0</v>
      </c>
      <c r="AL270" s="151">
        <f>IF(AC_Chart_Background_Data[[#This Row],[X]] &lt; EFC_85P-EFC_70P, EFC_70P, MAX(EFC_85P-AC_Chart_Background_Data[[#This Row],[X]],0))</f>
        <v>0</v>
      </c>
      <c r="AM270" s="151">
        <f>IF(AC_Chart_Background_Data[[#This Row],[X]] &lt; EFC_95P-EFC_85P, EFC_85P, MAX(EFC_95P-AC_Chart_Background_Data[[#This Row],[X]],0))</f>
        <v>0</v>
      </c>
      <c r="AN270" s="151">
        <f>IF(AC_Chart_Background_Data[[#This Row],[X]] &lt; EFC_99P-EFC_95P, EFC_95P, MAX(EFC_99P-AC_Chart_Background_Data[[#This Row],[X]],0))</f>
        <v>0</v>
      </c>
      <c r="AO270" s="151">
        <f t="shared" si="12"/>
        <v>170</v>
      </c>
      <c r="BA270" s="8"/>
    </row>
    <row r="271" spans="36:53" x14ac:dyDescent="0.25">
      <c r="AJ271" s="150">
        <f t="shared" si="13"/>
        <v>267</v>
      </c>
      <c r="AK271" s="151">
        <f>IF(AC_Chart_Background_Data[[#This Row],[X]] &lt; EFC_70P-EFC_50P, EFC_50P, MAX(EFC_70P-AC_Chart_Background_Data[[#This Row],[X]],0))</f>
        <v>0</v>
      </c>
      <c r="AL271" s="151">
        <f>IF(AC_Chart_Background_Data[[#This Row],[X]] &lt; EFC_85P-EFC_70P, EFC_70P, MAX(EFC_85P-AC_Chart_Background_Data[[#This Row],[X]],0))</f>
        <v>0</v>
      </c>
      <c r="AM271" s="151">
        <f>IF(AC_Chart_Background_Data[[#This Row],[X]] &lt; EFC_95P-EFC_85P, EFC_85P, MAX(EFC_95P-AC_Chart_Background_Data[[#This Row],[X]],0))</f>
        <v>0</v>
      </c>
      <c r="AN271" s="151">
        <f>IF(AC_Chart_Background_Data[[#This Row],[X]] &lt; EFC_99P-EFC_95P, EFC_95P, MAX(EFC_99P-AC_Chart_Background_Data[[#This Row],[X]],0))</f>
        <v>0</v>
      </c>
      <c r="AO271" s="151">
        <f t="shared" si="12"/>
        <v>170</v>
      </c>
      <c r="BA271" s="8"/>
    </row>
    <row r="272" spans="36:53" x14ac:dyDescent="0.25">
      <c r="AJ272" s="150">
        <f t="shared" si="13"/>
        <v>268</v>
      </c>
      <c r="AK272" s="151">
        <f>IF(AC_Chart_Background_Data[[#This Row],[X]] &lt; EFC_70P-EFC_50P, EFC_50P, MAX(EFC_70P-AC_Chart_Background_Data[[#This Row],[X]],0))</f>
        <v>0</v>
      </c>
      <c r="AL272" s="151">
        <f>IF(AC_Chart_Background_Data[[#This Row],[X]] &lt; EFC_85P-EFC_70P, EFC_70P, MAX(EFC_85P-AC_Chart_Background_Data[[#This Row],[X]],0))</f>
        <v>0</v>
      </c>
      <c r="AM272" s="151">
        <f>IF(AC_Chart_Background_Data[[#This Row],[X]] &lt; EFC_95P-EFC_85P, EFC_85P, MAX(EFC_95P-AC_Chart_Background_Data[[#This Row],[X]],0))</f>
        <v>0</v>
      </c>
      <c r="AN272" s="151">
        <f>IF(AC_Chart_Background_Data[[#This Row],[X]] &lt; EFC_99P-EFC_95P, EFC_95P, MAX(EFC_99P-AC_Chart_Background_Data[[#This Row],[X]],0))</f>
        <v>0</v>
      </c>
      <c r="AO272" s="151">
        <f t="shared" si="12"/>
        <v>170</v>
      </c>
      <c r="BA272" s="8"/>
    </row>
    <row r="273" spans="36:53" x14ac:dyDescent="0.25">
      <c r="AJ273" s="150">
        <f t="shared" si="13"/>
        <v>269</v>
      </c>
      <c r="AK273" s="151">
        <f>IF(AC_Chart_Background_Data[[#This Row],[X]] &lt; EFC_70P-EFC_50P, EFC_50P, MAX(EFC_70P-AC_Chart_Background_Data[[#This Row],[X]],0))</f>
        <v>0</v>
      </c>
      <c r="AL273" s="151">
        <f>IF(AC_Chart_Background_Data[[#This Row],[X]] &lt; EFC_85P-EFC_70P, EFC_70P, MAX(EFC_85P-AC_Chart_Background_Data[[#This Row],[X]],0))</f>
        <v>0</v>
      </c>
      <c r="AM273" s="151">
        <f>IF(AC_Chart_Background_Data[[#This Row],[X]] &lt; EFC_95P-EFC_85P, EFC_85P, MAX(EFC_95P-AC_Chart_Background_Data[[#This Row],[X]],0))</f>
        <v>0</v>
      </c>
      <c r="AN273" s="151">
        <f>IF(AC_Chart_Background_Data[[#This Row],[X]] &lt; EFC_99P-EFC_95P, EFC_95P, MAX(EFC_99P-AC_Chart_Background_Data[[#This Row],[X]],0))</f>
        <v>0</v>
      </c>
      <c r="AO273" s="151">
        <f t="shared" si="12"/>
        <v>170</v>
      </c>
      <c r="BA273" s="8"/>
    </row>
    <row r="274" spans="36:53" x14ac:dyDescent="0.25">
      <c r="AJ274" s="150">
        <f t="shared" si="13"/>
        <v>270</v>
      </c>
      <c r="AK274" s="151">
        <f>IF(AC_Chart_Background_Data[[#This Row],[X]] &lt; EFC_70P-EFC_50P, EFC_50P, MAX(EFC_70P-AC_Chart_Background_Data[[#This Row],[X]],0))</f>
        <v>0</v>
      </c>
      <c r="AL274" s="151">
        <f>IF(AC_Chart_Background_Data[[#This Row],[X]] &lt; EFC_85P-EFC_70P, EFC_70P, MAX(EFC_85P-AC_Chart_Background_Data[[#This Row],[X]],0))</f>
        <v>0</v>
      </c>
      <c r="AM274" s="151">
        <f>IF(AC_Chart_Background_Data[[#This Row],[X]] &lt; EFC_95P-EFC_85P, EFC_85P, MAX(EFC_95P-AC_Chart_Background_Data[[#This Row],[X]],0))</f>
        <v>0</v>
      </c>
      <c r="AN274" s="151">
        <f>IF(AC_Chart_Background_Data[[#This Row],[X]] &lt; EFC_99P-EFC_95P, EFC_95P, MAX(EFC_99P-AC_Chart_Background_Data[[#This Row],[X]],0))</f>
        <v>0</v>
      </c>
      <c r="AO274" s="151">
        <f t="shared" si="12"/>
        <v>170</v>
      </c>
      <c r="BA274" s="8"/>
    </row>
    <row r="275" spans="36:53" x14ac:dyDescent="0.25">
      <c r="AJ275" s="150">
        <f t="shared" si="13"/>
        <v>271</v>
      </c>
      <c r="AK275" s="151">
        <f>IF(AC_Chart_Background_Data[[#This Row],[X]] &lt; EFC_70P-EFC_50P, EFC_50P, MAX(EFC_70P-AC_Chart_Background_Data[[#This Row],[X]],0))</f>
        <v>0</v>
      </c>
      <c r="AL275" s="151">
        <f>IF(AC_Chart_Background_Data[[#This Row],[X]] &lt; EFC_85P-EFC_70P, EFC_70P, MAX(EFC_85P-AC_Chart_Background_Data[[#This Row],[X]],0))</f>
        <v>0</v>
      </c>
      <c r="AM275" s="151">
        <f>IF(AC_Chart_Background_Data[[#This Row],[X]] &lt; EFC_95P-EFC_85P, EFC_85P, MAX(EFC_95P-AC_Chart_Background_Data[[#This Row],[X]],0))</f>
        <v>0</v>
      </c>
      <c r="AN275" s="151">
        <f>IF(AC_Chart_Background_Data[[#This Row],[X]] &lt; EFC_99P-EFC_95P, EFC_95P, MAX(EFC_99P-AC_Chart_Background_Data[[#This Row],[X]],0))</f>
        <v>0</v>
      </c>
      <c r="AO275" s="151">
        <f t="shared" si="12"/>
        <v>170</v>
      </c>
      <c r="BA275" s="8"/>
    </row>
    <row r="276" spans="36:53" x14ac:dyDescent="0.25">
      <c r="AJ276" s="150">
        <f t="shared" si="13"/>
        <v>272</v>
      </c>
      <c r="AK276" s="151">
        <f>IF(AC_Chart_Background_Data[[#This Row],[X]] &lt; EFC_70P-EFC_50P, EFC_50P, MAX(EFC_70P-AC_Chart_Background_Data[[#This Row],[X]],0))</f>
        <v>0</v>
      </c>
      <c r="AL276" s="151">
        <f>IF(AC_Chart_Background_Data[[#This Row],[X]] &lt; EFC_85P-EFC_70P, EFC_70P, MAX(EFC_85P-AC_Chart_Background_Data[[#This Row],[X]],0))</f>
        <v>0</v>
      </c>
      <c r="AM276" s="151">
        <f>IF(AC_Chart_Background_Data[[#This Row],[X]] &lt; EFC_95P-EFC_85P, EFC_85P, MAX(EFC_95P-AC_Chart_Background_Data[[#This Row],[X]],0))</f>
        <v>0</v>
      </c>
      <c r="AN276" s="151">
        <f>IF(AC_Chart_Background_Data[[#This Row],[X]] &lt; EFC_99P-EFC_95P, EFC_95P, MAX(EFC_99P-AC_Chart_Background_Data[[#This Row],[X]],0))</f>
        <v>0</v>
      </c>
      <c r="AO276" s="151">
        <f t="shared" si="12"/>
        <v>170</v>
      </c>
      <c r="BA276" s="8"/>
    </row>
    <row r="277" spans="36:53" x14ac:dyDescent="0.25">
      <c r="AJ277" s="150">
        <f t="shared" si="13"/>
        <v>273</v>
      </c>
      <c r="AK277" s="151">
        <f>IF(AC_Chart_Background_Data[[#This Row],[X]] &lt; EFC_70P-EFC_50P, EFC_50P, MAX(EFC_70P-AC_Chart_Background_Data[[#This Row],[X]],0))</f>
        <v>0</v>
      </c>
      <c r="AL277" s="151">
        <f>IF(AC_Chart_Background_Data[[#This Row],[X]] &lt; EFC_85P-EFC_70P, EFC_70P, MAX(EFC_85P-AC_Chart_Background_Data[[#This Row],[X]],0))</f>
        <v>0</v>
      </c>
      <c r="AM277" s="151">
        <f>IF(AC_Chart_Background_Data[[#This Row],[X]] &lt; EFC_95P-EFC_85P, EFC_85P, MAX(EFC_95P-AC_Chart_Background_Data[[#This Row],[X]],0))</f>
        <v>0</v>
      </c>
      <c r="AN277" s="151">
        <f>IF(AC_Chart_Background_Data[[#This Row],[X]] &lt; EFC_99P-EFC_95P, EFC_95P, MAX(EFC_99P-AC_Chart_Background_Data[[#This Row],[X]],0))</f>
        <v>0</v>
      </c>
      <c r="AO277" s="151">
        <f t="shared" si="12"/>
        <v>170</v>
      </c>
      <c r="BA277" s="8"/>
    </row>
    <row r="278" spans="36:53" x14ac:dyDescent="0.25">
      <c r="AJ278" s="150">
        <f t="shared" si="13"/>
        <v>274</v>
      </c>
      <c r="AK278" s="151">
        <f>IF(AC_Chart_Background_Data[[#This Row],[X]] &lt; EFC_70P-EFC_50P, EFC_50P, MAX(EFC_70P-AC_Chart_Background_Data[[#This Row],[X]],0))</f>
        <v>0</v>
      </c>
      <c r="AL278" s="151">
        <f>IF(AC_Chart_Background_Data[[#This Row],[X]] &lt; EFC_85P-EFC_70P, EFC_70P, MAX(EFC_85P-AC_Chart_Background_Data[[#This Row],[X]],0))</f>
        <v>0</v>
      </c>
      <c r="AM278" s="151">
        <f>IF(AC_Chart_Background_Data[[#This Row],[X]] &lt; EFC_95P-EFC_85P, EFC_85P, MAX(EFC_95P-AC_Chart_Background_Data[[#This Row],[X]],0))</f>
        <v>0</v>
      </c>
      <c r="AN278" s="151">
        <f>IF(AC_Chart_Background_Data[[#This Row],[X]] &lt; EFC_99P-EFC_95P, EFC_95P, MAX(EFC_99P-AC_Chart_Background_Data[[#This Row],[X]],0))</f>
        <v>0</v>
      </c>
      <c r="AO278" s="151">
        <f t="shared" si="12"/>
        <v>170</v>
      </c>
      <c r="BA278" s="8"/>
    </row>
    <row r="279" spans="36:53" x14ac:dyDescent="0.25">
      <c r="AJ279" s="150">
        <f t="shared" si="13"/>
        <v>275</v>
      </c>
      <c r="AK279" s="151">
        <f>IF(AC_Chart_Background_Data[[#This Row],[X]] &lt; EFC_70P-EFC_50P, EFC_50P, MAX(EFC_70P-AC_Chart_Background_Data[[#This Row],[X]],0))</f>
        <v>0</v>
      </c>
      <c r="AL279" s="151">
        <f>IF(AC_Chart_Background_Data[[#This Row],[X]] &lt; EFC_85P-EFC_70P, EFC_70P, MAX(EFC_85P-AC_Chart_Background_Data[[#This Row],[X]],0))</f>
        <v>0</v>
      </c>
      <c r="AM279" s="151">
        <f>IF(AC_Chart_Background_Data[[#This Row],[X]] &lt; EFC_95P-EFC_85P, EFC_85P, MAX(EFC_95P-AC_Chart_Background_Data[[#This Row],[X]],0))</f>
        <v>0</v>
      </c>
      <c r="AN279" s="151">
        <f>IF(AC_Chart_Background_Data[[#This Row],[X]] &lt; EFC_99P-EFC_95P, EFC_95P, MAX(EFC_99P-AC_Chart_Background_Data[[#This Row],[X]],0))</f>
        <v>0</v>
      </c>
      <c r="AO279" s="151">
        <f t="shared" si="12"/>
        <v>170</v>
      </c>
      <c r="BA279" s="8"/>
    </row>
    <row r="280" spans="36:53" x14ac:dyDescent="0.25">
      <c r="AJ280" s="150">
        <f t="shared" si="13"/>
        <v>276</v>
      </c>
      <c r="AK280" s="151">
        <f>IF(AC_Chart_Background_Data[[#This Row],[X]] &lt; EFC_70P-EFC_50P, EFC_50P, MAX(EFC_70P-AC_Chart_Background_Data[[#This Row],[X]],0))</f>
        <v>0</v>
      </c>
      <c r="AL280" s="151">
        <f>IF(AC_Chart_Background_Data[[#This Row],[X]] &lt; EFC_85P-EFC_70P, EFC_70P, MAX(EFC_85P-AC_Chart_Background_Data[[#This Row],[X]],0))</f>
        <v>0</v>
      </c>
      <c r="AM280" s="151">
        <f>IF(AC_Chart_Background_Data[[#This Row],[X]] &lt; EFC_95P-EFC_85P, EFC_85P, MAX(EFC_95P-AC_Chart_Background_Data[[#This Row],[X]],0))</f>
        <v>0</v>
      </c>
      <c r="AN280" s="151">
        <f>IF(AC_Chart_Background_Data[[#This Row],[X]] &lt; EFC_99P-EFC_95P, EFC_95P, MAX(EFC_99P-AC_Chart_Background_Data[[#This Row],[X]],0))</f>
        <v>0</v>
      </c>
      <c r="AO280" s="151">
        <f t="shared" si="12"/>
        <v>170</v>
      </c>
      <c r="BA280" s="8"/>
    </row>
    <row r="281" spans="36:53" x14ac:dyDescent="0.25">
      <c r="AJ281" s="150">
        <f t="shared" si="13"/>
        <v>277</v>
      </c>
      <c r="AK281" s="151">
        <f>IF(AC_Chart_Background_Data[[#This Row],[X]] &lt; EFC_70P-EFC_50P, EFC_50P, MAX(EFC_70P-AC_Chart_Background_Data[[#This Row],[X]],0))</f>
        <v>0</v>
      </c>
      <c r="AL281" s="151">
        <f>IF(AC_Chart_Background_Data[[#This Row],[X]] &lt; EFC_85P-EFC_70P, EFC_70P, MAX(EFC_85P-AC_Chart_Background_Data[[#This Row],[X]],0))</f>
        <v>0</v>
      </c>
      <c r="AM281" s="151">
        <f>IF(AC_Chart_Background_Data[[#This Row],[X]] &lt; EFC_95P-EFC_85P, EFC_85P, MAX(EFC_95P-AC_Chart_Background_Data[[#This Row],[X]],0))</f>
        <v>0</v>
      </c>
      <c r="AN281" s="151">
        <f>IF(AC_Chart_Background_Data[[#This Row],[X]] &lt; EFC_99P-EFC_95P, EFC_95P, MAX(EFC_99P-AC_Chart_Background_Data[[#This Row],[X]],0))</f>
        <v>0</v>
      </c>
      <c r="AO281" s="151">
        <f t="shared" si="12"/>
        <v>170</v>
      </c>
      <c r="BA281" s="8"/>
    </row>
    <row r="282" spans="36:53" x14ac:dyDescent="0.25">
      <c r="AJ282" s="150">
        <f t="shared" si="13"/>
        <v>278</v>
      </c>
      <c r="AK282" s="151">
        <f>IF(AC_Chart_Background_Data[[#This Row],[X]] &lt; EFC_70P-EFC_50P, EFC_50P, MAX(EFC_70P-AC_Chart_Background_Data[[#This Row],[X]],0))</f>
        <v>0</v>
      </c>
      <c r="AL282" s="151">
        <f>IF(AC_Chart_Background_Data[[#This Row],[X]] &lt; EFC_85P-EFC_70P, EFC_70P, MAX(EFC_85P-AC_Chart_Background_Data[[#This Row],[X]],0))</f>
        <v>0</v>
      </c>
      <c r="AM282" s="151">
        <f>IF(AC_Chart_Background_Data[[#This Row],[X]] &lt; EFC_95P-EFC_85P, EFC_85P, MAX(EFC_95P-AC_Chart_Background_Data[[#This Row],[X]],0))</f>
        <v>0</v>
      </c>
      <c r="AN282" s="151">
        <f>IF(AC_Chart_Background_Data[[#This Row],[X]] &lt; EFC_99P-EFC_95P, EFC_95P, MAX(EFC_99P-AC_Chart_Background_Data[[#This Row],[X]],0))</f>
        <v>0</v>
      </c>
      <c r="AO282" s="151">
        <f t="shared" si="12"/>
        <v>170</v>
      </c>
      <c r="BA282" s="8"/>
    </row>
    <row r="283" spans="36:53" x14ac:dyDescent="0.25">
      <c r="AJ283" s="150">
        <f t="shared" si="13"/>
        <v>279</v>
      </c>
      <c r="AK283" s="151">
        <f>IF(AC_Chart_Background_Data[[#This Row],[X]] &lt; EFC_70P-EFC_50P, EFC_50P, MAX(EFC_70P-AC_Chart_Background_Data[[#This Row],[X]],0))</f>
        <v>0</v>
      </c>
      <c r="AL283" s="151">
        <f>IF(AC_Chart_Background_Data[[#This Row],[X]] &lt; EFC_85P-EFC_70P, EFC_70P, MAX(EFC_85P-AC_Chart_Background_Data[[#This Row],[X]],0))</f>
        <v>0</v>
      </c>
      <c r="AM283" s="151">
        <f>IF(AC_Chart_Background_Data[[#This Row],[X]] &lt; EFC_95P-EFC_85P, EFC_85P, MAX(EFC_95P-AC_Chart_Background_Data[[#This Row],[X]],0))</f>
        <v>0</v>
      </c>
      <c r="AN283" s="151">
        <f>IF(AC_Chart_Background_Data[[#This Row],[X]] &lt; EFC_99P-EFC_95P, EFC_95P, MAX(EFC_99P-AC_Chart_Background_Data[[#This Row],[X]],0))</f>
        <v>0</v>
      </c>
      <c r="AO283" s="151">
        <f t="shared" si="12"/>
        <v>170</v>
      </c>
      <c r="BA283" s="8"/>
    </row>
    <row r="284" spans="36:53" x14ac:dyDescent="0.25">
      <c r="AJ284" s="150">
        <f t="shared" si="13"/>
        <v>280</v>
      </c>
      <c r="AK284" s="151">
        <f>IF(AC_Chart_Background_Data[[#This Row],[X]] &lt; EFC_70P-EFC_50P, EFC_50P, MAX(EFC_70P-AC_Chart_Background_Data[[#This Row],[X]],0))</f>
        <v>0</v>
      </c>
      <c r="AL284" s="151">
        <f>IF(AC_Chart_Background_Data[[#This Row],[X]] &lt; EFC_85P-EFC_70P, EFC_70P, MAX(EFC_85P-AC_Chart_Background_Data[[#This Row],[X]],0))</f>
        <v>0</v>
      </c>
      <c r="AM284" s="151">
        <f>IF(AC_Chart_Background_Data[[#This Row],[X]] &lt; EFC_95P-EFC_85P, EFC_85P, MAX(EFC_95P-AC_Chart_Background_Data[[#This Row],[X]],0))</f>
        <v>0</v>
      </c>
      <c r="AN284" s="151">
        <f>IF(AC_Chart_Background_Data[[#This Row],[X]] &lt; EFC_99P-EFC_95P, EFC_95P, MAX(EFC_99P-AC_Chart_Background_Data[[#This Row],[X]],0))</f>
        <v>0</v>
      </c>
      <c r="AO284" s="151">
        <f t="shared" si="12"/>
        <v>170</v>
      </c>
      <c r="BA284" s="8"/>
    </row>
    <row r="285" spans="36:53" x14ac:dyDescent="0.25">
      <c r="AJ285" s="150">
        <f t="shared" si="13"/>
        <v>281</v>
      </c>
      <c r="AK285" s="151">
        <f>IF(AC_Chart_Background_Data[[#This Row],[X]] &lt; EFC_70P-EFC_50P, EFC_50P, MAX(EFC_70P-AC_Chart_Background_Data[[#This Row],[X]],0))</f>
        <v>0</v>
      </c>
      <c r="AL285" s="151">
        <f>IF(AC_Chart_Background_Data[[#This Row],[X]] &lt; EFC_85P-EFC_70P, EFC_70P, MAX(EFC_85P-AC_Chart_Background_Data[[#This Row],[X]],0))</f>
        <v>0</v>
      </c>
      <c r="AM285" s="151">
        <f>IF(AC_Chart_Background_Data[[#This Row],[X]] &lt; EFC_95P-EFC_85P, EFC_85P, MAX(EFC_95P-AC_Chart_Background_Data[[#This Row],[X]],0))</f>
        <v>0</v>
      </c>
      <c r="AN285" s="151">
        <f>IF(AC_Chart_Background_Data[[#This Row],[X]] &lt; EFC_99P-EFC_95P, EFC_95P, MAX(EFC_99P-AC_Chart_Background_Data[[#This Row],[X]],0))</f>
        <v>0</v>
      </c>
      <c r="AO285" s="151">
        <f t="shared" si="12"/>
        <v>170</v>
      </c>
      <c r="BA285" s="8"/>
    </row>
    <row r="286" spans="36:53" x14ac:dyDescent="0.25">
      <c r="AJ286" s="150">
        <f t="shared" si="13"/>
        <v>282</v>
      </c>
      <c r="AK286" s="151">
        <f>IF(AC_Chart_Background_Data[[#This Row],[X]] &lt; EFC_70P-EFC_50P, EFC_50P, MAX(EFC_70P-AC_Chart_Background_Data[[#This Row],[X]],0))</f>
        <v>0</v>
      </c>
      <c r="AL286" s="151">
        <f>IF(AC_Chart_Background_Data[[#This Row],[X]] &lt; EFC_85P-EFC_70P, EFC_70P, MAX(EFC_85P-AC_Chart_Background_Data[[#This Row],[X]],0))</f>
        <v>0</v>
      </c>
      <c r="AM286" s="151">
        <f>IF(AC_Chart_Background_Data[[#This Row],[X]] &lt; EFC_95P-EFC_85P, EFC_85P, MAX(EFC_95P-AC_Chart_Background_Data[[#This Row],[X]],0))</f>
        <v>0</v>
      </c>
      <c r="AN286" s="151">
        <f>IF(AC_Chart_Background_Data[[#This Row],[X]] &lt; EFC_99P-EFC_95P, EFC_95P, MAX(EFC_99P-AC_Chart_Background_Data[[#This Row],[X]],0))</f>
        <v>0</v>
      </c>
      <c r="AO286" s="151">
        <f t="shared" si="12"/>
        <v>170</v>
      </c>
      <c r="BA286" s="8"/>
    </row>
    <row r="287" spans="36:53" x14ac:dyDescent="0.25">
      <c r="AJ287" s="150">
        <f t="shared" si="13"/>
        <v>283</v>
      </c>
      <c r="AK287" s="151">
        <f>IF(AC_Chart_Background_Data[[#This Row],[X]] &lt; EFC_70P-EFC_50P, EFC_50P, MAX(EFC_70P-AC_Chart_Background_Data[[#This Row],[X]],0))</f>
        <v>0</v>
      </c>
      <c r="AL287" s="151">
        <f>IF(AC_Chart_Background_Data[[#This Row],[X]] &lt; EFC_85P-EFC_70P, EFC_70P, MAX(EFC_85P-AC_Chart_Background_Data[[#This Row],[X]],0))</f>
        <v>0</v>
      </c>
      <c r="AM287" s="151">
        <f>IF(AC_Chart_Background_Data[[#This Row],[X]] &lt; EFC_95P-EFC_85P, EFC_85P, MAX(EFC_95P-AC_Chart_Background_Data[[#This Row],[X]],0))</f>
        <v>0</v>
      </c>
      <c r="AN287" s="151">
        <f>IF(AC_Chart_Background_Data[[#This Row],[X]] &lt; EFC_99P-EFC_95P, EFC_95P, MAX(EFC_99P-AC_Chart_Background_Data[[#This Row],[X]],0))</f>
        <v>0</v>
      </c>
      <c r="AO287" s="151">
        <f t="shared" si="12"/>
        <v>170</v>
      </c>
      <c r="BA287" s="8"/>
    </row>
    <row r="288" spans="36:53" x14ac:dyDescent="0.25">
      <c r="AJ288" s="150">
        <f t="shared" si="13"/>
        <v>284</v>
      </c>
      <c r="AK288" s="151">
        <f>IF(AC_Chart_Background_Data[[#This Row],[X]] &lt; EFC_70P-EFC_50P, EFC_50P, MAX(EFC_70P-AC_Chart_Background_Data[[#This Row],[X]],0))</f>
        <v>0</v>
      </c>
      <c r="AL288" s="151">
        <f>IF(AC_Chart_Background_Data[[#This Row],[X]] &lt; EFC_85P-EFC_70P, EFC_70P, MAX(EFC_85P-AC_Chart_Background_Data[[#This Row],[X]],0))</f>
        <v>0</v>
      </c>
      <c r="AM288" s="151">
        <f>IF(AC_Chart_Background_Data[[#This Row],[X]] &lt; EFC_95P-EFC_85P, EFC_85P, MAX(EFC_95P-AC_Chart_Background_Data[[#This Row],[X]],0))</f>
        <v>0</v>
      </c>
      <c r="AN288" s="151">
        <f>IF(AC_Chart_Background_Data[[#This Row],[X]] &lt; EFC_99P-EFC_95P, EFC_95P, MAX(EFC_99P-AC_Chart_Background_Data[[#This Row],[X]],0))</f>
        <v>0</v>
      </c>
      <c r="AO288" s="151">
        <f t="shared" si="12"/>
        <v>170</v>
      </c>
      <c r="BA288" s="8"/>
    </row>
    <row r="289" spans="36:53" x14ac:dyDescent="0.25">
      <c r="AJ289" s="150">
        <f t="shared" si="13"/>
        <v>285</v>
      </c>
      <c r="AK289" s="151">
        <f>IF(AC_Chart_Background_Data[[#This Row],[X]] &lt; EFC_70P-EFC_50P, EFC_50P, MAX(EFC_70P-AC_Chart_Background_Data[[#This Row],[X]],0))</f>
        <v>0</v>
      </c>
      <c r="AL289" s="151">
        <f>IF(AC_Chart_Background_Data[[#This Row],[X]] &lt; EFC_85P-EFC_70P, EFC_70P, MAX(EFC_85P-AC_Chart_Background_Data[[#This Row],[X]],0))</f>
        <v>0</v>
      </c>
      <c r="AM289" s="151">
        <f>IF(AC_Chart_Background_Data[[#This Row],[X]] &lt; EFC_95P-EFC_85P, EFC_85P, MAX(EFC_95P-AC_Chart_Background_Data[[#This Row],[X]],0))</f>
        <v>0</v>
      </c>
      <c r="AN289" s="151">
        <f>IF(AC_Chart_Background_Data[[#This Row],[X]] &lt; EFC_99P-EFC_95P, EFC_95P, MAX(EFC_99P-AC_Chart_Background_Data[[#This Row],[X]],0))</f>
        <v>0</v>
      </c>
      <c r="AO289" s="151">
        <f t="shared" si="12"/>
        <v>170</v>
      </c>
      <c r="BA289" s="8"/>
    </row>
    <row r="290" spans="36:53" x14ac:dyDescent="0.25">
      <c r="AJ290" s="150">
        <f t="shared" si="13"/>
        <v>286</v>
      </c>
      <c r="AK290" s="151">
        <f>IF(AC_Chart_Background_Data[[#This Row],[X]] &lt; EFC_70P-EFC_50P, EFC_50P, MAX(EFC_70P-AC_Chart_Background_Data[[#This Row],[X]],0))</f>
        <v>0</v>
      </c>
      <c r="AL290" s="151">
        <f>IF(AC_Chart_Background_Data[[#This Row],[X]] &lt; EFC_85P-EFC_70P, EFC_70P, MAX(EFC_85P-AC_Chart_Background_Data[[#This Row],[X]],0))</f>
        <v>0</v>
      </c>
      <c r="AM290" s="151">
        <f>IF(AC_Chart_Background_Data[[#This Row],[X]] &lt; EFC_95P-EFC_85P, EFC_85P, MAX(EFC_95P-AC_Chart_Background_Data[[#This Row],[X]],0))</f>
        <v>0</v>
      </c>
      <c r="AN290" s="151">
        <f>IF(AC_Chart_Background_Data[[#This Row],[X]] &lt; EFC_99P-EFC_95P, EFC_95P, MAX(EFC_99P-AC_Chart_Background_Data[[#This Row],[X]],0))</f>
        <v>0</v>
      </c>
      <c r="AO290" s="151">
        <f t="shared" si="12"/>
        <v>170</v>
      </c>
      <c r="BA290" s="8"/>
    </row>
    <row r="291" spans="36:53" x14ac:dyDescent="0.25">
      <c r="AJ291" s="150">
        <f t="shared" si="13"/>
        <v>287</v>
      </c>
      <c r="AK291" s="151">
        <f>IF(AC_Chart_Background_Data[[#This Row],[X]] &lt; EFC_70P-EFC_50P, EFC_50P, MAX(EFC_70P-AC_Chart_Background_Data[[#This Row],[X]],0))</f>
        <v>0</v>
      </c>
      <c r="AL291" s="151">
        <f>IF(AC_Chart_Background_Data[[#This Row],[X]] &lt; EFC_85P-EFC_70P, EFC_70P, MAX(EFC_85P-AC_Chart_Background_Data[[#This Row],[X]],0))</f>
        <v>0</v>
      </c>
      <c r="AM291" s="151">
        <f>IF(AC_Chart_Background_Data[[#This Row],[X]] &lt; EFC_95P-EFC_85P, EFC_85P, MAX(EFC_95P-AC_Chart_Background_Data[[#This Row],[X]],0))</f>
        <v>0</v>
      </c>
      <c r="AN291" s="151">
        <f>IF(AC_Chart_Background_Data[[#This Row],[X]] &lt; EFC_99P-EFC_95P, EFC_95P, MAX(EFC_99P-AC_Chart_Background_Data[[#This Row],[X]],0))</f>
        <v>0</v>
      </c>
      <c r="AO291" s="151">
        <f t="shared" si="12"/>
        <v>170</v>
      </c>
      <c r="BA291" s="8"/>
    </row>
    <row r="292" spans="36:53" x14ac:dyDescent="0.25">
      <c r="AJ292" s="150">
        <f t="shared" si="13"/>
        <v>288</v>
      </c>
      <c r="AK292" s="151">
        <f>IF(AC_Chart_Background_Data[[#This Row],[X]] &lt; EFC_70P-EFC_50P, EFC_50P, MAX(EFC_70P-AC_Chart_Background_Data[[#This Row],[X]],0))</f>
        <v>0</v>
      </c>
      <c r="AL292" s="151">
        <f>IF(AC_Chart_Background_Data[[#This Row],[X]] &lt; EFC_85P-EFC_70P, EFC_70P, MAX(EFC_85P-AC_Chart_Background_Data[[#This Row],[X]],0))</f>
        <v>0</v>
      </c>
      <c r="AM292" s="151">
        <f>IF(AC_Chart_Background_Data[[#This Row],[X]] &lt; EFC_95P-EFC_85P, EFC_85P, MAX(EFC_95P-AC_Chart_Background_Data[[#This Row],[X]],0))</f>
        <v>0</v>
      </c>
      <c r="AN292" s="151">
        <f>IF(AC_Chart_Background_Data[[#This Row],[X]] &lt; EFC_99P-EFC_95P, EFC_95P, MAX(EFC_99P-AC_Chart_Background_Data[[#This Row],[X]],0))</f>
        <v>0</v>
      </c>
      <c r="AO292" s="151">
        <f t="shared" si="12"/>
        <v>170</v>
      </c>
      <c r="BA292" s="8"/>
    </row>
    <row r="293" spans="36:53" x14ac:dyDescent="0.25">
      <c r="AJ293" s="150">
        <f t="shared" si="13"/>
        <v>289</v>
      </c>
      <c r="AK293" s="151">
        <f>IF(AC_Chart_Background_Data[[#This Row],[X]] &lt; EFC_70P-EFC_50P, EFC_50P, MAX(EFC_70P-AC_Chart_Background_Data[[#This Row],[X]],0))</f>
        <v>0</v>
      </c>
      <c r="AL293" s="151">
        <f>IF(AC_Chart_Background_Data[[#This Row],[X]] &lt; EFC_85P-EFC_70P, EFC_70P, MAX(EFC_85P-AC_Chart_Background_Data[[#This Row],[X]],0))</f>
        <v>0</v>
      </c>
      <c r="AM293" s="151">
        <f>IF(AC_Chart_Background_Data[[#This Row],[X]] &lt; EFC_95P-EFC_85P, EFC_85P, MAX(EFC_95P-AC_Chart_Background_Data[[#This Row],[X]],0))</f>
        <v>0</v>
      </c>
      <c r="AN293" s="151">
        <f>IF(AC_Chart_Background_Data[[#This Row],[X]] &lt; EFC_99P-EFC_95P, EFC_95P, MAX(EFC_99P-AC_Chart_Background_Data[[#This Row],[X]],0))</f>
        <v>0</v>
      </c>
      <c r="AO293" s="151">
        <f t="shared" si="12"/>
        <v>170</v>
      </c>
      <c r="BA293" s="8"/>
    </row>
    <row r="294" spans="36:53" x14ac:dyDescent="0.25">
      <c r="AJ294" s="150">
        <f t="shared" si="13"/>
        <v>290</v>
      </c>
      <c r="AK294" s="151">
        <f>IF(AC_Chart_Background_Data[[#This Row],[X]] &lt; EFC_70P-EFC_50P, EFC_50P, MAX(EFC_70P-AC_Chart_Background_Data[[#This Row],[X]],0))</f>
        <v>0</v>
      </c>
      <c r="AL294" s="151">
        <f>IF(AC_Chart_Background_Data[[#This Row],[X]] &lt; EFC_85P-EFC_70P, EFC_70P, MAX(EFC_85P-AC_Chart_Background_Data[[#This Row],[X]],0))</f>
        <v>0</v>
      </c>
      <c r="AM294" s="151">
        <f>IF(AC_Chart_Background_Data[[#This Row],[X]] &lt; EFC_95P-EFC_85P, EFC_85P, MAX(EFC_95P-AC_Chart_Background_Data[[#This Row],[X]],0))</f>
        <v>0</v>
      </c>
      <c r="AN294" s="151">
        <f>IF(AC_Chart_Background_Data[[#This Row],[X]] &lt; EFC_99P-EFC_95P, EFC_95P, MAX(EFC_99P-AC_Chart_Background_Data[[#This Row],[X]],0))</f>
        <v>0</v>
      </c>
      <c r="AO294" s="151">
        <f t="shared" si="12"/>
        <v>170</v>
      </c>
      <c r="BA294" s="8"/>
    </row>
    <row r="295" spans="36:53" x14ac:dyDescent="0.25">
      <c r="AJ295" s="150">
        <f t="shared" si="13"/>
        <v>291</v>
      </c>
      <c r="AK295" s="151">
        <f>IF(AC_Chart_Background_Data[[#This Row],[X]] &lt; EFC_70P-EFC_50P, EFC_50P, MAX(EFC_70P-AC_Chart_Background_Data[[#This Row],[X]],0))</f>
        <v>0</v>
      </c>
      <c r="AL295" s="151">
        <f>IF(AC_Chart_Background_Data[[#This Row],[X]] &lt; EFC_85P-EFC_70P, EFC_70P, MAX(EFC_85P-AC_Chart_Background_Data[[#This Row],[X]],0))</f>
        <v>0</v>
      </c>
      <c r="AM295" s="151">
        <f>IF(AC_Chart_Background_Data[[#This Row],[X]] &lt; EFC_95P-EFC_85P, EFC_85P, MAX(EFC_95P-AC_Chart_Background_Data[[#This Row],[X]],0))</f>
        <v>0</v>
      </c>
      <c r="AN295" s="151">
        <f>IF(AC_Chart_Background_Data[[#This Row],[X]] &lt; EFC_99P-EFC_95P, EFC_95P, MAX(EFC_99P-AC_Chart_Background_Data[[#This Row],[X]],0))</f>
        <v>0</v>
      </c>
      <c r="AO295" s="151">
        <f t="shared" si="12"/>
        <v>170</v>
      </c>
      <c r="BA295" s="8"/>
    </row>
    <row r="296" spans="36:53" x14ac:dyDescent="0.25">
      <c r="AJ296" s="150">
        <f t="shared" si="13"/>
        <v>292</v>
      </c>
      <c r="AK296" s="151">
        <f>IF(AC_Chart_Background_Data[[#This Row],[X]] &lt; EFC_70P-EFC_50P, EFC_50P, MAX(EFC_70P-AC_Chart_Background_Data[[#This Row],[X]],0))</f>
        <v>0</v>
      </c>
      <c r="AL296" s="151">
        <f>IF(AC_Chart_Background_Data[[#This Row],[X]] &lt; EFC_85P-EFC_70P, EFC_70P, MAX(EFC_85P-AC_Chart_Background_Data[[#This Row],[X]],0))</f>
        <v>0</v>
      </c>
      <c r="AM296" s="151">
        <f>IF(AC_Chart_Background_Data[[#This Row],[X]] &lt; EFC_95P-EFC_85P, EFC_85P, MAX(EFC_95P-AC_Chart_Background_Data[[#This Row],[X]],0))</f>
        <v>0</v>
      </c>
      <c r="AN296" s="151">
        <f>IF(AC_Chart_Background_Data[[#This Row],[X]] &lt; EFC_99P-EFC_95P, EFC_95P, MAX(EFC_99P-AC_Chart_Background_Data[[#This Row],[X]],0))</f>
        <v>0</v>
      </c>
      <c r="AO296" s="151">
        <f t="shared" si="12"/>
        <v>170</v>
      </c>
      <c r="BA296" s="8"/>
    </row>
    <row r="297" spans="36:53" x14ac:dyDescent="0.25">
      <c r="AJ297" s="150">
        <f t="shared" si="13"/>
        <v>293</v>
      </c>
      <c r="AK297" s="151">
        <f>IF(AC_Chart_Background_Data[[#This Row],[X]] &lt; EFC_70P-EFC_50P, EFC_50P, MAX(EFC_70P-AC_Chart_Background_Data[[#This Row],[X]],0))</f>
        <v>0</v>
      </c>
      <c r="AL297" s="151">
        <f>IF(AC_Chart_Background_Data[[#This Row],[X]] &lt; EFC_85P-EFC_70P, EFC_70P, MAX(EFC_85P-AC_Chart_Background_Data[[#This Row],[X]],0))</f>
        <v>0</v>
      </c>
      <c r="AM297" s="151">
        <f>IF(AC_Chart_Background_Data[[#This Row],[X]] &lt; EFC_95P-EFC_85P, EFC_85P, MAX(EFC_95P-AC_Chart_Background_Data[[#This Row],[X]],0))</f>
        <v>0</v>
      </c>
      <c r="AN297" s="151">
        <f>IF(AC_Chart_Background_Data[[#This Row],[X]] &lt; EFC_99P-EFC_95P, EFC_95P, MAX(EFC_99P-AC_Chart_Background_Data[[#This Row],[X]],0))</f>
        <v>0</v>
      </c>
      <c r="AO297" s="151">
        <f t="shared" si="12"/>
        <v>170</v>
      </c>
      <c r="BA297" s="8"/>
    </row>
    <row r="298" spans="36:53" x14ac:dyDescent="0.25">
      <c r="AJ298" s="150">
        <f t="shared" si="13"/>
        <v>294</v>
      </c>
      <c r="AK298" s="151">
        <f>IF(AC_Chart_Background_Data[[#This Row],[X]] &lt; EFC_70P-EFC_50P, EFC_50P, MAX(EFC_70P-AC_Chart_Background_Data[[#This Row],[X]],0))</f>
        <v>0</v>
      </c>
      <c r="AL298" s="151">
        <f>IF(AC_Chart_Background_Data[[#This Row],[X]] &lt; EFC_85P-EFC_70P, EFC_70P, MAX(EFC_85P-AC_Chart_Background_Data[[#This Row],[X]],0))</f>
        <v>0</v>
      </c>
      <c r="AM298" s="151">
        <f>IF(AC_Chart_Background_Data[[#This Row],[X]] &lt; EFC_95P-EFC_85P, EFC_85P, MAX(EFC_95P-AC_Chart_Background_Data[[#This Row],[X]],0))</f>
        <v>0</v>
      </c>
      <c r="AN298" s="151">
        <f>IF(AC_Chart_Background_Data[[#This Row],[X]] &lt; EFC_99P-EFC_95P, EFC_95P, MAX(EFC_99P-AC_Chart_Background_Data[[#This Row],[X]],0))</f>
        <v>0</v>
      </c>
      <c r="AO298" s="151">
        <f t="shared" si="12"/>
        <v>170</v>
      </c>
      <c r="BA298" s="8"/>
    </row>
    <row r="299" spans="36:53" x14ac:dyDescent="0.25">
      <c r="AJ299" s="150">
        <f t="shared" si="13"/>
        <v>295</v>
      </c>
      <c r="AK299" s="151">
        <f>IF(AC_Chart_Background_Data[[#This Row],[X]] &lt; EFC_70P-EFC_50P, EFC_50P, MAX(EFC_70P-AC_Chart_Background_Data[[#This Row],[X]],0))</f>
        <v>0</v>
      </c>
      <c r="AL299" s="151">
        <f>IF(AC_Chart_Background_Data[[#This Row],[X]] &lt; EFC_85P-EFC_70P, EFC_70P, MAX(EFC_85P-AC_Chart_Background_Data[[#This Row],[X]],0))</f>
        <v>0</v>
      </c>
      <c r="AM299" s="151">
        <f>IF(AC_Chart_Background_Data[[#This Row],[X]] &lt; EFC_95P-EFC_85P, EFC_85P, MAX(EFC_95P-AC_Chart_Background_Data[[#This Row],[X]],0))</f>
        <v>0</v>
      </c>
      <c r="AN299" s="151">
        <f>IF(AC_Chart_Background_Data[[#This Row],[X]] &lt; EFC_99P-EFC_95P, EFC_95P, MAX(EFC_99P-AC_Chart_Background_Data[[#This Row],[X]],0))</f>
        <v>0</v>
      </c>
      <c r="AO299" s="151">
        <f t="shared" si="12"/>
        <v>170</v>
      </c>
      <c r="BA299" s="8"/>
    </row>
    <row r="300" spans="36:53" x14ac:dyDescent="0.25">
      <c r="AJ300" s="150">
        <f t="shared" si="13"/>
        <v>296</v>
      </c>
      <c r="AK300" s="151">
        <f>IF(AC_Chart_Background_Data[[#This Row],[X]] &lt; EFC_70P-EFC_50P, EFC_50P, MAX(EFC_70P-AC_Chart_Background_Data[[#This Row],[X]],0))</f>
        <v>0</v>
      </c>
      <c r="AL300" s="151">
        <f>IF(AC_Chart_Background_Data[[#This Row],[X]] &lt; EFC_85P-EFC_70P, EFC_70P, MAX(EFC_85P-AC_Chart_Background_Data[[#This Row],[X]],0))</f>
        <v>0</v>
      </c>
      <c r="AM300" s="151">
        <f>IF(AC_Chart_Background_Data[[#This Row],[X]] &lt; EFC_95P-EFC_85P, EFC_85P, MAX(EFC_95P-AC_Chart_Background_Data[[#This Row],[X]],0))</f>
        <v>0</v>
      </c>
      <c r="AN300" s="151">
        <f>IF(AC_Chart_Background_Data[[#This Row],[X]] &lt; EFC_99P-EFC_95P, EFC_95P, MAX(EFC_99P-AC_Chart_Background_Data[[#This Row],[X]],0))</f>
        <v>0</v>
      </c>
      <c r="AO300" s="151">
        <f t="shared" si="12"/>
        <v>170</v>
      </c>
      <c r="BA300" s="8"/>
    </row>
    <row r="301" spans="36:53" x14ac:dyDescent="0.25">
      <c r="AJ301" s="150">
        <f t="shared" si="13"/>
        <v>297</v>
      </c>
      <c r="AK301" s="151">
        <f>IF(AC_Chart_Background_Data[[#This Row],[X]] &lt; EFC_70P-EFC_50P, EFC_50P, MAX(EFC_70P-AC_Chart_Background_Data[[#This Row],[X]],0))</f>
        <v>0</v>
      </c>
      <c r="AL301" s="151">
        <f>IF(AC_Chart_Background_Data[[#This Row],[X]] &lt; EFC_85P-EFC_70P, EFC_70P, MAX(EFC_85P-AC_Chart_Background_Data[[#This Row],[X]],0))</f>
        <v>0</v>
      </c>
      <c r="AM301" s="151">
        <f>IF(AC_Chart_Background_Data[[#This Row],[X]] &lt; EFC_95P-EFC_85P, EFC_85P, MAX(EFC_95P-AC_Chart_Background_Data[[#This Row],[X]],0))</f>
        <v>0</v>
      </c>
      <c r="AN301" s="151">
        <f>IF(AC_Chart_Background_Data[[#This Row],[X]] &lt; EFC_99P-EFC_95P, EFC_95P, MAX(EFC_99P-AC_Chart_Background_Data[[#This Row],[X]],0))</f>
        <v>0</v>
      </c>
      <c r="AO301" s="151">
        <f t="shared" si="12"/>
        <v>170</v>
      </c>
      <c r="BA301" s="8"/>
    </row>
    <row r="302" spans="36:53" x14ac:dyDescent="0.25">
      <c r="AJ302" s="150">
        <f t="shared" si="13"/>
        <v>298</v>
      </c>
      <c r="AK302" s="151">
        <f>IF(AC_Chart_Background_Data[[#This Row],[X]] &lt; EFC_70P-EFC_50P, EFC_50P, MAX(EFC_70P-AC_Chart_Background_Data[[#This Row],[X]],0))</f>
        <v>0</v>
      </c>
      <c r="AL302" s="151">
        <f>IF(AC_Chart_Background_Data[[#This Row],[X]] &lt; EFC_85P-EFC_70P, EFC_70P, MAX(EFC_85P-AC_Chart_Background_Data[[#This Row],[X]],0))</f>
        <v>0</v>
      </c>
      <c r="AM302" s="151">
        <f>IF(AC_Chart_Background_Data[[#This Row],[X]] &lt; EFC_95P-EFC_85P, EFC_85P, MAX(EFC_95P-AC_Chart_Background_Data[[#This Row],[X]],0))</f>
        <v>0</v>
      </c>
      <c r="AN302" s="151">
        <f>IF(AC_Chart_Background_Data[[#This Row],[X]] &lt; EFC_99P-EFC_95P, EFC_95P, MAX(EFC_99P-AC_Chart_Background_Data[[#This Row],[X]],0))</f>
        <v>0</v>
      </c>
      <c r="AO302" s="151">
        <f t="shared" si="12"/>
        <v>170</v>
      </c>
      <c r="BA302" s="8"/>
    </row>
    <row r="303" spans="36:53" x14ac:dyDescent="0.25">
      <c r="AJ303" s="150">
        <f t="shared" si="13"/>
        <v>299</v>
      </c>
      <c r="AK303" s="151">
        <f>IF(AC_Chart_Background_Data[[#This Row],[X]] &lt; EFC_70P-EFC_50P, EFC_50P, MAX(EFC_70P-AC_Chart_Background_Data[[#This Row],[X]],0))</f>
        <v>0</v>
      </c>
      <c r="AL303" s="151">
        <f>IF(AC_Chart_Background_Data[[#This Row],[X]] &lt; EFC_85P-EFC_70P, EFC_70P, MAX(EFC_85P-AC_Chart_Background_Data[[#This Row],[X]],0))</f>
        <v>0</v>
      </c>
      <c r="AM303" s="151">
        <f>IF(AC_Chart_Background_Data[[#This Row],[X]] &lt; EFC_95P-EFC_85P, EFC_85P, MAX(EFC_95P-AC_Chart_Background_Data[[#This Row],[X]],0))</f>
        <v>0</v>
      </c>
      <c r="AN303" s="151">
        <f>IF(AC_Chart_Background_Data[[#This Row],[X]] &lt; EFC_99P-EFC_95P, EFC_95P, MAX(EFC_99P-AC_Chart_Background_Data[[#This Row],[X]],0))</f>
        <v>0</v>
      </c>
      <c r="AO303" s="151">
        <f t="shared" si="12"/>
        <v>170</v>
      </c>
      <c r="BA303" s="8"/>
    </row>
    <row r="304" spans="36:53" x14ac:dyDescent="0.25">
      <c r="AJ304" s="150">
        <f t="shared" si="13"/>
        <v>300</v>
      </c>
      <c r="AK304" s="151">
        <f>IF(AC_Chart_Background_Data[[#This Row],[X]] &lt; EFC_70P-EFC_50P, EFC_50P, MAX(EFC_70P-AC_Chart_Background_Data[[#This Row],[X]],0))</f>
        <v>0</v>
      </c>
      <c r="AL304" s="151">
        <f>IF(AC_Chart_Background_Data[[#This Row],[X]] &lt; EFC_85P-EFC_70P, EFC_70P, MAX(EFC_85P-AC_Chart_Background_Data[[#This Row],[X]],0))</f>
        <v>0</v>
      </c>
      <c r="AM304" s="151">
        <f>IF(AC_Chart_Background_Data[[#This Row],[X]] &lt; EFC_95P-EFC_85P, EFC_85P, MAX(EFC_95P-AC_Chart_Background_Data[[#This Row],[X]],0))</f>
        <v>0</v>
      </c>
      <c r="AN304" s="151">
        <f>IF(AC_Chart_Background_Data[[#This Row],[X]] &lt; EFC_99P-EFC_95P, EFC_95P, MAX(EFC_99P-AC_Chart_Background_Data[[#This Row],[X]],0))</f>
        <v>0</v>
      </c>
      <c r="AO304" s="151">
        <f t="shared" si="12"/>
        <v>170</v>
      </c>
      <c r="BA304" s="8"/>
    </row>
    <row r="305" spans="36:53" x14ac:dyDescent="0.25">
      <c r="AJ305" s="147"/>
      <c r="AK305" s="147"/>
      <c r="AL305" s="147"/>
      <c r="AM305" s="147"/>
      <c r="AN305" s="147"/>
      <c r="AO305" s="147"/>
      <c r="BA305" s="8"/>
    </row>
    <row r="306" spans="36:53" x14ac:dyDescent="0.25">
      <c r="AJ306" s="147"/>
      <c r="AK306" s="147"/>
      <c r="AL306" s="147"/>
      <c r="AM306" s="147"/>
      <c r="AN306" s="147"/>
      <c r="AO306" s="147"/>
      <c r="BA306" s="8"/>
    </row>
    <row r="307" spans="36:53" x14ac:dyDescent="0.25">
      <c r="AJ307" s="147"/>
      <c r="AK307" s="147"/>
      <c r="AL307" s="147"/>
      <c r="AM307" s="147"/>
      <c r="AN307" s="147"/>
      <c r="AO307" s="147"/>
      <c r="BA307" s="8"/>
    </row>
    <row r="308" spans="36:53" x14ac:dyDescent="0.25">
      <c r="AJ308" s="147"/>
      <c r="AK308" s="147"/>
      <c r="AL308" s="147"/>
      <c r="AM308" s="147"/>
      <c r="AN308" s="147"/>
      <c r="AO308" s="147"/>
      <c r="BA308" s="8"/>
    </row>
    <row r="309" spans="36:53" x14ac:dyDescent="0.25">
      <c r="AJ309" s="147"/>
      <c r="AK309" s="147"/>
      <c r="AL309" s="147"/>
      <c r="AM309" s="147"/>
      <c r="AN309" s="147"/>
      <c r="AO309" s="147"/>
      <c r="BA309" s="8"/>
    </row>
    <row r="310" spans="36:53" x14ac:dyDescent="0.25">
      <c r="AJ310" s="147"/>
      <c r="AK310" s="147"/>
      <c r="AL310" s="147"/>
      <c r="AM310" s="147"/>
      <c r="AN310" s="147"/>
      <c r="AO310" s="147"/>
      <c r="BA310" s="8"/>
    </row>
    <row r="311" spans="36:53" x14ac:dyDescent="0.25">
      <c r="AJ311" s="148"/>
      <c r="AK311" s="148"/>
      <c r="AL311" s="148"/>
      <c r="AM311" s="148"/>
      <c r="AN311" s="148"/>
      <c r="AO311" s="148"/>
      <c r="BA311" s="8"/>
    </row>
    <row r="312" spans="36:53" x14ac:dyDescent="0.25">
      <c r="AJ312" s="149"/>
      <c r="AK312" s="149"/>
      <c r="AL312" s="149"/>
      <c r="AM312" s="149"/>
      <c r="AN312" s="149"/>
      <c r="AO312" s="149"/>
      <c r="BA312" s="8"/>
    </row>
    <row r="313" spans="36:53" x14ac:dyDescent="0.25">
      <c r="AJ313" s="8"/>
      <c r="AK313" s="8"/>
      <c r="AL313" s="8"/>
      <c r="AM313" s="8"/>
      <c r="AN313" s="8"/>
      <c r="AO313" s="8"/>
      <c r="BA313" s="8"/>
    </row>
    <row r="314" spans="36:53" x14ac:dyDescent="0.25">
      <c r="AJ314" s="8"/>
      <c r="AK314" s="8"/>
      <c r="AL314" s="8"/>
      <c r="AM314" s="8"/>
      <c r="AN314" s="8"/>
      <c r="AO314" s="8"/>
      <c r="BA314" s="8"/>
    </row>
    <row r="315" spans="36:53" x14ac:dyDescent="0.25">
      <c r="AJ315" s="8"/>
      <c r="AK315" s="8"/>
      <c r="AL315" s="8"/>
      <c r="AM315" s="8"/>
      <c r="AN315" s="8"/>
      <c r="AO315" s="8"/>
      <c r="BA315" s="8"/>
    </row>
    <row r="316" spans="36:53" x14ac:dyDescent="0.25">
      <c r="AJ316" s="8"/>
      <c r="AK316" s="8"/>
      <c r="AL316" s="8"/>
      <c r="AM316" s="8"/>
      <c r="AN316" s="8"/>
      <c r="AO316" s="8"/>
      <c r="BA316" s="8"/>
    </row>
    <row r="317" spans="36:53" x14ac:dyDescent="0.25">
      <c r="AJ317" s="8"/>
      <c r="AK317" s="8"/>
      <c r="AL317" s="8"/>
      <c r="AM317" s="8"/>
      <c r="AN317" s="8"/>
      <c r="AO317" s="8"/>
      <c r="BA317" s="8"/>
    </row>
    <row r="318" spans="36:53" x14ac:dyDescent="0.25">
      <c r="AJ318" s="8"/>
      <c r="AK318" s="8"/>
      <c r="AL318" s="8"/>
      <c r="AM318" s="8"/>
      <c r="AN318" s="8"/>
      <c r="AO318" s="8"/>
      <c r="BA318" s="8"/>
    </row>
    <row r="319" spans="36:53" x14ac:dyDescent="0.25">
      <c r="AJ319" s="8"/>
      <c r="AK319" s="8"/>
      <c r="AL319" s="8"/>
      <c r="AM319" s="8"/>
      <c r="AN319" s="8"/>
      <c r="AO319" s="8"/>
      <c r="BA319" s="8"/>
    </row>
    <row r="320" spans="36:53" x14ac:dyDescent="0.25">
      <c r="AJ320" s="8"/>
      <c r="AK320" s="8"/>
      <c r="AL320" s="8"/>
      <c r="AM320" s="8"/>
      <c r="AN320" s="8"/>
      <c r="AO320" s="8"/>
      <c r="BA320" s="8"/>
    </row>
    <row r="321" spans="36:53" x14ac:dyDescent="0.25">
      <c r="AJ321" s="8"/>
      <c r="AK321" s="8"/>
      <c r="AL321" s="8"/>
      <c r="AM321" s="8"/>
      <c r="AN321" s="8"/>
      <c r="AO321" s="8"/>
      <c r="BA321" s="8"/>
    </row>
    <row r="322" spans="36:53" x14ac:dyDescent="0.25">
      <c r="AJ322" s="8"/>
      <c r="AK322" s="8"/>
      <c r="AL322" s="8"/>
      <c r="AM322" s="8"/>
      <c r="AN322" s="8"/>
      <c r="AO322" s="8"/>
      <c r="BA322" s="8"/>
    </row>
    <row r="323" spans="36:53" x14ac:dyDescent="0.25">
      <c r="AJ323" s="8"/>
      <c r="AK323" s="8"/>
      <c r="AL323" s="8"/>
      <c r="AM323" s="8"/>
      <c r="AN323" s="8"/>
      <c r="AO323" s="8"/>
      <c r="BA323" s="8"/>
    </row>
    <row r="324" spans="36:53" x14ac:dyDescent="0.25">
      <c r="BA324" s="8"/>
    </row>
    <row r="325" spans="36:53" x14ac:dyDescent="0.25">
      <c r="BA325" s="8"/>
    </row>
    <row r="326" spans="36:53" x14ac:dyDescent="0.25">
      <c r="BA326" s="8"/>
    </row>
    <row r="327" spans="36:53" x14ac:dyDescent="0.25">
      <c r="BA327" s="8"/>
    </row>
    <row r="328" spans="36:53" x14ac:dyDescent="0.25">
      <c r="BA328" s="8"/>
    </row>
    <row r="329" spans="36:53" x14ac:dyDescent="0.25">
      <c r="BA329" s="8"/>
    </row>
    <row r="330" spans="36:53" x14ac:dyDescent="0.25">
      <c r="BA330" s="8"/>
    </row>
    <row r="331" spans="36:53" x14ac:dyDescent="0.25">
      <c r="BA331" s="8"/>
    </row>
    <row r="332" spans="36:53" x14ac:dyDescent="0.25">
      <c r="BA332" s="8"/>
    </row>
    <row r="333" spans="36:53" x14ac:dyDescent="0.25">
      <c r="BA333" s="8"/>
    </row>
    <row r="334" spans="36:53" x14ac:dyDescent="0.25">
      <c r="BA334" s="8"/>
    </row>
    <row r="335" spans="36:53" x14ac:dyDescent="0.25">
      <c r="BA335" s="8"/>
    </row>
    <row r="336" spans="36:53" x14ac:dyDescent="0.25">
      <c r="BA336" s="8"/>
    </row>
    <row r="337" spans="36:53" x14ac:dyDescent="0.25">
      <c r="AJ337" s="77"/>
      <c r="AK337" s="77"/>
      <c r="AL337" s="77"/>
      <c r="AM337" s="77"/>
      <c r="AN337" s="77"/>
      <c r="AO337" s="77"/>
      <c r="BA337" s="8"/>
    </row>
    <row r="338" spans="36:53" x14ac:dyDescent="0.25">
      <c r="AJ338" s="8"/>
      <c r="AK338" s="8"/>
      <c r="AL338" s="8"/>
      <c r="AM338" s="8"/>
      <c r="AN338" s="8"/>
      <c r="AO338" s="8"/>
      <c r="BA338" s="8"/>
    </row>
    <row r="339" spans="36:53" x14ac:dyDescent="0.25">
      <c r="AJ339" s="77"/>
      <c r="AK339" s="77"/>
      <c r="AL339" s="77"/>
      <c r="AM339" s="77"/>
      <c r="AN339" s="77"/>
      <c r="AO339" s="77"/>
      <c r="BA339" s="8"/>
    </row>
    <row r="340" spans="36:53" x14ac:dyDescent="0.25">
      <c r="AJ340" s="77"/>
      <c r="AK340" s="77"/>
      <c r="AL340" s="77"/>
      <c r="AM340" s="77"/>
      <c r="AN340" s="77"/>
      <c r="AO340" s="77"/>
      <c r="BA340" s="8"/>
    </row>
    <row r="341" spans="36:53" x14ac:dyDescent="0.25">
      <c r="AJ341" s="77"/>
      <c r="AK341" s="77"/>
      <c r="AL341" s="77"/>
      <c r="AM341" s="77"/>
      <c r="AN341" s="77"/>
      <c r="AO341" s="77"/>
      <c r="BA341" s="8"/>
    </row>
    <row r="342" spans="36:53" x14ac:dyDescent="0.25">
      <c r="AJ342" s="77"/>
      <c r="AK342" s="77"/>
      <c r="AL342" s="77"/>
      <c r="AM342" s="77"/>
      <c r="AN342" s="77"/>
      <c r="AO342" s="77"/>
      <c r="BA342" s="8"/>
    </row>
    <row r="343" spans="36:53" x14ac:dyDescent="0.25">
      <c r="AJ343" s="8"/>
      <c r="AK343" s="8"/>
      <c r="AL343" s="8"/>
      <c r="AM343" s="8"/>
      <c r="AN343" s="8"/>
      <c r="AO343" s="8"/>
      <c r="BA343" s="8"/>
    </row>
    <row r="344" spans="36:53" x14ac:dyDescent="0.25">
      <c r="AJ344" s="8"/>
      <c r="AK344" s="8"/>
      <c r="AL344" s="8"/>
      <c r="AM344" s="8"/>
      <c r="AN344" s="8"/>
      <c r="AO344" s="8"/>
      <c r="BA344" s="8"/>
    </row>
    <row r="345" spans="36:53" x14ac:dyDescent="0.25">
      <c r="AJ345" s="8"/>
      <c r="AK345" s="8"/>
      <c r="AL345" s="8"/>
      <c r="AM345" s="8"/>
      <c r="AN345" s="8"/>
      <c r="AO345" s="8"/>
      <c r="BA345" s="8"/>
    </row>
    <row r="346" spans="36:53" x14ac:dyDescent="0.25">
      <c r="AJ346" s="8"/>
      <c r="AK346" s="8"/>
      <c r="AL346" s="8"/>
      <c r="AM346" s="8"/>
      <c r="AN346" s="8"/>
      <c r="AO346" s="8"/>
      <c r="BA346" s="8"/>
    </row>
    <row r="347" spans="36:53" x14ac:dyDescent="0.25">
      <c r="BA347" s="8"/>
    </row>
    <row r="348" spans="36:53" x14ac:dyDescent="0.25">
      <c r="BA348" s="8"/>
    </row>
    <row r="349" spans="36:53" x14ac:dyDescent="0.25">
      <c r="BA349" s="8"/>
    </row>
    <row r="350" spans="36:53" x14ac:dyDescent="0.25">
      <c r="BA350" s="8"/>
    </row>
    <row r="351" spans="36:53" x14ac:dyDescent="0.25">
      <c r="BA351" s="8"/>
    </row>
    <row r="352" spans="36:53" x14ac:dyDescent="0.25">
      <c r="BA352" s="8"/>
    </row>
    <row r="353" spans="53:53" x14ac:dyDescent="0.25">
      <c r="BA353" s="8"/>
    </row>
    <row r="354" spans="53:53" x14ac:dyDescent="0.25">
      <c r="BA354" s="8"/>
    </row>
    <row r="355" spans="53:53" x14ac:dyDescent="0.25">
      <c r="BA355" s="8"/>
    </row>
    <row r="356" spans="53:53" x14ac:dyDescent="0.25">
      <c r="BA356" s="8"/>
    </row>
    <row r="357" spans="53:53" x14ac:dyDescent="0.25">
      <c r="BA357" s="8"/>
    </row>
    <row r="358" spans="53:53" x14ac:dyDescent="0.25">
      <c r="BA358" s="8"/>
    </row>
    <row r="359" spans="53:53" x14ac:dyDescent="0.25">
      <c r="BA359" s="8"/>
    </row>
    <row r="360" spans="53:53" x14ac:dyDescent="0.25">
      <c r="BA360" s="8"/>
    </row>
    <row r="361" spans="53:53" x14ac:dyDescent="0.25">
      <c r="BA361" s="8"/>
    </row>
    <row r="362" spans="53:53" x14ac:dyDescent="0.25">
      <c r="BA362" s="8"/>
    </row>
    <row r="363" spans="53:53" x14ac:dyDescent="0.25">
      <c r="BA363" s="8"/>
    </row>
    <row r="364" spans="53:53" x14ac:dyDescent="0.25">
      <c r="BA364" s="8"/>
    </row>
    <row r="365" spans="53:53" x14ac:dyDescent="0.25">
      <c r="BA365" s="8"/>
    </row>
    <row r="366" spans="53:53" x14ac:dyDescent="0.25">
      <c r="BA366" s="8"/>
    </row>
    <row r="367" spans="53:53" x14ac:dyDescent="0.25">
      <c r="BA367" s="8"/>
    </row>
    <row r="368" spans="53:53" x14ac:dyDescent="0.25">
      <c r="BA368" s="8"/>
    </row>
    <row r="369" spans="53:53" x14ac:dyDescent="0.25">
      <c r="BA369" s="8"/>
    </row>
    <row r="370" spans="53:53" x14ac:dyDescent="0.25">
      <c r="BA370" s="8"/>
    </row>
    <row r="371" spans="53:53" x14ac:dyDescent="0.25">
      <c r="BA371" s="8"/>
    </row>
    <row r="372" spans="53:53" x14ac:dyDescent="0.25">
      <c r="BA372" s="8"/>
    </row>
    <row r="373" spans="53:53" x14ac:dyDescent="0.25">
      <c r="BA373" s="8"/>
    </row>
    <row r="374" spans="53:53" x14ac:dyDescent="0.25">
      <c r="BA374" s="8"/>
    </row>
    <row r="375" spans="53:53" x14ac:dyDescent="0.25">
      <c r="BA375" s="8"/>
    </row>
    <row r="376" spans="53:53" x14ac:dyDescent="0.25">
      <c r="BA376" s="8"/>
    </row>
    <row r="377" spans="53:53" x14ac:dyDescent="0.25">
      <c r="BA377" s="8"/>
    </row>
    <row r="378" spans="53:53" x14ac:dyDescent="0.25">
      <c r="BA378" s="8"/>
    </row>
    <row r="379" spans="53:53" x14ac:dyDescent="0.25">
      <c r="BA379" s="8"/>
    </row>
    <row r="380" spans="53:53" x14ac:dyDescent="0.25">
      <c r="BA380" s="8"/>
    </row>
    <row r="381" spans="53:53" x14ac:dyDescent="0.25">
      <c r="BA381" s="8"/>
    </row>
    <row r="382" spans="53:53" x14ac:dyDescent="0.25">
      <c r="BA382" s="8"/>
    </row>
    <row r="383" spans="53:53" x14ac:dyDescent="0.25">
      <c r="BA383" s="8"/>
    </row>
    <row r="384" spans="53:53" x14ac:dyDescent="0.25">
      <c r="BA384" s="8"/>
    </row>
    <row r="385" spans="53:53" x14ac:dyDescent="0.25">
      <c r="BA385" s="8"/>
    </row>
    <row r="386" spans="53:53" x14ac:dyDescent="0.25">
      <c r="BA386" s="8"/>
    </row>
    <row r="387" spans="53:53" x14ac:dyDescent="0.25">
      <c r="BA387" s="8"/>
    </row>
    <row r="388" spans="53:53" x14ac:dyDescent="0.25">
      <c r="BA388" s="8"/>
    </row>
    <row r="389" spans="53:53" x14ac:dyDescent="0.25">
      <c r="BA389" s="8"/>
    </row>
    <row r="390" spans="53:53" x14ac:dyDescent="0.25">
      <c r="BA390" s="8"/>
    </row>
    <row r="391" spans="53:53" x14ac:dyDescent="0.25">
      <c r="BA391" s="8"/>
    </row>
  </sheetData>
  <sheetProtection algorithmName="SHA-512" hashValue="wHt/SOnuksmhKAWW7f3c6uVOakM2mmmymHJ8BLQ5QNQs1JElpGK9XcjcwdNopFXihH55ny+vRiQDZYQCM5kpXg==" saltValue="lh5aXh2XDdte+OMfnUBfhw==" spinCount="100000" sheet="1" formatRows="0" insertHyperlinks="0"/>
  <mergeCells count="50">
    <mergeCell ref="A49:B49"/>
    <mergeCell ref="A73:B73"/>
    <mergeCell ref="A74:B78"/>
    <mergeCell ref="A114:E114"/>
    <mergeCell ref="A60:A62"/>
    <mergeCell ref="A71:B72"/>
    <mergeCell ref="A63:A70"/>
    <mergeCell ref="A50:B50"/>
    <mergeCell ref="A51:B51"/>
    <mergeCell ref="A52:B52"/>
    <mergeCell ref="A53:B53"/>
    <mergeCell ref="C99:C101"/>
    <mergeCell ref="A99:A101"/>
    <mergeCell ref="A102:A108"/>
    <mergeCell ref="C102:C108"/>
    <mergeCell ref="BB1:BD1"/>
    <mergeCell ref="B5:C5"/>
    <mergeCell ref="A7:C7"/>
    <mergeCell ref="B11:C11"/>
    <mergeCell ref="A32:E32"/>
    <mergeCell ref="AX1:AZ1"/>
    <mergeCell ref="AD22:AD26"/>
    <mergeCell ref="AF22:AF26"/>
    <mergeCell ref="AC1:AG1"/>
    <mergeCell ref="AH22:AH26"/>
    <mergeCell ref="AJ1:AO1"/>
    <mergeCell ref="AQ1:AV1"/>
    <mergeCell ref="F32:H32"/>
    <mergeCell ref="B8:C8"/>
    <mergeCell ref="D8:I9"/>
    <mergeCell ref="B9:C9"/>
    <mergeCell ref="A48:B48"/>
    <mergeCell ref="C48:D48"/>
    <mergeCell ref="A13:C13"/>
    <mergeCell ref="AE22:AE26"/>
    <mergeCell ref="AG22:AG26"/>
    <mergeCell ref="AF36:AG36"/>
    <mergeCell ref="AE34:AH34"/>
    <mergeCell ref="AE33:AF33"/>
    <mergeCell ref="AG33:AH33"/>
    <mergeCell ref="A42:B44"/>
    <mergeCell ref="A47:B47"/>
    <mergeCell ref="C47:D47"/>
    <mergeCell ref="B10:C10"/>
    <mergeCell ref="F16:I17"/>
    <mergeCell ref="A17:E17"/>
    <mergeCell ref="B12:C12"/>
    <mergeCell ref="H22:H25"/>
    <mergeCell ref="I22:I25"/>
    <mergeCell ref="A20:I20"/>
  </mergeCells>
  <phoneticPr fontId="35" type="noConversion"/>
  <conditionalFormatting sqref="A63">
    <cfRule type="expression" dxfId="9" priority="11">
      <formula>LEFT($A$63,8)="Complete"</formula>
    </cfRule>
  </conditionalFormatting>
  <conditionalFormatting sqref="A102">
    <cfRule type="expression" dxfId="8" priority="4">
      <formula>LEFT($A$63,8)="Complete"</formula>
    </cfRule>
  </conditionalFormatting>
  <conditionalFormatting sqref="C49">
    <cfRule type="expression" dxfId="7" priority="17">
      <formula>RIGHT($C$49,1)="."</formula>
    </cfRule>
  </conditionalFormatting>
  <conditionalFormatting sqref="C54">
    <cfRule type="expression" dxfId="6" priority="16">
      <formula>RIGHT($C$54,1)="."</formula>
    </cfRule>
  </conditionalFormatting>
  <conditionalFormatting sqref="C102">
    <cfRule type="expression" dxfId="5" priority="1">
      <formula>LEFT($A$63,8)="Complete"</formula>
    </cfRule>
  </conditionalFormatting>
  <conditionalFormatting sqref="E47:E48">
    <cfRule type="expression" dxfId="4" priority="14">
      <formula>AND($C$48="Wastewater",LEFT($C$47,3)="Sin")</formula>
    </cfRule>
  </conditionalFormatting>
  <conditionalFormatting sqref="F23">
    <cfRule type="cellIs" dxfId="3" priority="19" operator="equal">
      <formula>"Error: Total must equal 100%."</formula>
    </cfRule>
  </conditionalFormatting>
  <conditionalFormatting sqref="F47:F48">
    <cfRule type="expression" dxfId="2" priority="15">
      <formula>AND(LEFT($C$47,3)="Sin",$C$48="Water")</formula>
    </cfRule>
  </conditionalFormatting>
  <conditionalFormatting sqref="F108">
    <cfRule type="expression" dxfId="1" priority="5">
      <formula>LEFT($A$63,8)="Complete"</formula>
    </cfRule>
  </conditionalFormatting>
  <conditionalFormatting sqref="I26:I31">
    <cfRule type="cellIs" dxfId="0" priority="18" operator="equal">
      <formula>"Yes"</formula>
    </cfRule>
  </conditionalFormatting>
  <conditionalFormatting sqref="AF27:AF32 AH27:AH32 AE33 AG33">
    <cfRule type="colorScale" priority="10">
      <colorScale>
        <cfvo type="percentile" val="0"/>
        <cfvo type="percentile" val="50"/>
        <cfvo type="percentile" val="100"/>
        <color theme="0"/>
        <color theme="7"/>
        <color rgb="FF00B050"/>
      </colorScale>
    </cfRule>
  </conditionalFormatting>
  <dataValidations count="6">
    <dataValidation type="list" allowBlank="1" showInputMessage="1" promptTitle="Select or Type" prompt="Select from the list or type applicant name if not listed." sqref="B8:C8" xr:uid="{24AF32AC-EBF7-44EA-BDE3-D92CC3A232A4}">
      <formula1>VU_Unit_Names</formula1>
    </dataValidation>
    <dataValidation type="list" allowBlank="1" showInputMessage="1" promptTitle="Select or Type" prompt="Select from the list or type applicant name if not listed." sqref="B5:C5" xr:uid="{F794A74F-A123-4D1A-A631-1FAE70CCE1AA}">
      <formula1>Economic_Unit_Names</formula1>
    </dataValidation>
    <dataValidation type="list" allowBlank="1" showInputMessage="1" showErrorMessage="1" sqref="C47:D47" xr:uid="{1279A45F-6C33-42A4-ABF2-C1B5071EB34D}">
      <formula1>$AA$17:$AA$19</formula1>
    </dataValidation>
    <dataValidation type="list" allowBlank="1" showInputMessage="1" showErrorMessage="1" sqref="C48:D48" xr:uid="{B8AFDBA9-9507-4EB9-AA12-0249FD77377C}">
      <formula1>$AA$22:$AA$24</formula1>
    </dataValidation>
    <dataValidation type="list" showInputMessage="1" showErrorMessage="1" promptTitle="Select" prompt="Select from the list." sqref="B11:C12" xr:uid="{8E3444DB-E3F1-445E-8869-6D2316D2C26C}">
      <formula1>$AA$3:$AA$5</formula1>
    </dataValidation>
    <dataValidation type="list" allowBlank="1" showInputMessage="1" sqref="B22:E22" xr:uid="{DD036FDA-0057-41D1-991F-3F60AD618EF9}">
      <formula1>Economic_Unit_Names</formula1>
    </dataValidation>
  </dataValidations>
  <printOptions horizontalCentered="1" verticalCentered="1"/>
  <pageMargins left="0.25" right="0.25" top="0.75" bottom="0.75" header="0.3" footer="0.3"/>
  <pageSetup scale="59" orientation="portrait" horizontalDpi="1200" verticalDpi="1200" r:id="rId1"/>
  <headerFooter>
    <oddFooter>&amp;L&amp;F&amp;R&amp;D&amp;T</oddFooter>
  </headerFooter>
  <ignoredErrors>
    <ignoredError sqref="B22 B8 B9:C11 B27:E30 F26:F29 B24:E24 B25 C25:E25 A24:A25"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0</xdr:col>
                    <xdr:colOff>1133475</xdr:colOff>
                    <xdr:row>19</xdr:row>
                    <xdr:rowOff>581025</xdr:rowOff>
                  </from>
                  <to>
                    <xdr:col>0</xdr:col>
                    <xdr:colOff>1695450</xdr:colOff>
                    <xdr:row>21</xdr:row>
                    <xdr:rowOff>28575</xdr:rowOff>
                  </to>
                </anchor>
              </controlPr>
            </control>
          </mc:Choice>
        </mc:AlternateContent>
        <mc:AlternateContent xmlns:mc="http://schemas.openxmlformats.org/markup-compatibility/2006">
          <mc:Choice Requires="x14">
            <control shapeId="1027" r:id="rId5" name="Option Button 3">
              <controlPr defaultSize="0" autoFill="0" autoLine="0" autoPict="0">
                <anchor moveWithCells="1">
                  <from>
                    <xdr:col>0</xdr:col>
                    <xdr:colOff>1619250</xdr:colOff>
                    <xdr:row>19</xdr:row>
                    <xdr:rowOff>581025</xdr:rowOff>
                  </from>
                  <to>
                    <xdr:col>1</xdr:col>
                    <xdr:colOff>0</xdr:colOff>
                    <xdr:row>21</xdr:row>
                    <xdr:rowOff>28575</xdr:rowOff>
                  </to>
                </anchor>
              </controlPr>
            </control>
          </mc:Choice>
        </mc:AlternateContent>
      </controls>
    </mc:Choice>
  </mc:AlternateContent>
  <tableParts count="3">
    <tablePart r:id="rId6"/>
    <tablePart r:id="rId7"/>
    <tablePart r:id="rId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73738-3487-4029-969E-5BD24A1C637C}">
  <sheetPr codeName="Units_Data_Table"/>
  <dimension ref="A1:P655"/>
  <sheetViews>
    <sheetView workbookViewId="0">
      <selection activeCell="E2" sqref="E2"/>
    </sheetView>
  </sheetViews>
  <sheetFormatPr defaultRowHeight="15" x14ac:dyDescent="0.25"/>
  <cols>
    <col min="1" max="1" width="27.28515625" bestFit="1" customWidth="1"/>
    <col min="2" max="2" width="13" customWidth="1"/>
    <col min="3" max="3" width="13.5703125" customWidth="1"/>
    <col min="4" max="4" width="13.42578125" customWidth="1"/>
    <col min="5" max="5" width="12.28515625" customWidth="1"/>
    <col min="6" max="6" width="16" customWidth="1"/>
    <col min="7" max="7" width="19.7109375" customWidth="1"/>
    <col min="8" max="8" width="18.42578125" customWidth="1"/>
    <col min="9" max="9" width="18.7109375" customWidth="1"/>
    <col min="10" max="10" width="19.28515625" style="129" customWidth="1"/>
    <col min="11" max="11" width="14.28515625" customWidth="1"/>
    <col min="12" max="12" width="11.42578125" bestFit="1" customWidth="1"/>
    <col min="13" max="15" width="9.140625" customWidth="1"/>
  </cols>
  <sheetData>
    <row r="1" spans="1:16" ht="57.75" customHeight="1" x14ac:dyDescent="0.25">
      <c r="A1" s="291" t="s">
        <v>846</v>
      </c>
      <c r="B1" s="171" t="s">
        <v>844</v>
      </c>
      <c r="C1" s="171" t="s">
        <v>845</v>
      </c>
      <c r="D1" s="172" t="s">
        <v>843</v>
      </c>
      <c r="E1" s="172" t="s">
        <v>842</v>
      </c>
      <c r="F1" s="172" t="s">
        <v>838</v>
      </c>
      <c r="G1" s="170" t="s">
        <v>839</v>
      </c>
      <c r="H1" s="170" t="s">
        <v>840</v>
      </c>
      <c r="I1" s="170" t="s">
        <v>847</v>
      </c>
      <c r="J1" s="173" t="s">
        <v>848</v>
      </c>
      <c r="K1" s="129"/>
    </row>
    <row r="2" spans="1:16" x14ac:dyDescent="0.25">
      <c r="A2" s="292"/>
      <c r="B2" s="174">
        <v>10584340</v>
      </c>
      <c r="C2" s="174">
        <v>10846274</v>
      </c>
      <c r="D2" s="160">
        <v>3.11</v>
      </c>
      <c r="E2" s="160">
        <v>4.4800000000000004</v>
      </c>
      <c r="F2" s="160">
        <v>13.2</v>
      </c>
      <c r="G2" s="175">
        <v>3.49</v>
      </c>
      <c r="H2" s="176">
        <v>69904</v>
      </c>
      <c r="I2" s="176">
        <v>159853</v>
      </c>
      <c r="J2" s="177">
        <v>155992</v>
      </c>
      <c r="K2" s="129"/>
    </row>
    <row r="4" spans="1:16" ht="59.25" customHeight="1" x14ac:dyDescent="0.25">
      <c r="A4" s="122" t="s">
        <v>713</v>
      </c>
      <c r="B4" s="165" t="s">
        <v>850</v>
      </c>
      <c r="C4" s="165" t="s">
        <v>844</v>
      </c>
      <c r="D4" s="165" t="s">
        <v>851</v>
      </c>
      <c r="E4" s="165" t="s">
        <v>845</v>
      </c>
      <c r="F4" s="166" t="s">
        <v>838</v>
      </c>
      <c r="G4" s="166" t="s">
        <v>839</v>
      </c>
      <c r="H4" s="166" t="s">
        <v>840</v>
      </c>
      <c r="I4" s="167" t="s">
        <v>841</v>
      </c>
      <c r="J4"/>
      <c r="K4" s="123" t="s">
        <v>690</v>
      </c>
      <c r="L4" s="124" t="s">
        <v>694</v>
      </c>
      <c r="M4" s="124" t="s">
        <v>826</v>
      </c>
      <c r="N4" s="124" t="s">
        <v>691</v>
      </c>
      <c r="O4" s="124" t="s">
        <v>827</v>
      </c>
      <c r="P4" s="124"/>
    </row>
    <row r="5" spans="1:16" x14ac:dyDescent="0.25">
      <c r="A5" t="s">
        <v>0</v>
      </c>
      <c r="B5" s="117">
        <v>7595</v>
      </c>
      <c r="C5" s="116">
        <v>8969</v>
      </c>
      <c r="D5" s="140">
        <v>8258</v>
      </c>
      <c r="E5" s="116">
        <v>9531</v>
      </c>
      <c r="F5">
        <v>10.3</v>
      </c>
      <c r="G5" s="162">
        <v>3.45</v>
      </c>
      <c r="H5" s="163">
        <v>72955</v>
      </c>
      <c r="I5" s="161">
        <v>1627446483</v>
      </c>
      <c r="J5"/>
      <c r="K5" s="125" t="s">
        <v>0</v>
      </c>
      <c r="L5" s="126" t="s">
        <v>692</v>
      </c>
      <c r="M5" s="127">
        <v>1</v>
      </c>
      <c r="N5" s="126" t="s">
        <v>692</v>
      </c>
      <c r="O5" s="131" t="s">
        <v>692</v>
      </c>
      <c r="P5" s="127"/>
    </row>
    <row r="6" spans="1:16" x14ac:dyDescent="0.25">
      <c r="A6" t="s">
        <v>1</v>
      </c>
      <c r="B6" s="117">
        <v>4848</v>
      </c>
      <c r="C6" s="117">
        <v>4798</v>
      </c>
      <c r="D6" s="141">
        <v>4967</v>
      </c>
      <c r="E6" s="117">
        <v>4658</v>
      </c>
      <c r="F6">
        <v>24.4</v>
      </c>
      <c r="G6" s="162">
        <v>4.16</v>
      </c>
      <c r="H6" s="164">
        <v>40762</v>
      </c>
      <c r="I6" s="161">
        <v>330404728</v>
      </c>
      <c r="J6"/>
      <c r="K6" s="125" t="s">
        <v>1</v>
      </c>
      <c r="L6" s="126" t="s">
        <v>692</v>
      </c>
      <c r="M6" s="127">
        <v>3</v>
      </c>
      <c r="N6" s="126" t="s">
        <v>692</v>
      </c>
      <c r="O6" s="131" t="s">
        <v>692</v>
      </c>
      <c r="P6" s="127"/>
    </row>
    <row r="7" spans="1:16" x14ac:dyDescent="0.25">
      <c r="A7" t="s">
        <v>2</v>
      </c>
      <c r="B7" s="117">
        <v>163324</v>
      </c>
      <c r="C7" s="117">
        <v>174286</v>
      </c>
      <c r="D7" s="141">
        <v>169785</v>
      </c>
      <c r="E7" s="117">
        <v>181097</v>
      </c>
      <c r="F7">
        <v>14.1</v>
      </c>
      <c r="G7" s="162">
        <v>3.49</v>
      </c>
      <c r="H7" s="164">
        <v>64445</v>
      </c>
      <c r="I7" s="161">
        <v>25251922187</v>
      </c>
      <c r="J7"/>
      <c r="K7" s="125" t="s">
        <v>3</v>
      </c>
      <c r="L7" s="126" t="s">
        <v>692</v>
      </c>
      <c r="M7" s="127">
        <v>5</v>
      </c>
      <c r="N7" s="126" t="s">
        <v>692</v>
      </c>
      <c r="O7" s="131" t="s">
        <v>692</v>
      </c>
      <c r="P7" s="127"/>
    </row>
    <row r="8" spans="1:16" x14ac:dyDescent="0.25">
      <c r="A8" t="s">
        <v>3</v>
      </c>
      <c r="B8" s="117">
        <v>1127</v>
      </c>
      <c r="C8" s="117">
        <v>1358</v>
      </c>
      <c r="D8" s="141">
        <v>983</v>
      </c>
      <c r="E8" s="117">
        <v>1041</v>
      </c>
      <c r="F8">
        <v>8.3000000000000007</v>
      </c>
      <c r="G8" s="162">
        <v>3.49</v>
      </c>
      <c r="H8" s="164">
        <v>88438</v>
      </c>
      <c r="I8" s="161">
        <v>188847741</v>
      </c>
      <c r="J8"/>
      <c r="K8" s="125" t="s">
        <v>4</v>
      </c>
      <c r="L8" s="126" t="s">
        <v>693</v>
      </c>
      <c r="M8" s="127">
        <v>7</v>
      </c>
      <c r="N8" s="126" t="s">
        <v>692</v>
      </c>
      <c r="O8" s="131" t="s">
        <v>692</v>
      </c>
      <c r="P8" s="127"/>
    </row>
    <row r="9" spans="1:16" x14ac:dyDescent="0.25">
      <c r="A9" t="s">
        <v>4</v>
      </c>
      <c r="B9" s="117">
        <v>15980</v>
      </c>
      <c r="C9" s="117">
        <v>16527</v>
      </c>
      <c r="D9" s="141">
        <v>16430</v>
      </c>
      <c r="E9" s="117">
        <v>17058</v>
      </c>
      <c r="F9">
        <v>22.5</v>
      </c>
      <c r="G9" s="162">
        <v>3.08</v>
      </c>
      <c r="H9" s="164">
        <v>52825</v>
      </c>
      <c r="I9" s="161">
        <v>1421225894</v>
      </c>
      <c r="J9"/>
      <c r="K9" s="125" t="s">
        <v>5</v>
      </c>
      <c r="L9" s="132" t="s">
        <v>692</v>
      </c>
      <c r="M9" s="127">
        <v>1</v>
      </c>
      <c r="N9" s="126" t="s">
        <v>692</v>
      </c>
      <c r="O9" s="131" t="s">
        <v>692</v>
      </c>
      <c r="P9" s="127"/>
    </row>
    <row r="10" spans="1:16" x14ac:dyDescent="0.25">
      <c r="A10" t="s">
        <v>5</v>
      </c>
      <c r="B10" s="117">
        <v>37213</v>
      </c>
      <c r="C10" s="117">
        <v>36440</v>
      </c>
      <c r="D10" s="141">
        <v>36565</v>
      </c>
      <c r="E10" s="117">
        <v>36231</v>
      </c>
      <c r="F10">
        <v>12.1</v>
      </c>
      <c r="G10" s="162">
        <v>3.47</v>
      </c>
      <c r="H10" s="164">
        <v>65268</v>
      </c>
      <c r="I10" s="161">
        <v>4042218934</v>
      </c>
      <c r="J10"/>
      <c r="K10" s="125" t="s">
        <v>8</v>
      </c>
      <c r="L10" s="126" t="s">
        <v>693</v>
      </c>
      <c r="M10" s="127">
        <v>4</v>
      </c>
      <c r="N10" s="126" t="s">
        <v>692</v>
      </c>
      <c r="O10" s="131" t="s">
        <v>692</v>
      </c>
      <c r="P10" s="127"/>
    </row>
    <row r="11" spans="1:16" x14ac:dyDescent="0.25">
      <c r="A11" t="s">
        <v>6</v>
      </c>
      <c r="B11" s="117">
        <v>11008</v>
      </c>
      <c r="C11" s="117">
        <v>11075</v>
      </c>
      <c r="D11" s="141">
        <v>10919</v>
      </c>
      <c r="E11" s="117">
        <v>11513</v>
      </c>
      <c r="F11">
        <v>17.399999999999999</v>
      </c>
      <c r="G11" s="162">
        <v>4.21</v>
      </c>
      <c r="H11" s="164">
        <v>44272</v>
      </c>
      <c r="I11" s="161">
        <v>2091984690</v>
      </c>
      <c r="J11"/>
      <c r="K11" s="125" t="s">
        <v>9</v>
      </c>
      <c r="L11" s="126" t="s">
        <v>692</v>
      </c>
      <c r="M11" s="127">
        <v>1</v>
      </c>
      <c r="N11" s="126" t="s">
        <v>692</v>
      </c>
      <c r="O11" s="131" t="s">
        <v>692</v>
      </c>
      <c r="P11" s="127"/>
    </row>
    <row r="12" spans="1:16" x14ac:dyDescent="0.25">
      <c r="A12" t="s">
        <v>7</v>
      </c>
      <c r="B12" s="117">
        <v>809</v>
      </c>
      <c r="C12" s="117">
        <v>812</v>
      </c>
      <c r="D12" s="141">
        <v>732</v>
      </c>
      <c r="E12" s="117">
        <v>736</v>
      </c>
      <c r="F12">
        <v>17.600000000000001</v>
      </c>
      <c r="G12" s="162">
        <v>3.68</v>
      </c>
      <c r="H12" s="164">
        <v>44167</v>
      </c>
      <c r="I12" s="161">
        <v>69768995</v>
      </c>
      <c r="J12"/>
      <c r="K12" s="125" t="s">
        <v>10</v>
      </c>
      <c r="L12" s="126" t="s">
        <v>692</v>
      </c>
      <c r="M12" s="127">
        <v>2</v>
      </c>
      <c r="N12" s="126" t="s">
        <v>692</v>
      </c>
      <c r="O12" s="131" t="s">
        <v>692</v>
      </c>
      <c r="P12" s="127"/>
    </row>
    <row r="13" spans="1:16" x14ac:dyDescent="0.25">
      <c r="A13" t="s">
        <v>8</v>
      </c>
      <c r="B13" s="117">
        <v>1837</v>
      </c>
      <c r="C13" s="117">
        <v>1976</v>
      </c>
      <c r="D13" s="141">
        <v>1701</v>
      </c>
      <c r="E13" s="117">
        <v>1703</v>
      </c>
      <c r="F13">
        <v>23.7</v>
      </c>
      <c r="G13" s="162">
        <v>3.79</v>
      </c>
      <c r="H13" s="164">
        <v>34879</v>
      </c>
      <c r="I13" s="161">
        <v>123640770</v>
      </c>
      <c r="J13"/>
      <c r="K13" s="125" t="s">
        <v>11</v>
      </c>
      <c r="L13" s="126" t="s">
        <v>692</v>
      </c>
      <c r="M13" s="127">
        <v>2</v>
      </c>
      <c r="N13" s="126" t="s">
        <v>692</v>
      </c>
      <c r="O13" s="131" t="s">
        <v>692</v>
      </c>
      <c r="P13" s="127"/>
    </row>
    <row r="14" spans="1:16" x14ac:dyDescent="0.25">
      <c r="A14" t="s">
        <v>9</v>
      </c>
      <c r="B14" s="117">
        <v>5893</v>
      </c>
      <c r="C14" s="117">
        <v>5746</v>
      </c>
      <c r="D14" s="141">
        <v>5215</v>
      </c>
      <c r="E14" s="117">
        <v>7058</v>
      </c>
      <c r="F14">
        <v>7.7</v>
      </c>
      <c r="G14" s="162">
        <v>3.38</v>
      </c>
      <c r="H14" s="164">
        <v>51162</v>
      </c>
      <c r="I14" s="161">
        <v>768476965</v>
      </c>
      <c r="J14"/>
      <c r="K14" s="125" t="s">
        <v>12</v>
      </c>
      <c r="L14" s="126" t="s">
        <v>692</v>
      </c>
      <c r="M14" s="127">
        <v>1</v>
      </c>
      <c r="N14" s="126" t="s">
        <v>692</v>
      </c>
      <c r="O14" s="131" t="s">
        <v>692</v>
      </c>
      <c r="P14" s="127"/>
    </row>
    <row r="15" spans="1:16" x14ac:dyDescent="0.25">
      <c r="A15" t="s">
        <v>10</v>
      </c>
      <c r="B15" s="117">
        <v>24902</v>
      </c>
      <c r="C15" s="117">
        <v>21903</v>
      </c>
      <c r="D15" s="141">
        <v>21999</v>
      </c>
      <c r="E15" s="117">
        <v>21619</v>
      </c>
      <c r="F15">
        <v>21.2</v>
      </c>
      <c r="G15" s="162">
        <v>4.45</v>
      </c>
      <c r="H15" s="164">
        <v>44245</v>
      </c>
      <c r="I15" s="161">
        <v>2355947602</v>
      </c>
      <c r="J15"/>
      <c r="K15" s="125" t="s">
        <v>14</v>
      </c>
      <c r="L15" s="126" t="s">
        <v>692</v>
      </c>
      <c r="M15" s="127">
        <v>0</v>
      </c>
      <c r="N15" s="126" t="s">
        <v>692</v>
      </c>
      <c r="O15" s="131" t="s">
        <v>692</v>
      </c>
      <c r="P15" s="127"/>
    </row>
    <row r="16" spans="1:16" x14ac:dyDescent="0.25">
      <c r="A16" t="s">
        <v>11</v>
      </c>
      <c r="B16" s="117">
        <v>730</v>
      </c>
      <c r="C16" s="117">
        <v>578</v>
      </c>
      <c r="D16" s="141">
        <v>423</v>
      </c>
      <c r="E16" s="117">
        <v>438</v>
      </c>
      <c r="F16">
        <v>26.3</v>
      </c>
      <c r="G16" s="162">
        <v>4.45</v>
      </c>
      <c r="H16" s="164">
        <v>39375</v>
      </c>
      <c r="I16" s="161">
        <v>28338124</v>
      </c>
      <c r="J16"/>
      <c r="K16" s="125" t="s">
        <v>17</v>
      </c>
      <c r="L16" s="126" t="s">
        <v>692</v>
      </c>
      <c r="M16" s="127">
        <v>3</v>
      </c>
      <c r="N16" s="126" t="s">
        <v>692</v>
      </c>
      <c r="O16" s="131" t="s">
        <v>692</v>
      </c>
      <c r="P16" s="127"/>
    </row>
    <row r="17" spans="1:16" x14ac:dyDescent="0.25">
      <c r="A17" t="s">
        <v>12</v>
      </c>
      <c r="B17" s="117">
        <v>51370</v>
      </c>
      <c r="C17" s="117">
        <v>67765</v>
      </c>
      <c r="D17" s="141">
        <v>52757</v>
      </c>
      <c r="E17" s="117">
        <v>71944</v>
      </c>
      <c r="F17">
        <v>2.6</v>
      </c>
      <c r="G17" s="162">
        <v>3</v>
      </c>
      <c r="H17" s="164">
        <v>138442</v>
      </c>
      <c r="I17" s="161">
        <v>12502104463</v>
      </c>
      <c r="J17"/>
      <c r="K17" s="125" t="s">
        <v>18</v>
      </c>
      <c r="L17" s="126" t="s">
        <v>692</v>
      </c>
      <c r="M17" s="127">
        <v>1</v>
      </c>
      <c r="N17" s="126" t="s">
        <v>692</v>
      </c>
      <c r="O17" s="131" t="s">
        <v>692</v>
      </c>
      <c r="P17" s="127"/>
    </row>
    <row r="18" spans="1:16" x14ac:dyDescent="0.25">
      <c r="A18" t="s">
        <v>13</v>
      </c>
      <c r="B18" s="117">
        <v>410</v>
      </c>
      <c r="C18" s="117">
        <v>384</v>
      </c>
      <c r="D18" s="141">
        <v>424</v>
      </c>
      <c r="E18" s="117">
        <v>424</v>
      </c>
      <c r="F18">
        <v>18.899999999999999</v>
      </c>
      <c r="G18" s="162">
        <v>3.68</v>
      </c>
      <c r="H18" s="164">
        <v>69792</v>
      </c>
      <c r="I18" s="161"/>
      <c r="J18"/>
      <c r="K18" s="125" t="s">
        <v>19</v>
      </c>
      <c r="L18" s="126" t="s">
        <v>693</v>
      </c>
      <c r="M18" s="127">
        <v>6</v>
      </c>
      <c r="N18" s="126" t="s">
        <v>692</v>
      </c>
      <c r="O18" s="131" t="s">
        <v>692</v>
      </c>
      <c r="P18" s="127"/>
    </row>
    <row r="19" spans="1:16" x14ac:dyDescent="0.25">
      <c r="A19" t="s">
        <v>14</v>
      </c>
      <c r="B19" s="117">
        <v>11510</v>
      </c>
      <c r="C19" s="117">
        <v>11992</v>
      </c>
      <c r="D19" s="141">
        <v>11841</v>
      </c>
      <c r="E19" s="117">
        <v>12102</v>
      </c>
      <c r="F19">
        <v>6.3</v>
      </c>
      <c r="G19" s="162">
        <v>3.74</v>
      </c>
      <c r="H19" s="164">
        <v>64984</v>
      </c>
      <c r="I19" s="161">
        <v>1537104814</v>
      </c>
      <c r="J19"/>
      <c r="K19" s="125" t="s">
        <v>20</v>
      </c>
      <c r="L19" s="126" t="s">
        <v>692</v>
      </c>
      <c r="M19" s="127">
        <v>5</v>
      </c>
      <c r="N19" s="126" t="s">
        <v>692</v>
      </c>
      <c r="O19" s="131" t="s">
        <v>692</v>
      </c>
      <c r="P19" s="127"/>
    </row>
    <row r="20" spans="1:16" x14ac:dyDescent="0.25">
      <c r="A20" t="s">
        <v>15</v>
      </c>
      <c r="B20" s="117">
        <v>4902</v>
      </c>
      <c r="C20" s="117">
        <v>5036</v>
      </c>
      <c r="D20" s="141">
        <v>4732</v>
      </c>
      <c r="E20" s="117">
        <v>5322</v>
      </c>
      <c r="F20">
        <v>13.8</v>
      </c>
      <c r="G20" s="162">
        <v>3.05</v>
      </c>
      <c r="H20" s="164">
        <v>98170</v>
      </c>
      <c r="I20" s="161">
        <v>434553817</v>
      </c>
      <c r="J20"/>
      <c r="K20" s="125" t="s">
        <v>21</v>
      </c>
      <c r="L20" s="126" t="s">
        <v>692</v>
      </c>
      <c r="M20" s="127">
        <v>2</v>
      </c>
      <c r="N20" s="126" t="s">
        <v>692</v>
      </c>
      <c r="O20" s="131" t="s">
        <v>692</v>
      </c>
      <c r="P20" s="127"/>
    </row>
    <row r="21" spans="1:16" x14ac:dyDescent="0.25">
      <c r="A21" t="s">
        <v>16</v>
      </c>
      <c r="B21" s="117">
        <v>26863</v>
      </c>
      <c r="C21" s="117">
        <v>26831</v>
      </c>
      <c r="D21" s="141">
        <v>26645</v>
      </c>
      <c r="E21" s="117">
        <v>26694</v>
      </c>
      <c r="F21">
        <v>14.1</v>
      </c>
      <c r="G21" s="162">
        <v>3.11</v>
      </c>
      <c r="H21" s="164">
        <v>50827</v>
      </c>
      <c r="I21" s="161">
        <v>5990663110</v>
      </c>
      <c r="J21"/>
      <c r="K21" s="125" t="s">
        <v>22</v>
      </c>
      <c r="L21" s="126" t="s">
        <v>692</v>
      </c>
      <c r="M21" s="127">
        <v>2</v>
      </c>
      <c r="N21" s="126" t="s">
        <v>692</v>
      </c>
      <c r="O21" s="131" t="s">
        <v>692</v>
      </c>
      <c r="P21" s="127"/>
    </row>
    <row r="22" spans="1:16" x14ac:dyDescent="0.25">
      <c r="A22" t="s">
        <v>17</v>
      </c>
      <c r="B22" s="117">
        <v>25852</v>
      </c>
      <c r="C22" s="117">
        <v>27353</v>
      </c>
      <c r="D22" s="141">
        <v>26947</v>
      </c>
      <c r="E22" s="117">
        <v>27814</v>
      </c>
      <c r="F22">
        <v>20.2</v>
      </c>
      <c r="G22" s="162">
        <v>3.52</v>
      </c>
      <c r="H22" s="164">
        <v>48628</v>
      </c>
      <c r="I22" s="161">
        <v>3542428020</v>
      </c>
      <c r="J22"/>
      <c r="K22" s="125" t="s">
        <v>23</v>
      </c>
      <c r="L22" s="126" t="s">
        <v>693</v>
      </c>
      <c r="M22" s="127">
        <v>2</v>
      </c>
      <c r="N22" s="126" t="s">
        <v>692</v>
      </c>
      <c r="O22" s="131" t="s">
        <v>692</v>
      </c>
      <c r="P22" s="127"/>
    </row>
    <row r="23" spans="1:16" x14ac:dyDescent="0.25">
      <c r="A23" t="s">
        <v>18</v>
      </c>
      <c r="B23" s="117">
        <v>91560</v>
      </c>
      <c r="C23" s="117">
        <v>94369</v>
      </c>
      <c r="D23" s="141">
        <v>93338</v>
      </c>
      <c r="E23" s="117">
        <v>97036</v>
      </c>
      <c r="F23">
        <v>14.6</v>
      </c>
      <c r="G23" s="162">
        <v>2.86</v>
      </c>
      <c r="H23" s="164">
        <v>67221</v>
      </c>
      <c r="I23" s="161">
        <v>20362659081</v>
      </c>
      <c r="J23"/>
      <c r="K23" s="125" t="s">
        <v>24</v>
      </c>
      <c r="L23" s="126" t="s">
        <v>693</v>
      </c>
      <c r="M23" s="127">
        <v>1</v>
      </c>
      <c r="N23" s="126" t="s">
        <v>692</v>
      </c>
      <c r="O23" s="131" t="s">
        <v>692</v>
      </c>
      <c r="P23" s="127"/>
    </row>
    <row r="24" spans="1:16" x14ac:dyDescent="0.25">
      <c r="A24" t="s">
        <v>19</v>
      </c>
      <c r="B24" s="117">
        <v>202</v>
      </c>
      <c r="C24" s="117">
        <v>152</v>
      </c>
      <c r="D24" s="141">
        <v>186</v>
      </c>
      <c r="E24" s="117">
        <v>176</v>
      </c>
      <c r="F24">
        <v>17.8</v>
      </c>
      <c r="G24" s="162">
        <v>4.68</v>
      </c>
      <c r="H24" s="164">
        <v>57500</v>
      </c>
      <c r="I24" s="161">
        <v>15240905</v>
      </c>
      <c r="J24"/>
      <c r="K24" s="125" t="s">
        <v>26</v>
      </c>
      <c r="L24" s="126" t="s">
        <v>693</v>
      </c>
      <c r="M24" s="127">
        <v>10</v>
      </c>
      <c r="N24" s="126" t="s">
        <v>692</v>
      </c>
      <c r="O24" s="131" t="s">
        <v>692</v>
      </c>
      <c r="P24" s="127"/>
    </row>
    <row r="25" spans="1:16" x14ac:dyDescent="0.25">
      <c r="A25" t="s">
        <v>20</v>
      </c>
      <c r="B25" s="117">
        <v>392</v>
      </c>
      <c r="C25" s="117">
        <v>487</v>
      </c>
      <c r="D25" s="141">
        <v>296</v>
      </c>
      <c r="E25" s="117">
        <v>329</v>
      </c>
      <c r="F25">
        <v>12.3</v>
      </c>
      <c r="G25" s="162">
        <v>3.31</v>
      </c>
      <c r="H25" s="164">
        <v>60000</v>
      </c>
      <c r="I25" s="161">
        <v>16147237</v>
      </c>
      <c r="J25"/>
      <c r="K25" s="125" t="s">
        <v>28</v>
      </c>
      <c r="L25" s="126" t="s">
        <v>693</v>
      </c>
      <c r="M25" s="127">
        <v>7</v>
      </c>
      <c r="N25" s="126" t="s">
        <v>692</v>
      </c>
      <c r="O25" s="131" t="s">
        <v>692</v>
      </c>
      <c r="P25" s="127"/>
    </row>
    <row r="26" spans="1:16" x14ac:dyDescent="0.25">
      <c r="A26" t="s">
        <v>21</v>
      </c>
      <c r="B26" s="117">
        <v>1747</v>
      </c>
      <c r="C26" s="117">
        <v>1705</v>
      </c>
      <c r="D26" s="141">
        <v>1381</v>
      </c>
      <c r="E26" s="117">
        <v>1397</v>
      </c>
      <c r="F26">
        <v>18.5</v>
      </c>
      <c r="G26" s="162">
        <v>3.34</v>
      </c>
      <c r="H26" s="164">
        <v>58056</v>
      </c>
      <c r="I26" s="161">
        <v>1942692660</v>
      </c>
      <c r="J26"/>
      <c r="K26" s="125" t="s">
        <v>29</v>
      </c>
      <c r="L26" s="126" t="s">
        <v>692</v>
      </c>
      <c r="M26" s="127">
        <v>3</v>
      </c>
      <c r="N26" s="126" t="s">
        <v>692</v>
      </c>
      <c r="O26" s="131" t="s">
        <v>692</v>
      </c>
      <c r="P26" s="127"/>
    </row>
    <row r="27" spans="1:16" x14ac:dyDescent="0.25">
      <c r="A27" t="s">
        <v>22</v>
      </c>
      <c r="B27" s="117">
        <v>834</v>
      </c>
      <c r="C27" s="117">
        <v>748</v>
      </c>
      <c r="D27" s="141">
        <v>771</v>
      </c>
      <c r="E27" s="117">
        <v>717</v>
      </c>
      <c r="F27">
        <v>15</v>
      </c>
      <c r="G27" s="162">
        <v>4.68</v>
      </c>
      <c r="H27" s="164">
        <v>34250</v>
      </c>
      <c r="I27" s="161">
        <v>31046187</v>
      </c>
      <c r="J27"/>
      <c r="K27" s="125" t="s">
        <v>30</v>
      </c>
      <c r="L27" s="126" t="s">
        <v>692</v>
      </c>
      <c r="M27" s="127">
        <v>6</v>
      </c>
      <c r="N27" s="126" t="s">
        <v>692</v>
      </c>
      <c r="O27" s="131" t="s">
        <v>692</v>
      </c>
      <c r="P27" s="127"/>
    </row>
    <row r="28" spans="1:16" x14ac:dyDescent="0.25">
      <c r="A28" t="s">
        <v>23</v>
      </c>
      <c r="B28" s="117">
        <v>743</v>
      </c>
      <c r="C28" s="117">
        <v>620</v>
      </c>
      <c r="D28" s="141">
        <v>459</v>
      </c>
      <c r="E28" s="117">
        <v>446</v>
      </c>
      <c r="F28">
        <v>27.7</v>
      </c>
      <c r="G28" s="162">
        <v>3.97</v>
      </c>
      <c r="H28" s="164">
        <v>43750</v>
      </c>
      <c r="I28" s="161">
        <v>24806416</v>
      </c>
      <c r="J28"/>
      <c r="K28" s="125" t="s">
        <v>31</v>
      </c>
      <c r="L28" s="126" t="s">
        <v>692</v>
      </c>
      <c r="M28" s="127">
        <v>2</v>
      </c>
      <c r="N28" s="126" t="s">
        <v>692</v>
      </c>
      <c r="O28" s="131" t="s">
        <v>692</v>
      </c>
      <c r="P28" s="127"/>
    </row>
    <row r="29" spans="1:16" x14ac:dyDescent="0.25">
      <c r="A29" t="s">
        <v>24</v>
      </c>
      <c r="B29" s="117">
        <v>211</v>
      </c>
      <c r="C29" s="117">
        <v>172</v>
      </c>
      <c r="D29" s="141">
        <v>169</v>
      </c>
      <c r="E29" s="117">
        <v>170</v>
      </c>
      <c r="F29">
        <v>14.7</v>
      </c>
      <c r="G29" s="162">
        <v>3.89</v>
      </c>
      <c r="H29" s="164">
        <v>42708</v>
      </c>
      <c r="I29" s="161">
        <v>15660560</v>
      </c>
      <c r="J29"/>
      <c r="K29" s="125" t="s">
        <v>32</v>
      </c>
      <c r="L29" s="126" t="s">
        <v>693</v>
      </c>
      <c r="M29" s="127">
        <v>10</v>
      </c>
      <c r="N29" s="126" t="s">
        <v>692</v>
      </c>
      <c r="O29" s="131" t="s">
        <v>692</v>
      </c>
      <c r="P29" s="127"/>
    </row>
    <row r="30" spans="1:16" x14ac:dyDescent="0.25">
      <c r="A30" t="s">
        <v>25</v>
      </c>
      <c r="B30" s="117">
        <v>17506</v>
      </c>
      <c r="C30" s="117">
        <v>17643</v>
      </c>
      <c r="D30" s="141">
        <v>17784</v>
      </c>
      <c r="E30" s="117">
        <v>17510</v>
      </c>
      <c r="F30">
        <v>11</v>
      </c>
      <c r="G30" s="162">
        <v>3.27</v>
      </c>
      <c r="H30" s="164">
        <v>57657</v>
      </c>
      <c r="I30" s="161">
        <v>6139548244</v>
      </c>
      <c r="J30"/>
      <c r="K30" s="125" t="s">
        <v>33</v>
      </c>
      <c r="L30" s="126" t="s">
        <v>693</v>
      </c>
      <c r="M30" s="127">
        <v>8</v>
      </c>
      <c r="N30" s="126" t="s">
        <v>692</v>
      </c>
      <c r="O30" s="131" t="s">
        <v>692</v>
      </c>
      <c r="P30" s="127"/>
    </row>
    <row r="31" spans="1:16" x14ac:dyDescent="0.25">
      <c r="A31" t="s">
        <v>26</v>
      </c>
      <c r="B31" s="117">
        <v>5132</v>
      </c>
      <c r="C31" s="117">
        <v>5035</v>
      </c>
      <c r="D31" s="141">
        <v>4951</v>
      </c>
      <c r="E31" s="117">
        <v>5068</v>
      </c>
      <c r="F31">
        <v>21.6</v>
      </c>
      <c r="G31" s="162">
        <v>4.07</v>
      </c>
      <c r="H31" s="164">
        <v>41711</v>
      </c>
      <c r="I31" s="161">
        <v>327233831</v>
      </c>
      <c r="J31"/>
      <c r="K31" s="125" t="s">
        <v>36</v>
      </c>
      <c r="L31" s="126" t="s">
        <v>692</v>
      </c>
      <c r="M31" s="127">
        <v>1</v>
      </c>
      <c r="N31" s="126" t="s">
        <v>692</v>
      </c>
      <c r="O31" s="131" t="s">
        <v>692</v>
      </c>
      <c r="P31" s="127"/>
    </row>
    <row r="32" spans="1:16" x14ac:dyDescent="0.25">
      <c r="A32" t="s">
        <v>27</v>
      </c>
      <c r="B32" s="117">
        <v>2009</v>
      </c>
      <c r="C32" s="117">
        <v>2163</v>
      </c>
      <c r="D32" s="141">
        <v>2021</v>
      </c>
      <c r="E32" s="117">
        <v>1877</v>
      </c>
      <c r="F32">
        <v>23.3</v>
      </c>
      <c r="G32" s="162">
        <v>3.08</v>
      </c>
      <c r="H32" s="164">
        <v>43068</v>
      </c>
      <c r="I32" s="161">
        <v>66982074</v>
      </c>
      <c r="J32"/>
      <c r="K32" s="125" t="s">
        <v>37</v>
      </c>
      <c r="L32" s="126" t="s">
        <v>692</v>
      </c>
      <c r="M32" s="127">
        <v>4</v>
      </c>
      <c r="N32" s="126" t="s">
        <v>692</v>
      </c>
      <c r="O32" s="131" t="s">
        <v>692</v>
      </c>
      <c r="P32" s="127"/>
    </row>
    <row r="33" spans="1:16" x14ac:dyDescent="0.25">
      <c r="A33" t="s">
        <v>28</v>
      </c>
      <c r="B33" s="117">
        <v>529</v>
      </c>
      <c r="C33" s="117">
        <v>504</v>
      </c>
      <c r="D33" s="141">
        <v>565</v>
      </c>
      <c r="E33" s="117">
        <v>590</v>
      </c>
      <c r="F33">
        <v>25.6</v>
      </c>
      <c r="G33" s="162">
        <v>4.4800000000000004</v>
      </c>
      <c r="H33" s="164">
        <v>48929</v>
      </c>
      <c r="I33" s="161">
        <v>41330474</v>
      </c>
      <c r="J33"/>
      <c r="K33" s="125" t="s">
        <v>38</v>
      </c>
      <c r="L33" s="126" t="s">
        <v>692</v>
      </c>
      <c r="M33" s="127">
        <v>3</v>
      </c>
      <c r="N33" s="126" t="s">
        <v>692</v>
      </c>
      <c r="O33" s="131" t="s">
        <v>692</v>
      </c>
      <c r="P33" s="127"/>
    </row>
    <row r="34" spans="1:16" x14ac:dyDescent="0.25">
      <c r="A34" t="s">
        <v>29</v>
      </c>
      <c r="B34" s="117">
        <v>466</v>
      </c>
      <c r="C34" s="117">
        <v>718</v>
      </c>
      <c r="D34" s="141">
        <v>450</v>
      </c>
      <c r="E34" s="117">
        <v>465</v>
      </c>
      <c r="F34">
        <v>17.7</v>
      </c>
      <c r="G34" s="162">
        <v>3.28</v>
      </c>
      <c r="H34" s="164">
        <v>39091</v>
      </c>
      <c r="I34" s="161">
        <v>41483035</v>
      </c>
      <c r="J34"/>
      <c r="K34" s="125" t="s">
        <v>39</v>
      </c>
      <c r="L34" s="126" t="s">
        <v>692</v>
      </c>
      <c r="M34" s="127">
        <v>0</v>
      </c>
      <c r="N34" s="126" t="s">
        <v>692</v>
      </c>
      <c r="O34" s="131" t="s">
        <v>692</v>
      </c>
      <c r="P34" s="127"/>
    </row>
    <row r="35" spans="1:16" x14ac:dyDescent="0.25">
      <c r="A35" t="s">
        <v>30</v>
      </c>
      <c r="B35" s="117">
        <v>230</v>
      </c>
      <c r="C35" s="117">
        <v>149</v>
      </c>
      <c r="D35" s="141">
        <v>256</v>
      </c>
      <c r="E35" s="117">
        <v>305</v>
      </c>
      <c r="F35">
        <v>5.4</v>
      </c>
      <c r="G35" s="162">
        <v>3.99</v>
      </c>
      <c r="H35" s="164">
        <v>205000</v>
      </c>
      <c r="I35" s="161">
        <v>1835872158</v>
      </c>
      <c r="J35"/>
      <c r="K35" s="125" t="s">
        <v>40</v>
      </c>
      <c r="L35" s="126" t="s">
        <v>693</v>
      </c>
      <c r="M35" s="127">
        <v>7</v>
      </c>
      <c r="N35" s="126" t="s">
        <v>692</v>
      </c>
      <c r="O35" s="131" t="s">
        <v>692</v>
      </c>
      <c r="P35" s="127"/>
    </row>
    <row r="36" spans="1:16" x14ac:dyDescent="0.25">
      <c r="A36" t="s">
        <v>31</v>
      </c>
      <c r="B36" s="117">
        <v>1332</v>
      </c>
      <c r="C36" s="117">
        <v>1338</v>
      </c>
      <c r="D36" s="141">
        <v>1073</v>
      </c>
      <c r="E36" s="117">
        <v>1174</v>
      </c>
      <c r="F36">
        <v>16</v>
      </c>
      <c r="G36" s="162">
        <v>3.27</v>
      </c>
      <c r="H36" s="164">
        <v>67917</v>
      </c>
      <c r="I36" s="161">
        <v>366013066</v>
      </c>
      <c r="J36"/>
      <c r="K36" s="125" t="s">
        <v>41</v>
      </c>
      <c r="L36" s="126" t="s">
        <v>693</v>
      </c>
      <c r="M36" s="127">
        <v>6</v>
      </c>
      <c r="N36" s="126" t="s">
        <v>692</v>
      </c>
      <c r="O36" s="131" t="s">
        <v>692</v>
      </c>
      <c r="P36" s="127"/>
    </row>
    <row r="37" spans="1:16" x14ac:dyDescent="0.25">
      <c r="A37" t="s">
        <v>32</v>
      </c>
      <c r="B37" s="117">
        <v>266</v>
      </c>
      <c r="C37" s="117">
        <v>229</v>
      </c>
      <c r="D37" s="141">
        <v>245</v>
      </c>
      <c r="E37" s="117">
        <v>241</v>
      </c>
      <c r="F37">
        <v>11.8</v>
      </c>
      <c r="G37" s="162">
        <v>3.97</v>
      </c>
      <c r="H37" s="164">
        <v>72000</v>
      </c>
      <c r="I37" s="161">
        <v>51736056</v>
      </c>
      <c r="J37"/>
      <c r="K37" s="125" t="s">
        <v>44</v>
      </c>
      <c r="L37" s="126" t="s">
        <v>693</v>
      </c>
      <c r="M37" s="127">
        <v>6</v>
      </c>
      <c r="N37" s="126" t="s">
        <v>692</v>
      </c>
      <c r="O37" s="131" t="s">
        <v>692</v>
      </c>
      <c r="P37" s="127"/>
    </row>
    <row r="38" spans="1:16" x14ac:dyDescent="0.25">
      <c r="A38" t="s">
        <v>34</v>
      </c>
      <c r="B38" s="117">
        <v>1210</v>
      </c>
      <c r="C38" s="117">
        <v>1282</v>
      </c>
      <c r="D38" s="141">
        <v>1157</v>
      </c>
      <c r="E38" s="117">
        <v>1135</v>
      </c>
      <c r="F38">
        <v>15.8</v>
      </c>
      <c r="G38" s="162">
        <v>3.68</v>
      </c>
      <c r="H38" s="164">
        <v>28125</v>
      </c>
      <c r="I38" s="161">
        <v>47233023</v>
      </c>
      <c r="J38"/>
      <c r="K38" s="125" t="s">
        <v>45</v>
      </c>
      <c r="L38" s="126" t="s">
        <v>692</v>
      </c>
      <c r="M38" s="127">
        <v>1</v>
      </c>
      <c r="N38" s="126" t="s">
        <v>692</v>
      </c>
      <c r="O38" s="131" t="s">
        <v>692</v>
      </c>
      <c r="P38" s="127"/>
    </row>
    <row r="39" spans="1:16" x14ac:dyDescent="0.25">
      <c r="A39" t="s">
        <v>35</v>
      </c>
      <c r="B39" s="117">
        <v>89</v>
      </c>
      <c r="C39" s="117">
        <v>94</v>
      </c>
      <c r="D39" s="141">
        <v>89</v>
      </c>
      <c r="E39" s="117">
        <v>84</v>
      </c>
      <c r="F39">
        <v>1.1000000000000001</v>
      </c>
      <c r="G39" s="162">
        <v>4.03</v>
      </c>
      <c r="H39" s="164">
        <v>58125</v>
      </c>
      <c r="I39" s="161">
        <v>6391330</v>
      </c>
      <c r="J39"/>
      <c r="K39" s="125" t="s">
        <v>46</v>
      </c>
      <c r="L39" s="126" t="s">
        <v>693</v>
      </c>
      <c r="M39" s="127">
        <v>2</v>
      </c>
      <c r="N39" s="126" t="s">
        <v>692</v>
      </c>
      <c r="O39" s="131" t="s">
        <v>692</v>
      </c>
      <c r="P39" s="127"/>
    </row>
    <row r="40" spans="1:16" x14ac:dyDescent="0.25">
      <c r="A40" t="s">
        <v>36</v>
      </c>
      <c r="B40" s="117">
        <v>47168</v>
      </c>
      <c r="C40" s="117">
        <v>44597</v>
      </c>
      <c r="D40" s="141">
        <v>44878</v>
      </c>
      <c r="E40" s="117">
        <v>44003</v>
      </c>
      <c r="F40">
        <v>18</v>
      </c>
      <c r="G40" s="162">
        <v>3.97</v>
      </c>
      <c r="H40" s="164">
        <v>57997</v>
      </c>
      <c r="I40" s="161">
        <v>6452978317</v>
      </c>
      <c r="J40"/>
      <c r="K40" s="125" t="s">
        <v>47</v>
      </c>
      <c r="L40" s="126" t="s">
        <v>692</v>
      </c>
      <c r="M40" s="127">
        <v>9</v>
      </c>
      <c r="N40" s="126" t="s">
        <v>692</v>
      </c>
      <c r="O40" s="131" t="s">
        <v>692</v>
      </c>
      <c r="P40" s="127"/>
    </row>
    <row r="41" spans="1:16" x14ac:dyDescent="0.25">
      <c r="A41" t="s">
        <v>37</v>
      </c>
      <c r="B41" s="117">
        <v>4343</v>
      </c>
      <c r="C41" s="117">
        <v>4613</v>
      </c>
      <c r="D41" s="141">
        <v>4428</v>
      </c>
      <c r="E41" s="117">
        <v>4851</v>
      </c>
      <c r="F41">
        <v>14.2</v>
      </c>
      <c r="G41" s="162">
        <v>3.34</v>
      </c>
      <c r="H41" s="164">
        <v>48111</v>
      </c>
      <c r="I41" s="161">
        <v>1254656477</v>
      </c>
      <c r="J41"/>
      <c r="K41" s="125" t="s">
        <v>50</v>
      </c>
      <c r="L41" s="126" t="s">
        <v>693</v>
      </c>
      <c r="M41" s="127">
        <v>3</v>
      </c>
      <c r="N41" s="126" t="s">
        <v>692</v>
      </c>
      <c r="O41" s="131" t="s">
        <v>692</v>
      </c>
      <c r="P41" s="127"/>
    </row>
    <row r="42" spans="1:16" x14ac:dyDescent="0.25">
      <c r="A42" t="s">
        <v>38</v>
      </c>
      <c r="B42" s="117">
        <v>614</v>
      </c>
      <c r="C42" s="117">
        <v>831</v>
      </c>
      <c r="D42" s="141">
        <v>643</v>
      </c>
      <c r="E42" s="117">
        <v>681</v>
      </c>
      <c r="F42">
        <v>3.4</v>
      </c>
      <c r="G42" s="162">
        <v>3.31</v>
      </c>
      <c r="H42" s="164">
        <v>89934</v>
      </c>
      <c r="I42" s="161">
        <v>1026912566</v>
      </c>
      <c r="J42"/>
      <c r="K42" s="125" t="s">
        <v>51</v>
      </c>
      <c r="L42" s="126" t="s">
        <v>692</v>
      </c>
      <c r="M42" s="127">
        <v>3</v>
      </c>
      <c r="N42" s="126" t="s">
        <v>692</v>
      </c>
      <c r="O42" s="131" t="s">
        <v>692</v>
      </c>
      <c r="P42" s="127"/>
    </row>
    <row r="43" spans="1:16" x14ac:dyDescent="0.25">
      <c r="A43" t="s">
        <v>40</v>
      </c>
      <c r="B43" s="117">
        <v>1657</v>
      </c>
      <c r="C43" s="117">
        <v>1421</v>
      </c>
      <c r="D43" s="141">
        <v>1428</v>
      </c>
      <c r="E43" s="117">
        <v>1379</v>
      </c>
      <c r="F43">
        <v>45.5</v>
      </c>
      <c r="G43" s="162">
        <v>3.97</v>
      </c>
      <c r="H43" s="164">
        <v>33958</v>
      </c>
      <c r="I43" s="161">
        <v>113288448</v>
      </c>
      <c r="J43"/>
      <c r="K43" s="125" t="s">
        <v>52</v>
      </c>
      <c r="L43" s="126" t="s">
        <v>692</v>
      </c>
      <c r="M43" s="127">
        <v>6</v>
      </c>
      <c r="N43" s="126" t="s">
        <v>692</v>
      </c>
      <c r="O43" s="131" t="s">
        <v>692</v>
      </c>
      <c r="P43" s="127"/>
    </row>
    <row r="44" spans="1:16" x14ac:dyDescent="0.25">
      <c r="A44" t="s">
        <v>41</v>
      </c>
      <c r="B44" s="117">
        <v>12054</v>
      </c>
      <c r="C44" s="117">
        <v>15140</v>
      </c>
      <c r="D44" s="141">
        <v>14537</v>
      </c>
      <c r="E44" s="117">
        <v>17356</v>
      </c>
      <c r="F44">
        <v>10.1</v>
      </c>
      <c r="G44" s="162">
        <v>3.51</v>
      </c>
      <c r="H44" s="164">
        <v>86442</v>
      </c>
      <c r="I44" s="161">
        <v>3337998216</v>
      </c>
      <c r="J44"/>
      <c r="K44" s="125" t="s">
        <v>53</v>
      </c>
      <c r="L44" s="126" t="s">
        <v>693</v>
      </c>
      <c r="M44" s="127">
        <v>1</v>
      </c>
      <c r="N44" s="126" t="s">
        <v>692</v>
      </c>
      <c r="O44" s="131" t="s">
        <v>692</v>
      </c>
      <c r="P44" s="127"/>
    </row>
    <row r="45" spans="1:16" x14ac:dyDescent="0.25">
      <c r="A45" t="s">
        <v>42</v>
      </c>
      <c r="B45" s="117">
        <v>2504</v>
      </c>
      <c r="C45" s="117">
        <v>3183</v>
      </c>
      <c r="D45" s="141">
        <v>2363</v>
      </c>
      <c r="E45" s="117">
        <v>2576</v>
      </c>
      <c r="F45">
        <v>7.7</v>
      </c>
      <c r="G45" s="162">
        <v>3.99</v>
      </c>
      <c r="H45" s="164">
        <v>86875</v>
      </c>
      <c r="I45" s="161">
        <v>347640367</v>
      </c>
      <c r="J45"/>
      <c r="K45" s="125" t="s">
        <v>54</v>
      </c>
      <c r="L45" s="126" t="s">
        <v>692</v>
      </c>
      <c r="M45" s="127">
        <v>5</v>
      </c>
      <c r="N45" s="126" t="s">
        <v>692</v>
      </c>
      <c r="O45" s="131" t="s">
        <v>692</v>
      </c>
      <c r="P45" s="127"/>
    </row>
    <row r="46" spans="1:16" x14ac:dyDescent="0.25">
      <c r="A46" t="s">
        <v>43</v>
      </c>
      <c r="B46" s="117">
        <v>999</v>
      </c>
      <c r="C46" s="117">
        <v>928</v>
      </c>
      <c r="D46" s="141">
        <v>856</v>
      </c>
      <c r="E46" s="117">
        <v>856</v>
      </c>
      <c r="F46">
        <v>13.9</v>
      </c>
      <c r="G46" s="162">
        <v>3.84</v>
      </c>
      <c r="H46" s="164">
        <v>49078</v>
      </c>
      <c r="I46" s="161">
        <v>72299435</v>
      </c>
      <c r="J46"/>
      <c r="K46" s="125" t="s">
        <v>55</v>
      </c>
      <c r="L46" s="126" t="s">
        <v>692</v>
      </c>
      <c r="M46" s="127">
        <v>3</v>
      </c>
      <c r="N46" s="126" t="s">
        <v>692</v>
      </c>
      <c r="O46" s="131" t="s">
        <v>692</v>
      </c>
      <c r="P46" s="127"/>
    </row>
    <row r="47" spans="1:16" x14ac:dyDescent="0.25">
      <c r="A47" t="s">
        <v>44</v>
      </c>
      <c r="B47" s="117">
        <v>3731</v>
      </c>
      <c r="C47" s="117">
        <v>4144</v>
      </c>
      <c r="D47" s="141">
        <v>3899</v>
      </c>
      <c r="E47" s="117">
        <v>4270</v>
      </c>
      <c r="F47">
        <v>32.9</v>
      </c>
      <c r="G47" s="162">
        <v>3.05</v>
      </c>
      <c r="H47" s="164">
        <v>65614</v>
      </c>
      <c r="I47" s="161">
        <v>406010318</v>
      </c>
      <c r="J47"/>
      <c r="K47" s="125" t="s">
        <v>56</v>
      </c>
      <c r="L47" s="126" t="s">
        <v>693</v>
      </c>
      <c r="M47" s="127">
        <v>3</v>
      </c>
      <c r="N47" s="126" t="s">
        <v>692</v>
      </c>
      <c r="O47" s="131" t="s">
        <v>692</v>
      </c>
      <c r="P47" s="127"/>
    </row>
    <row r="48" spans="1:16" x14ac:dyDescent="0.25">
      <c r="A48" t="s">
        <v>45</v>
      </c>
      <c r="B48" s="117">
        <v>2666</v>
      </c>
      <c r="C48" s="117">
        <v>3166</v>
      </c>
      <c r="D48" s="141">
        <v>3061</v>
      </c>
      <c r="E48" s="117">
        <v>3334</v>
      </c>
      <c r="F48">
        <v>2.5</v>
      </c>
      <c r="G48" s="162">
        <v>3.18</v>
      </c>
      <c r="H48" s="164">
        <v>66800</v>
      </c>
      <c r="I48" s="161">
        <v>667453037</v>
      </c>
      <c r="J48"/>
      <c r="K48" s="125" t="s">
        <v>57</v>
      </c>
      <c r="L48" s="126" t="s">
        <v>692</v>
      </c>
      <c r="M48" s="127">
        <v>2</v>
      </c>
      <c r="N48" s="126" t="s">
        <v>692</v>
      </c>
      <c r="O48" s="131" t="s">
        <v>692</v>
      </c>
      <c r="P48" s="127"/>
    </row>
    <row r="49" spans="1:16" x14ac:dyDescent="0.25">
      <c r="A49" t="s">
        <v>46</v>
      </c>
      <c r="B49" s="117">
        <v>19380</v>
      </c>
      <c r="C49" s="117">
        <v>17482</v>
      </c>
      <c r="D49" s="141">
        <v>18064</v>
      </c>
      <c r="E49" s="117">
        <v>16856</v>
      </c>
      <c r="F49">
        <v>19.8</v>
      </c>
      <c r="G49" s="162">
        <v>4.68</v>
      </c>
      <c r="H49" s="164">
        <v>45931</v>
      </c>
      <c r="I49" s="161">
        <v>1489973167</v>
      </c>
      <c r="J49"/>
      <c r="K49" s="125" t="s">
        <v>58</v>
      </c>
      <c r="L49" s="126" t="s">
        <v>693</v>
      </c>
      <c r="M49" s="127">
        <v>1</v>
      </c>
      <c r="N49" s="126" t="s">
        <v>692</v>
      </c>
      <c r="O49" s="131" t="s">
        <v>692</v>
      </c>
      <c r="P49" s="127"/>
    </row>
    <row r="50" spans="1:16" x14ac:dyDescent="0.25">
      <c r="A50" t="s">
        <v>47</v>
      </c>
      <c r="B50" s="117">
        <v>5471</v>
      </c>
      <c r="C50" s="117">
        <v>5508</v>
      </c>
      <c r="D50" s="141">
        <v>5412</v>
      </c>
      <c r="E50" s="117">
        <v>5648</v>
      </c>
      <c r="F50">
        <v>16.3</v>
      </c>
      <c r="G50" s="162">
        <v>3.51</v>
      </c>
      <c r="H50" s="164">
        <v>48784</v>
      </c>
      <c r="I50" s="161">
        <v>819972829</v>
      </c>
      <c r="J50"/>
      <c r="K50" s="125" t="s">
        <v>61</v>
      </c>
      <c r="L50" s="126" t="s">
        <v>692</v>
      </c>
      <c r="M50" s="127">
        <v>2</v>
      </c>
      <c r="N50" s="126" t="s">
        <v>692</v>
      </c>
      <c r="O50" s="131" t="s">
        <v>692</v>
      </c>
      <c r="P50" s="127"/>
    </row>
    <row r="51" spans="1:16" x14ac:dyDescent="0.25">
      <c r="A51" t="s">
        <v>48</v>
      </c>
      <c r="B51" s="117">
        <v>374</v>
      </c>
      <c r="C51" s="117">
        <v>362</v>
      </c>
      <c r="D51" s="141">
        <v>343</v>
      </c>
      <c r="E51" s="117">
        <v>348</v>
      </c>
      <c r="F51">
        <v>13.8</v>
      </c>
      <c r="G51" s="162">
        <v>3.67</v>
      </c>
      <c r="H51" s="164">
        <v>77500</v>
      </c>
      <c r="I51" s="161">
        <v>43594205</v>
      </c>
      <c r="J51"/>
      <c r="K51" s="125" t="s">
        <v>63</v>
      </c>
      <c r="L51" s="126" t="s">
        <v>693</v>
      </c>
      <c r="M51" s="127">
        <v>6</v>
      </c>
      <c r="N51" s="126" t="s">
        <v>692</v>
      </c>
      <c r="O51" s="131" t="s">
        <v>692</v>
      </c>
      <c r="P51" s="127"/>
    </row>
    <row r="52" spans="1:16" x14ac:dyDescent="0.25">
      <c r="A52" t="s">
        <v>49</v>
      </c>
      <c r="B52" s="117">
        <v>1789</v>
      </c>
      <c r="C52" s="117">
        <v>1528</v>
      </c>
      <c r="D52" s="141">
        <v>1389</v>
      </c>
      <c r="E52" s="117">
        <v>1376</v>
      </c>
      <c r="F52">
        <v>12</v>
      </c>
      <c r="G52" s="162">
        <v>4.07</v>
      </c>
      <c r="H52" s="164">
        <v>51489</v>
      </c>
      <c r="I52" s="161">
        <v>77707597</v>
      </c>
      <c r="J52"/>
      <c r="K52" s="125" t="s">
        <v>64</v>
      </c>
      <c r="L52" s="126" t="s">
        <v>692</v>
      </c>
      <c r="M52" s="127">
        <v>1</v>
      </c>
      <c r="N52" s="126" t="s">
        <v>692</v>
      </c>
      <c r="O52" s="131" t="s">
        <v>692</v>
      </c>
      <c r="P52" s="127"/>
    </row>
    <row r="53" spans="1:16" x14ac:dyDescent="0.25">
      <c r="A53" t="s">
        <v>50</v>
      </c>
      <c r="B53" s="117">
        <v>1533</v>
      </c>
      <c r="C53" s="117">
        <v>1438</v>
      </c>
      <c r="D53" s="141">
        <v>1131</v>
      </c>
      <c r="E53" s="117">
        <v>1122</v>
      </c>
      <c r="F53">
        <v>20.7</v>
      </c>
      <c r="G53" s="162">
        <v>3.32</v>
      </c>
      <c r="H53" s="164">
        <v>40900</v>
      </c>
      <c r="I53" s="161">
        <v>109650794</v>
      </c>
      <c r="J53"/>
      <c r="K53" s="125" t="s">
        <v>65</v>
      </c>
      <c r="L53" s="126" t="s">
        <v>692</v>
      </c>
      <c r="M53" s="127">
        <v>5</v>
      </c>
      <c r="N53" s="126" t="s">
        <v>692</v>
      </c>
      <c r="O53" s="131" t="s">
        <v>692</v>
      </c>
      <c r="P53" s="127"/>
    </row>
    <row r="54" spans="1:16" x14ac:dyDescent="0.25">
      <c r="A54" t="s">
        <v>51</v>
      </c>
      <c r="B54" s="117">
        <v>1473</v>
      </c>
      <c r="C54" s="117">
        <v>1536</v>
      </c>
      <c r="D54" s="141">
        <v>1406</v>
      </c>
      <c r="E54" s="117">
        <v>1412</v>
      </c>
      <c r="F54">
        <v>2.4</v>
      </c>
      <c r="G54" s="162">
        <v>2.86</v>
      </c>
      <c r="H54" s="164">
        <v>172500</v>
      </c>
      <c r="I54" s="161">
        <v>908731273</v>
      </c>
      <c r="J54"/>
      <c r="K54" s="125" t="s">
        <v>66</v>
      </c>
      <c r="L54" s="126" t="s">
        <v>692</v>
      </c>
      <c r="M54" s="127">
        <v>4</v>
      </c>
      <c r="N54" s="126" t="s">
        <v>692</v>
      </c>
      <c r="O54" s="131" t="s">
        <v>692</v>
      </c>
      <c r="P54" s="127"/>
    </row>
    <row r="55" spans="1:16" x14ac:dyDescent="0.25">
      <c r="A55" t="s">
        <v>52</v>
      </c>
      <c r="B55" s="117">
        <v>2334</v>
      </c>
      <c r="C55" s="117">
        <v>2259</v>
      </c>
      <c r="D55" s="141">
        <v>1814</v>
      </c>
      <c r="E55" s="117">
        <v>1857</v>
      </c>
      <c r="F55">
        <v>37.4</v>
      </c>
      <c r="G55" s="162">
        <v>3.73</v>
      </c>
      <c r="H55" s="164">
        <v>43773</v>
      </c>
      <c r="I55" s="161">
        <v>190379734</v>
      </c>
      <c r="J55"/>
      <c r="K55" s="125" t="s">
        <v>67</v>
      </c>
      <c r="L55" s="126" t="s">
        <v>692</v>
      </c>
      <c r="M55" s="127">
        <v>3</v>
      </c>
      <c r="N55" s="126" t="s">
        <v>692</v>
      </c>
      <c r="O55" s="131" t="s">
        <v>692</v>
      </c>
      <c r="P55" s="127"/>
    </row>
    <row r="56" spans="1:16" x14ac:dyDescent="0.25">
      <c r="A56" t="s">
        <v>53</v>
      </c>
      <c r="B56" s="117">
        <v>890</v>
      </c>
      <c r="C56" s="117">
        <v>736</v>
      </c>
      <c r="D56" s="141">
        <v>698</v>
      </c>
      <c r="E56" s="117">
        <v>681</v>
      </c>
      <c r="F56">
        <v>16.7</v>
      </c>
      <c r="G56" s="162">
        <v>4.6500000000000004</v>
      </c>
      <c r="H56" s="164">
        <v>50625</v>
      </c>
      <c r="I56" s="161">
        <v>32098677</v>
      </c>
      <c r="J56"/>
      <c r="K56" s="125" t="s">
        <v>68</v>
      </c>
      <c r="L56" s="126" t="s">
        <v>692</v>
      </c>
      <c r="M56" s="127">
        <v>4</v>
      </c>
      <c r="N56" s="126" t="s">
        <v>692</v>
      </c>
      <c r="O56" s="131" t="s">
        <v>692</v>
      </c>
      <c r="P56" s="127"/>
    </row>
    <row r="57" spans="1:16" x14ac:dyDescent="0.25">
      <c r="A57" t="s">
        <v>54</v>
      </c>
      <c r="B57" s="117">
        <v>8144</v>
      </c>
      <c r="C57" s="117">
        <v>8462</v>
      </c>
      <c r="D57" s="141">
        <v>8344</v>
      </c>
      <c r="E57" s="117">
        <v>8585</v>
      </c>
      <c r="F57">
        <v>6.5</v>
      </c>
      <c r="G57" s="162">
        <v>2.86</v>
      </c>
      <c r="H57" s="164">
        <v>70041</v>
      </c>
      <c r="I57" s="161">
        <v>1705021569</v>
      </c>
      <c r="J57"/>
      <c r="K57" s="125" t="s">
        <v>69</v>
      </c>
      <c r="L57" s="126" t="s">
        <v>692</v>
      </c>
      <c r="M57" s="127">
        <v>0</v>
      </c>
      <c r="N57" s="126" t="s">
        <v>692</v>
      </c>
      <c r="O57" s="131" t="s">
        <v>692</v>
      </c>
      <c r="P57" s="127"/>
    </row>
    <row r="58" spans="1:16" x14ac:dyDescent="0.25">
      <c r="A58" t="s">
        <v>55</v>
      </c>
      <c r="B58" s="117">
        <v>33407</v>
      </c>
      <c r="C58" s="117">
        <v>29591</v>
      </c>
      <c r="D58" s="141">
        <v>29977</v>
      </c>
      <c r="E58" s="117">
        <v>29153</v>
      </c>
      <c r="F58">
        <v>21.2</v>
      </c>
      <c r="G58" s="162">
        <v>4.71</v>
      </c>
      <c r="H58" s="164">
        <v>44528</v>
      </c>
      <c r="I58" s="161">
        <v>3546737376</v>
      </c>
      <c r="J58"/>
      <c r="K58" s="125" t="s">
        <v>70</v>
      </c>
      <c r="L58" s="126" t="s">
        <v>692</v>
      </c>
      <c r="M58" s="127">
        <v>5</v>
      </c>
      <c r="N58" s="126" t="s">
        <v>692</v>
      </c>
      <c r="O58" s="131" t="s">
        <v>692</v>
      </c>
      <c r="P58" s="127"/>
    </row>
    <row r="59" spans="1:16" x14ac:dyDescent="0.25">
      <c r="A59" t="s">
        <v>56</v>
      </c>
      <c r="B59" s="117">
        <v>1659</v>
      </c>
      <c r="C59" s="117">
        <v>2181</v>
      </c>
      <c r="D59" s="141">
        <v>1663</v>
      </c>
      <c r="E59" s="117">
        <v>1625</v>
      </c>
      <c r="F59">
        <v>22.2</v>
      </c>
      <c r="G59" s="162">
        <v>4.71</v>
      </c>
      <c r="H59" s="164">
        <v>55517</v>
      </c>
      <c r="I59" s="161">
        <v>106441149</v>
      </c>
      <c r="J59"/>
      <c r="K59" s="125" t="s">
        <v>72</v>
      </c>
      <c r="L59" s="126" t="s">
        <v>692</v>
      </c>
      <c r="M59" s="127">
        <v>1</v>
      </c>
      <c r="N59" s="126" t="s">
        <v>692</v>
      </c>
      <c r="O59" s="131" t="s">
        <v>692</v>
      </c>
      <c r="P59" s="127"/>
    </row>
    <row r="60" spans="1:16" x14ac:dyDescent="0.25">
      <c r="A60" t="s">
        <v>57</v>
      </c>
      <c r="B60" s="117">
        <v>1163</v>
      </c>
      <c r="C60" s="117">
        <v>848</v>
      </c>
      <c r="D60" s="141">
        <v>1384</v>
      </c>
      <c r="E60" s="117">
        <v>1371</v>
      </c>
      <c r="F60">
        <v>1.8</v>
      </c>
      <c r="G60" s="162">
        <v>3.3</v>
      </c>
      <c r="H60" s="164">
        <v>120865</v>
      </c>
      <c r="I60" s="161">
        <v>1685186029</v>
      </c>
      <c r="J60"/>
      <c r="K60" s="125" t="s">
        <v>73</v>
      </c>
      <c r="L60" s="126" t="s">
        <v>692</v>
      </c>
      <c r="M60" s="127">
        <v>0</v>
      </c>
      <c r="N60" s="126" t="s">
        <v>692</v>
      </c>
      <c r="O60" s="131" t="s">
        <v>692</v>
      </c>
      <c r="P60" s="127"/>
    </row>
    <row r="61" spans="1:16" x14ac:dyDescent="0.25">
      <c r="A61" t="s">
        <v>58</v>
      </c>
      <c r="B61" s="117">
        <v>275</v>
      </c>
      <c r="C61" s="117">
        <v>211</v>
      </c>
      <c r="D61" s="141">
        <v>167</v>
      </c>
      <c r="E61" s="117">
        <v>164</v>
      </c>
      <c r="F61">
        <v>5.7</v>
      </c>
      <c r="G61" s="162">
        <v>4.0599999999999996</v>
      </c>
      <c r="H61" s="164">
        <v>55972</v>
      </c>
      <c r="I61" s="161">
        <v>7456886</v>
      </c>
      <c r="J61"/>
      <c r="K61" s="125" t="s">
        <v>74</v>
      </c>
      <c r="L61" s="126" t="s">
        <v>692</v>
      </c>
      <c r="M61" s="127">
        <v>4</v>
      </c>
      <c r="N61" s="126" t="s">
        <v>692</v>
      </c>
      <c r="O61" s="131" t="s">
        <v>692</v>
      </c>
      <c r="P61" s="127"/>
    </row>
    <row r="62" spans="1:16" x14ac:dyDescent="0.25">
      <c r="A62" t="s">
        <v>59</v>
      </c>
      <c r="B62" s="117">
        <v>643</v>
      </c>
      <c r="C62" s="117">
        <v>800</v>
      </c>
      <c r="D62" s="141">
        <v>694</v>
      </c>
      <c r="E62" s="117">
        <v>714</v>
      </c>
      <c r="F62">
        <v>3.1</v>
      </c>
      <c r="G62" s="162">
        <v>3.34</v>
      </c>
      <c r="H62" s="164">
        <v>88043</v>
      </c>
      <c r="I62" s="161">
        <v>90942204</v>
      </c>
      <c r="J62"/>
      <c r="K62" s="125" t="s">
        <v>75</v>
      </c>
      <c r="L62" s="126" t="s">
        <v>693</v>
      </c>
      <c r="M62" s="127">
        <v>11</v>
      </c>
      <c r="N62" s="126" t="s">
        <v>692</v>
      </c>
      <c r="O62" s="131" t="s">
        <v>692</v>
      </c>
      <c r="P62" s="127"/>
    </row>
    <row r="63" spans="1:16" x14ac:dyDescent="0.25">
      <c r="A63" t="s">
        <v>60</v>
      </c>
      <c r="B63" s="117">
        <v>6021</v>
      </c>
      <c r="C63" s="117">
        <v>6206</v>
      </c>
      <c r="D63" s="141">
        <v>5897</v>
      </c>
      <c r="E63" s="117">
        <v>6729</v>
      </c>
      <c r="F63">
        <v>8.6999999999999993</v>
      </c>
      <c r="G63" s="162">
        <v>3.99</v>
      </c>
      <c r="H63" s="164">
        <v>59750</v>
      </c>
      <c r="I63" s="161">
        <v>921493381</v>
      </c>
      <c r="J63"/>
      <c r="K63" s="125" t="s">
        <v>77</v>
      </c>
      <c r="L63" s="126" t="s">
        <v>692</v>
      </c>
      <c r="M63" s="127">
        <v>0</v>
      </c>
      <c r="N63" s="126" t="s">
        <v>692</v>
      </c>
      <c r="O63" s="131" t="s">
        <v>692</v>
      </c>
      <c r="P63" s="127"/>
    </row>
    <row r="64" spans="1:16" x14ac:dyDescent="0.25">
      <c r="A64" t="s">
        <v>61</v>
      </c>
      <c r="B64" s="117">
        <v>4565</v>
      </c>
      <c r="C64" s="117">
        <v>4625</v>
      </c>
      <c r="D64" s="141">
        <v>4555</v>
      </c>
      <c r="E64" s="117">
        <v>4783</v>
      </c>
      <c r="F64">
        <v>2.8</v>
      </c>
      <c r="G64" s="162">
        <v>3.84</v>
      </c>
      <c r="H64" s="164">
        <v>98796</v>
      </c>
      <c r="I64" s="161">
        <v>335413796</v>
      </c>
      <c r="J64"/>
      <c r="K64" s="125" t="s">
        <v>78</v>
      </c>
      <c r="L64" s="126" t="s">
        <v>692</v>
      </c>
      <c r="M64" s="127">
        <v>6</v>
      </c>
      <c r="N64" s="126" t="s">
        <v>692</v>
      </c>
      <c r="O64" s="131" t="s">
        <v>692</v>
      </c>
      <c r="P64" s="127"/>
    </row>
    <row r="65" spans="1:16" x14ac:dyDescent="0.25">
      <c r="A65" t="s">
        <v>62</v>
      </c>
      <c r="B65" s="117">
        <v>195</v>
      </c>
      <c r="C65" s="117">
        <v>225</v>
      </c>
      <c r="D65" s="141">
        <v>145</v>
      </c>
      <c r="E65" s="117">
        <v>184</v>
      </c>
      <c r="F65">
        <v>5.9</v>
      </c>
      <c r="G65" s="162">
        <v>3.99</v>
      </c>
      <c r="H65" s="164">
        <v>71000</v>
      </c>
      <c r="I65" s="161">
        <v>19990174</v>
      </c>
      <c r="J65"/>
      <c r="K65" s="125" t="s">
        <v>79</v>
      </c>
      <c r="L65" s="126" t="s">
        <v>693</v>
      </c>
      <c r="M65" s="127">
        <v>2</v>
      </c>
      <c r="N65" s="126" t="s">
        <v>692</v>
      </c>
      <c r="O65" s="131" t="s">
        <v>692</v>
      </c>
      <c r="P65" s="127"/>
    </row>
    <row r="66" spans="1:16" x14ac:dyDescent="0.25">
      <c r="A66" t="s">
        <v>63</v>
      </c>
      <c r="B66" s="117">
        <v>648</v>
      </c>
      <c r="C66" s="117">
        <v>469</v>
      </c>
      <c r="D66" s="141">
        <v>526</v>
      </c>
      <c r="E66" s="117">
        <v>525</v>
      </c>
      <c r="F66">
        <v>23.7</v>
      </c>
      <c r="G66" s="162">
        <v>4.0599999999999996</v>
      </c>
      <c r="H66" s="164">
        <v>46250</v>
      </c>
      <c r="I66" s="161">
        <v>21417843</v>
      </c>
      <c r="J66"/>
      <c r="K66" s="125" t="s">
        <v>80</v>
      </c>
      <c r="L66" s="126" t="s">
        <v>692</v>
      </c>
      <c r="M66" s="127">
        <v>5</v>
      </c>
      <c r="N66" s="126" t="s">
        <v>692</v>
      </c>
      <c r="O66" s="131" t="s">
        <v>692</v>
      </c>
      <c r="P66" s="127"/>
    </row>
    <row r="67" spans="1:16" x14ac:dyDescent="0.25">
      <c r="A67" t="s">
        <v>64</v>
      </c>
      <c r="B67" s="117">
        <v>19119</v>
      </c>
      <c r="C67" s="117">
        <v>19534</v>
      </c>
      <c r="D67" s="141">
        <v>19127</v>
      </c>
      <c r="E67" s="117">
        <v>20009</v>
      </c>
      <c r="F67">
        <v>52.1</v>
      </c>
      <c r="G67" s="162">
        <v>3.34</v>
      </c>
      <c r="H67" s="164">
        <v>28633</v>
      </c>
      <c r="I67" s="161">
        <v>3239168943</v>
      </c>
      <c r="J67"/>
      <c r="K67" s="125" t="s">
        <v>81</v>
      </c>
      <c r="L67" s="126" t="s">
        <v>692</v>
      </c>
      <c r="M67" s="127">
        <v>3</v>
      </c>
      <c r="N67" s="126" t="s">
        <v>692</v>
      </c>
      <c r="O67" s="131" t="s">
        <v>692</v>
      </c>
      <c r="P67" s="127"/>
    </row>
    <row r="68" spans="1:16" x14ac:dyDescent="0.25">
      <c r="A68" t="s">
        <v>65</v>
      </c>
      <c r="B68" s="117">
        <v>1077</v>
      </c>
      <c r="C68" s="117">
        <v>1502</v>
      </c>
      <c r="D68" s="141">
        <v>1181</v>
      </c>
      <c r="E68" s="117">
        <v>1203</v>
      </c>
      <c r="F68">
        <v>13.1</v>
      </c>
      <c r="G68" s="162">
        <v>3.19</v>
      </c>
      <c r="H68" s="164">
        <v>77500</v>
      </c>
      <c r="I68" s="161">
        <v>102662236</v>
      </c>
      <c r="J68"/>
      <c r="K68" s="125" t="s">
        <v>82</v>
      </c>
      <c r="L68" s="126" t="s">
        <v>692</v>
      </c>
      <c r="M68" s="127">
        <v>5</v>
      </c>
      <c r="N68" s="126" t="s">
        <v>692</v>
      </c>
      <c r="O68" s="131" t="s">
        <v>692</v>
      </c>
      <c r="P68" s="127"/>
    </row>
    <row r="69" spans="1:16" x14ac:dyDescent="0.25">
      <c r="A69" t="s">
        <v>66</v>
      </c>
      <c r="B69" s="117">
        <v>302</v>
      </c>
      <c r="C69" s="117">
        <v>363</v>
      </c>
      <c r="D69" s="141">
        <v>357</v>
      </c>
      <c r="E69" s="117">
        <v>356</v>
      </c>
      <c r="F69">
        <v>15.1</v>
      </c>
      <c r="G69" s="162">
        <v>4.08</v>
      </c>
      <c r="H69" s="164">
        <v>56563</v>
      </c>
      <c r="I69" s="161">
        <v>33534844</v>
      </c>
      <c r="J69"/>
      <c r="K69" s="125" t="s">
        <v>85</v>
      </c>
      <c r="L69" s="126" t="s">
        <v>692</v>
      </c>
      <c r="M69" s="127">
        <v>2</v>
      </c>
      <c r="N69" s="126" t="s">
        <v>693</v>
      </c>
      <c r="O69" s="131" t="s">
        <v>692</v>
      </c>
      <c r="P69" s="127"/>
    </row>
    <row r="70" spans="1:16" x14ac:dyDescent="0.25">
      <c r="A70" t="s">
        <v>67</v>
      </c>
      <c r="B70" s="117">
        <v>7824</v>
      </c>
      <c r="C70" s="117">
        <v>7795</v>
      </c>
      <c r="D70" s="141">
        <v>7775</v>
      </c>
      <c r="E70" s="117">
        <v>7843</v>
      </c>
      <c r="F70">
        <v>17.2</v>
      </c>
      <c r="G70" s="162">
        <v>3.25</v>
      </c>
      <c r="H70" s="164">
        <v>44356</v>
      </c>
      <c r="I70" s="161">
        <v>1349115392</v>
      </c>
      <c r="J70"/>
      <c r="K70" s="125" t="s">
        <v>86</v>
      </c>
      <c r="L70" s="126" t="s">
        <v>692</v>
      </c>
      <c r="M70" s="127">
        <v>4</v>
      </c>
      <c r="N70" s="126" t="s">
        <v>692</v>
      </c>
      <c r="O70" s="131" t="s">
        <v>692</v>
      </c>
      <c r="P70" s="127"/>
    </row>
    <row r="71" spans="1:16" x14ac:dyDescent="0.25">
      <c r="A71" t="s">
        <v>68</v>
      </c>
      <c r="B71" s="117">
        <v>346</v>
      </c>
      <c r="C71" s="117">
        <v>561</v>
      </c>
      <c r="D71" s="141">
        <v>355</v>
      </c>
      <c r="E71" s="117">
        <v>352</v>
      </c>
      <c r="F71">
        <v>50.4</v>
      </c>
      <c r="G71" s="162">
        <v>3.63</v>
      </c>
      <c r="H71" s="164">
        <v>35833</v>
      </c>
      <c r="I71" s="161">
        <v>80265302</v>
      </c>
      <c r="J71"/>
      <c r="K71" s="125" t="s">
        <v>88</v>
      </c>
      <c r="L71" s="126" t="s">
        <v>692</v>
      </c>
      <c r="M71" s="127">
        <v>3</v>
      </c>
      <c r="N71" s="126" t="s">
        <v>692</v>
      </c>
      <c r="O71" s="131" t="s">
        <v>692</v>
      </c>
      <c r="P71" s="127"/>
    </row>
    <row r="72" spans="1:16" x14ac:dyDescent="0.25">
      <c r="A72" t="s">
        <v>70</v>
      </c>
      <c r="B72" s="117">
        <v>1376</v>
      </c>
      <c r="C72" s="117">
        <v>1429</v>
      </c>
      <c r="D72" s="141">
        <v>1256</v>
      </c>
      <c r="E72" s="117">
        <v>1373</v>
      </c>
      <c r="F72">
        <v>19.8</v>
      </c>
      <c r="G72" s="162">
        <v>3.67</v>
      </c>
      <c r="H72" s="164">
        <v>62679</v>
      </c>
      <c r="I72" s="161">
        <v>154341409</v>
      </c>
      <c r="J72"/>
      <c r="K72" s="125" t="s">
        <v>89</v>
      </c>
      <c r="L72" s="126" t="s">
        <v>692</v>
      </c>
      <c r="M72" s="127">
        <v>2</v>
      </c>
      <c r="N72" s="126" t="s">
        <v>692</v>
      </c>
      <c r="O72" s="131" t="s">
        <v>692</v>
      </c>
      <c r="P72" s="127"/>
    </row>
    <row r="73" spans="1:16" x14ac:dyDescent="0.25">
      <c r="A73" t="s">
        <v>71</v>
      </c>
      <c r="B73" s="117">
        <v>481</v>
      </c>
      <c r="C73" s="117">
        <v>395</v>
      </c>
      <c r="D73" s="141">
        <v>435</v>
      </c>
      <c r="E73" s="117">
        <v>436</v>
      </c>
      <c r="F73">
        <v>20.7</v>
      </c>
      <c r="G73" s="162">
        <v>3.37</v>
      </c>
      <c r="H73" s="164">
        <v>34643</v>
      </c>
      <c r="I73" s="161">
        <v>44423748</v>
      </c>
      <c r="J73"/>
      <c r="K73" s="125" t="s">
        <v>90</v>
      </c>
      <c r="L73" s="126" t="s">
        <v>692</v>
      </c>
      <c r="M73" s="127">
        <v>1</v>
      </c>
      <c r="N73" s="126" t="s">
        <v>692</v>
      </c>
      <c r="O73" s="131" t="s">
        <v>692</v>
      </c>
      <c r="P73" s="127"/>
    </row>
    <row r="74" spans="1:16" x14ac:dyDescent="0.25">
      <c r="A74" t="s">
        <v>72</v>
      </c>
      <c r="B74" s="117">
        <v>131815</v>
      </c>
      <c r="C74" s="117">
        <v>145889</v>
      </c>
      <c r="D74" s="141">
        <v>133610</v>
      </c>
      <c r="E74" s="117">
        <v>160440</v>
      </c>
      <c r="F74">
        <v>9.4</v>
      </c>
      <c r="G74" s="162">
        <v>3.99</v>
      </c>
      <c r="H74" s="164">
        <v>74034</v>
      </c>
      <c r="I74" s="161">
        <v>50322119946</v>
      </c>
      <c r="J74"/>
      <c r="K74" s="125" t="s">
        <v>91</v>
      </c>
      <c r="L74" s="126" t="s">
        <v>692</v>
      </c>
      <c r="M74" s="127">
        <v>7</v>
      </c>
      <c r="N74" s="126" t="s">
        <v>692</v>
      </c>
      <c r="O74" s="131" t="s">
        <v>692</v>
      </c>
      <c r="P74" s="127"/>
    </row>
    <row r="75" spans="1:16" x14ac:dyDescent="0.25">
      <c r="A75" t="s">
        <v>74</v>
      </c>
      <c r="B75" s="117">
        <v>983</v>
      </c>
      <c r="C75" s="117">
        <v>981</v>
      </c>
      <c r="D75" s="141">
        <v>980</v>
      </c>
      <c r="E75" s="117">
        <v>972</v>
      </c>
      <c r="F75">
        <v>57.7</v>
      </c>
      <c r="G75" s="162">
        <v>4.0599999999999996</v>
      </c>
      <c r="H75" s="164">
        <v>28542</v>
      </c>
      <c r="I75" s="161">
        <v>26656881</v>
      </c>
      <c r="J75"/>
      <c r="K75" s="125" t="s">
        <v>92</v>
      </c>
      <c r="L75" s="126" t="s">
        <v>692</v>
      </c>
      <c r="M75" s="127">
        <v>2</v>
      </c>
      <c r="N75" s="126" t="s">
        <v>692</v>
      </c>
      <c r="O75" s="131" t="s">
        <v>692</v>
      </c>
      <c r="P75" s="127"/>
    </row>
    <row r="76" spans="1:16" x14ac:dyDescent="0.25">
      <c r="A76" t="s">
        <v>75</v>
      </c>
      <c r="B76" s="117">
        <v>1723</v>
      </c>
      <c r="C76" s="117">
        <v>1676</v>
      </c>
      <c r="D76" s="141">
        <v>1561</v>
      </c>
      <c r="E76" s="117">
        <v>1500</v>
      </c>
      <c r="F76">
        <v>21.5</v>
      </c>
      <c r="G76" s="162">
        <v>3.31</v>
      </c>
      <c r="H76" s="164">
        <v>43387</v>
      </c>
      <c r="I76" s="161">
        <v>247628408</v>
      </c>
      <c r="J76"/>
      <c r="K76" s="125" t="s">
        <v>93</v>
      </c>
      <c r="L76" s="126" t="s">
        <v>692</v>
      </c>
      <c r="M76" s="127">
        <v>1</v>
      </c>
      <c r="N76" s="126" t="s">
        <v>692</v>
      </c>
      <c r="O76" s="131" t="s">
        <v>692</v>
      </c>
      <c r="P76" s="127"/>
    </row>
    <row r="77" spans="1:16" x14ac:dyDescent="0.25">
      <c r="A77" t="s">
        <v>76</v>
      </c>
      <c r="B77" s="117">
        <v>256886</v>
      </c>
      <c r="C77" s="117">
        <v>271790</v>
      </c>
      <c r="D77" s="141">
        <v>267372</v>
      </c>
      <c r="E77" s="117">
        <v>277047</v>
      </c>
      <c r="F77">
        <v>11.8</v>
      </c>
      <c r="G77" s="162">
        <v>2.86</v>
      </c>
      <c r="H77" s="164">
        <v>70578</v>
      </c>
      <c r="I77" s="161">
        <v>51328895764</v>
      </c>
      <c r="J77"/>
      <c r="K77" s="125" t="s">
        <v>95</v>
      </c>
      <c r="L77" s="126" t="s">
        <v>692</v>
      </c>
      <c r="M77" s="127">
        <v>0</v>
      </c>
      <c r="N77" s="126" t="s">
        <v>692</v>
      </c>
      <c r="O77" s="131" t="s">
        <v>692</v>
      </c>
      <c r="P77" s="127"/>
    </row>
    <row r="78" spans="1:16" x14ac:dyDescent="0.25">
      <c r="A78" t="s">
        <v>78</v>
      </c>
      <c r="B78" s="117">
        <v>298</v>
      </c>
      <c r="C78" s="117">
        <v>468</v>
      </c>
      <c r="D78" s="141">
        <v>326</v>
      </c>
      <c r="E78" s="117">
        <v>356</v>
      </c>
      <c r="F78">
        <v>5.3</v>
      </c>
      <c r="G78" s="162">
        <v>3.31</v>
      </c>
      <c r="H78" s="164">
        <v>53750</v>
      </c>
      <c r="I78" s="161">
        <v>30602909</v>
      </c>
      <c r="J78"/>
      <c r="K78" s="125" t="s">
        <v>96</v>
      </c>
      <c r="L78" s="126" t="s">
        <v>692</v>
      </c>
      <c r="M78" s="127">
        <v>1</v>
      </c>
      <c r="N78" s="126" t="s">
        <v>692</v>
      </c>
      <c r="O78" s="131" t="s">
        <v>692</v>
      </c>
      <c r="P78" s="127"/>
    </row>
    <row r="79" spans="1:16" x14ac:dyDescent="0.25">
      <c r="A79" t="s">
        <v>79</v>
      </c>
      <c r="B79" s="117">
        <v>4080</v>
      </c>
      <c r="C79" s="117">
        <v>3249</v>
      </c>
      <c r="D79" s="141">
        <v>3765</v>
      </c>
      <c r="E79" s="117">
        <v>3717</v>
      </c>
      <c r="F79">
        <v>22.3</v>
      </c>
      <c r="G79" s="162">
        <v>3.31</v>
      </c>
      <c r="H79" s="164">
        <v>65514</v>
      </c>
      <c r="I79" s="161">
        <v>376699126</v>
      </c>
      <c r="J79"/>
      <c r="K79" s="125" t="s">
        <v>100</v>
      </c>
      <c r="L79" s="126" t="s">
        <v>692</v>
      </c>
      <c r="M79" s="127">
        <v>1</v>
      </c>
      <c r="N79" s="126" t="s">
        <v>692</v>
      </c>
      <c r="O79" s="131" t="s">
        <v>692</v>
      </c>
      <c r="P79" s="127"/>
    </row>
    <row r="80" spans="1:16" x14ac:dyDescent="0.25">
      <c r="A80" t="s">
        <v>80</v>
      </c>
      <c r="B80" s="117">
        <v>89968</v>
      </c>
      <c r="C80" s="117">
        <v>87863</v>
      </c>
      <c r="D80" s="141">
        <v>88036</v>
      </c>
      <c r="E80" s="117">
        <v>89974</v>
      </c>
      <c r="F80">
        <v>17.899999999999999</v>
      </c>
      <c r="G80" s="162">
        <v>3.29</v>
      </c>
      <c r="H80" s="164">
        <v>55684</v>
      </c>
      <c r="I80" s="161">
        <v>10468589376</v>
      </c>
      <c r="J80"/>
      <c r="K80" s="125" t="s">
        <v>101</v>
      </c>
      <c r="L80" s="126" t="s">
        <v>692</v>
      </c>
      <c r="M80" s="127">
        <v>1</v>
      </c>
      <c r="N80" s="126" t="s">
        <v>692</v>
      </c>
      <c r="O80" s="131" t="s">
        <v>692</v>
      </c>
      <c r="P80" s="127"/>
    </row>
    <row r="81" spans="1:16" x14ac:dyDescent="0.25">
      <c r="A81" t="s">
        <v>81</v>
      </c>
      <c r="B81" s="117">
        <v>53063</v>
      </c>
      <c r="C81" s="117">
        <v>58599</v>
      </c>
      <c r="D81" s="141">
        <v>56790</v>
      </c>
      <c r="E81" s="117">
        <v>60380</v>
      </c>
      <c r="F81">
        <v>18</v>
      </c>
      <c r="G81" s="162">
        <v>3.72</v>
      </c>
      <c r="H81" s="164">
        <v>54941</v>
      </c>
      <c r="I81" s="161">
        <v>8598361362</v>
      </c>
      <c r="J81"/>
      <c r="K81" s="125" t="s">
        <v>110</v>
      </c>
      <c r="L81" s="126" t="s">
        <v>693</v>
      </c>
      <c r="M81" s="127">
        <v>6</v>
      </c>
      <c r="N81" s="126" t="s">
        <v>692</v>
      </c>
      <c r="O81" s="131" t="s">
        <v>692</v>
      </c>
      <c r="P81" s="127"/>
    </row>
    <row r="82" spans="1:16" x14ac:dyDescent="0.25">
      <c r="A82" t="s">
        <v>82</v>
      </c>
      <c r="B82" s="117">
        <v>1903</v>
      </c>
      <c r="C82" s="117">
        <v>2143</v>
      </c>
      <c r="D82" s="141">
        <v>1617</v>
      </c>
      <c r="E82" s="117">
        <v>1585</v>
      </c>
      <c r="F82">
        <v>25.5</v>
      </c>
      <c r="G82" s="162">
        <v>3.27</v>
      </c>
      <c r="H82" s="164">
        <v>47576</v>
      </c>
      <c r="I82" s="161">
        <v>179768972</v>
      </c>
      <c r="J82"/>
      <c r="K82" s="125" t="s">
        <v>111</v>
      </c>
      <c r="L82" s="126" t="s">
        <v>692</v>
      </c>
      <c r="M82" s="127">
        <v>2</v>
      </c>
      <c r="N82" s="126" t="s">
        <v>692</v>
      </c>
      <c r="O82" s="131" t="s">
        <v>692</v>
      </c>
      <c r="P82" s="127"/>
    </row>
    <row r="83" spans="1:16" x14ac:dyDescent="0.25">
      <c r="A83" t="s">
        <v>83</v>
      </c>
      <c r="B83" s="117">
        <v>7727</v>
      </c>
      <c r="C83" s="117">
        <v>7996</v>
      </c>
      <c r="D83" s="141">
        <v>8351</v>
      </c>
      <c r="E83" s="117">
        <v>8092</v>
      </c>
      <c r="F83">
        <v>15.5</v>
      </c>
      <c r="G83" s="162">
        <v>3.41</v>
      </c>
      <c r="H83" s="164">
        <v>72917</v>
      </c>
      <c r="I83" s="161">
        <v>715153694</v>
      </c>
      <c r="J83"/>
      <c r="K83" s="125" t="s">
        <v>113</v>
      </c>
      <c r="L83" s="126" t="s">
        <v>692</v>
      </c>
      <c r="M83" s="127">
        <v>0</v>
      </c>
      <c r="N83" s="126" t="s">
        <v>692</v>
      </c>
      <c r="O83" s="131" t="s">
        <v>692</v>
      </c>
      <c r="P83" s="127"/>
    </row>
    <row r="84" spans="1:16" x14ac:dyDescent="0.25">
      <c r="A84" t="s">
        <v>84</v>
      </c>
      <c r="B84" s="117">
        <v>206615</v>
      </c>
      <c r="C84" s="117">
        <v>231262</v>
      </c>
      <c r="D84" s="141">
        <v>221814</v>
      </c>
      <c r="E84" s="117">
        <v>242880</v>
      </c>
      <c r="F84">
        <v>8.9</v>
      </c>
      <c r="G84" s="162">
        <v>3.27</v>
      </c>
      <c r="H84" s="164">
        <v>86084</v>
      </c>
      <c r="I84" s="161">
        <v>32387274806</v>
      </c>
      <c r="J84"/>
      <c r="K84" s="125" t="s">
        <v>114</v>
      </c>
      <c r="L84" s="126" t="s">
        <v>692</v>
      </c>
      <c r="M84" s="127">
        <v>3</v>
      </c>
      <c r="N84" s="126" t="s">
        <v>692</v>
      </c>
      <c r="O84" s="131" t="s">
        <v>692</v>
      </c>
      <c r="P84" s="127"/>
    </row>
    <row r="85" spans="1:16" x14ac:dyDescent="0.25">
      <c r="A85" t="s">
        <v>86</v>
      </c>
      <c r="B85" s="117">
        <v>2735</v>
      </c>
      <c r="C85" s="117">
        <v>2696</v>
      </c>
      <c r="D85" s="141">
        <v>2729</v>
      </c>
      <c r="E85" s="117">
        <v>2736</v>
      </c>
      <c r="F85">
        <v>11.9</v>
      </c>
      <c r="G85" s="162">
        <v>3.26</v>
      </c>
      <c r="H85" s="164">
        <v>53714</v>
      </c>
      <c r="I85" s="161"/>
      <c r="J85"/>
      <c r="K85" s="125" t="s">
        <v>116</v>
      </c>
      <c r="L85" s="126" t="s">
        <v>692</v>
      </c>
      <c r="M85" s="127">
        <v>4</v>
      </c>
      <c r="N85" s="126" t="s">
        <v>692</v>
      </c>
      <c r="O85" s="131" t="s">
        <v>692</v>
      </c>
      <c r="P85" s="127"/>
    </row>
    <row r="86" spans="1:16" x14ac:dyDescent="0.25">
      <c r="A86" t="s">
        <v>87</v>
      </c>
      <c r="B86" s="117">
        <v>1710</v>
      </c>
      <c r="C86" s="117">
        <v>2397</v>
      </c>
      <c r="D86" s="141">
        <v>1988</v>
      </c>
      <c r="E86" s="117">
        <v>2289</v>
      </c>
      <c r="F86">
        <v>20.7</v>
      </c>
      <c r="G86" s="162">
        <v>3.99</v>
      </c>
      <c r="H86" s="164">
        <v>60048</v>
      </c>
      <c r="I86" s="161">
        <v>549937904</v>
      </c>
      <c r="J86"/>
      <c r="K86" s="125" t="s">
        <v>117</v>
      </c>
      <c r="L86" s="126" t="s">
        <v>693</v>
      </c>
      <c r="M86" s="127">
        <v>7</v>
      </c>
      <c r="N86" s="126" t="s">
        <v>692</v>
      </c>
      <c r="O86" s="131" t="s">
        <v>692</v>
      </c>
      <c r="P86" s="127"/>
    </row>
    <row r="87" spans="1:16" x14ac:dyDescent="0.25">
      <c r="A87" t="s">
        <v>88</v>
      </c>
      <c r="B87" s="117">
        <v>81884</v>
      </c>
      <c r="C87" s="117">
        <v>80618</v>
      </c>
      <c r="D87" s="141">
        <v>80864</v>
      </c>
      <c r="E87" s="117">
        <v>81960</v>
      </c>
      <c r="F87">
        <v>12.7</v>
      </c>
      <c r="G87" s="162">
        <v>3.26</v>
      </c>
      <c r="H87" s="164">
        <v>55401</v>
      </c>
      <c r="I87" s="161">
        <v>8788702887</v>
      </c>
      <c r="J87"/>
      <c r="K87" s="125" t="s">
        <v>119</v>
      </c>
      <c r="L87" s="126" t="s">
        <v>693</v>
      </c>
      <c r="M87" s="127">
        <v>2</v>
      </c>
      <c r="N87" s="126" t="s">
        <v>692</v>
      </c>
      <c r="O87" s="131" t="s">
        <v>692</v>
      </c>
      <c r="P87" s="127"/>
    </row>
    <row r="88" spans="1:16" x14ac:dyDescent="0.25">
      <c r="A88" t="s">
        <v>89</v>
      </c>
      <c r="B88" s="117">
        <v>605</v>
      </c>
      <c r="C88" s="117">
        <v>441</v>
      </c>
      <c r="D88" s="141">
        <v>340</v>
      </c>
      <c r="E88" s="117">
        <v>328</v>
      </c>
      <c r="F88">
        <v>14.7</v>
      </c>
      <c r="G88" s="162">
        <v>3.32</v>
      </c>
      <c r="H88" s="164">
        <v>43906</v>
      </c>
      <c r="I88" s="161">
        <v>20132725</v>
      </c>
      <c r="J88"/>
      <c r="K88" s="125" t="s">
        <v>120</v>
      </c>
      <c r="L88" s="126" t="s">
        <v>692</v>
      </c>
      <c r="M88" s="127">
        <v>3</v>
      </c>
      <c r="N88" s="126" t="s">
        <v>692</v>
      </c>
      <c r="O88" s="131" t="s">
        <v>692</v>
      </c>
      <c r="P88" s="127"/>
    </row>
    <row r="89" spans="1:16" x14ac:dyDescent="0.25">
      <c r="A89" t="s">
        <v>90</v>
      </c>
      <c r="B89" s="117">
        <v>10551</v>
      </c>
      <c r="C89" s="117">
        <v>10743</v>
      </c>
      <c r="D89" s="141">
        <v>10257</v>
      </c>
      <c r="E89" s="117">
        <v>10737</v>
      </c>
      <c r="F89">
        <v>5</v>
      </c>
      <c r="G89" s="162">
        <v>2.87</v>
      </c>
      <c r="H89" s="164">
        <v>87781</v>
      </c>
      <c r="I89" s="161">
        <v>1706002655</v>
      </c>
      <c r="J89"/>
      <c r="K89" s="125" t="s">
        <v>121</v>
      </c>
      <c r="L89" s="126" t="s">
        <v>692</v>
      </c>
      <c r="M89" s="127">
        <v>3</v>
      </c>
      <c r="N89" s="126" t="s">
        <v>692</v>
      </c>
      <c r="O89" s="131" t="s">
        <v>692</v>
      </c>
      <c r="P89" s="127"/>
    </row>
    <row r="90" spans="1:16" x14ac:dyDescent="0.25">
      <c r="A90" t="s">
        <v>91</v>
      </c>
      <c r="B90" s="117">
        <v>394</v>
      </c>
      <c r="C90" s="117">
        <v>357</v>
      </c>
      <c r="D90" s="141">
        <v>248</v>
      </c>
      <c r="E90" s="117">
        <v>257</v>
      </c>
      <c r="F90">
        <v>12.6</v>
      </c>
      <c r="G90" s="162">
        <v>3.45</v>
      </c>
      <c r="H90" s="164">
        <v>74688</v>
      </c>
      <c r="I90" s="161">
        <v>29226874</v>
      </c>
      <c r="J90"/>
      <c r="K90" s="125" t="s">
        <v>122</v>
      </c>
      <c r="L90" s="126" t="s">
        <v>692</v>
      </c>
      <c r="M90" s="127">
        <v>2</v>
      </c>
      <c r="N90" s="126" t="s">
        <v>692</v>
      </c>
      <c r="O90" s="131" t="s">
        <v>692</v>
      </c>
      <c r="P90" s="127"/>
    </row>
    <row r="91" spans="1:16" x14ac:dyDescent="0.25">
      <c r="A91" t="s">
        <v>92</v>
      </c>
      <c r="B91" s="117">
        <v>1068</v>
      </c>
      <c r="C91" s="117">
        <v>1284</v>
      </c>
      <c r="D91" s="141">
        <v>804</v>
      </c>
      <c r="E91" s="117">
        <v>812</v>
      </c>
      <c r="F91">
        <v>22.3</v>
      </c>
      <c r="G91" s="162">
        <v>3.73</v>
      </c>
      <c r="H91" s="164">
        <v>46983</v>
      </c>
      <c r="I91" s="161">
        <v>91324665</v>
      </c>
      <c r="J91"/>
      <c r="K91" s="125" t="s">
        <v>123</v>
      </c>
      <c r="L91" s="126" t="s">
        <v>692</v>
      </c>
      <c r="M91" s="127">
        <v>7</v>
      </c>
      <c r="N91" s="126" t="s">
        <v>692</v>
      </c>
      <c r="O91" s="131" t="s">
        <v>692</v>
      </c>
      <c r="P91" s="127"/>
    </row>
    <row r="92" spans="1:16" x14ac:dyDescent="0.25">
      <c r="A92" t="s">
        <v>93</v>
      </c>
      <c r="B92" s="117">
        <v>4277</v>
      </c>
      <c r="C92" s="117">
        <v>4417</v>
      </c>
      <c r="D92" s="141">
        <v>4412</v>
      </c>
      <c r="E92" s="117">
        <v>4514</v>
      </c>
      <c r="F92">
        <v>11.8</v>
      </c>
      <c r="G92" s="162">
        <v>3.16</v>
      </c>
      <c r="H92" s="164">
        <v>64034</v>
      </c>
      <c r="I92" s="161">
        <v>711234988</v>
      </c>
      <c r="J92"/>
      <c r="K92" s="125" t="s">
        <v>124</v>
      </c>
      <c r="L92" s="126" t="s">
        <v>692</v>
      </c>
      <c r="M92" s="127">
        <v>1</v>
      </c>
      <c r="N92" s="126" t="s">
        <v>692</v>
      </c>
      <c r="O92" s="131" t="s">
        <v>692</v>
      </c>
      <c r="P92" s="127"/>
    </row>
    <row r="93" spans="1:16" x14ac:dyDescent="0.25">
      <c r="A93" t="s">
        <v>94</v>
      </c>
      <c r="B93" s="117">
        <v>2403</v>
      </c>
      <c r="C93" s="117">
        <v>2598</v>
      </c>
      <c r="D93" s="141">
        <v>2221</v>
      </c>
      <c r="E93" s="117">
        <v>2343</v>
      </c>
      <c r="F93">
        <v>7.3</v>
      </c>
      <c r="G93" s="162">
        <v>3.34</v>
      </c>
      <c r="H93" s="164">
        <v>75313</v>
      </c>
      <c r="I93" s="161">
        <v>471093802</v>
      </c>
      <c r="J93"/>
      <c r="K93" s="125" t="s">
        <v>127</v>
      </c>
      <c r="L93" s="126" t="s">
        <v>692</v>
      </c>
      <c r="M93" s="127">
        <v>1</v>
      </c>
      <c r="N93" s="126" t="s">
        <v>692</v>
      </c>
      <c r="O93" s="131" t="s">
        <v>692</v>
      </c>
      <c r="P93" s="127"/>
    </row>
    <row r="94" spans="1:16" x14ac:dyDescent="0.25">
      <c r="A94" t="s">
        <v>96</v>
      </c>
      <c r="B94" s="117">
        <v>6265</v>
      </c>
      <c r="C94" s="117">
        <v>6665</v>
      </c>
      <c r="D94" s="141">
        <v>6542</v>
      </c>
      <c r="E94" s="117">
        <v>6791</v>
      </c>
      <c r="F94">
        <v>8.4</v>
      </c>
      <c r="G94" s="162">
        <v>3.38</v>
      </c>
      <c r="H94" s="164">
        <v>88239</v>
      </c>
      <c r="I94" s="161">
        <v>3097209682</v>
      </c>
      <c r="J94"/>
      <c r="K94" s="125" t="s">
        <v>128</v>
      </c>
      <c r="L94" s="126" t="s">
        <v>692</v>
      </c>
      <c r="M94" s="127">
        <v>3</v>
      </c>
      <c r="N94" s="126" t="s">
        <v>692</v>
      </c>
      <c r="O94" s="131" t="s">
        <v>692</v>
      </c>
      <c r="P94" s="127"/>
    </row>
    <row r="95" spans="1:16" x14ac:dyDescent="0.25">
      <c r="A95" t="s">
        <v>97</v>
      </c>
      <c r="B95" s="117">
        <v>4163</v>
      </c>
      <c r="C95" s="117">
        <v>4843</v>
      </c>
      <c r="D95" s="141">
        <v>4461</v>
      </c>
      <c r="E95" s="117">
        <v>5495</v>
      </c>
      <c r="F95">
        <v>3</v>
      </c>
      <c r="G95" s="162">
        <v>3.99</v>
      </c>
      <c r="H95" s="164">
        <v>74310</v>
      </c>
      <c r="I95" s="161">
        <v>1055355038</v>
      </c>
      <c r="J95"/>
      <c r="K95" s="125" t="s">
        <v>129</v>
      </c>
      <c r="L95" s="126" t="s">
        <v>693</v>
      </c>
      <c r="M95" s="127">
        <v>0</v>
      </c>
      <c r="N95" s="126" t="s">
        <v>692</v>
      </c>
      <c r="O95" s="131" t="s">
        <v>693</v>
      </c>
      <c r="P95" s="127"/>
    </row>
    <row r="96" spans="1:16" x14ac:dyDescent="0.25">
      <c r="A96" t="s">
        <v>98</v>
      </c>
      <c r="B96" s="117">
        <v>21230</v>
      </c>
      <c r="C96" s="117">
        <v>21170</v>
      </c>
      <c r="D96" s="141">
        <v>21193</v>
      </c>
      <c r="E96" s="117">
        <v>21319</v>
      </c>
      <c r="F96">
        <v>11.3</v>
      </c>
      <c r="G96" s="162">
        <v>3.13</v>
      </c>
      <c r="H96" s="164">
        <v>85927</v>
      </c>
      <c r="I96" s="161">
        <v>2884249704</v>
      </c>
      <c r="J96"/>
      <c r="K96" s="125" t="s">
        <v>130</v>
      </c>
      <c r="L96" s="126" t="s">
        <v>692</v>
      </c>
      <c r="M96" s="127">
        <v>4</v>
      </c>
      <c r="N96" s="126" t="s">
        <v>692</v>
      </c>
      <c r="O96" s="131" t="s">
        <v>692</v>
      </c>
      <c r="P96" s="127"/>
    </row>
    <row r="97" spans="1:16" x14ac:dyDescent="0.25">
      <c r="A97" t="s">
        <v>99</v>
      </c>
      <c r="B97" s="117">
        <v>69070</v>
      </c>
      <c r="C97" s="117">
        <v>68652</v>
      </c>
      <c r="D97" s="141">
        <v>67856</v>
      </c>
      <c r="E97" s="117">
        <v>70268</v>
      </c>
      <c r="F97">
        <v>10</v>
      </c>
      <c r="G97" s="162">
        <v>3.34</v>
      </c>
      <c r="H97" s="164">
        <v>70235</v>
      </c>
      <c r="I97" s="161">
        <v>17593730828</v>
      </c>
      <c r="J97"/>
      <c r="K97" s="125" t="s">
        <v>131</v>
      </c>
      <c r="L97" s="126" t="s">
        <v>692</v>
      </c>
      <c r="M97" s="127">
        <v>2</v>
      </c>
      <c r="N97" s="126" t="s">
        <v>692</v>
      </c>
      <c r="O97" s="131" t="s">
        <v>692</v>
      </c>
      <c r="P97" s="127"/>
    </row>
    <row r="98" spans="1:16" x14ac:dyDescent="0.25">
      <c r="A98" t="s">
        <v>100</v>
      </c>
      <c r="B98" s="117">
        <v>2480</v>
      </c>
      <c r="C98" s="117">
        <v>2840</v>
      </c>
      <c r="D98" s="141">
        <v>2726</v>
      </c>
      <c r="E98" s="117">
        <v>2975</v>
      </c>
      <c r="F98">
        <v>13.6</v>
      </c>
      <c r="G98" s="162">
        <v>3.45</v>
      </c>
      <c r="H98" s="164">
        <v>62177</v>
      </c>
      <c r="I98" s="161">
        <v>424272148</v>
      </c>
      <c r="J98"/>
      <c r="K98" s="125" t="s">
        <v>132</v>
      </c>
      <c r="L98" s="126" t="s">
        <v>692</v>
      </c>
      <c r="M98" s="127">
        <v>3</v>
      </c>
      <c r="N98" s="126" t="s">
        <v>692</v>
      </c>
      <c r="O98" s="131" t="s">
        <v>692</v>
      </c>
      <c r="P98" s="127"/>
    </row>
    <row r="99" spans="1:16" x14ac:dyDescent="0.25">
      <c r="A99" t="s">
        <v>101</v>
      </c>
      <c r="B99" s="117">
        <v>166268</v>
      </c>
      <c r="C99" s="117">
        <v>176686</v>
      </c>
      <c r="D99" s="141">
        <v>172287</v>
      </c>
      <c r="E99" s="117">
        <v>181470</v>
      </c>
      <c r="F99">
        <v>5.3</v>
      </c>
      <c r="G99" s="162">
        <v>3.03</v>
      </c>
      <c r="H99" s="164">
        <v>129399</v>
      </c>
      <c r="I99" s="161">
        <v>35582006617</v>
      </c>
      <c r="J99"/>
      <c r="K99" s="125" t="s">
        <v>133</v>
      </c>
      <c r="L99" s="126" t="s">
        <v>692</v>
      </c>
      <c r="M99" s="127">
        <v>5</v>
      </c>
      <c r="N99" s="126" t="s">
        <v>692</v>
      </c>
      <c r="O99" s="131" t="s">
        <v>692</v>
      </c>
      <c r="P99" s="127"/>
    </row>
    <row r="100" spans="1:16" x14ac:dyDescent="0.25">
      <c r="A100" t="s">
        <v>102</v>
      </c>
      <c r="B100" s="117">
        <v>269</v>
      </c>
      <c r="C100" s="117">
        <v>384</v>
      </c>
      <c r="D100" s="141">
        <v>302</v>
      </c>
      <c r="E100" s="117">
        <v>302</v>
      </c>
      <c r="F100">
        <v>22.4</v>
      </c>
      <c r="G100" s="162">
        <v>3.84</v>
      </c>
      <c r="H100" s="164">
        <v>59861</v>
      </c>
      <c r="I100" s="161">
        <v>16556354</v>
      </c>
      <c r="J100"/>
      <c r="K100" s="125" t="s">
        <v>134</v>
      </c>
      <c r="L100" s="126" t="s">
        <v>693</v>
      </c>
      <c r="M100" s="127">
        <v>1</v>
      </c>
      <c r="N100" s="126" t="s">
        <v>692</v>
      </c>
      <c r="O100" s="131" t="s">
        <v>692</v>
      </c>
      <c r="P100" s="127"/>
    </row>
    <row r="101" spans="1:16" x14ac:dyDescent="0.25">
      <c r="A101" t="s">
        <v>103</v>
      </c>
      <c r="B101" s="117">
        <v>360</v>
      </c>
      <c r="C101" s="117">
        <v>223</v>
      </c>
      <c r="D101" s="141">
        <v>262</v>
      </c>
      <c r="E101" s="117">
        <v>266</v>
      </c>
      <c r="F101">
        <v>36.799999999999997</v>
      </c>
      <c r="G101" s="162">
        <v>4.4800000000000004</v>
      </c>
      <c r="H101" s="164"/>
      <c r="I101" s="161">
        <v>12073691</v>
      </c>
      <c r="J101"/>
      <c r="K101" s="125" t="s">
        <v>135</v>
      </c>
      <c r="L101" s="126" t="s">
        <v>693</v>
      </c>
      <c r="M101" s="127">
        <v>3</v>
      </c>
      <c r="N101" s="126" t="s">
        <v>692</v>
      </c>
      <c r="O101" s="131" t="s">
        <v>692</v>
      </c>
      <c r="P101" s="127"/>
    </row>
    <row r="102" spans="1:16" x14ac:dyDescent="0.25">
      <c r="A102" t="s">
        <v>104</v>
      </c>
      <c r="B102" s="117">
        <v>461</v>
      </c>
      <c r="C102" s="117">
        <v>486</v>
      </c>
      <c r="D102" s="141">
        <v>394</v>
      </c>
      <c r="E102" s="117">
        <v>415</v>
      </c>
      <c r="F102">
        <v>2.2999999999999998</v>
      </c>
      <c r="G102" s="162">
        <v>3.99</v>
      </c>
      <c r="H102" s="164">
        <v>125833</v>
      </c>
      <c r="I102" s="161">
        <v>582872468</v>
      </c>
      <c r="J102"/>
      <c r="K102" s="125" t="s">
        <v>136</v>
      </c>
      <c r="L102" s="126" t="s">
        <v>692</v>
      </c>
      <c r="M102" s="127">
        <v>2</v>
      </c>
      <c r="N102" s="126" t="s">
        <v>692</v>
      </c>
      <c r="O102" s="131" t="s">
        <v>692</v>
      </c>
      <c r="P102" s="127"/>
    </row>
    <row r="103" spans="1:16" x14ac:dyDescent="0.25">
      <c r="A103" t="s">
        <v>105</v>
      </c>
      <c r="B103" s="117">
        <v>22684</v>
      </c>
      <c r="C103" s="117">
        <v>22689</v>
      </c>
      <c r="D103" s="141">
        <v>22869</v>
      </c>
      <c r="E103" s="117">
        <v>22461</v>
      </c>
      <c r="F103">
        <v>15.7</v>
      </c>
      <c r="G103" s="162">
        <v>3.53</v>
      </c>
      <c r="H103" s="164">
        <v>59407</v>
      </c>
      <c r="I103" s="161">
        <v>1795673010</v>
      </c>
      <c r="J103"/>
      <c r="K103" s="125" t="s">
        <v>137</v>
      </c>
      <c r="L103" s="126" t="s">
        <v>692</v>
      </c>
      <c r="M103" s="127">
        <v>2</v>
      </c>
      <c r="N103" s="126" t="s">
        <v>692</v>
      </c>
      <c r="O103" s="131" t="s">
        <v>692</v>
      </c>
      <c r="P103" s="127"/>
    </row>
    <row r="104" spans="1:16" x14ac:dyDescent="0.25">
      <c r="A104" t="s">
        <v>106</v>
      </c>
      <c r="B104" s="117">
        <v>157613</v>
      </c>
      <c r="C104" s="117">
        <v>162051</v>
      </c>
      <c r="D104" s="141">
        <v>159673</v>
      </c>
      <c r="E104" s="117">
        <v>166196</v>
      </c>
      <c r="F104">
        <v>12.8</v>
      </c>
      <c r="G104" s="162">
        <v>3.37</v>
      </c>
      <c r="H104" s="164">
        <v>64544</v>
      </c>
      <c r="I104" s="161">
        <v>30522452702</v>
      </c>
      <c r="J104"/>
      <c r="K104" s="125" t="s">
        <v>139</v>
      </c>
      <c r="L104" s="126" t="s">
        <v>692</v>
      </c>
      <c r="M104" s="127">
        <v>0</v>
      </c>
      <c r="N104" s="126" t="s">
        <v>692</v>
      </c>
      <c r="O104" s="131" t="s">
        <v>692</v>
      </c>
      <c r="P104" s="127"/>
    </row>
    <row r="105" spans="1:16" x14ac:dyDescent="0.25">
      <c r="A105" t="s">
        <v>107</v>
      </c>
      <c r="B105" s="117">
        <v>462</v>
      </c>
      <c r="C105" s="117">
        <v>632</v>
      </c>
      <c r="D105" s="141">
        <v>693</v>
      </c>
      <c r="E105" s="117">
        <v>730</v>
      </c>
      <c r="F105">
        <v>20.3</v>
      </c>
      <c r="G105" s="162">
        <v>3.37</v>
      </c>
      <c r="H105" s="164">
        <v>44659</v>
      </c>
      <c r="I105" s="161">
        <v>148122752</v>
      </c>
      <c r="J105"/>
      <c r="K105" s="125" t="s">
        <v>141</v>
      </c>
      <c r="L105" s="126" t="s">
        <v>692</v>
      </c>
      <c r="M105" s="127">
        <v>6</v>
      </c>
      <c r="N105" s="126" t="s">
        <v>692</v>
      </c>
      <c r="O105" s="131" t="s">
        <v>692</v>
      </c>
      <c r="P105" s="127"/>
    </row>
    <row r="106" spans="1:16" x14ac:dyDescent="0.25">
      <c r="A106" t="s">
        <v>108</v>
      </c>
      <c r="B106" s="117">
        <v>1874</v>
      </c>
      <c r="C106" s="117">
        <v>2005</v>
      </c>
      <c r="D106" s="141">
        <v>1721</v>
      </c>
      <c r="E106" s="117">
        <v>1914</v>
      </c>
      <c r="F106">
        <v>6.3</v>
      </c>
      <c r="G106" s="162">
        <v>3.34</v>
      </c>
      <c r="H106" s="164">
        <v>91853</v>
      </c>
      <c r="I106" s="161">
        <v>472088905</v>
      </c>
      <c r="J106"/>
      <c r="K106" s="125" t="s">
        <v>142</v>
      </c>
      <c r="L106" s="126" t="s">
        <v>692</v>
      </c>
      <c r="M106" s="127">
        <v>3</v>
      </c>
      <c r="N106" s="126" t="s">
        <v>692</v>
      </c>
      <c r="O106" s="131" t="s">
        <v>692</v>
      </c>
      <c r="P106" s="127"/>
    </row>
    <row r="107" spans="1:16" x14ac:dyDescent="0.25">
      <c r="A107" t="s">
        <v>109</v>
      </c>
      <c r="B107" s="117">
        <v>254</v>
      </c>
      <c r="C107" s="117">
        <v>333</v>
      </c>
      <c r="D107" s="141">
        <v>301</v>
      </c>
      <c r="E107" s="117">
        <v>299</v>
      </c>
      <c r="F107">
        <v>5.0999999999999996</v>
      </c>
      <c r="G107" s="162">
        <v>3.26</v>
      </c>
      <c r="H107" s="164">
        <v>79583</v>
      </c>
      <c r="I107" s="161">
        <v>56926497</v>
      </c>
      <c r="J107"/>
      <c r="K107" s="125" t="s">
        <v>143</v>
      </c>
      <c r="L107" s="126" t="s">
        <v>692</v>
      </c>
      <c r="M107" s="127">
        <v>0</v>
      </c>
      <c r="N107" s="126" t="s">
        <v>693</v>
      </c>
      <c r="O107" s="131" t="s">
        <v>692</v>
      </c>
      <c r="P107" s="127"/>
    </row>
    <row r="108" spans="1:16" x14ac:dyDescent="0.25">
      <c r="A108" t="s">
        <v>110</v>
      </c>
      <c r="B108" s="117">
        <v>204</v>
      </c>
      <c r="C108" s="117">
        <v>335</v>
      </c>
      <c r="D108" s="141">
        <v>137</v>
      </c>
      <c r="E108" s="117">
        <v>132</v>
      </c>
      <c r="F108">
        <v>25.1</v>
      </c>
      <c r="G108" s="162">
        <v>4.0599999999999996</v>
      </c>
      <c r="H108" s="164"/>
      <c r="I108" s="161">
        <v>12509062</v>
      </c>
      <c r="J108"/>
      <c r="K108" s="125" t="s">
        <v>144</v>
      </c>
      <c r="L108" s="126" t="s">
        <v>692</v>
      </c>
      <c r="M108" s="127">
        <v>3</v>
      </c>
      <c r="N108" s="126" t="s">
        <v>692</v>
      </c>
      <c r="O108" s="131" t="s">
        <v>692</v>
      </c>
      <c r="P108" s="127"/>
    </row>
    <row r="109" spans="1:16" x14ac:dyDescent="0.25">
      <c r="A109" t="s">
        <v>111</v>
      </c>
      <c r="B109" s="117">
        <v>2005</v>
      </c>
      <c r="C109" s="117">
        <v>1347</v>
      </c>
      <c r="D109" s="141">
        <v>1603</v>
      </c>
      <c r="E109" s="117">
        <v>1556</v>
      </c>
      <c r="F109">
        <v>50.8</v>
      </c>
      <c r="G109" s="162">
        <v>4.0599999999999996</v>
      </c>
      <c r="H109" s="164">
        <v>19853</v>
      </c>
      <c r="I109" s="161">
        <v>91510114</v>
      </c>
      <c r="J109"/>
      <c r="K109" s="125" t="s">
        <v>147</v>
      </c>
      <c r="L109" s="126" t="s">
        <v>692</v>
      </c>
      <c r="M109" s="127">
        <v>5</v>
      </c>
      <c r="N109" s="126" t="s">
        <v>692</v>
      </c>
      <c r="O109" s="131" t="s">
        <v>692</v>
      </c>
      <c r="P109" s="127"/>
    </row>
    <row r="110" spans="1:16" x14ac:dyDescent="0.25">
      <c r="A110" t="s">
        <v>112</v>
      </c>
      <c r="B110" s="117">
        <v>60998</v>
      </c>
      <c r="C110" s="117">
        <v>59889</v>
      </c>
      <c r="D110" s="141">
        <v>61802</v>
      </c>
      <c r="E110" s="117">
        <v>63288</v>
      </c>
      <c r="F110">
        <v>19.600000000000001</v>
      </c>
      <c r="G110" s="162">
        <v>3.13</v>
      </c>
      <c r="H110" s="164">
        <v>85825</v>
      </c>
      <c r="I110" s="161">
        <v>9652402388</v>
      </c>
      <c r="J110"/>
      <c r="K110" s="125" t="s">
        <v>149</v>
      </c>
      <c r="L110" s="126" t="s">
        <v>692</v>
      </c>
      <c r="M110" s="127">
        <v>3</v>
      </c>
      <c r="N110" s="126" t="s">
        <v>692</v>
      </c>
      <c r="O110" s="131" t="s">
        <v>692</v>
      </c>
      <c r="P110" s="127"/>
    </row>
    <row r="111" spans="1:16" x14ac:dyDescent="0.25">
      <c r="A111" t="s">
        <v>113</v>
      </c>
      <c r="B111" s="117">
        <v>857425</v>
      </c>
      <c r="C111" s="117">
        <v>886283</v>
      </c>
      <c r="D111" s="141">
        <v>869387</v>
      </c>
      <c r="E111" s="117">
        <v>911609</v>
      </c>
      <c r="F111">
        <v>11.7</v>
      </c>
      <c r="G111" s="162">
        <v>3.51</v>
      </c>
      <c r="H111" s="164">
        <v>78438</v>
      </c>
      <c r="I111" s="161">
        <v>220685561459</v>
      </c>
      <c r="J111"/>
      <c r="K111" s="125" t="s">
        <v>151</v>
      </c>
      <c r="L111" s="126" t="s">
        <v>693</v>
      </c>
      <c r="M111" s="127">
        <v>8</v>
      </c>
      <c r="N111" s="126" t="s">
        <v>692</v>
      </c>
      <c r="O111" s="131" t="s">
        <v>692</v>
      </c>
      <c r="P111" s="127"/>
    </row>
    <row r="112" spans="1:16" x14ac:dyDescent="0.25">
      <c r="A112" t="s">
        <v>114</v>
      </c>
      <c r="B112" s="117">
        <v>71338</v>
      </c>
      <c r="C112" s="117">
        <v>78319</v>
      </c>
      <c r="D112" s="141">
        <v>75325</v>
      </c>
      <c r="E112" s="117">
        <v>81248</v>
      </c>
      <c r="F112">
        <v>10.5</v>
      </c>
      <c r="G112" s="162">
        <v>3.06</v>
      </c>
      <c r="H112" s="164">
        <v>88534</v>
      </c>
      <c r="I112" s="161">
        <v>15071155717</v>
      </c>
      <c r="J112"/>
      <c r="K112" s="125" t="s">
        <v>152</v>
      </c>
      <c r="L112" s="126" t="s">
        <v>692</v>
      </c>
      <c r="M112" s="127">
        <v>5</v>
      </c>
      <c r="N112" s="126" t="s">
        <v>692</v>
      </c>
      <c r="O112" s="131" t="s">
        <v>692</v>
      </c>
      <c r="P112" s="127"/>
    </row>
    <row r="113" spans="1:16" x14ac:dyDescent="0.25">
      <c r="A113" t="s">
        <v>115</v>
      </c>
      <c r="B113" s="117">
        <v>27969</v>
      </c>
      <c r="C113" s="117">
        <v>29197</v>
      </c>
      <c r="D113" s="141">
        <v>28931</v>
      </c>
      <c r="E113" s="117">
        <v>29691</v>
      </c>
      <c r="F113">
        <v>14.6</v>
      </c>
      <c r="G113" s="162">
        <v>3.79</v>
      </c>
      <c r="H113" s="164">
        <v>51496</v>
      </c>
      <c r="I113" s="161">
        <v>4149104250</v>
      </c>
      <c r="J113"/>
      <c r="K113" s="125" t="s">
        <v>153</v>
      </c>
      <c r="L113" s="126" t="s">
        <v>693</v>
      </c>
      <c r="M113" s="127">
        <v>3</v>
      </c>
      <c r="N113" s="126" t="s">
        <v>692</v>
      </c>
      <c r="O113" s="131" t="s">
        <v>692</v>
      </c>
      <c r="P113" s="127"/>
    </row>
    <row r="114" spans="1:16" x14ac:dyDescent="0.25">
      <c r="A114" t="s">
        <v>116</v>
      </c>
      <c r="B114" s="117">
        <v>5956</v>
      </c>
      <c r="C114" s="117">
        <v>6154</v>
      </c>
      <c r="D114" s="141">
        <v>6068</v>
      </c>
      <c r="E114" s="117">
        <v>6327</v>
      </c>
      <c r="F114">
        <v>15</v>
      </c>
      <c r="G114" s="162">
        <v>3.51</v>
      </c>
      <c r="H114" s="164">
        <v>58701</v>
      </c>
      <c r="I114" s="161">
        <v>701320151</v>
      </c>
      <c r="J114"/>
      <c r="K114" s="125" t="s">
        <v>154</v>
      </c>
      <c r="L114" s="126" t="s">
        <v>692</v>
      </c>
      <c r="M114" s="127">
        <v>2</v>
      </c>
      <c r="N114" s="126" t="s">
        <v>692</v>
      </c>
      <c r="O114" s="131" t="s">
        <v>692</v>
      </c>
      <c r="P114" s="127"/>
    </row>
    <row r="115" spans="1:16" x14ac:dyDescent="0.25">
      <c r="A115" t="s">
        <v>117</v>
      </c>
      <c r="B115" s="117">
        <v>177</v>
      </c>
      <c r="C115" s="117">
        <v>131</v>
      </c>
      <c r="D115" s="141">
        <v>139</v>
      </c>
      <c r="E115" s="117">
        <v>147</v>
      </c>
      <c r="F115">
        <v>15.3</v>
      </c>
      <c r="G115" s="162">
        <v>4.08</v>
      </c>
      <c r="H115" s="164">
        <v>67656</v>
      </c>
      <c r="I115" s="161">
        <v>88126459</v>
      </c>
      <c r="J115"/>
      <c r="K115" s="125" t="s">
        <v>155</v>
      </c>
      <c r="L115" s="126" t="s">
        <v>692</v>
      </c>
      <c r="M115" s="127">
        <v>2</v>
      </c>
      <c r="N115" s="126" t="s">
        <v>692</v>
      </c>
      <c r="O115" s="131" t="s">
        <v>692</v>
      </c>
      <c r="P115" s="127"/>
    </row>
    <row r="116" spans="1:16" x14ac:dyDescent="0.25">
      <c r="A116" t="s">
        <v>118</v>
      </c>
      <c r="B116" s="117">
        <v>4189</v>
      </c>
      <c r="C116" s="117">
        <v>4487</v>
      </c>
      <c r="D116" s="141">
        <v>4396</v>
      </c>
      <c r="E116" s="117">
        <v>4656</v>
      </c>
      <c r="F116">
        <v>18.399999999999999</v>
      </c>
      <c r="G116" s="162">
        <v>3.43</v>
      </c>
      <c r="H116" s="164">
        <v>53717</v>
      </c>
      <c r="I116" s="161">
        <v>537852372</v>
      </c>
      <c r="J116"/>
      <c r="K116" s="125" t="s">
        <v>157</v>
      </c>
      <c r="L116" s="126" t="s">
        <v>692</v>
      </c>
      <c r="M116" s="127">
        <v>1</v>
      </c>
      <c r="N116" s="126" t="s">
        <v>692</v>
      </c>
      <c r="O116" s="131" t="s">
        <v>692</v>
      </c>
      <c r="P116" s="127"/>
    </row>
    <row r="117" spans="1:16" x14ac:dyDescent="0.25">
      <c r="A117" t="s">
        <v>119</v>
      </c>
      <c r="B117" s="117">
        <v>1089</v>
      </c>
      <c r="C117" s="117">
        <v>1090</v>
      </c>
      <c r="D117" s="141">
        <v>724</v>
      </c>
      <c r="E117" s="117">
        <v>741</v>
      </c>
      <c r="F117">
        <v>34.200000000000003</v>
      </c>
      <c r="G117" s="162">
        <v>3.97</v>
      </c>
      <c r="H117" s="164">
        <v>34141</v>
      </c>
      <c r="I117" s="161">
        <v>74996121</v>
      </c>
      <c r="J117"/>
      <c r="K117" s="125" t="s">
        <v>158</v>
      </c>
      <c r="L117" s="126" t="s">
        <v>692</v>
      </c>
      <c r="M117" s="127">
        <v>7</v>
      </c>
      <c r="N117" s="126" t="s">
        <v>692</v>
      </c>
      <c r="O117" s="131" t="s">
        <v>692</v>
      </c>
      <c r="P117" s="127"/>
    </row>
    <row r="118" spans="1:16" x14ac:dyDescent="0.25">
      <c r="A118" t="s">
        <v>120</v>
      </c>
      <c r="B118" s="117">
        <v>14097</v>
      </c>
      <c r="C118" s="117">
        <v>13814</v>
      </c>
      <c r="D118" s="141">
        <v>13744</v>
      </c>
      <c r="E118" s="117">
        <v>13710</v>
      </c>
      <c r="F118">
        <v>20.5</v>
      </c>
      <c r="G118" s="162">
        <v>3.39</v>
      </c>
      <c r="H118" s="164">
        <v>56982</v>
      </c>
      <c r="I118" s="161">
        <v>1942291221</v>
      </c>
      <c r="J118"/>
      <c r="K118" s="125" t="s">
        <v>160</v>
      </c>
      <c r="L118" s="126" t="s">
        <v>692</v>
      </c>
      <c r="M118" s="127">
        <v>1</v>
      </c>
      <c r="N118" s="126" t="s">
        <v>692</v>
      </c>
      <c r="O118" s="131" t="s">
        <v>692</v>
      </c>
      <c r="P118" s="127"/>
    </row>
    <row r="119" spans="1:16" x14ac:dyDescent="0.25">
      <c r="A119" t="s">
        <v>121</v>
      </c>
      <c r="B119" s="117">
        <v>1643</v>
      </c>
      <c r="C119" s="117">
        <v>2051</v>
      </c>
      <c r="D119" s="141">
        <v>1662</v>
      </c>
      <c r="E119" s="117">
        <v>1764</v>
      </c>
      <c r="F119">
        <v>11.1</v>
      </c>
      <c r="G119" s="162">
        <v>3.37</v>
      </c>
      <c r="H119" s="164">
        <v>59583</v>
      </c>
      <c r="I119" s="161">
        <v>783863320</v>
      </c>
      <c r="J119"/>
      <c r="K119" s="125" t="s">
        <v>161</v>
      </c>
      <c r="L119" s="126" t="s">
        <v>693</v>
      </c>
      <c r="M119" s="127">
        <v>3</v>
      </c>
      <c r="N119" s="126" t="s">
        <v>692</v>
      </c>
      <c r="O119" s="131" t="s">
        <v>692</v>
      </c>
      <c r="P119" s="127"/>
    </row>
    <row r="120" spans="1:16" x14ac:dyDescent="0.25">
      <c r="A120" t="s">
        <v>122</v>
      </c>
      <c r="B120" s="117">
        <v>819</v>
      </c>
      <c r="C120" s="117">
        <v>875</v>
      </c>
      <c r="D120" s="141">
        <v>629</v>
      </c>
      <c r="E120" s="117">
        <v>602</v>
      </c>
      <c r="F120">
        <v>48.2</v>
      </c>
      <c r="G120" s="162">
        <v>4.71</v>
      </c>
      <c r="H120" s="164"/>
      <c r="I120" s="161">
        <v>67993546</v>
      </c>
      <c r="J120"/>
      <c r="K120" s="125" t="s">
        <v>164</v>
      </c>
      <c r="L120" s="126" t="s">
        <v>692</v>
      </c>
      <c r="M120" s="127">
        <v>1</v>
      </c>
      <c r="N120" s="126" t="s">
        <v>692</v>
      </c>
      <c r="O120" s="131" t="s">
        <v>692</v>
      </c>
      <c r="P120" s="127"/>
    </row>
    <row r="121" spans="1:16" x14ac:dyDescent="0.25">
      <c r="A121" t="s">
        <v>123</v>
      </c>
      <c r="B121" s="117">
        <v>10946</v>
      </c>
      <c r="C121" s="117">
        <v>11391</v>
      </c>
      <c r="D121" s="141">
        <v>11185</v>
      </c>
      <c r="E121" s="117">
        <v>11725</v>
      </c>
      <c r="F121">
        <v>13.5</v>
      </c>
      <c r="G121" s="162">
        <v>3.39</v>
      </c>
      <c r="H121" s="164">
        <v>53645</v>
      </c>
      <c r="I121" s="161">
        <v>2164609469</v>
      </c>
      <c r="J121"/>
      <c r="K121" s="125" t="s">
        <v>166</v>
      </c>
      <c r="L121" s="126" t="s">
        <v>693</v>
      </c>
      <c r="M121" s="127">
        <v>1</v>
      </c>
      <c r="N121" s="126" t="s">
        <v>692</v>
      </c>
      <c r="O121" s="131" t="s">
        <v>692</v>
      </c>
      <c r="P121" s="127"/>
    </row>
    <row r="122" spans="1:16" x14ac:dyDescent="0.25">
      <c r="A122" t="s">
        <v>124</v>
      </c>
      <c r="B122" s="117">
        <v>21681</v>
      </c>
      <c r="C122" s="117">
        <v>28043</v>
      </c>
      <c r="D122" s="141">
        <v>24354</v>
      </c>
      <c r="E122" s="117">
        <v>30151</v>
      </c>
      <c r="F122">
        <v>8</v>
      </c>
      <c r="G122" s="162">
        <v>3.05</v>
      </c>
      <c r="H122" s="164">
        <v>73348</v>
      </c>
      <c r="I122" s="161">
        <v>3303845293</v>
      </c>
      <c r="J122"/>
      <c r="K122" s="125" t="s">
        <v>167</v>
      </c>
      <c r="L122" s="126" t="s">
        <v>692</v>
      </c>
      <c r="M122" s="127">
        <v>1</v>
      </c>
      <c r="N122" s="126" t="s">
        <v>692</v>
      </c>
      <c r="O122" s="131" t="s">
        <v>692</v>
      </c>
      <c r="P122" s="127"/>
    </row>
    <row r="123" spans="1:16" x14ac:dyDescent="0.25">
      <c r="A123" t="s">
        <v>125</v>
      </c>
      <c r="B123" s="117">
        <v>20313</v>
      </c>
      <c r="C123" s="117">
        <v>21574</v>
      </c>
      <c r="D123" s="141">
        <v>20984</v>
      </c>
      <c r="E123" s="117">
        <v>21495</v>
      </c>
      <c r="F123">
        <v>7.9</v>
      </c>
      <c r="G123" s="162">
        <v>3.67</v>
      </c>
      <c r="H123" s="164">
        <v>84326</v>
      </c>
      <c r="I123" s="161">
        <v>2749793964</v>
      </c>
      <c r="J123"/>
      <c r="K123" s="125" t="s">
        <v>168</v>
      </c>
      <c r="L123" s="126" t="s">
        <v>693</v>
      </c>
      <c r="M123" s="127">
        <v>2</v>
      </c>
      <c r="N123" s="126" t="s">
        <v>692</v>
      </c>
      <c r="O123" s="131" t="s">
        <v>692</v>
      </c>
      <c r="P123" s="127"/>
    </row>
    <row r="124" spans="1:16" x14ac:dyDescent="0.25">
      <c r="A124" t="s">
        <v>126</v>
      </c>
      <c r="B124" s="117">
        <v>97282</v>
      </c>
      <c r="C124" s="117">
        <v>100170</v>
      </c>
      <c r="D124" s="141">
        <v>98660</v>
      </c>
      <c r="E124" s="117">
        <v>100498</v>
      </c>
      <c r="F124">
        <v>17.2</v>
      </c>
      <c r="G124" s="162">
        <v>3.84</v>
      </c>
      <c r="H124" s="164">
        <v>55769</v>
      </c>
      <c r="I124" s="161">
        <v>11225098974</v>
      </c>
      <c r="J124"/>
      <c r="K124" s="125" t="s">
        <v>170</v>
      </c>
      <c r="L124" s="126" t="s">
        <v>692</v>
      </c>
      <c r="M124" s="127">
        <v>6</v>
      </c>
      <c r="N124" s="126" t="s">
        <v>692</v>
      </c>
      <c r="O124" s="131" t="s">
        <v>692</v>
      </c>
      <c r="P124" s="127"/>
    </row>
    <row r="125" spans="1:16" x14ac:dyDescent="0.25">
      <c r="A125" t="s">
        <v>128</v>
      </c>
      <c r="B125" s="117">
        <v>1191</v>
      </c>
      <c r="C125" s="117">
        <v>1053</v>
      </c>
      <c r="D125" s="141">
        <v>846</v>
      </c>
      <c r="E125" s="117">
        <v>876</v>
      </c>
      <c r="F125">
        <v>18.899999999999999</v>
      </c>
      <c r="G125" s="162">
        <v>3.43</v>
      </c>
      <c r="H125" s="164">
        <v>60063</v>
      </c>
      <c r="I125" s="161">
        <v>271311253</v>
      </c>
      <c r="J125"/>
      <c r="K125" s="125" t="s">
        <v>171</v>
      </c>
      <c r="L125" s="126" t="s">
        <v>692</v>
      </c>
      <c r="M125" s="127">
        <v>1</v>
      </c>
      <c r="N125" s="126" t="s">
        <v>692</v>
      </c>
      <c r="O125" s="131" t="s">
        <v>692</v>
      </c>
      <c r="P125" s="127"/>
    </row>
    <row r="126" spans="1:16" x14ac:dyDescent="0.25">
      <c r="A126" t="s">
        <v>130</v>
      </c>
      <c r="B126" s="117">
        <v>8504</v>
      </c>
      <c r="C126" s="117">
        <v>8336</v>
      </c>
      <c r="D126" s="141">
        <v>8397</v>
      </c>
      <c r="E126" s="117">
        <v>8540</v>
      </c>
      <c r="F126">
        <v>23.6</v>
      </c>
      <c r="G126" s="162">
        <v>3.89</v>
      </c>
      <c r="H126" s="164">
        <v>42344</v>
      </c>
      <c r="I126" s="161">
        <v>903149499</v>
      </c>
      <c r="J126"/>
      <c r="K126" s="125" t="s">
        <v>172</v>
      </c>
      <c r="L126" s="126" t="s">
        <v>692</v>
      </c>
      <c r="M126" s="127">
        <v>0</v>
      </c>
      <c r="N126" s="126" t="s">
        <v>692</v>
      </c>
      <c r="O126" s="131" t="s">
        <v>692</v>
      </c>
      <c r="P126" s="127"/>
    </row>
    <row r="127" spans="1:16" x14ac:dyDescent="0.25">
      <c r="A127" t="s">
        <v>131</v>
      </c>
      <c r="B127" s="117">
        <v>1160</v>
      </c>
      <c r="C127" s="117">
        <v>1522</v>
      </c>
      <c r="D127" s="141">
        <v>1359</v>
      </c>
      <c r="E127" s="117">
        <v>1422</v>
      </c>
      <c r="F127">
        <v>6.3</v>
      </c>
      <c r="G127" s="162">
        <v>3.16</v>
      </c>
      <c r="H127" s="164">
        <v>59315</v>
      </c>
      <c r="I127" s="161">
        <v>112828223</v>
      </c>
      <c r="J127"/>
      <c r="K127" s="125" t="s">
        <v>173</v>
      </c>
      <c r="L127" s="126" t="s">
        <v>692</v>
      </c>
      <c r="M127" s="127">
        <v>0</v>
      </c>
      <c r="N127" s="126" t="s">
        <v>692</v>
      </c>
      <c r="O127" s="131" t="s">
        <v>692</v>
      </c>
      <c r="P127" s="127"/>
    </row>
    <row r="128" spans="1:16" x14ac:dyDescent="0.25">
      <c r="A128" t="s">
        <v>132</v>
      </c>
      <c r="B128" s="117">
        <v>2418</v>
      </c>
      <c r="C128" s="117">
        <v>2029</v>
      </c>
      <c r="D128" s="141">
        <v>2155</v>
      </c>
      <c r="E128" s="117">
        <v>2224</v>
      </c>
      <c r="F128">
        <v>24.1</v>
      </c>
      <c r="G128" s="162">
        <v>3.76</v>
      </c>
      <c r="H128" s="164">
        <v>38098</v>
      </c>
      <c r="I128" s="161">
        <v>167296231</v>
      </c>
      <c r="J128"/>
      <c r="K128" s="125" t="s">
        <v>175</v>
      </c>
      <c r="L128" s="126" t="s">
        <v>693</v>
      </c>
      <c r="M128" s="127">
        <v>2</v>
      </c>
      <c r="N128" s="126" t="s">
        <v>692</v>
      </c>
      <c r="O128" s="131" t="s">
        <v>692</v>
      </c>
      <c r="P128" s="127"/>
    </row>
    <row r="129" spans="1:16" x14ac:dyDescent="0.25">
      <c r="A129" t="s">
        <v>133</v>
      </c>
      <c r="B129" s="117">
        <v>390</v>
      </c>
      <c r="C129" s="117">
        <v>284</v>
      </c>
      <c r="D129" s="141">
        <v>277</v>
      </c>
      <c r="E129" s="117">
        <v>259</v>
      </c>
      <c r="F129">
        <v>26.8</v>
      </c>
      <c r="G129" s="162">
        <v>4.16</v>
      </c>
      <c r="H129" s="164"/>
      <c r="I129" s="161">
        <v>30730028</v>
      </c>
      <c r="J129"/>
      <c r="K129" s="125" t="s">
        <v>176</v>
      </c>
      <c r="L129" s="126" t="s">
        <v>693</v>
      </c>
      <c r="M129" s="127">
        <v>5</v>
      </c>
      <c r="N129" s="126" t="s">
        <v>692</v>
      </c>
      <c r="O129" s="131" t="s">
        <v>692</v>
      </c>
      <c r="P129" s="127"/>
    </row>
    <row r="130" spans="1:16" x14ac:dyDescent="0.25">
      <c r="A130" t="s">
        <v>134</v>
      </c>
      <c r="B130" s="117">
        <v>302</v>
      </c>
      <c r="C130" s="117">
        <v>291</v>
      </c>
      <c r="D130" s="141">
        <v>215</v>
      </c>
      <c r="E130" s="117">
        <v>209</v>
      </c>
      <c r="F130">
        <v>10.4</v>
      </c>
      <c r="G130" s="162">
        <v>4.68</v>
      </c>
      <c r="H130" s="164">
        <v>92917</v>
      </c>
      <c r="I130" s="161">
        <v>15380775</v>
      </c>
      <c r="J130"/>
      <c r="K130" s="125" t="s">
        <v>178</v>
      </c>
      <c r="L130" s="126" t="s">
        <v>693</v>
      </c>
      <c r="M130" s="127">
        <v>7</v>
      </c>
      <c r="N130" s="126" t="s">
        <v>692</v>
      </c>
      <c r="O130" s="131" t="s">
        <v>692</v>
      </c>
      <c r="P130" s="127"/>
    </row>
    <row r="131" spans="1:16" x14ac:dyDescent="0.25">
      <c r="A131" t="s">
        <v>135</v>
      </c>
      <c r="B131" s="117">
        <v>789</v>
      </c>
      <c r="C131" s="117">
        <v>674</v>
      </c>
      <c r="D131" s="141">
        <v>650</v>
      </c>
      <c r="E131" s="117">
        <v>596</v>
      </c>
      <c r="F131">
        <v>35.299999999999997</v>
      </c>
      <c r="G131" s="162">
        <v>5.7</v>
      </c>
      <c r="H131" s="164">
        <v>21118</v>
      </c>
      <c r="I131" s="161">
        <v>54485231</v>
      </c>
      <c r="J131"/>
      <c r="K131" s="128" t="s">
        <v>810</v>
      </c>
      <c r="L131" s="126" t="s">
        <v>692</v>
      </c>
      <c r="M131" s="127">
        <v>0</v>
      </c>
      <c r="N131" s="126" t="s">
        <v>692</v>
      </c>
      <c r="O131" s="131" t="s">
        <v>692</v>
      </c>
      <c r="P131" s="127"/>
    </row>
    <row r="132" spans="1:16" x14ac:dyDescent="0.25">
      <c r="A132" t="s">
        <v>136</v>
      </c>
      <c r="B132" s="117">
        <v>56068</v>
      </c>
      <c r="C132" s="117">
        <v>50453</v>
      </c>
      <c r="D132" s="141">
        <v>51536</v>
      </c>
      <c r="E132" s="117">
        <v>50389</v>
      </c>
      <c r="F132">
        <v>18.8</v>
      </c>
      <c r="G132" s="162">
        <v>4.0599999999999996</v>
      </c>
      <c r="H132" s="164">
        <v>48184</v>
      </c>
      <c r="I132" s="161">
        <v>4412842620</v>
      </c>
      <c r="J132"/>
      <c r="K132" s="125" t="s">
        <v>179</v>
      </c>
      <c r="L132" s="126" t="s">
        <v>692</v>
      </c>
      <c r="M132" s="127">
        <v>5</v>
      </c>
      <c r="N132" s="126" t="s">
        <v>692</v>
      </c>
      <c r="O132" s="131" t="s">
        <v>692</v>
      </c>
      <c r="P132" s="127"/>
    </row>
    <row r="133" spans="1:16" x14ac:dyDescent="0.25">
      <c r="A133" t="s">
        <v>137</v>
      </c>
      <c r="B133" s="117">
        <v>1167</v>
      </c>
      <c r="C133" s="117">
        <v>1166</v>
      </c>
      <c r="D133" s="141">
        <v>1060</v>
      </c>
      <c r="E133" s="117">
        <v>1079</v>
      </c>
      <c r="F133">
        <v>15.2</v>
      </c>
      <c r="G133" s="162">
        <v>3.14</v>
      </c>
      <c r="H133" s="164">
        <v>56083</v>
      </c>
      <c r="I133" s="161">
        <v>153349797</v>
      </c>
      <c r="J133"/>
      <c r="K133" s="125" t="s">
        <v>180</v>
      </c>
      <c r="L133" s="126" t="s">
        <v>693</v>
      </c>
      <c r="M133" s="127">
        <v>12</v>
      </c>
      <c r="N133" s="126" t="s">
        <v>692</v>
      </c>
      <c r="O133" s="131" t="s">
        <v>692</v>
      </c>
      <c r="P133" s="127"/>
    </row>
    <row r="134" spans="1:16" x14ac:dyDescent="0.25">
      <c r="A134" t="s">
        <v>138</v>
      </c>
      <c r="B134" s="117">
        <v>104</v>
      </c>
      <c r="C134" s="117">
        <v>64</v>
      </c>
      <c r="D134" s="141">
        <v>70</v>
      </c>
      <c r="E134" s="117">
        <v>62</v>
      </c>
      <c r="F134">
        <v>3.1</v>
      </c>
      <c r="G134" s="162">
        <v>4.16</v>
      </c>
      <c r="H134" s="164">
        <v>44583</v>
      </c>
      <c r="I134" s="161">
        <v>5891812</v>
      </c>
      <c r="J134"/>
      <c r="K134" s="125" t="s">
        <v>181</v>
      </c>
      <c r="L134" s="126" t="s">
        <v>693</v>
      </c>
      <c r="M134" s="127">
        <v>6</v>
      </c>
      <c r="N134" s="126" t="s">
        <v>692</v>
      </c>
      <c r="O134" s="131" t="s">
        <v>692</v>
      </c>
      <c r="P134" s="127"/>
    </row>
    <row r="135" spans="1:16" x14ac:dyDescent="0.25">
      <c r="A135" t="s">
        <v>139</v>
      </c>
      <c r="B135" s="117">
        <v>91980</v>
      </c>
      <c r="C135" s="117">
        <v>106518</v>
      </c>
      <c r="D135" s="141">
        <v>102805</v>
      </c>
      <c r="E135" s="117">
        <v>113369</v>
      </c>
      <c r="F135">
        <v>8.6</v>
      </c>
      <c r="G135" s="162">
        <v>3.27</v>
      </c>
      <c r="H135" s="164">
        <v>84752</v>
      </c>
      <c r="I135" s="161">
        <v>16063580717</v>
      </c>
      <c r="J135"/>
      <c r="K135" s="125" t="s">
        <v>182</v>
      </c>
      <c r="L135" s="126" t="s">
        <v>692</v>
      </c>
      <c r="M135" s="127">
        <v>0</v>
      </c>
      <c r="N135" s="126" t="s">
        <v>692</v>
      </c>
      <c r="O135" s="131" t="s">
        <v>692</v>
      </c>
      <c r="P135" s="127"/>
    </row>
    <row r="136" spans="1:16" x14ac:dyDescent="0.25">
      <c r="A136" t="s">
        <v>140</v>
      </c>
      <c r="B136" s="117">
        <v>249</v>
      </c>
      <c r="C136" s="117">
        <v>562</v>
      </c>
      <c r="D136" s="141">
        <v>203</v>
      </c>
      <c r="E136" s="117">
        <v>198</v>
      </c>
      <c r="F136">
        <v>73</v>
      </c>
      <c r="G136" s="162">
        <v>5.47</v>
      </c>
      <c r="H136" s="164">
        <v>38955</v>
      </c>
      <c r="I136" s="161">
        <v>12313008</v>
      </c>
      <c r="J136"/>
      <c r="K136" s="125" t="s">
        <v>183</v>
      </c>
      <c r="L136" s="126" t="s">
        <v>693</v>
      </c>
      <c r="M136" s="127">
        <v>4</v>
      </c>
      <c r="N136" s="126" t="s">
        <v>692</v>
      </c>
      <c r="O136" s="131" t="s">
        <v>692</v>
      </c>
      <c r="P136" s="127"/>
    </row>
    <row r="137" spans="1:16" x14ac:dyDescent="0.25">
      <c r="A137" t="s">
        <v>141</v>
      </c>
      <c r="B137" s="117">
        <v>1784</v>
      </c>
      <c r="C137" s="117">
        <v>2342</v>
      </c>
      <c r="D137" s="141">
        <v>1542</v>
      </c>
      <c r="E137" s="117">
        <v>1567</v>
      </c>
      <c r="F137">
        <v>8.9</v>
      </c>
      <c r="G137" s="162">
        <v>3.29</v>
      </c>
      <c r="H137" s="164">
        <v>66643</v>
      </c>
      <c r="I137" s="161">
        <v>181372000</v>
      </c>
      <c r="J137"/>
      <c r="K137" s="125" t="s">
        <v>184</v>
      </c>
      <c r="L137" s="126" t="s">
        <v>692</v>
      </c>
      <c r="M137" s="127">
        <v>5</v>
      </c>
      <c r="N137" s="126" t="s">
        <v>692</v>
      </c>
      <c r="O137" s="131" t="s">
        <v>692</v>
      </c>
      <c r="P137" s="127"/>
    </row>
    <row r="138" spans="1:16" x14ac:dyDescent="0.25">
      <c r="A138" t="s">
        <v>142</v>
      </c>
      <c r="B138" s="117">
        <v>8452</v>
      </c>
      <c r="C138" s="117">
        <v>8491</v>
      </c>
      <c r="D138" s="141">
        <v>8376</v>
      </c>
      <c r="E138" s="117">
        <v>8719</v>
      </c>
      <c r="F138">
        <v>12.4</v>
      </c>
      <c r="G138" s="162">
        <v>3.37</v>
      </c>
      <c r="H138" s="164">
        <v>57375</v>
      </c>
      <c r="I138" s="161">
        <v>1988988600</v>
      </c>
      <c r="J138"/>
      <c r="K138" s="125" t="s">
        <v>185</v>
      </c>
      <c r="L138" s="126" t="s">
        <v>692</v>
      </c>
      <c r="M138" s="127">
        <v>2</v>
      </c>
      <c r="N138" s="126" t="s">
        <v>692</v>
      </c>
      <c r="O138" s="131" t="s">
        <v>692</v>
      </c>
      <c r="P138" s="127"/>
    </row>
    <row r="139" spans="1:16" x14ac:dyDescent="0.25">
      <c r="A139" t="s">
        <v>144</v>
      </c>
      <c r="B139" s="117">
        <v>745</v>
      </c>
      <c r="C139" s="117">
        <v>730</v>
      </c>
      <c r="D139" s="141">
        <v>767</v>
      </c>
      <c r="E139" s="117">
        <v>711</v>
      </c>
      <c r="F139">
        <v>30.9</v>
      </c>
      <c r="G139" s="162">
        <v>4.67</v>
      </c>
      <c r="H139" s="164">
        <v>40089</v>
      </c>
      <c r="I139" s="161">
        <v>63832656</v>
      </c>
      <c r="J139"/>
      <c r="K139" s="125" t="s">
        <v>186</v>
      </c>
      <c r="L139" s="126" t="s">
        <v>692</v>
      </c>
      <c r="M139" s="127">
        <v>2</v>
      </c>
      <c r="N139" s="126" t="s">
        <v>692</v>
      </c>
      <c r="O139" s="131" t="s">
        <v>692</v>
      </c>
      <c r="P139" s="127"/>
    </row>
    <row r="140" spans="1:16" x14ac:dyDescent="0.25">
      <c r="A140" t="s">
        <v>145</v>
      </c>
      <c r="B140" s="117">
        <v>1040</v>
      </c>
      <c r="C140" s="117">
        <v>984</v>
      </c>
      <c r="D140" s="141">
        <v>940</v>
      </c>
      <c r="E140" s="117">
        <v>949</v>
      </c>
      <c r="F140">
        <v>11.1</v>
      </c>
      <c r="G140" s="162">
        <v>3.18</v>
      </c>
      <c r="H140" s="164">
        <v>49135</v>
      </c>
      <c r="I140" s="161">
        <v>42707132</v>
      </c>
      <c r="J140"/>
      <c r="K140" s="125" t="s">
        <v>187</v>
      </c>
      <c r="L140" s="126" t="s">
        <v>693</v>
      </c>
      <c r="M140" s="127">
        <v>9</v>
      </c>
      <c r="N140" s="126" t="s">
        <v>692</v>
      </c>
      <c r="O140" s="131" t="s">
        <v>692</v>
      </c>
      <c r="P140" s="127"/>
    </row>
    <row r="141" spans="1:16" x14ac:dyDescent="0.25">
      <c r="A141" t="s">
        <v>146</v>
      </c>
      <c r="B141" s="117">
        <v>29256</v>
      </c>
      <c r="C141" s="117">
        <v>32009</v>
      </c>
      <c r="D141" s="141">
        <v>31290</v>
      </c>
      <c r="E141" s="117">
        <v>31792</v>
      </c>
      <c r="F141">
        <v>4.4000000000000004</v>
      </c>
      <c r="G141" s="162">
        <v>3.51</v>
      </c>
      <c r="H141" s="164">
        <v>114688</v>
      </c>
      <c r="I141" s="161">
        <v>11500962668</v>
      </c>
      <c r="J141"/>
      <c r="K141" s="125" t="s">
        <v>188</v>
      </c>
      <c r="L141" s="126" t="s">
        <v>693</v>
      </c>
      <c r="M141" s="127">
        <v>7</v>
      </c>
      <c r="N141" s="126" t="s">
        <v>692</v>
      </c>
      <c r="O141" s="131" t="s">
        <v>692</v>
      </c>
      <c r="P141" s="127"/>
    </row>
    <row r="142" spans="1:16" x14ac:dyDescent="0.25">
      <c r="A142" t="s">
        <v>147</v>
      </c>
      <c r="B142" s="117">
        <v>449</v>
      </c>
      <c r="C142" s="117">
        <v>583</v>
      </c>
      <c r="D142" s="141">
        <v>375</v>
      </c>
      <c r="E142" s="117">
        <v>384</v>
      </c>
      <c r="F142">
        <v>8.6999999999999993</v>
      </c>
      <c r="G142" s="162">
        <v>3.63</v>
      </c>
      <c r="H142" s="164">
        <v>50893</v>
      </c>
      <c r="I142" s="161">
        <v>29823916</v>
      </c>
      <c r="J142"/>
      <c r="K142" s="125" t="s">
        <v>189</v>
      </c>
      <c r="L142" s="126" t="s">
        <v>692</v>
      </c>
      <c r="M142" s="127">
        <v>0</v>
      </c>
      <c r="N142" s="126" t="s">
        <v>692</v>
      </c>
      <c r="O142" s="131" t="s">
        <v>692</v>
      </c>
      <c r="P142" s="127"/>
    </row>
    <row r="143" spans="1:16" x14ac:dyDescent="0.25">
      <c r="A143" t="s">
        <v>148</v>
      </c>
      <c r="B143" s="117">
        <v>4359</v>
      </c>
      <c r="C143" s="117">
        <v>5376</v>
      </c>
      <c r="D143" s="141">
        <v>5006</v>
      </c>
      <c r="E143" s="117">
        <v>5731</v>
      </c>
      <c r="F143">
        <v>3.8</v>
      </c>
      <c r="G143" s="162">
        <v>3.51</v>
      </c>
      <c r="H143" s="164">
        <v>94390</v>
      </c>
      <c r="I143" s="161">
        <v>1156643406</v>
      </c>
      <c r="J143"/>
      <c r="K143" s="125" t="s">
        <v>191</v>
      </c>
      <c r="L143" s="126" t="s">
        <v>693</v>
      </c>
      <c r="M143" s="127">
        <v>5</v>
      </c>
      <c r="N143" s="126" t="s">
        <v>692</v>
      </c>
      <c r="O143" s="131" t="s">
        <v>692</v>
      </c>
      <c r="P143" s="127"/>
    </row>
    <row r="144" spans="1:16" x14ac:dyDescent="0.25">
      <c r="A144" t="s">
        <v>149</v>
      </c>
      <c r="B144" s="117">
        <v>102491</v>
      </c>
      <c r="C144" s="117">
        <v>101074</v>
      </c>
      <c r="D144" s="141">
        <v>101167</v>
      </c>
      <c r="E144" s="117">
        <v>103605</v>
      </c>
      <c r="F144">
        <v>13.9</v>
      </c>
      <c r="G144" s="162">
        <v>3.63</v>
      </c>
      <c r="H144" s="164">
        <v>64635</v>
      </c>
      <c r="I144" s="161">
        <v>14076143740</v>
      </c>
      <c r="J144"/>
      <c r="K144" s="125" t="s">
        <v>192</v>
      </c>
      <c r="L144" s="126" t="s">
        <v>693</v>
      </c>
      <c r="M144" s="127">
        <v>0</v>
      </c>
      <c r="N144" s="126" t="s">
        <v>692</v>
      </c>
      <c r="O144" s="131" t="s">
        <v>692</v>
      </c>
      <c r="P144" s="127"/>
    </row>
    <row r="145" spans="1:16" x14ac:dyDescent="0.25">
      <c r="A145" t="s">
        <v>150</v>
      </c>
      <c r="B145" s="117">
        <v>4501</v>
      </c>
      <c r="C145" s="117">
        <v>4957</v>
      </c>
      <c r="D145" s="141">
        <v>4835</v>
      </c>
      <c r="E145" s="117">
        <v>5105</v>
      </c>
      <c r="F145">
        <v>12.2</v>
      </c>
      <c r="G145" s="162">
        <v>3.41</v>
      </c>
      <c r="H145" s="164">
        <v>77799</v>
      </c>
      <c r="I145" s="161">
        <v>382475656</v>
      </c>
      <c r="J145"/>
      <c r="K145" s="125" t="s">
        <v>194</v>
      </c>
      <c r="L145" s="126" t="s">
        <v>693</v>
      </c>
      <c r="M145" s="127">
        <v>7</v>
      </c>
      <c r="N145" s="126" t="s">
        <v>692</v>
      </c>
      <c r="O145" s="131" t="s">
        <v>693</v>
      </c>
      <c r="P145" s="127"/>
    </row>
    <row r="146" spans="1:16" x14ac:dyDescent="0.25">
      <c r="A146" t="s">
        <v>151</v>
      </c>
      <c r="B146" s="117">
        <v>189</v>
      </c>
      <c r="C146" s="117">
        <v>205</v>
      </c>
      <c r="D146" s="141">
        <v>212</v>
      </c>
      <c r="E146" s="117">
        <v>199</v>
      </c>
      <c r="F146">
        <v>31.2</v>
      </c>
      <c r="G146" s="162">
        <v>4.99</v>
      </c>
      <c r="H146" s="164">
        <v>34028</v>
      </c>
      <c r="I146" s="161">
        <v>23854121</v>
      </c>
      <c r="J146"/>
      <c r="K146" s="125" t="s">
        <v>195</v>
      </c>
      <c r="L146" s="126" t="s">
        <v>693</v>
      </c>
      <c r="M146" s="127">
        <v>3</v>
      </c>
      <c r="N146" s="126" t="s">
        <v>692</v>
      </c>
      <c r="O146" s="131" t="s">
        <v>692</v>
      </c>
      <c r="P146" s="127"/>
    </row>
    <row r="147" spans="1:16" x14ac:dyDescent="0.25">
      <c r="A147" t="s">
        <v>152</v>
      </c>
      <c r="B147" s="117">
        <v>131</v>
      </c>
      <c r="C147" s="117">
        <v>129</v>
      </c>
      <c r="D147" s="141">
        <v>257</v>
      </c>
      <c r="E147" s="117">
        <v>251</v>
      </c>
      <c r="F147">
        <v>0</v>
      </c>
      <c r="G147" s="162">
        <v>3.27</v>
      </c>
      <c r="H147" s="164">
        <v>107292</v>
      </c>
      <c r="I147" s="161">
        <v>14961535</v>
      </c>
      <c r="J147"/>
      <c r="K147" s="125" t="s">
        <v>196</v>
      </c>
      <c r="L147" s="126" t="s">
        <v>693</v>
      </c>
      <c r="M147" s="127">
        <v>3</v>
      </c>
      <c r="N147" s="126" t="s">
        <v>692</v>
      </c>
      <c r="O147" s="131" t="s">
        <v>692</v>
      </c>
      <c r="P147" s="127"/>
    </row>
    <row r="148" spans="1:16" x14ac:dyDescent="0.25">
      <c r="A148" t="s">
        <v>153</v>
      </c>
      <c r="B148" s="117">
        <v>332861</v>
      </c>
      <c r="C148" s="117">
        <v>336749</v>
      </c>
      <c r="D148" s="141">
        <v>334641</v>
      </c>
      <c r="E148" s="117">
        <v>337970</v>
      </c>
      <c r="F148">
        <v>17.2</v>
      </c>
      <c r="G148" s="162">
        <v>4.46</v>
      </c>
      <c r="H148" s="164">
        <v>58780</v>
      </c>
      <c r="I148" s="161">
        <v>25438232946</v>
      </c>
      <c r="J148"/>
      <c r="K148" s="125" t="s">
        <v>197</v>
      </c>
      <c r="L148" s="126" t="s">
        <v>693</v>
      </c>
      <c r="M148" s="127">
        <v>10</v>
      </c>
      <c r="N148" s="126" t="s">
        <v>692</v>
      </c>
      <c r="O148" s="131" t="s">
        <v>692</v>
      </c>
      <c r="P148" s="127"/>
    </row>
    <row r="149" spans="1:16" x14ac:dyDescent="0.25">
      <c r="A149" t="s">
        <v>154</v>
      </c>
      <c r="B149" s="117">
        <v>26363</v>
      </c>
      <c r="C149" s="117">
        <v>29612</v>
      </c>
      <c r="D149" s="141">
        <v>27324</v>
      </c>
      <c r="E149" s="117">
        <v>31396</v>
      </c>
      <c r="F149">
        <v>7.6</v>
      </c>
      <c r="G149" s="162">
        <v>2.95</v>
      </c>
      <c r="H149" s="164">
        <v>91548</v>
      </c>
      <c r="I149" s="161">
        <v>8654201399</v>
      </c>
      <c r="J149"/>
      <c r="K149" s="125" t="s">
        <v>199</v>
      </c>
      <c r="L149" s="126" t="s">
        <v>692</v>
      </c>
      <c r="M149" s="127">
        <v>4</v>
      </c>
      <c r="N149" s="126" t="s">
        <v>692</v>
      </c>
      <c r="O149" s="131" t="s">
        <v>692</v>
      </c>
      <c r="P149" s="127"/>
    </row>
    <row r="150" spans="1:16" x14ac:dyDescent="0.25">
      <c r="A150" t="s">
        <v>155</v>
      </c>
      <c r="B150" s="117">
        <v>4696</v>
      </c>
      <c r="C150" s="117">
        <v>6012</v>
      </c>
      <c r="D150" s="141">
        <v>5778</v>
      </c>
      <c r="E150" s="117">
        <v>6252</v>
      </c>
      <c r="F150">
        <v>8.8000000000000007</v>
      </c>
      <c r="G150" s="162">
        <v>3.51</v>
      </c>
      <c r="H150" s="164">
        <v>57755</v>
      </c>
      <c r="I150" s="161">
        <v>557068264</v>
      </c>
      <c r="J150"/>
      <c r="K150" s="125" t="s">
        <v>200</v>
      </c>
      <c r="L150" s="126" t="s">
        <v>692</v>
      </c>
      <c r="M150" s="127">
        <v>1</v>
      </c>
      <c r="N150" s="126" t="s">
        <v>692</v>
      </c>
      <c r="O150" s="131" t="s">
        <v>692</v>
      </c>
      <c r="P150" s="127"/>
    </row>
    <row r="151" spans="1:16" x14ac:dyDescent="0.25">
      <c r="A151" t="s">
        <v>156</v>
      </c>
      <c r="B151" s="117">
        <v>164</v>
      </c>
      <c r="C151" s="117">
        <v>234</v>
      </c>
      <c r="D151" s="141">
        <v>189</v>
      </c>
      <c r="E151" s="117">
        <v>186</v>
      </c>
      <c r="F151">
        <v>0.6</v>
      </c>
      <c r="G151" s="162">
        <v>3.22</v>
      </c>
      <c r="H151" s="164">
        <v>81442</v>
      </c>
      <c r="I151" s="161">
        <v>12828072</v>
      </c>
      <c r="J151"/>
      <c r="K151" s="125" t="s">
        <v>201</v>
      </c>
      <c r="L151" s="126" t="s">
        <v>692</v>
      </c>
      <c r="M151" s="127">
        <v>6</v>
      </c>
      <c r="N151" s="126" t="s">
        <v>692</v>
      </c>
      <c r="O151" s="131" t="s">
        <v>692</v>
      </c>
      <c r="P151" s="127"/>
    </row>
    <row r="152" spans="1:16" x14ac:dyDescent="0.25">
      <c r="A152" t="s">
        <v>157</v>
      </c>
      <c r="B152" s="117">
        <v>36222</v>
      </c>
      <c r="C152" s="117">
        <v>37534</v>
      </c>
      <c r="D152" s="141">
        <v>36591</v>
      </c>
      <c r="E152" s="117">
        <v>38019</v>
      </c>
      <c r="F152">
        <v>7.5</v>
      </c>
      <c r="G152" s="162">
        <v>4.16</v>
      </c>
      <c r="H152" s="164">
        <v>81214</v>
      </c>
      <c r="I152" s="161">
        <v>17524247869</v>
      </c>
      <c r="J152"/>
      <c r="K152" s="125" t="s">
        <v>203</v>
      </c>
      <c r="L152" s="126" t="s">
        <v>692</v>
      </c>
      <c r="M152" s="127">
        <v>7</v>
      </c>
      <c r="N152" s="126" t="s">
        <v>692</v>
      </c>
      <c r="O152" s="131" t="s">
        <v>692</v>
      </c>
      <c r="P152" s="127"/>
    </row>
    <row r="153" spans="1:16" x14ac:dyDescent="0.25">
      <c r="A153" t="s">
        <v>158</v>
      </c>
      <c r="B153" s="117">
        <v>165381</v>
      </c>
      <c r="C153" s="117">
        <v>171063</v>
      </c>
      <c r="D153" s="141">
        <v>168099</v>
      </c>
      <c r="E153" s="117">
        <v>176388</v>
      </c>
      <c r="F153">
        <v>13.8</v>
      </c>
      <c r="G153" s="162">
        <v>3.47</v>
      </c>
      <c r="H153" s="164">
        <v>62426</v>
      </c>
      <c r="I153" s="161">
        <v>18664931196</v>
      </c>
      <c r="J153"/>
      <c r="K153" s="125" t="s">
        <v>204</v>
      </c>
      <c r="L153" s="126" t="s">
        <v>693</v>
      </c>
      <c r="M153" s="127">
        <v>2</v>
      </c>
      <c r="N153" s="126" t="s">
        <v>692</v>
      </c>
      <c r="O153" s="131" t="s">
        <v>692</v>
      </c>
      <c r="P153" s="127"/>
    </row>
    <row r="154" spans="1:16" x14ac:dyDescent="0.25">
      <c r="A154" t="s">
        <v>159</v>
      </c>
      <c r="B154" s="117">
        <v>12735</v>
      </c>
      <c r="C154" s="117">
        <v>14852</v>
      </c>
      <c r="D154" s="141">
        <v>14847</v>
      </c>
      <c r="E154" s="117">
        <v>15826</v>
      </c>
      <c r="F154">
        <v>7</v>
      </c>
      <c r="G154" s="162">
        <v>3.36</v>
      </c>
      <c r="H154" s="164">
        <v>152969</v>
      </c>
      <c r="I154" s="161">
        <v>4405595346</v>
      </c>
      <c r="J154"/>
      <c r="K154" s="128" t="s">
        <v>811</v>
      </c>
      <c r="L154" s="126" t="s">
        <v>692</v>
      </c>
      <c r="M154" s="127">
        <v>3</v>
      </c>
      <c r="N154" s="126" t="s">
        <v>692</v>
      </c>
      <c r="O154" s="131" t="s">
        <v>692</v>
      </c>
      <c r="P154" s="127"/>
    </row>
    <row r="155" spans="1:16" x14ac:dyDescent="0.25">
      <c r="A155" t="s">
        <v>160</v>
      </c>
      <c r="B155" s="117">
        <v>42257</v>
      </c>
      <c r="C155" s="117">
        <v>43526</v>
      </c>
      <c r="D155" s="141">
        <v>42333</v>
      </c>
      <c r="E155" s="117">
        <v>44249</v>
      </c>
      <c r="F155">
        <v>10</v>
      </c>
      <c r="G155" s="162">
        <v>3.18</v>
      </c>
      <c r="H155" s="164">
        <v>73234</v>
      </c>
      <c r="I155" s="161">
        <v>5725407239</v>
      </c>
      <c r="J155"/>
      <c r="K155" s="125" t="s">
        <v>206</v>
      </c>
      <c r="L155" s="126" t="s">
        <v>692</v>
      </c>
      <c r="M155" s="127">
        <v>2</v>
      </c>
      <c r="N155" s="126" t="s">
        <v>692</v>
      </c>
      <c r="O155" s="131" t="s">
        <v>692</v>
      </c>
      <c r="P155" s="127"/>
    </row>
    <row r="156" spans="1:16" x14ac:dyDescent="0.25">
      <c r="A156" t="s">
        <v>161</v>
      </c>
      <c r="B156" s="117">
        <v>1660</v>
      </c>
      <c r="C156" s="117">
        <v>1271</v>
      </c>
      <c r="D156" s="141">
        <v>1502</v>
      </c>
      <c r="E156" s="117">
        <v>1557</v>
      </c>
      <c r="F156">
        <v>15.1</v>
      </c>
      <c r="G156" s="162">
        <v>3.47</v>
      </c>
      <c r="H156" s="164">
        <v>46061</v>
      </c>
      <c r="I156" s="161">
        <v>161213860</v>
      </c>
      <c r="J156"/>
      <c r="K156" s="125" t="s">
        <v>209</v>
      </c>
      <c r="L156" s="126" t="s">
        <v>692</v>
      </c>
      <c r="M156" s="127">
        <v>3</v>
      </c>
      <c r="N156" s="126" t="s">
        <v>692</v>
      </c>
      <c r="O156" s="131" t="s">
        <v>692</v>
      </c>
      <c r="P156" s="127"/>
    </row>
    <row r="157" spans="1:16" x14ac:dyDescent="0.25">
      <c r="A157" t="s">
        <v>162</v>
      </c>
      <c r="B157" s="117">
        <v>213</v>
      </c>
      <c r="C157" s="117">
        <v>215</v>
      </c>
      <c r="D157" s="141">
        <v>215</v>
      </c>
      <c r="E157" s="117">
        <v>205</v>
      </c>
      <c r="F157">
        <v>18.600000000000001</v>
      </c>
      <c r="G157" s="162">
        <v>3.57</v>
      </c>
      <c r="H157" s="164">
        <v>45833</v>
      </c>
      <c r="I157" s="161">
        <v>53999258</v>
      </c>
      <c r="J157"/>
      <c r="K157" s="125" t="s">
        <v>210</v>
      </c>
      <c r="L157" s="126" t="s">
        <v>692</v>
      </c>
      <c r="M157" s="127">
        <v>3</v>
      </c>
      <c r="N157" s="126" t="s">
        <v>692</v>
      </c>
      <c r="O157" s="131" t="s">
        <v>692</v>
      </c>
      <c r="P157" s="127"/>
    </row>
    <row r="158" spans="1:16" x14ac:dyDescent="0.25">
      <c r="A158" t="s">
        <v>163</v>
      </c>
      <c r="B158" s="117">
        <v>874</v>
      </c>
      <c r="C158" s="117">
        <v>711</v>
      </c>
      <c r="D158" s="141">
        <v>698</v>
      </c>
      <c r="E158" s="117">
        <v>944</v>
      </c>
      <c r="F158">
        <v>40.200000000000003</v>
      </c>
      <c r="G158" s="162">
        <v>3.87</v>
      </c>
      <c r="H158" s="164">
        <v>21389</v>
      </c>
      <c r="I158" s="161">
        <v>21644839</v>
      </c>
      <c r="J158"/>
      <c r="K158" s="125" t="s">
        <v>212</v>
      </c>
      <c r="L158" s="126" t="s">
        <v>692</v>
      </c>
      <c r="M158" s="127">
        <v>1</v>
      </c>
      <c r="N158" s="126" t="s">
        <v>692</v>
      </c>
      <c r="O158" s="131" t="s">
        <v>692</v>
      </c>
      <c r="P158" s="127"/>
    </row>
    <row r="159" spans="1:16" x14ac:dyDescent="0.25">
      <c r="A159" t="s">
        <v>164</v>
      </c>
      <c r="B159" s="117">
        <v>1646</v>
      </c>
      <c r="C159" s="117">
        <v>1521</v>
      </c>
      <c r="D159" s="141">
        <v>1467</v>
      </c>
      <c r="E159" s="117">
        <v>1550</v>
      </c>
      <c r="F159">
        <v>16.100000000000001</v>
      </c>
      <c r="G159" s="162">
        <v>3.23</v>
      </c>
      <c r="H159" s="164">
        <v>44531</v>
      </c>
      <c r="I159" s="161">
        <v>204387507</v>
      </c>
      <c r="J159"/>
      <c r="K159" s="125" t="s">
        <v>214</v>
      </c>
      <c r="L159" s="126" t="s">
        <v>693</v>
      </c>
      <c r="M159" s="127">
        <v>9</v>
      </c>
      <c r="N159" s="126" t="s">
        <v>692</v>
      </c>
      <c r="O159" s="131" t="s">
        <v>692</v>
      </c>
      <c r="P159" s="127"/>
    </row>
    <row r="160" spans="1:16" x14ac:dyDescent="0.25">
      <c r="A160" t="s">
        <v>165</v>
      </c>
      <c r="B160" s="117">
        <v>921</v>
      </c>
      <c r="C160" s="117">
        <v>1317</v>
      </c>
      <c r="D160" s="141">
        <v>1066</v>
      </c>
      <c r="E160" s="117">
        <v>1132</v>
      </c>
      <c r="F160">
        <v>9.6</v>
      </c>
      <c r="G160" s="162">
        <v>4.4800000000000004</v>
      </c>
      <c r="H160" s="164">
        <v>72955</v>
      </c>
      <c r="I160" s="161"/>
      <c r="J160"/>
      <c r="K160" s="125" t="s">
        <v>215</v>
      </c>
      <c r="L160" s="126" t="s">
        <v>692</v>
      </c>
      <c r="M160" s="127">
        <v>3</v>
      </c>
      <c r="N160" s="126" t="s">
        <v>692</v>
      </c>
      <c r="O160" s="131" t="s">
        <v>692</v>
      </c>
      <c r="P160" s="127"/>
    </row>
    <row r="161" spans="1:16" x14ac:dyDescent="0.25">
      <c r="A161" t="s">
        <v>166</v>
      </c>
      <c r="B161" s="117">
        <v>240</v>
      </c>
      <c r="C161" s="117">
        <v>379</v>
      </c>
      <c r="D161" s="141">
        <v>348</v>
      </c>
      <c r="E161" s="117">
        <v>348</v>
      </c>
      <c r="F161">
        <v>33.200000000000003</v>
      </c>
      <c r="G161" s="162">
        <v>3.63</v>
      </c>
      <c r="H161" s="164">
        <v>37143</v>
      </c>
      <c r="I161" s="161">
        <v>24948295</v>
      </c>
      <c r="J161"/>
      <c r="K161" s="125" t="s">
        <v>216</v>
      </c>
      <c r="L161" s="126" t="s">
        <v>692</v>
      </c>
      <c r="M161" s="127">
        <v>2</v>
      </c>
      <c r="N161" s="126" t="s">
        <v>692</v>
      </c>
      <c r="O161" s="131" t="s">
        <v>692</v>
      </c>
      <c r="P161" s="127"/>
    </row>
    <row r="162" spans="1:16" x14ac:dyDescent="0.25">
      <c r="A162" t="s">
        <v>167</v>
      </c>
      <c r="B162" s="117">
        <v>1862</v>
      </c>
      <c r="C162" s="117">
        <v>1862</v>
      </c>
      <c r="D162" s="141">
        <v>1771</v>
      </c>
      <c r="E162" s="117">
        <v>1799</v>
      </c>
      <c r="F162">
        <v>12.9</v>
      </c>
      <c r="G162" s="162">
        <v>3.29</v>
      </c>
      <c r="H162" s="164">
        <v>58824</v>
      </c>
      <c r="I162" s="161">
        <v>166441075</v>
      </c>
      <c r="J162"/>
      <c r="K162" s="125" t="s">
        <v>217</v>
      </c>
      <c r="L162" s="126" t="s">
        <v>692</v>
      </c>
      <c r="M162" s="127">
        <v>2</v>
      </c>
      <c r="N162" s="126" t="s">
        <v>692</v>
      </c>
      <c r="O162" s="131" t="s">
        <v>692</v>
      </c>
      <c r="P162" s="127"/>
    </row>
    <row r="163" spans="1:16" x14ac:dyDescent="0.25">
      <c r="A163" t="s">
        <v>168</v>
      </c>
      <c r="B163" s="117">
        <v>412</v>
      </c>
      <c r="C163" s="117">
        <v>482</v>
      </c>
      <c r="D163" s="141">
        <v>272</v>
      </c>
      <c r="E163" s="117">
        <v>262</v>
      </c>
      <c r="F163">
        <v>37.799999999999997</v>
      </c>
      <c r="G163" s="162">
        <v>4.71</v>
      </c>
      <c r="H163" s="164"/>
      <c r="I163" s="161">
        <v>21054210</v>
      </c>
      <c r="J163"/>
      <c r="K163" s="125" t="s">
        <v>218</v>
      </c>
      <c r="L163" s="126" t="s">
        <v>692</v>
      </c>
      <c r="M163" s="127">
        <v>2</v>
      </c>
      <c r="N163" s="126" t="s">
        <v>692</v>
      </c>
      <c r="O163" s="131" t="s">
        <v>692</v>
      </c>
      <c r="P163" s="127"/>
    </row>
    <row r="164" spans="1:16" x14ac:dyDescent="0.25">
      <c r="A164" t="s">
        <v>169</v>
      </c>
      <c r="B164" s="117">
        <v>583</v>
      </c>
      <c r="C164" s="117">
        <v>662</v>
      </c>
      <c r="D164" s="141">
        <v>705</v>
      </c>
      <c r="E164" s="117">
        <v>776</v>
      </c>
      <c r="F164">
        <v>10.7</v>
      </c>
      <c r="G164" s="162">
        <v>4.16</v>
      </c>
      <c r="H164" s="164">
        <v>118750</v>
      </c>
      <c r="I164" s="161">
        <v>1901591132</v>
      </c>
      <c r="J164"/>
      <c r="K164" s="125" t="s">
        <v>220</v>
      </c>
      <c r="L164" s="126" t="s">
        <v>693</v>
      </c>
      <c r="M164" s="127">
        <v>4</v>
      </c>
      <c r="N164" s="126" t="s">
        <v>692</v>
      </c>
      <c r="O164" s="131" t="s">
        <v>692</v>
      </c>
      <c r="P164" s="127"/>
    </row>
    <row r="165" spans="1:16" x14ac:dyDescent="0.25">
      <c r="A165" t="s">
        <v>170</v>
      </c>
      <c r="B165" s="117">
        <v>9664</v>
      </c>
      <c r="C165" s="117">
        <v>8512</v>
      </c>
      <c r="D165" s="141">
        <v>8520</v>
      </c>
      <c r="E165" s="117">
        <v>8606</v>
      </c>
      <c r="F165">
        <v>18.600000000000001</v>
      </c>
      <c r="G165" s="162">
        <v>3.76</v>
      </c>
      <c r="H165" s="164">
        <v>47310</v>
      </c>
      <c r="I165" s="161">
        <v>1135594594</v>
      </c>
      <c r="J165"/>
      <c r="K165" s="125" t="s">
        <v>221</v>
      </c>
      <c r="L165" s="126" t="s">
        <v>693</v>
      </c>
      <c r="M165" s="127">
        <v>7</v>
      </c>
      <c r="N165" s="126" t="s">
        <v>692</v>
      </c>
      <c r="O165" s="131" t="s">
        <v>692</v>
      </c>
      <c r="P165" s="127"/>
    </row>
    <row r="166" spans="1:16" x14ac:dyDescent="0.25">
      <c r="A166" t="s">
        <v>171</v>
      </c>
      <c r="B166" s="117">
        <v>58967</v>
      </c>
      <c r="C166" s="117">
        <v>49053</v>
      </c>
      <c r="D166" s="141">
        <v>49505</v>
      </c>
      <c r="E166" s="117">
        <v>49178</v>
      </c>
      <c r="F166">
        <v>17.899999999999999</v>
      </c>
      <c r="G166" s="162">
        <v>3.32</v>
      </c>
      <c r="H166" s="164">
        <v>51880</v>
      </c>
      <c r="I166" s="161">
        <v>5048595126</v>
      </c>
      <c r="J166"/>
      <c r="K166" s="125" t="s">
        <v>222</v>
      </c>
      <c r="L166" s="126" t="s">
        <v>692</v>
      </c>
      <c r="M166" s="127">
        <v>0</v>
      </c>
      <c r="N166" s="126" t="s">
        <v>692</v>
      </c>
      <c r="O166" s="131" t="s">
        <v>692</v>
      </c>
      <c r="P166" s="127"/>
    </row>
    <row r="167" spans="1:16" x14ac:dyDescent="0.25">
      <c r="A167" t="s">
        <v>172</v>
      </c>
      <c r="B167" s="117">
        <v>311848</v>
      </c>
      <c r="C167" s="117">
        <v>329405</v>
      </c>
      <c r="D167" s="141">
        <v>322369</v>
      </c>
      <c r="E167" s="117">
        <v>337263</v>
      </c>
      <c r="F167">
        <v>12</v>
      </c>
      <c r="G167" s="162">
        <v>3.13</v>
      </c>
      <c r="H167" s="164">
        <v>79501</v>
      </c>
      <c r="I167" s="161">
        <v>51441275374</v>
      </c>
      <c r="J167"/>
      <c r="K167" s="125" t="s">
        <v>223</v>
      </c>
      <c r="L167" s="126" t="s">
        <v>693</v>
      </c>
      <c r="M167" s="127">
        <v>6</v>
      </c>
      <c r="N167" s="126" t="s">
        <v>692</v>
      </c>
      <c r="O167" s="131" t="s">
        <v>692</v>
      </c>
      <c r="P167" s="127"/>
    </row>
    <row r="168" spans="1:16" x14ac:dyDescent="0.25">
      <c r="A168" t="s">
        <v>173</v>
      </c>
      <c r="B168" s="117">
        <v>269702</v>
      </c>
      <c r="C168" s="117">
        <v>288465</v>
      </c>
      <c r="D168" s="141">
        <v>281260</v>
      </c>
      <c r="E168" s="117">
        <v>297981</v>
      </c>
      <c r="F168">
        <v>12.2</v>
      </c>
      <c r="G168" s="162">
        <v>3.13</v>
      </c>
      <c r="H168" s="164">
        <v>79234</v>
      </c>
      <c r="I168" s="161">
        <v>41858618192</v>
      </c>
      <c r="J168"/>
      <c r="K168" s="125" t="s">
        <v>224</v>
      </c>
      <c r="L168" s="126" t="s">
        <v>692</v>
      </c>
      <c r="M168" s="127">
        <v>6</v>
      </c>
      <c r="N168" s="126" t="s">
        <v>692</v>
      </c>
      <c r="O168" s="131" t="s">
        <v>692</v>
      </c>
      <c r="P168" s="127"/>
    </row>
    <row r="169" spans="1:16" x14ac:dyDescent="0.25">
      <c r="A169" t="s">
        <v>174</v>
      </c>
      <c r="B169" s="117">
        <v>269</v>
      </c>
      <c r="C169" s="117">
        <v>367</v>
      </c>
      <c r="D169" s="141">
        <v>200</v>
      </c>
      <c r="E169" s="117">
        <v>202</v>
      </c>
      <c r="F169">
        <v>15</v>
      </c>
      <c r="G169" s="162">
        <v>3.84</v>
      </c>
      <c r="H169" s="164">
        <v>42287</v>
      </c>
      <c r="I169" s="161">
        <v>13684701</v>
      </c>
      <c r="J169"/>
      <c r="K169" s="125" t="s">
        <v>229</v>
      </c>
      <c r="L169" s="126" t="s">
        <v>692</v>
      </c>
      <c r="M169" s="127">
        <v>1</v>
      </c>
      <c r="N169" s="126" t="s">
        <v>692</v>
      </c>
      <c r="O169" s="131" t="s">
        <v>692</v>
      </c>
      <c r="P169" s="127"/>
    </row>
    <row r="170" spans="1:16" x14ac:dyDescent="0.25">
      <c r="A170" t="s">
        <v>175</v>
      </c>
      <c r="B170" s="117">
        <v>460</v>
      </c>
      <c r="C170" s="117">
        <v>313</v>
      </c>
      <c r="D170" s="141">
        <v>424</v>
      </c>
      <c r="E170" s="117">
        <v>410</v>
      </c>
      <c r="F170">
        <v>9.6</v>
      </c>
      <c r="G170" s="162">
        <v>4.71</v>
      </c>
      <c r="H170" s="164">
        <v>50595</v>
      </c>
      <c r="I170" s="161">
        <v>18756051</v>
      </c>
      <c r="J170"/>
      <c r="K170" s="125" t="s">
        <v>230</v>
      </c>
      <c r="L170" s="126" t="s">
        <v>693</v>
      </c>
      <c r="M170" s="127">
        <v>7</v>
      </c>
      <c r="N170" s="126" t="s">
        <v>692</v>
      </c>
      <c r="O170" s="131" t="s">
        <v>692</v>
      </c>
      <c r="P170" s="127"/>
    </row>
    <row r="171" spans="1:16" x14ac:dyDescent="0.25">
      <c r="A171" t="s">
        <v>176</v>
      </c>
      <c r="B171" s="117">
        <v>706</v>
      </c>
      <c r="C171" s="117">
        <v>765</v>
      </c>
      <c r="D171" s="141">
        <v>632</v>
      </c>
      <c r="E171" s="117">
        <v>643</v>
      </c>
      <c r="F171">
        <v>11.2</v>
      </c>
      <c r="G171" s="162">
        <v>3.19</v>
      </c>
      <c r="H171" s="164">
        <v>85500</v>
      </c>
      <c r="I171" s="161">
        <v>58841518</v>
      </c>
      <c r="J171"/>
      <c r="K171" s="128" t="s">
        <v>231</v>
      </c>
      <c r="L171" s="126" t="s">
        <v>692</v>
      </c>
      <c r="M171" s="127">
        <v>4</v>
      </c>
      <c r="N171" s="126" t="s">
        <v>692</v>
      </c>
      <c r="O171" s="131" t="s">
        <v>692</v>
      </c>
      <c r="P171" s="127"/>
    </row>
    <row r="172" spans="1:16" x14ac:dyDescent="0.25">
      <c r="A172" t="s">
        <v>177</v>
      </c>
      <c r="B172" s="117">
        <v>336</v>
      </c>
      <c r="C172" s="117">
        <v>315</v>
      </c>
      <c r="D172" s="141">
        <v>239</v>
      </c>
      <c r="E172" s="117"/>
      <c r="F172">
        <v>40.299999999999997</v>
      </c>
      <c r="G172" s="162">
        <v>5.32</v>
      </c>
      <c r="H172" s="164">
        <v>28333</v>
      </c>
      <c r="I172" s="161"/>
      <c r="J172"/>
      <c r="K172" s="125" t="s">
        <v>232</v>
      </c>
      <c r="L172" s="126" t="s">
        <v>693</v>
      </c>
      <c r="M172" s="127">
        <v>7</v>
      </c>
      <c r="N172" s="126" t="s">
        <v>692</v>
      </c>
      <c r="O172" s="131" t="s">
        <v>692</v>
      </c>
      <c r="P172" s="127"/>
    </row>
    <row r="173" spans="1:16" x14ac:dyDescent="0.25">
      <c r="A173" t="s">
        <v>178</v>
      </c>
      <c r="B173" s="117">
        <v>1336</v>
      </c>
      <c r="C173" s="117">
        <v>1309</v>
      </c>
      <c r="D173" s="141">
        <v>1561</v>
      </c>
      <c r="E173" s="117">
        <v>1643</v>
      </c>
      <c r="F173">
        <v>28.9</v>
      </c>
      <c r="G173" s="162">
        <v>3.43</v>
      </c>
      <c r="H173" s="164">
        <v>34696</v>
      </c>
      <c r="I173" s="161">
        <v>171588766</v>
      </c>
      <c r="J173"/>
      <c r="K173" s="125" t="s">
        <v>233</v>
      </c>
      <c r="L173" s="126" t="s">
        <v>692</v>
      </c>
      <c r="M173" s="127">
        <v>1</v>
      </c>
      <c r="N173" s="126" t="s">
        <v>692</v>
      </c>
      <c r="O173" s="131" t="s">
        <v>692</v>
      </c>
      <c r="P173" s="127"/>
    </row>
    <row r="174" spans="1:16" x14ac:dyDescent="0.25">
      <c r="A174" t="s">
        <v>807</v>
      </c>
      <c r="B174" s="117">
        <v>3710</v>
      </c>
      <c r="C174" s="117">
        <v>3666</v>
      </c>
      <c r="D174" s="141">
        <v>3652</v>
      </c>
      <c r="E174" s="117">
        <v>3678</v>
      </c>
      <c r="F174">
        <v>13.6</v>
      </c>
      <c r="G174" s="162">
        <v>4.46</v>
      </c>
      <c r="H174" s="164">
        <v>80000</v>
      </c>
      <c r="I174" s="161">
        <v>373984207</v>
      </c>
      <c r="J174"/>
      <c r="K174" s="125" t="s">
        <v>234</v>
      </c>
      <c r="L174" s="126" t="s">
        <v>693</v>
      </c>
      <c r="M174" s="127">
        <v>5</v>
      </c>
      <c r="N174" s="126" t="s">
        <v>692</v>
      </c>
      <c r="O174" s="131" t="s">
        <v>692</v>
      </c>
      <c r="P174" s="127"/>
    </row>
    <row r="175" spans="1:16" x14ac:dyDescent="0.25">
      <c r="A175" t="s">
        <v>179</v>
      </c>
      <c r="B175" s="117">
        <v>15055</v>
      </c>
      <c r="C175" s="117">
        <v>15353</v>
      </c>
      <c r="D175" s="141">
        <v>15384</v>
      </c>
      <c r="E175" s="117">
        <v>15390</v>
      </c>
      <c r="F175">
        <v>19.8</v>
      </c>
      <c r="G175" s="162">
        <v>3.93</v>
      </c>
      <c r="H175" s="164">
        <v>50959</v>
      </c>
      <c r="I175" s="161">
        <v>1073601767</v>
      </c>
      <c r="J175"/>
      <c r="K175" s="125" t="s">
        <v>235</v>
      </c>
      <c r="L175" s="126" t="s">
        <v>693</v>
      </c>
      <c r="M175" s="127">
        <v>6</v>
      </c>
      <c r="N175" s="126" t="s">
        <v>692</v>
      </c>
      <c r="O175" s="131" t="s">
        <v>692</v>
      </c>
      <c r="P175" s="127"/>
    </row>
    <row r="176" spans="1:16" x14ac:dyDescent="0.25">
      <c r="A176" t="s">
        <v>180</v>
      </c>
      <c r="B176" s="117">
        <v>4676</v>
      </c>
      <c r="C176" s="117">
        <v>4480</v>
      </c>
      <c r="D176" s="141">
        <v>4483</v>
      </c>
      <c r="E176" s="117">
        <v>4458</v>
      </c>
      <c r="F176">
        <v>35.700000000000003</v>
      </c>
      <c r="G176" s="162">
        <v>3.39</v>
      </c>
      <c r="H176" s="164">
        <v>42721</v>
      </c>
      <c r="I176" s="161">
        <v>651543842</v>
      </c>
      <c r="J176"/>
      <c r="K176" s="125" t="s">
        <v>236</v>
      </c>
      <c r="L176" s="126" t="s">
        <v>693</v>
      </c>
      <c r="M176" s="127">
        <v>2</v>
      </c>
      <c r="N176" s="126" t="s">
        <v>692</v>
      </c>
      <c r="O176" s="131" t="s">
        <v>692</v>
      </c>
      <c r="P176" s="127"/>
    </row>
    <row r="177" spans="1:16" x14ac:dyDescent="0.25">
      <c r="A177" t="s">
        <v>181</v>
      </c>
      <c r="B177" s="117">
        <v>52648</v>
      </c>
      <c r="C177" s="117">
        <v>48777</v>
      </c>
      <c r="D177" s="141">
        <v>49247</v>
      </c>
      <c r="E177" s="117">
        <v>48491</v>
      </c>
      <c r="F177">
        <v>21.9</v>
      </c>
      <c r="G177" s="162">
        <v>5.47</v>
      </c>
      <c r="H177" s="164">
        <v>48480</v>
      </c>
      <c r="I177" s="161">
        <v>3543057592</v>
      </c>
      <c r="J177"/>
      <c r="K177" s="125" t="s">
        <v>237</v>
      </c>
      <c r="L177" s="126" t="s">
        <v>692</v>
      </c>
      <c r="M177" s="127">
        <v>5</v>
      </c>
      <c r="N177" s="126" t="s">
        <v>692</v>
      </c>
      <c r="O177" s="131" t="s">
        <v>692</v>
      </c>
      <c r="P177" s="127"/>
    </row>
    <row r="178" spans="1:16" x14ac:dyDescent="0.25">
      <c r="A178" t="s">
        <v>182</v>
      </c>
      <c r="B178" s="117">
        <v>17629</v>
      </c>
      <c r="C178" s="117">
        <v>18740</v>
      </c>
      <c r="D178" s="141">
        <v>18554</v>
      </c>
      <c r="E178" s="117">
        <v>19643</v>
      </c>
      <c r="F178">
        <v>15</v>
      </c>
      <c r="G178" s="162">
        <v>3.42</v>
      </c>
      <c r="H178" s="164">
        <v>50947</v>
      </c>
      <c r="I178" s="161">
        <v>1803152324</v>
      </c>
      <c r="J178"/>
      <c r="K178" s="125" t="s">
        <v>238</v>
      </c>
      <c r="L178" s="126" t="s">
        <v>692</v>
      </c>
      <c r="M178" s="127">
        <v>3</v>
      </c>
      <c r="N178" s="126" t="s">
        <v>692</v>
      </c>
      <c r="O178" s="131" t="s">
        <v>692</v>
      </c>
      <c r="P178" s="127"/>
    </row>
    <row r="179" spans="1:16" x14ac:dyDescent="0.25">
      <c r="A179" t="s">
        <v>183</v>
      </c>
      <c r="B179" s="117">
        <v>3464</v>
      </c>
      <c r="C179" s="117">
        <v>3294</v>
      </c>
      <c r="D179" s="141">
        <v>3315</v>
      </c>
      <c r="E179" s="117">
        <v>3253</v>
      </c>
      <c r="F179">
        <v>34.1</v>
      </c>
      <c r="G179" s="162">
        <v>4.71</v>
      </c>
      <c r="H179" s="164">
        <v>32577</v>
      </c>
      <c r="I179" s="161">
        <v>320292532</v>
      </c>
      <c r="J179"/>
      <c r="K179" s="125" t="s">
        <v>240</v>
      </c>
      <c r="L179" s="126" t="s">
        <v>692</v>
      </c>
      <c r="M179" s="127">
        <v>1</v>
      </c>
      <c r="N179" s="126" t="s">
        <v>692</v>
      </c>
      <c r="O179" s="131" t="s">
        <v>692</v>
      </c>
      <c r="P179" s="127"/>
    </row>
    <row r="180" spans="1:16" x14ac:dyDescent="0.25">
      <c r="A180" t="s">
        <v>184</v>
      </c>
      <c r="B180" s="117">
        <v>744</v>
      </c>
      <c r="C180" s="117">
        <v>694</v>
      </c>
      <c r="D180" s="141">
        <v>530</v>
      </c>
      <c r="E180" s="117">
        <v>547</v>
      </c>
      <c r="F180">
        <v>27.4</v>
      </c>
      <c r="G180" s="162">
        <v>3.27</v>
      </c>
      <c r="H180" s="164">
        <v>44350</v>
      </c>
      <c r="I180" s="161">
        <v>36718552</v>
      </c>
      <c r="J180"/>
      <c r="K180" s="125" t="s">
        <v>242</v>
      </c>
      <c r="L180" s="126" t="s">
        <v>692</v>
      </c>
      <c r="M180" s="127">
        <v>4</v>
      </c>
      <c r="N180" s="126" t="s">
        <v>692</v>
      </c>
      <c r="O180" s="131" t="s">
        <v>692</v>
      </c>
      <c r="P180" s="127"/>
    </row>
    <row r="181" spans="1:16" x14ac:dyDescent="0.25">
      <c r="A181" t="s">
        <v>185</v>
      </c>
      <c r="B181" s="117">
        <v>4097</v>
      </c>
      <c r="C181" s="117">
        <v>4025</v>
      </c>
      <c r="D181" s="141">
        <v>4083</v>
      </c>
      <c r="E181" s="117">
        <v>4213</v>
      </c>
      <c r="F181">
        <v>23</v>
      </c>
      <c r="G181" s="162">
        <v>3.45</v>
      </c>
      <c r="H181" s="164">
        <v>60434</v>
      </c>
      <c r="I181" s="161">
        <v>560375051</v>
      </c>
      <c r="J181"/>
      <c r="K181" s="125" t="s">
        <v>246</v>
      </c>
      <c r="L181" s="126" t="s">
        <v>693</v>
      </c>
      <c r="M181" s="127">
        <v>6</v>
      </c>
      <c r="N181" s="126" t="s">
        <v>692</v>
      </c>
      <c r="O181" s="131" t="s">
        <v>692</v>
      </c>
      <c r="P181" s="127"/>
    </row>
    <row r="182" spans="1:16" x14ac:dyDescent="0.25">
      <c r="A182" t="s">
        <v>186</v>
      </c>
      <c r="B182" s="117">
        <v>684</v>
      </c>
      <c r="C182" s="117">
        <v>899</v>
      </c>
      <c r="D182" s="141">
        <v>732</v>
      </c>
      <c r="E182" s="117">
        <v>728</v>
      </c>
      <c r="F182">
        <v>24.4</v>
      </c>
      <c r="G182" s="162">
        <v>4.08</v>
      </c>
      <c r="H182" s="164">
        <v>50625</v>
      </c>
      <c r="I182" s="161">
        <v>51038015</v>
      </c>
      <c r="J182"/>
      <c r="K182" s="125" t="s">
        <v>247</v>
      </c>
      <c r="L182" s="126" t="s">
        <v>693</v>
      </c>
      <c r="M182" s="127">
        <v>7</v>
      </c>
      <c r="N182" s="126" t="s">
        <v>692</v>
      </c>
      <c r="O182" s="131" t="s">
        <v>692</v>
      </c>
      <c r="P182" s="127"/>
    </row>
    <row r="183" spans="1:16" x14ac:dyDescent="0.25">
      <c r="A183" t="s">
        <v>187</v>
      </c>
      <c r="B183" s="117">
        <v>961</v>
      </c>
      <c r="C183" s="117">
        <v>1070</v>
      </c>
      <c r="D183" s="141">
        <v>878</v>
      </c>
      <c r="E183" s="117">
        <v>839</v>
      </c>
      <c r="F183">
        <v>16</v>
      </c>
      <c r="G183" s="162">
        <v>3.87</v>
      </c>
      <c r="H183" s="164">
        <v>48404</v>
      </c>
      <c r="I183" s="161">
        <v>39501337</v>
      </c>
      <c r="J183"/>
      <c r="K183" s="125" t="s">
        <v>248</v>
      </c>
      <c r="L183" s="126" t="s">
        <v>693</v>
      </c>
      <c r="M183" s="127">
        <v>3</v>
      </c>
      <c r="N183" s="126" t="s">
        <v>692</v>
      </c>
      <c r="O183" s="131" t="s">
        <v>692</v>
      </c>
      <c r="P183" s="127"/>
    </row>
    <row r="184" spans="1:16" x14ac:dyDescent="0.25">
      <c r="A184" t="s">
        <v>188</v>
      </c>
      <c r="B184" s="117">
        <v>1445</v>
      </c>
      <c r="C184" s="117">
        <v>1173</v>
      </c>
      <c r="D184" s="141">
        <v>1225</v>
      </c>
      <c r="E184" s="117">
        <v>1203</v>
      </c>
      <c r="F184">
        <v>18.399999999999999</v>
      </c>
      <c r="G184" s="162">
        <v>4.6500000000000004</v>
      </c>
      <c r="H184" s="164">
        <v>44698</v>
      </c>
      <c r="I184" s="161">
        <v>72334921</v>
      </c>
      <c r="J184"/>
      <c r="K184" s="125" t="s">
        <v>249</v>
      </c>
      <c r="L184" s="126" t="s">
        <v>692</v>
      </c>
      <c r="M184" s="127">
        <v>3</v>
      </c>
      <c r="N184" s="126" t="s">
        <v>692</v>
      </c>
      <c r="O184" s="131" t="s">
        <v>692</v>
      </c>
      <c r="P184" s="127"/>
    </row>
    <row r="185" spans="1:16" x14ac:dyDescent="0.25">
      <c r="A185" t="s">
        <v>189</v>
      </c>
      <c r="B185" s="117">
        <v>11516</v>
      </c>
      <c r="C185" s="117">
        <v>11325</v>
      </c>
      <c r="D185" s="141">
        <v>11413</v>
      </c>
      <c r="E185" s="117">
        <v>11454</v>
      </c>
      <c r="F185">
        <v>22.5</v>
      </c>
      <c r="G185" s="162">
        <v>3.49</v>
      </c>
      <c r="H185" s="164">
        <v>82717</v>
      </c>
      <c r="I185" s="161">
        <v>1029167617</v>
      </c>
      <c r="J185"/>
      <c r="K185" s="125" t="s">
        <v>250</v>
      </c>
      <c r="L185" s="126" t="s">
        <v>692</v>
      </c>
      <c r="M185" s="127">
        <v>1</v>
      </c>
      <c r="N185" s="126" t="s">
        <v>692</v>
      </c>
      <c r="O185" s="131" t="s">
        <v>692</v>
      </c>
      <c r="P185" s="127"/>
    </row>
    <row r="186" spans="1:16" x14ac:dyDescent="0.25">
      <c r="A186" t="s">
        <v>190</v>
      </c>
      <c r="B186" s="117">
        <v>3703</v>
      </c>
      <c r="C186" s="117">
        <v>3915</v>
      </c>
      <c r="D186" s="141">
        <v>3837</v>
      </c>
      <c r="E186" s="117">
        <v>4018</v>
      </c>
      <c r="F186">
        <v>3.9</v>
      </c>
      <c r="G186" s="162">
        <v>3.34</v>
      </c>
      <c r="H186" s="164">
        <v>89432</v>
      </c>
      <c r="I186" s="161">
        <v>3222744365</v>
      </c>
      <c r="J186"/>
      <c r="K186" s="128" t="s">
        <v>251</v>
      </c>
      <c r="L186" s="126" t="s">
        <v>692</v>
      </c>
      <c r="M186" s="127">
        <v>2</v>
      </c>
      <c r="N186" s="126" t="s">
        <v>692</v>
      </c>
      <c r="O186" s="131" t="s">
        <v>692</v>
      </c>
      <c r="P186" s="127"/>
    </row>
    <row r="187" spans="1:16" x14ac:dyDescent="0.25">
      <c r="A187" t="s">
        <v>191</v>
      </c>
      <c r="B187" s="117">
        <v>2524</v>
      </c>
      <c r="C187" s="117">
        <v>1967</v>
      </c>
      <c r="D187" s="141">
        <v>1902</v>
      </c>
      <c r="E187" s="117">
        <v>1786</v>
      </c>
      <c r="F187">
        <v>30.7</v>
      </c>
      <c r="G187" s="162">
        <v>5.35</v>
      </c>
      <c r="H187" s="164">
        <v>22852</v>
      </c>
      <c r="I187" s="161">
        <v>91690523</v>
      </c>
      <c r="J187"/>
      <c r="K187" s="125" t="s">
        <v>252</v>
      </c>
      <c r="L187" s="126" t="s">
        <v>693</v>
      </c>
      <c r="M187" s="127">
        <v>7</v>
      </c>
      <c r="N187" s="126" t="s">
        <v>692</v>
      </c>
      <c r="O187" s="131" t="s">
        <v>692</v>
      </c>
      <c r="P187" s="127"/>
    </row>
    <row r="188" spans="1:16" x14ac:dyDescent="0.25">
      <c r="A188" t="s">
        <v>193</v>
      </c>
      <c r="B188" s="117">
        <v>5035</v>
      </c>
      <c r="C188" s="117">
        <v>4617</v>
      </c>
      <c r="D188" s="141">
        <v>4557</v>
      </c>
      <c r="E188" s="117">
        <v>4659</v>
      </c>
      <c r="F188">
        <v>11.5</v>
      </c>
      <c r="G188" s="162">
        <v>3.76</v>
      </c>
      <c r="H188" s="164">
        <v>50077</v>
      </c>
      <c r="I188" s="161">
        <v>387211305</v>
      </c>
      <c r="J188"/>
      <c r="K188" s="125" t="s">
        <v>253</v>
      </c>
      <c r="L188" s="126" t="s">
        <v>693</v>
      </c>
      <c r="M188" s="127">
        <v>12</v>
      </c>
      <c r="N188" s="126" t="s">
        <v>692</v>
      </c>
      <c r="O188" s="131" t="s">
        <v>692</v>
      </c>
      <c r="P188" s="127"/>
    </row>
    <row r="189" spans="1:16" x14ac:dyDescent="0.25">
      <c r="A189" t="s">
        <v>194</v>
      </c>
      <c r="B189" s="117">
        <v>187</v>
      </c>
      <c r="C189" s="117">
        <v>203</v>
      </c>
      <c r="D189" s="141">
        <v>212</v>
      </c>
      <c r="E189" s="117">
        <v>218</v>
      </c>
      <c r="F189">
        <v>5.9</v>
      </c>
      <c r="G189" s="162">
        <v>3.68</v>
      </c>
      <c r="H189" s="164">
        <v>57917</v>
      </c>
      <c r="I189" s="161"/>
      <c r="J189"/>
      <c r="K189" s="125" t="s">
        <v>254</v>
      </c>
      <c r="L189" s="126" t="s">
        <v>693</v>
      </c>
      <c r="M189" s="127">
        <v>9</v>
      </c>
      <c r="N189" s="126" t="s">
        <v>692</v>
      </c>
      <c r="O189" s="131" t="s">
        <v>692</v>
      </c>
      <c r="P189" s="127"/>
    </row>
    <row r="190" spans="1:16" x14ac:dyDescent="0.25">
      <c r="A190" t="s">
        <v>195</v>
      </c>
      <c r="B190" s="117">
        <v>99</v>
      </c>
      <c r="C190" s="117">
        <v>158</v>
      </c>
      <c r="D190" s="141">
        <v>150</v>
      </c>
      <c r="E190" s="117">
        <v>147</v>
      </c>
      <c r="F190">
        <v>25</v>
      </c>
      <c r="G190" s="162">
        <v>4.03</v>
      </c>
      <c r="H190" s="164">
        <v>43750</v>
      </c>
      <c r="I190" s="161">
        <v>8485738</v>
      </c>
      <c r="J190"/>
      <c r="K190" s="125" t="s">
        <v>256</v>
      </c>
      <c r="L190" s="126" t="s">
        <v>692</v>
      </c>
      <c r="M190" s="127">
        <v>6</v>
      </c>
      <c r="N190" s="126" t="s">
        <v>692</v>
      </c>
      <c r="O190" s="131" t="s">
        <v>692</v>
      </c>
      <c r="P190" s="127"/>
    </row>
    <row r="191" spans="1:16" x14ac:dyDescent="0.25">
      <c r="A191" t="s">
        <v>196</v>
      </c>
      <c r="B191" s="117">
        <v>545</v>
      </c>
      <c r="C191" s="117">
        <v>513</v>
      </c>
      <c r="D191" s="141">
        <v>731</v>
      </c>
      <c r="E191" s="117">
        <v>712</v>
      </c>
      <c r="F191">
        <v>31</v>
      </c>
      <c r="G191" s="162">
        <v>4.0599999999999996</v>
      </c>
      <c r="H191" s="164">
        <v>29063</v>
      </c>
      <c r="I191" s="161">
        <v>45342489</v>
      </c>
      <c r="J191"/>
      <c r="K191" s="125" t="s">
        <v>257</v>
      </c>
      <c r="L191" s="126" t="s">
        <v>693</v>
      </c>
      <c r="M191" s="127">
        <v>2</v>
      </c>
      <c r="N191" s="126" t="s">
        <v>692</v>
      </c>
      <c r="O191" s="131" t="s">
        <v>692</v>
      </c>
      <c r="P191" s="127"/>
    </row>
    <row r="192" spans="1:16" x14ac:dyDescent="0.25">
      <c r="A192" t="s">
        <v>197</v>
      </c>
      <c r="B192" s="117">
        <v>2641</v>
      </c>
      <c r="C192" s="117">
        <v>2326</v>
      </c>
      <c r="D192" s="141">
        <v>2227</v>
      </c>
      <c r="E192" s="117">
        <v>2186</v>
      </c>
      <c r="F192">
        <v>31.5</v>
      </c>
      <c r="G192" s="162">
        <v>4.96</v>
      </c>
      <c r="H192" s="164">
        <v>36493</v>
      </c>
      <c r="I192" s="161">
        <v>132831675</v>
      </c>
      <c r="J192"/>
      <c r="K192" s="125" t="s">
        <v>258</v>
      </c>
      <c r="L192" s="126" t="s">
        <v>693</v>
      </c>
      <c r="M192" s="127">
        <v>7</v>
      </c>
      <c r="N192" s="126" t="s">
        <v>692</v>
      </c>
      <c r="O192" s="131" t="s">
        <v>692</v>
      </c>
      <c r="P192" s="127"/>
    </row>
    <row r="193" spans="1:16" x14ac:dyDescent="0.25">
      <c r="A193" t="s">
        <v>198</v>
      </c>
      <c r="B193" s="117">
        <v>3768</v>
      </c>
      <c r="C193" s="117">
        <v>3549</v>
      </c>
      <c r="D193" s="141">
        <v>3446</v>
      </c>
      <c r="E193" s="117">
        <v>3605</v>
      </c>
      <c r="F193">
        <v>2.8</v>
      </c>
      <c r="G193" s="162">
        <v>3.1</v>
      </c>
      <c r="H193" s="164">
        <v>89417</v>
      </c>
      <c r="I193" s="161">
        <v>667718954</v>
      </c>
      <c r="J193"/>
      <c r="K193" s="125" t="s">
        <v>259</v>
      </c>
      <c r="L193" s="126" t="s">
        <v>692</v>
      </c>
      <c r="M193" s="127">
        <v>7</v>
      </c>
      <c r="N193" s="126" t="s">
        <v>692</v>
      </c>
      <c r="O193" s="131" t="s">
        <v>692</v>
      </c>
      <c r="P193" s="127"/>
    </row>
    <row r="194" spans="1:16" x14ac:dyDescent="0.25">
      <c r="A194" t="s">
        <v>199</v>
      </c>
      <c r="B194" s="117">
        <v>1321</v>
      </c>
      <c r="C194" s="117">
        <v>826</v>
      </c>
      <c r="D194" s="141">
        <v>797</v>
      </c>
      <c r="E194" s="117">
        <v>789</v>
      </c>
      <c r="F194">
        <v>40.299999999999997</v>
      </c>
      <c r="G194" s="162">
        <v>3.32</v>
      </c>
      <c r="H194" s="164">
        <v>38173</v>
      </c>
      <c r="I194" s="161">
        <v>64223720</v>
      </c>
      <c r="J194"/>
      <c r="K194" s="125" t="s">
        <v>260</v>
      </c>
      <c r="L194" s="126" t="s">
        <v>692</v>
      </c>
      <c r="M194" s="127">
        <v>1</v>
      </c>
      <c r="N194" s="126" t="s">
        <v>692</v>
      </c>
      <c r="O194" s="131" t="s">
        <v>692</v>
      </c>
      <c r="P194" s="127"/>
    </row>
    <row r="195" spans="1:16" x14ac:dyDescent="0.25">
      <c r="A195" t="s">
        <v>200</v>
      </c>
      <c r="B195" s="117">
        <v>817</v>
      </c>
      <c r="C195" s="117">
        <v>1090</v>
      </c>
      <c r="D195" s="141">
        <v>817</v>
      </c>
      <c r="E195" s="117">
        <v>841</v>
      </c>
      <c r="F195">
        <v>2.2000000000000002</v>
      </c>
      <c r="G195" s="162">
        <v>3.43</v>
      </c>
      <c r="H195" s="164">
        <v>128274</v>
      </c>
      <c r="I195" s="161">
        <v>111464204</v>
      </c>
      <c r="J195"/>
      <c r="K195" s="125" t="s">
        <v>261</v>
      </c>
      <c r="L195" s="126" t="s">
        <v>692</v>
      </c>
      <c r="M195" s="127">
        <v>2</v>
      </c>
      <c r="N195" s="126" t="s">
        <v>692</v>
      </c>
      <c r="O195" s="131" t="s">
        <v>692</v>
      </c>
      <c r="P195" s="127"/>
    </row>
    <row r="196" spans="1:16" x14ac:dyDescent="0.25">
      <c r="A196" t="s">
        <v>201</v>
      </c>
      <c r="B196" s="117">
        <v>197</v>
      </c>
      <c r="C196" s="117">
        <v>185</v>
      </c>
      <c r="D196" s="141">
        <v>337</v>
      </c>
      <c r="E196" s="117">
        <v>388</v>
      </c>
      <c r="F196">
        <v>44.2</v>
      </c>
      <c r="G196" s="162">
        <v>4.18</v>
      </c>
      <c r="H196" s="164">
        <v>80208</v>
      </c>
      <c r="I196" s="161">
        <v>19423823</v>
      </c>
      <c r="J196"/>
      <c r="K196" s="125" t="s">
        <v>262</v>
      </c>
      <c r="L196" s="126" t="s">
        <v>693</v>
      </c>
      <c r="M196" s="127">
        <v>7</v>
      </c>
      <c r="N196" s="126" t="s">
        <v>692</v>
      </c>
      <c r="O196" s="131" t="s">
        <v>692</v>
      </c>
      <c r="P196" s="127"/>
    </row>
    <row r="197" spans="1:16" x14ac:dyDescent="0.25">
      <c r="A197" t="s">
        <v>202</v>
      </c>
      <c r="B197" s="117">
        <v>80</v>
      </c>
      <c r="C197" s="117">
        <v>119</v>
      </c>
      <c r="D197" s="141">
        <v>49</v>
      </c>
      <c r="E197" s="117">
        <v>47</v>
      </c>
      <c r="F197">
        <v>3.4</v>
      </c>
      <c r="G197" s="162">
        <v>4.07</v>
      </c>
      <c r="H197" s="164">
        <v>93542</v>
      </c>
      <c r="I197" s="161">
        <v>5518328</v>
      </c>
      <c r="J197"/>
      <c r="K197" s="125" t="s">
        <v>263</v>
      </c>
      <c r="L197" s="126" t="s">
        <v>692</v>
      </c>
      <c r="M197" s="127">
        <v>2</v>
      </c>
      <c r="N197" s="126" t="s">
        <v>692</v>
      </c>
      <c r="O197" s="131" t="s">
        <v>692</v>
      </c>
      <c r="P197" s="127"/>
    </row>
    <row r="198" spans="1:16" x14ac:dyDescent="0.25">
      <c r="A198" t="s">
        <v>203</v>
      </c>
      <c r="B198" s="117">
        <v>509</v>
      </c>
      <c r="C198" s="117">
        <v>602</v>
      </c>
      <c r="D198" s="141">
        <v>620</v>
      </c>
      <c r="E198" s="117">
        <v>628</v>
      </c>
      <c r="F198">
        <v>32.4</v>
      </c>
      <c r="G198" s="162">
        <v>3.84</v>
      </c>
      <c r="H198" s="164">
        <v>49250</v>
      </c>
      <c r="I198" s="161">
        <v>55029481</v>
      </c>
      <c r="J198"/>
      <c r="K198" s="125" t="s">
        <v>265</v>
      </c>
      <c r="L198" s="126" t="s">
        <v>692</v>
      </c>
      <c r="M198" s="127">
        <v>2</v>
      </c>
      <c r="N198" s="126" t="s">
        <v>692</v>
      </c>
      <c r="O198" s="131" t="s">
        <v>692</v>
      </c>
      <c r="P198" s="127"/>
    </row>
    <row r="199" spans="1:16" x14ac:dyDescent="0.25">
      <c r="A199" t="s">
        <v>204</v>
      </c>
      <c r="B199" s="117">
        <v>4712</v>
      </c>
      <c r="C199" s="117">
        <v>4493</v>
      </c>
      <c r="D199" s="141">
        <v>4485</v>
      </c>
      <c r="E199" s="117">
        <v>4489</v>
      </c>
      <c r="F199">
        <v>27</v>
      </c>
      <c r="G199" s="162">
        <v>4.07</v>
      </c>
      <c r="H199" s="164">
        <v>50870</v>
      </c>
      <c r="I199" s="161">
        <v>389760705</v>
      </c>
      <c r="J199"/>
      <c r="K199" s="125" t="s">
        <v>266</v>
      </c>
      <c r="L199" s="126" t="s">
        <v>692</v>
      </c>
      <c r="M199" s="127">
        <v>0</v>
      </c>
      <c r="N199" s="126" t="s">
        <v>692</v>
      </c>
      <c r="O199" s="131" t="s">
        <v>692</v>
      </c>
      <c r="P199" s="127"/>
    </row>
    <row r="200" spans="1:16" x14ac:dyDescent="0.25">
      <c r="A200" t="s">
        <v>205</v>
      </c>
      <c r="B200" s="117">
        <v>210432</v>
      </c>
      <c r="C200" s="117">
        <v>209692</v>
      </c>
      <c r="D200" s="141">
        <v>209101</v>
      </c>
      <c r="E200" s="117">
        <v>209975</v>
      </c>
      <c r="F200">
        <v>18.100000000000001</v>
      </c>
      <c r="G200" s="162">
        <v>4.46</v>
      </c>
      <c r="H200" s="164">
        <v>56395</v>
      </c>
      <c r="I200" s="161">
        <v>14915146224</v>
      </c>
      <c r="J200"/>
      <c r="K200" s="125" t="s">
        <v>268</v>
      </c>
      <c r="L200" s="126" t="s">
        <v>692</v>
      </c>
      <c r="M200" s="127">
        <v>6</v>
      </c>
      <c r="N200" s="126" t="s">
        <v>692</v>
      </c>
      <c r="O200" s="131" t="s">
        <v>692</v>
      </c>
      <c r="P200" s="127"/>
    </row>
    <row r="201" spans="1:16" x14ac:dyDescent="0.25">
      <c r="A201" t="s">
        <v>207</v>
      </c>
      <c r="B201" s="117">
        <v>3328</v>
      </c>
      <c r="C201" s="117">
        <v>3502</v>
      </c>
      <c r="D201" s="141">
        <v>3462</v>
      </c>
      <c r="E201" s="117">
        <v>3619</v>
      </c>
      <c r="F201">
        <v>9</v>
      </c>
      <c r="G201" s="162">
        <v>2.82</v>
      </c>
      <c r="H201" s="164">
        <v>103981</v>
      </c>
      <c r="I201" s="161">
        <v>1472101155</v>
      </c>
      <c r="J201"/>
      <c r="K201" s="125" t="s">
        <v>269</v>
      </c>
      <c r="L201" s="126" t="s">
        <v>692</v>
      </c>
      <c r="M201" s="127">
        <v>3</v>
      </c>
      <c r="N201" s="126" t="s">
        <v>692</v>
      </c>
      <c r="O201" s="131" t="s">
        <v>692</v>
      </c>
      <c r="P201" s="127"/>
    </row>
    <row r="202" spans="1:16" x14ac:dyDescent="0.25">
      <c r="A202" t="s">
        <v>208</v>
      </c>
      <c r="B202" s="117">
        <v>8117</v>
      </c>
      <c r="C202" s="117">
        <v>8022</v>
      </c>
      <c r="D202" s="141">
        <v>7844</v>
      </c>
      <c r="E202" s="117">
        <v>8221</v>
      </c>
      <c r="F202">
        <v>7.4</v>
      </c>
      <c r="G202" s="162">
        <v>2.82</v>
      </c>
      <c r="H202" s="164">
        <v>75117</v>
      </c>
      <c r="I202" s="161">
        <v>1852484020</v>
      </c>
      <c r="J202"/>
      <c r="K202" s="125" t="s">
        <v>274</v>
      </c>
      <c r="L202" s="126" t="s">
        <v>692</v>
      </c>
      <c r="M202" s="127">
        <v>3</v>
      </c>
      <c r="N202" s="126" t="s">
        <v>692</v>
      </c>
      <c r="O202" s="131" t="s">
        <v>692</v>
      </c>
      <c r="P202" s="127"/>
    </row>
    <row r="203" spans="1:16" x14ac:dyDescent="0.25">
      <c r="A203" t="s">
        <v>209</v>
      </c>
      <c r="B203" s="117">
        <v>27</v>
      </c>
      <c r="C203" s="117">
        <v>11</v>
      </c>
      <c r="D203" s="141">
        <v>13</v>
      </c>
      <c r="E203" s="117">
        <v>45</v>
      </c>
      <c r="F203">
        <v>0</v>
      </c>
      <c r="G203" s="162">
        <v>3.52</v>
      </c>
      <c r="H203" s="164"/>
      <c r="I203" s="161">
        <v>639985</v>
      </c>
      <c r="J203"/>
      <c r="K203" s="125" t="s">
        <v>275</v>
      </c>
      <c r="L203" s="126" t="s">
        <v>692</v>
      </c>
      <c r="M203" s="127">
        <v>2</v>
      </c>
      <c r="N203" s="126" t="s">
        <v>692</v>
      </c>
      <c r="O203" s="131" t="s">
        <v>692</v>
      </c>
      <c r="P203" s="127"/>
    </row>
    <row r="204" spans="1:16" x14ac:dyDescent="0.25">
      <c r="A204" t="s">
        <v>210</v>
      </c>
      <c r="B204" s="117">
        <v>7155</v>
      </c>
      <c r="C204" s="117">
        <v>7368</v>
      </c>
      <c r="D204" s="141">
        <v>7396</v>
      </c>
      <c r="E204" s="117">
        <v>7394</v>
      </c>
      <c r="F204">
        <v>33.6</v>
      </c>
      <c r="G204" s="162">
        <v>4.08</v>
      </c>
      <c r="H204" s="164">
        <v>35897</v>
      </c>
      <c r="I204" s="161">
        <v>1743764914</v>
      </c>
      <c r="J204"/>
      <c r="K204" s="125" t="s">
        <v>276</v>
      </c>
      <c r="L204" s="126" t="s">
        <v>692</v>
      </c>
      <c r="M204" s="127">
        <v>2</v>
      </c>
      <c r="N204" s="126" t="s">
        <v>692</v>
      </c>
      <c r="O204" s="131" t="s">
        <v>692</v>
      </c>
      <c r="P204" s="127"/>
    </row>
    <row r="205" spans="1:16" ht="30" x14ac:dyDescent="0.25">
      <c r="A205" t="s">
        <v>211</v>
      </c>
      <c r="B205" s="117">
        <v>304</v>
      </c>
      <c r="C205" s="117">
        <v>366</v>
      </c>
      <c r="D205" s="141">
        <v>307</v>
      </c>
      <c r="E205" s="117">
        <v>299</v>
      </c>
      <c r="F205">
        <v>24.9</v>
      </c>
      <c r="G205" s="162">
        <v>3.57</v>
      </c>
      <c r="H205" s="164">
        <v>86250</v>
      </c>
      <c r="I205" s="161">
        <v>37543396</v>
      </c>
      <c r="J205"/>
      <c r="K205" s="130" t="s">
        <v>273</v>
      </c>
      <c r="L205" s="126" t="s">
        <v>692</v>
      </c>
      <c r="M205" s="127">
        <v>6</v>
      </c>
      <c r="N205" s="126" t="s">
        <v>692</v>
      </c>
      <c r="O205" s="131" t="s">
        <v>692</v>
      </c>
      <c r="P205" s="127"/>
    </row>
    <row r="206" spans="1:16" x14ac:dyDescent="0.25">
      <c r="A206" t="s">
        <v>213</v>
      </c>
      <c r="B206" s="117">
        <v>375195</v>
      </c>
      <c r="C206" s="117">
        <v>386740</v>
      </c>
      <c r="D206" s="141">
        <v>380663</v>
      </c>
      <c r="E206" s="117">
        <v>393062</v>
      </c>
      <c r="F206">
        <v>14.7</v>
      </c>
      <c r="G206" s="162">
        <v>3.67</v>
      </c>
      <c r="H206" s="164">
        <v>65541</v>
      </c>
      <c r="I206" s="161">
        <v>45497678695</v>
      </c>
      <c r="J206"/>
      <c r="K206" s="125" t="s">
        <v>277</v>
      </c>
      <c r="L206" s="126" t="s">
        <v>693</v>
      </c>
      <c r="M206" s="127">
        <v>10</v>
      </c>
      <c r="N206" s="126" t="s">
        <v>692</v>
      </c>
      <c r="O206" s="131" t="s">
        <v>692</v>
      </c>
      <c r="P206" s="127"/>
    </row>
    <row r="207" spans="1:16" x14ac:dyDescent="0.25">
      <c r="A207" t="s">
        <v>214</v>
      </c>
      <c r="B207" s="117">
        <v>351</v>
      </c>
      <c r="C207" s="117">
        <v>317</v>
      </c>
      <c r="D207" s="141">
        <v>389</v>
      </c>
      <c r="E207" s="117">
        <v>382</v>
      </c>
      <c r="F207">
        <v>53.6</v>
      </c>
      <c r="G207" s="162">
        <v>4.07</v>
      </c>
      <c r="H207" s="164"/>
      <c r="I207" s="161">
        <v>29937532</v>
      </c>
      <c r="J207"/>
      <c r="K207" s="125" t="s">
        <v>278</v>
      </c>
      <c r="L207" s="126" t="s">
        <v>692</v>
      </c>
      <c r="M207" s="127">
        <v>1</v>
      </c>
      <c r="N207" s="126" t="s">
        <v>692</v>
      </c>
      <c r="O207" s="131" t="s">
        <v>692</v>
      </c>
      <c r="P207" s="127"/>
    </row>
    <row r="208" spans="1:16" x14ac:dyDescent="0.25">
      <c r="A208" t="s">
        <v>215</v>
      </c>
      <c r="B208" s="117">
        <v>2144</v>
      </c>
      <c r="C208" s="117">
        <v>2372</v>
      </c>
      <c r="D208" s="141">
        <v>2120</v>
      </c>
      <c r="E208" s="117">
        <v>2491</v>
      </c>
      <c r="F208">
        <v>12.5</v>
      </c>
      <c r="G208" s="162">
        <v>3.05</v>
      </c>
      <c r="H208" s="164">
        <v>69974</v>
      </c>
      <c r="I208" s="161">
        <v>278894626</v>
      </c>
      <c r="J208"/>
      <c r="K208" s="125" t="s">
        <v>279</v>
      </c>
      <c r="L208" s="126" t="s">
        <v>692</v>
      </c>
      <c r="M208" s="127">
        <v>2</v>
      </c>
      <c r="N208" s="126" t="s">
        <v>692</v>
      </c>
      <c r="O208" s="131" t="s">
        <v>692</v>
      </c>
      <c r="P208" s="127"/>
    </row>
    <row r="209" spans="1:16" x14ac:dyDescent="0.25">
      <c r="A209" t="s">
        <v>216</v>
      </c>
      <c r="B209" s="117">
        <v>1434</v>
      </c>
      <c r="C209" s="117">
        <v>1730</v>
      </c>
      <c r="D209" s="141">
        <v>1240</v>
      </c>
      <c r="E209" s="117">
        <v>1444</v>
      </c>
      <c r="F209">
        <v>1.8</v>
      </c>
      <c r="G209" s="162">
        <v>3.45</v>
      </c>
      <c r="H209" s="164">
        <v>75163</v>
      </c>
      <c r="I209" s="161">
        <v>315899276</v>
      </c>
      <c r="J209"/>
      <c r="K209" s="125" t="s">
        <v>280</v>
      </c>
      <c r="L209" s="126" t="s">
        <v>692</v>
      </c>
      <c r="M209" s="127">
        <v>4</v>
      </c>
      <c r="N209" s="126" t="s">
        <v>692</v>
      </c>
      <c r="O209" s="131" t="s">
        <v>692</v>
      </c>
      <c r="P209" s="127"/>
    </row>
    <row r="210" spans="1:16" x14ac:dyDescent="0.25">
      <c r="A210" t="s">
        <v>217</v>
      </c>
      <c r="B210" s="117">
        <v>66362</v>
      </c>
      <c r="C210" s="117">
        <v>71962</v>
      </c>
      <c r="D210" s="141">
        <v>67400</v>
      </c>
      <c r="E210" s="117">
        <v>77561</v>
      </c>
      <c r="F210">
        <v>10.1</v>
      </c>
      <c r="G210" s="162">
        <v>3.31</v>
      </c>
      <c r="H210" s="164">
        <v>71386</v>
      </c>
      <c r="I210" s="161">
        <v>7675053043</v>
      </c>
      <c r="J210"/>
      <c r="K210" s="125" t="s">
        <v>281</v>
      </c>
      <c r="L210" s="126" t="s">
        <v>692</v>
      </c>
      <c r="M210" s="127">
        <v>3</v>
      </c>
      <c r="N210" s="126" t="s">
        <v>692</v>
      </c>
      <c r="O210" s="131" t="s">
        <v>692</v>
      </c>
      <c r="P210" s="127"/>
    </row>
    <row r="211" spans="1:16" x14ac:dyDescent="0.25">
      <c r="A211" t="s">
        <v>218</v>
      </c>
      <c r="B211" s="117">
        <v>3980</v>
      </c>
      <c r="C211" s="117">
        <v>4221</v>
      </c>
      <c r="D211" s="141">
        <v>4164</v>
      </c>
      <c r="E211" s="117">
        <v>4297</v>
      </c>
      <c r="F211">
        <v>21.6</v>
      </c>
      <c r="G211" s="162">
        <v>3.28</v>
      </c>
      <c r="H211" s="164">
        <v>43991</v>
      </c>
      <c r="I211" s="161">
        <v>1037944566</v>
      </c>
      <c r="J211"/>
      <c r="K211" s="125" t="s">
        <v>283</v>
      </c>
      <c r="L211" s="126" t="s">
        <v>692</v>
      </c>
      <c r="M211" s="127">
        <v>2</v>
      </c>
      <c r="N211" s="126" t="s">
        <v>692</v>
      </c>
      <c r="O211" s="131" t="s">
        <v>692</v>
      </c>
      <c r="P211" s="127"/>
    </row>
    <row r="212" spans="1:16" x14ac:dyDescent="0.25">
      <c r="A212" t="s">
        <v>219</v>
      </c>
      <c r="B212" s="117">
        <v>2260</v>
      </c>
      <c r="C212" s="117">
        <v>2562</v>
      </c>
      <c r="D212" s="141">
        <v>2360</v>
      </c>
      <c r="E212" s="117">
        <v>2904</v>
      </c>
      <c r="F212">
        <v>10.8</v>
      </c>
      <c r="G212" s="162">
        <v>3.31</v>
      </c>
      <c r="H212" s="164">
        <v>64053</v>
      </c>
      <c r="I212" s="161">
        <v>185338180</v>
      </c>
      <c r="J212"/>
      <c r="K212" s="125" t="s">
        <v>284</v>
      </c>
      <c r="L212" s="126" t="s">
        <v>693</v>
      </c>
      <c r="M212" s="127">
        <v>6</v>
      </c>
      <c r="N212" s="126" t="s">
        <v>692</v>
      </c>
      <c r="O212" s="131" t="s">
        <v>692</v>
      </c>
      <c r="P212" s="127"/>
    </row>
    <row r="213" spans="1:16" x14ac:dyDescent="0.25">
      <c r="A213" t="s">
        <v>220</v>
      </c>
      <c r="B213" s="117">
        <v>1798</v>
      </c>
      <c r="C213" s="117">
        <v>1129</v>
      </c>
      <c r="D213" s="141">
        <v>1194</v>
      </c>
      <c r="E213" s="117">
        <v>1225</v>
      </c>
      <c r="F213">
        <v>19</v>
      </c>
      <c r="G213" s="162">
        <v>3.52</v>
      </c>
      <c r="H213" s="164">
        <v>53942</v>
      </c>
      <c r="I213" s="161">
        <v>69504070</v>
      </c>
      <c r="J213"/>
      <c r="K213" s="128" t="s">
        <v>285</v>
      </c>
      <c r="L213" s="126" t="s">
        <v>692</v>
      </c>
      <c r="M213" s="127">
        <v>7</v>
      </c>
      <c r="N213" s="126" t="s">
        <v>692</v>
      </c>
      <c r="O213" s="131" t="s">
        <v>692</v>
      </c>
      <c r="P213" s="127"/>
    </row>
    <row r="214" spans="1:16" x14ac:dyDescent="0.25">
      <c r="A214" t="s">
        <v>221</v>
      </c>
      <c r="B214" s="117">
        <v>948</v>
      </c>
      <c r="C214" s="117">
        <v>948</v>
      </c>
      <c r="D214" s="141">
        <v>1209</v>
      </c>
      <c r="E214" s="117">
        <v>1190</v>
      </c>
      <c r="F214">
        <v>31.9</v>
      </c>
      <c r="G214" s="162">
        <v>3.68</v>
      </c>
      <c r="H214" s="164">
        <v>41477</v>
      </c>
      <c r="I214" s="161">
        <v>61503161</v>
      </c>
      <c r="J214"/>
      <c r="K214" s="125" t="s">
        <v>286</v>
      </c>
      <c r="L214" s="126" t="s">
        <v>692</v>
      </c>
      <c r="M214" s="127">
        <v>5</v>
      </c>
      <c r="N214" s="126" t="s">
        <v>692</v>
      </c>
      <c r="O214" s="131" t="s">
        <v>692</v>
      </c>
      <c r="P214" s="127"/>
    </row>
    <row r="215" spans="1:16" x14ac:dyDescent="0.25">
      <c r="A215" t="s">
        <v>222</v>
      </c>
      <c r="B215" s="117">
        <v>27426</v>
      </c>
      <c r="C215" s="117">
        <v>37749</v>
      </c>
      <c r="D215" s="141">
        <v>33006</v>
      </c>
      <c r="E215" s="117">
        <v>41010</v>
      </c>
      <c r="F215">
        <v>8.8000000000000007</v>
      </c>
      <c r="G215" s="162">
        <v>3</v>
      </c>
      <c r="H215" s="164">
        <v>111447</v>
      </c>
      <c r="I215" s="161">
        <v>6470989767</v>
      </c>
      <c r="J215"/>
      <c r="K215" s="125" t="s">
        <v>287</v>
      </c>
      <c r="L215" s="126" t="s">
        <v>692</v>
      </c>
      <c r="M215" s="127">
        <v>5</v>
      </c>
      <c r="N215" s="126" t="s">
        <v>692</v>
      </c>
      <c r="O215" s="131" t="s">
        <v>692</v>
      </c>
      <c r="P215" s="127"/>
    </row>
    <row r="216" spans="1:16" x14ac:dyDescent="0.25">
      <c r="A216" t="s">
        <v>223</v>
      </c>
      <c r="B216" s="117">
        <v>3987</v>
      </c>
      <c r="C216" s="117">
        <v>3701</v>
      </c>
      <c r="D216" s="141">
        <v>3730</v>
      </c>
      <c r="E216" s="117">
        <v>3735</v>
      </c>
      <c r="F216">
        <v>17.3</v>
      </c>
      <c r="G216" s="162">
        <v>3.26</v>
      </c>
      <c r="H216" s="164">
        <v>55977</v>
      </c>
      <c r="I216" s="161"/>
      <c r="J216"/>
      <c r="K216" s="125" t="s">
        <v>289</v>
      </c>
      <c r="L216" s="126" t="s">
        <v>692</v>
      </c>
      <c r="M216" s="127">
        <v>1</v>
      </c>
      <c r="N216" s="126" t="s">
        <v>692</v>
      </c>
      <c r="O216" s="131" t="s">
        <v>692</v>
      </c>
      <c r="P216" s="127"/>
    </row>
    <row r="217" spans="1:16" x14ac:dyDescent="0.25">
      <c r="A217" t="s">
        <v>224</v>
      </c>
      <c r="B217" s="117">
        <v>905</v>
      </c>
      <c r="C217" s="117">
        <v>914</v>
      </c>
      <c r="D217" s="141">
        <v>599</v>
      </c>
      <c r="E217" s="117">
        <v>594</v>
      </c>
      <c r="F217">
        <v>28.4</v>
      </c>
      <c r="G217" s="162">
        <v>3.89</v>
      </c>
      <c r="H217" s="164">
        <v>58938</v>
      </c>
      <c r="I217" s="161">
        <v>29005366</v>
      </c>
      <c r="J217"/>
      <c r="K217" s="125" t="s">
        <v>290</v>
      </c>
      <c r="L217" s="126" t="s">
        <v>693</v>
      </c>
      <c r="M217" s="127">
        <v>5</v>
      </c>
      <c r="N217" s="126" t="s">
        <v>692</v>
      </c>
      <c r="O217" s="131" t="s">
        <v>692</v>
      </c>
      <c r="P217" s="127"/>
    </row>
    <row r="218" spans="1:16" x14ac:dyDescent="0.25">
      <c r="A218" t="s">
        <v>225</v>
      </c>
      <c r="B218" s="117">
        <v>29462</v>
      </c>
      <c r="C218" s="117">
        <v>32543</v>
      </c>
      <c r="D218" s="141">
        <v>30666</v>
      </c>
      <c r="E218" s="117">
        <v>38206</v>
      </c>
      <c r="F218">
        <v>7.3</v>
      </c>
      <c r="G218" s="162">
        <v>3</v>
      </c>
      <c r="H218" s="164">
        <v>77496</v>
      </c>
      <c r="I218" s="161">
        <v>5889999850</v>
      </c>
      <c r="J218"/>
      <c r="K218" s="125" t="s">
        <v>292</v>
      </c>
      <c r="L218" s="126" t="s">
        <v>693</v>
      </c>
      <c r="M218" s="127">
        <v>4</v>
      </c>
      <c r="N218" s="126" t="s">
        <v>692</v>
      </c>
      <c r="O218" s="131" t="s">
        <v>692</v>
      </c>
      <c r="P218" s="127"/>
    </row>
    <row r="219" spans="1:16" x14ac:dyDescent="0.25">
      <c r="A219" t="s">
        <v>226</v>
      </c>
      <c r="B219" s="117">
        <v>880</v>
      </c>
      <c r="C219" s="117">
        <v>636</v>
      </c>
      <c r="D219" s="141">
        <v>926</v>
      </c>
      <c r="E219" s="117">
        <v>856</v>
      </c>
      <c r="F219">
        <v>16.7</v>
      </c>
      <c r="G219" s="162">
        <v>4.67</v>
      </c>
      <c r="H219" s="164">
        <v>37500</v>
      </c>
      <c r="I219" s="161">
        <v>104590099</v>
      </c>
      <c r="J219"/>
      <c r="K219" s="125" t="s">
        <v>295</v>
      </c>
      <c r="L219" s="126" t="s">
        <v>693</v>
      </c>
      <c r="M219" s="127">
        <v>7</v>
      </c>
      <c r="N219" s="126" t="s">
        <v>692</v>
      </c>
      <c r="O219" s="131" t="s">
        <v>692</v>
      </c>
      <c r="P219" s="127"/>
    </row>
    <row r="220" spans="1:16" x14ac:dyDescent="0.25">
      <c r="A220" t="s">
        <v>227</v>
      </c>
      <c r="B220" s="117">
        <v>219271</v>
      </c>
      <c r="C220" s="117">
        <v>231485</v>
      </c>
      <c r="D220" s="141">
        <v>226101</v>
      </c>
      <c r="E220" s="117">
        <v>240820</v>
      </c>
      <c r="F220">
        <v>12.8</v>
      </c>
      <c r="G220" s="162">
        <v>3.51</v>
      </c>
      <c r="H220" s="164">
        <v>65472</v>
      </c>
      <c r="I220" s="161">
        <v>33174235713</v>
      </c>
      <c r="J220"/>
      <c r="K220" s="125" t="s">
        <v>300</v>
      </c>
      <c r="L220" s="126" t="s">
        <v>693</v>
      </c>
      <c r="M220" s="127">
        <v>2</v>
      </c>
      <c r="N220" s="126" t="s">
        <v>692</v>
      </c>
      <c r="O220" s="131" t="s">
        <v>692</v>
      </c>
      <c r="P220" s="127"/>
    </row>
    <row r="221" spans="1:16" x14ac:dyDescent="0.25">
      <c r="A221" t="s">
        <v>228</v>
      </c>
      <c r="B221" s="117">
        <v>1358</v>
      </c>
      <c r="C221" s="117">
        <v>864</v>
      </c>
      <c r="D221" s="141">
        <v>1031</v>
      </c>
      <c r="E221" s="117">
        <v>962</v>
      </c>
      <c r="F221">
        <v>22.6</v>
      </c>
      <c r="G221" s="162">
        <v>4.67</v>
      </c>
      <c r="H221" s="164">
        <v>41250</v>
      </c>
      <c r="I221" s="161">
        <v>54472074</v>
      </c>
      <c r="J221"/>
      <c r="K221" s="125" t="s">
        <v>301</v>
      </c>
      <c r="L221" s="126" t="s">
        <v>692</v>
      </c>
      <c r="M221" s="127">
        <v>3</v>
      </c>
      <c r="N221" s="126" t="s">
        <v>692</v>
      </c>
      <c r="O221" s="131" t="s">
        <v>692</v>
      </c>
      <c r="P221" s="127"/>
    </row>
    <row r="222" spans="1:16" x14ac:dyDescent="0.25">
      <c r="A222" t="s">
        <v>229</v>
      </c>
      <c r="B222" s="117">
        <v>75887</v>
      </c>
      <c r="C222" s="117">
        <v>81632</v>
      </c>
      <c r="D222" s="141">
        <v>79725</v>
      </c>
      <c r="E222" s="117">
        <v>83983</v>
      </c>
      <c r="F222">
        <v>14.3</v>
      </c>
      <c r="G222" s="162">
        <v>3.51</v>
      </c>
      <c r="H222" s="164">
        <v>60554</v>
      </c>
      <c r="I222" s="161">
        <v>11204324025</v>
      </c>
      <c r="J222"/>
      <c r="K222" s="125" t="s">
        <v>302</v>
      </c>
      <c r="L222" s="126" t="s">
        <v>692</v>
      </c>
      <c r="M222" s="127">
        <v>2</v>
      </c>
      <c r="N222" s="126" t="s">
        <v>692</v>
      </c>
      <c r="O222" s="131" t="s">
        <v>692</v>
      </c>
      <c r="P222" s="127"/>
    </row>
    <row r="223" spans="1:16" x14ac:dyDescent="0.25">
      <c r="A223" t="s">
        <v>230</v>
      </c>
      <c r="B223" s="117">
        <v>11548</v>
      </c>
      <c r="C223" s="117">
        <v>10437</v>
      </c>
      <c r="D223" s="141">
        <v>10686</v>
      </c>
      <c r="E223" s="117">
        <v>10297</v>
      </c>
      <c r="F223">
        <v>11.8</v>
      </c>
      <c r="G223" s="162">
        <v>3.58</v>
      </c>
      <c r="H223" s="164">
        <v>61612</v>
      </c>
      <c r="I223" s="161">
        <v>1018689426</v>
      </c>
      <c r="J223"/>
      <c r="K223" s="125" t="s">
        <v>303</v>
      </c>
      <c r="L223" s="126" t="s">
        <v>693</v>
      </c>
      <c r="M223" s="127">
        <v>3</v>
      </c>
      <c r="N223" s="126" t="s">
        <v>692</v>
      </c>
      <c r="O223" s="131" t="s">
        <v>692</v>
      </c>
      <c r="P223" s="127"/>
    </row>
    <row r="224" spans="1:16" x14ac:dyDescent="0.25">
      <c r="A224" t="s">
        <v>231</v>
      </c>
      <c r="B224" s="117">
        <v>275</v>
      </c>
      <c r="C224" s="117">
        <v>310</v>
      </c>
      <c r="D224" s="141">
        <v>273</v>
      </c>
      <c r="E224" s="117">
        <v>261</v>
      </c>
      <c r="F224">
        <v>0</v>
      </c>
      <c r="G224" s="162">
        <v>3.58</v>
      </c>
      <c r="H224" s="164">
        <v>66563</v>
      </c>
      <c r="I224" s="161">
        <v>35620078</v>
      </c>
      <c r="J224"/>
      <c r="K224" s="125" t="s">
        <v>304</v>
      </c>
      <c r="L224" s="126" t="s">
        <v>692</v>
      </c>
      <c r="M224" s="127">
        <v>4</v>
      </c>
      <c r="N224" s="126" t="s">
        <v>692</v>
      </c>
      <c r="O224" s="131" t="s">
        <v>692</v>
      </c>
      <c r="P224" s="127"/>
    </row>
    <row r="225" spans="1:16" x14ac:dyDescent="0.25">
      <c r="A225" t="s">
        <v>232</v>
      </c>
      <c r="B225" s="117">
        <v>471</v>
      </c>
      <c r="C225" s="117">
        <v>752</v>
      </c>
      <c r="D225" s="141">
        <v>457</v>
      </c>
      <c r="E225" s="117">
        <v>443</v>
      </c>
      <c r="F225">
        <v>49.3</v>
      </c>
      <c r="G225" s="162">
        <v>5.32</v>
      </c>
      <c r="H225" s="164">
        <v>27649</v>
      </c>
      <c r="I225" s="161">
        <v>17792778</v>
      </c>
      <c r="J225"/>
      <c r="K225" s="125" t="s">
        <v>305</v>
      </c>
      <c r="L225" s="126" t="s">
        <v>692</v>
      </c>
      <c r="M225" s="127">
        <v>2</v>
      </c>
      <c r="N225" s="126" t="s">
        <v>692</v>
      </c>
      <c r="O225" s="131" t="s">
        <v>692</v>
      </c>
      <c r="P225" s="127"/>
    </row>
    <row r="226" spans="1:16" x14ac:dyDescent="0.25">
      <c r="A226" t="s">
        <v>233</v>
      </c>
      <c r="B226" s="117">
        <v>7127</v>
      </c>
      <c r="C226" s="117">
        <v>9289</v>
      </c>
      <c r="D226" s="141">
        <v>8718</v>
      </c>
      <c r="E226" s="117">
        <v>9544</v>
      </c>
      <c r="F226">
        <v>8.4</v>
      </c>
      <c r="G226" s="162">
        <v>3.72</v>
      </c>
      <c r="H226" s="164">
        <v>105981</v>
      </c>
      <c r="I226" s="161">
        <v>1098444015</v>
      </c>
      <c r="J226"/>
      <c r="K226" s="125" t="s">
        <v>306</v>
      </c>
      <c r="L226" s="126" t="s">
        <v>692</v>
      </c>
      <c r="M226" s="127">
        <v>3</v>
      </c>
      <c r="N226" s="126" t="s">
        <v>692</v>
      </c>
      <c r="O226" s="131" t="s">
        <v>692</v>
      </c>
      <c r="P226" s="127"/>
    </row>
    <row r="227" spans="1:16" x14ac:dyDescent="0.25">
      <c r="A227" t="s">
        <v>234</v>
      </c>
      <c r="B227" s="117">
        <v>1658</v>
      </c>
      <c r="C227" s="117">
        <v>1995</v>
      </c>
      <c r="D227" s="141">
        <v>1534</v>
      </c>
      <c r="E227" s="117">
        <v>1567</v>
      </c>
      <c r="F227">
        <v>13.2</v>
      </c>
      <c r="G227" s="162">
        <v>3.29</v>
      </c>
      <c r="H227" s="164">
        <v>62917</v>
      </c>
      <c r="I227" s="161">
        <v>146852673</v>
      </c>
      <c r="J227"/>
      <c r="K227" s="125" t="s">
        <v>307</v>
      </c>
      <c r="L227" s="126" t="s">
        <v>693</v>
      </c>
      <c r="M227" s="127">
        <v>3</v>
      </c>
      <c r="N227" s="126" t="s">
        <v>692</v>
      </c>
      <c r="O227" s="131" t="s">
        <v>692</v>
      </c>
      <c r="P227" s="127"/>
    </row>
    <row r="228" spans="1:16" x14ac:dyDescent="0.25">
      <c r="A228" t="s">
        <v>235</v>
      </c>
      <c r="B228" s="117">
        <v>93</v>
      </c>
      <c r="C228" s="117">
        <v>170</v>
      </c>
      <c r="D228" s="141">
        <v>128</v>
      </c>
      <c r="E228" s="117">
        <v>158</v>
      </c>
      <c r="F228">
        <v>17.100000000000001</v>
      </c>
      <c r="G228" s="162">
        <v>4.46</v>
      </c>
      <c r="H228" s="164"/>
      <c r="I228" s="161">
        <v>10604727</v>
      </c>
      <c r="J228"/>
      <c r="K228" s="125" t="s">
        <v>308</v>
      </c>
      <c r="L228" s="126" t="s">
        <v>692</v>
      </c>
      <c r="M228" s="127">
        <v>5</v>
      </c>
      <c r="N228" s="126" t="s">
        <v>692</v>
      </c>
      <c r="O228" s="131" t="s">
        <v>692</v>
      </c>
      <c r="P228" s="127"/>
    </row>
    <row r="229" spans="1:16" x14ac:dyDescent="0.25">
      <c r="A229" t="s">
        <v>236</v>
      </c>
      <c r="B229" s="117">
        <v>34647</v>
      </c>
      <c r="C229" s="117">
        <v>33448</v>
      </c>
      <c r="D229" s="141">
        <v>33584</v>
      </c>
      <c r="E229" s="117">
        <v>34239</v>
      </c>
      <c r="F229">
        <v>20.8</v>
      </c>
      <c r="G229" s="162">
        <v>3.68</v>
      </c>
      <c r="H229" s="164">
        <v>47005</v>
      </c>
      <c r="I229" s="161">
        <v>2643454206</v>
      </c>
      <c r="J229"/>
      <c r="K229" s="125" t="s">
        <v>309</v>
      </c>
      <c r="L229" s="126" t="s">
        <v>692</v>
      </c>
      <c r="M229" s="127">
        <v>2</v>
      </c>
      <c r="N229" s="126" t="s">
        <v>692</v>
      </c>
      <c r="O229" s="131" t="s">
        <v>692</v>
      </c>
      <c r="P229" s="127"/>
    </row>
    <row r="230" spans="1:16" x14ac:dyDescent="0.25">
      <c r="A230" t="s">
        <v>237</v>
      </c>
      <c r="B230" s="117">
        <v>245</v>
      </c>
      <c r="C230" s="117">
        <v>367</v>
      </c>
      <c r="D230" s="141">
        <v>236</v>
      </c>
      <c r="E230" s="117">
        <v>243</v>
      </c>
      <c r="F230">
        <v>0.3</v>
      </c>
      <c r="G230" s="162">
        <v>3.06</v>
      </c>
      <c r="H230" s="164">
        <v>39592</v>
      </c>
      <c r="I230" s="161">
        <v>38033673</v>
      </c>
      <c r="J230"/>
      <c r="K230" s="125" t="s">
        <v>311</v>
      </c>
      <c r="L230" s="126" t="s">
        <v>692</v>
      </c>
      <c r="M230" s="127">
        <v>2</v>
      </c>
      <c r="N230" s="126" t="s">
        <v>692</v>
      </c>
      <c r="O230" s="131" t="s">
        <v>692</v>
      </c>
      <c r="P230" s="127"/>
    </row>
    <row r="231" spans="1:16" x14ac:dyDescent="0.25">
      <c r="A231" t="s">
        <v>239</v>
      </c>
      <c r="B231" s="117">
        <v>8509</v>
      </c>
      <c r="C231" s="117">
        <v>8041</v>
      </c>
      <c r="D231" s="141">
        <v>8043</v>
      </c>
      <c r="E231" s="117">
        <v>7985</v>
      </c>
      <c r="F231">
        <v>8.6999999999999993</v>
      </c>
      <c r="G231" s="162">
        <v>3.52</v>
      </c>
      <c r="H231" s="164">
        <v>49038</v>
      </c>
      <c r="I231" s="161">
        <v>1683164021</v>
      </c>
      <c r="J231"/>
      <c r="K231" s="125" t="s">
        <v>312</v>
      </c>
      <c r="L231" s="126" t="s">
        <v>693</v>
      </c>
      <c r="M231" s="127">
        <v>3</v>
      </c>
      <c r="N231" s="126" t="s">
        <v>692</v>
      </c>
      <c r="O231" s="131" t="s">
        <v>692</v>
      </c>
      <c r="P231" s="127"/>
    </row>
    <row r="232" spans="1:16" x14ac:dyDescent="0.25">
      <c r="A232" t="s">
        <v>240</v>
      </c>
      <c r="B232" s="117">
        <v>14925</v>
      </c>
      <c r="C232" s="117">
        <v>17537</v>
      </c>
      <c r="D232" s="141">
        <v>16747</v>
      </c>
      <c r="E232" s="117">
        <v>20329</v>
      </c>
      <c r="F232">
        <v>18.100000000000001</v>
      </c>
      <c r="G232" s="162">
        <v>3.49</v>
      </c>
      <c r="H232" s="164">
        <v>54783</v>
      </c>
      <c r="I232" s="161">
        <v>2348114373</v>
      </c>
      <c r="J232"/>
      <c r="K232" s="125" t="s">
        <v>314</v>
      </c>
      <c r="L232" s="126" t="s">
        <v>692</v>
      </c>
      <c r="M232" s="127">
        <v>3</v>
      </c>
      <c r="N232" s="126" t="s">
        <v>692</v>
      </c>
      <c r="O232" s="131" t="s">
        <v>692</v>
      </c>
      <c r="P232" s="127"/>
    </row>
    <row r="233" spans="1:16" x14ac:dyDescent="0.25">
      <c r="A233" t="s">
        <v>241</v>
      </c>
      <c r="B233" s="117" t="s">
        <v>853</v>
      </c>
      <c r="C233" s="117">
        <v>25</v>
      </c>
      <c r="D233" s="141">
        <v>85</v>
      </c>
      <c r="E233" s="117">
        <v>101</v>
      </c>
      <c r="F233">
        <v>0</v>
      </c>
      <c r="G233" s="162">
        <v>3.27</v>
      </c>
      <c r="H233" s="164">
        <v>195625</v>
      </c>
      <c r="I233" s="161"/>
      <c r="J233"/>
      <c r="K233" s="125" t="s">
        <v>315</v>
      </c>
      <c r="L233" s="126" t="s">
        <v>692</v>
      </c>
      <c r="M233" s="127">
        <v>2</v>
      </c>
      <c r="N233" s="126" t="s">
        <v>692</v>
      </c>
      <c r="O233" s="131" t="s">
        <v>692</v>
      </c>
      <c r="P233" s="127"/>
    </row>
    <row r="234" spans="1:16" x14ac:dyDescent="0.25">
      <c r="A234" t="s">
        <v>242</v>
      </c>
      <c r="B234" s="117">
        <v>4628</v>
      </c>
      <c r="C234" s="117">
        <v>4921</v>
      </c>
      <c r="D234" s="141">
        <v>4906</v>
      </c>
      <c r="E234" s="117">
        <v>5100</v>
      </c>
      <c r="F234">
        <v>15.1</v>
      </c>
      <c r="G234" s="162">
        <v>3.26</v>
      </c>
      <c r="H234" s="164">
        <v>74250</v>
      </c>
      <c r="I234" s="161">
        <v>542241519</v>
      </c>
      <c r="J234"/>
      <c r="K234" s="125" t="s">
        <v>316</v>
      </c>
      <c r="L234" s="126" t="s">
        <v>692</v>
      </c>
      <c r="M234" s="127">
        <v>6</v>
      </c>
      <c r="N234" s="126" t="s">
        <v>692</v>
      </c>
      <c r="O234" s="131" t="s">
        <v>692</v>
      </c>
      <c r="P234" s="127"/>
    </row>
    <row r="235" spans="1:16" x14ac:dyDescent="0.25">
      <c r="A235" t="s">
        <v>243</v>
      </c>
      <c r="B235" s="117">
        <v>2989</v>
      </c>
      <c r="C235" s="117">
        <v>3015</v>
      </c>
      <c r="D235" s="141">
        <v>2976</v>
      </c>
      <c r="E235" s="117">
        <v>3189</v>
      </c>
      <c r="F235">
        <v>11.7</v>
      </c>
      <c r="G235" s="162">
        <v>3.43</v>
      </c>
      <c r="H235" s="164">
        <v>53072</v>
      </c>
      <c r="I235" s="161">
        <v>422118979</v>
      </c>
      <c r="J235"/>
      <c r="K235" s="125" t="s">
        <v>317</v>
      </c>
      <c r="L235" s="126" t="s">
        <v>693</v>
      </c>
      <c r="M235" s="127">
        <v>7</v>
      </c>
      <c r="N235" s="126" t="s">
        <v>692</v>
      </c>
      <c r="O235" s="131" t="s">
        <v>693</v>
      </c>
      <c r="P235" s="127"/>
    </row>
    <row r="236" spans="1:16" x14ac:dyDescent="0.25">
      <c r="A236" t="s">
        <v>244</v>
      </c>
      <c r="B236" s="117">
        <v>609</v>
      </c>
      <c r="C236" s="117">
        <v>698</v>
      </c>
      <c r="D236" s="141">
        <v>690</v>
      </c>
      <c r="E236" s="117">
        <v>709</v>
      </c>
      <c r="F236">
        <v>17.100000000000001</v>
      </c>
      <c r="G236" s="162">
        <v>3.68</v>
      </c>
      <c r="H236" s="164">
        <v>62292</v>
      </c>
      <c r="I236" s="161">
        <v>71417850</v>
      </c>
      <c r="J236"/>
      <c r="K236" s="125" t="s">
        <v>318</v>
      </c>
      <c r="L236" s="126" t="s">
        <v>692</v>
      </c>
      <c r="M236" s="127">
        <v>3</v>
      </c>
      <c r="N236" s="126" t="s">
        <v>692</v>
      </c>
      <c r="O236" s="131" t="s">
        <v>692</v>
      </c>
      <c r="P236" s="127"/>
    </row>
    <row r="237" spans="1:16" x14ac:dyDescent="0.25">
      <c r="A237" t="s">
        <v>245</v>
      </c>
      <c r="B237" s="117">
        <v>59328</v>
      </c>
      <c r="C237" s="117">
        <v>61439</v>
      </c>
      <c r="D237" s="141">
        <v>60879</v>
      </c>
      <c r="E237" s="117">
        <v>62174</v>
      </c>
      <c r="F237">
        <v>14.1</v>
      </c>
      <c r="G237" s="162">
        <v>3.41</v>
      </c>
      <c r="H237" s="164">
        <v>70975</v>
      </c>
      <c r="I237" s="161">
        <v>5417841243</v>
      </c>
      <c r="J237"/>
      <c r="K237" s="125" t="s">
        <v>322</v>
      </c>
      <c r="L237" s="126" t="s">
        <v>692</v>
      </c>
      <c r="M237" s="127">
        <v>1</v>
      </c>
      <c r="N237" s="126" t="s">
        <v>692</v>
      </c>
      <c r="O237" s="131" t="s">
        <v>692</v>
      </c>
      <c r="P237" s="127"/>
    </row>
    <row r="238" spans="1:16" x14ac:dyDescent="0.25">
      <c r="A238" t="s">
        <v>246</v>
      </c>
      <c r="B238" s="117">
        <v>2129</v>
      </c>
      <c r="C238" s="117">
        <v>3179</v>
      </c>
      <c r="D238" s="141">
        <v>2968</v>
      </c>
      <c r="E238" s="117">
        <v>3403</v>
      </c>
      <c r="F238">
        <v>18</v>
      </c>
      <c r="G238" s="162">
        <v>3.49</v>
      </c>
      <c r="H238" s="164">
        <v>54020</v>
      </c>
      <c r="I238" s="161">
        <v>212829307</v>
      </c>
      <c r="J238"/>
      <c r="K238" s="125" t="s">
        <v>323</v>
      </c>
      <c r="L238" s="126" t="s">
        <v>692</v>
      </c>
      <c r="M238" s="127">
        <v>4</v>
      </c>
      <c r="N238" s="126" t="s">
        <v>692</v>
      </c>
      <c r="O238" s="131" t="s">
        <v>692</v>
      </c>
      <c r="P238" s="127"/>
    </row>
    <row r="239" spans="1:16" x14ac:dyDescent="0.25">
      <c r="A239" t="s">
        <v>247</v>
      </c>
      <c r="B239" s="117">
        <v>21033</v>
      </c>
      <c r="C239" s="117">
        <v>20421</v>
      </c>
      <c r="D239" s="141">
        <v>20502</v>
      </c>
      <c r="E239" s="117">
        <v>20153</v>
      </c>
      <c r="F239">
        <v>22.4</v>
      </c>
      <c r="G239" s="162">
        <v>3.04</v>
      </c>
      <c r="H239" s="164">
        <v>50904</v>
      </c>
      <c r="I239" s="161">
        <v>1376341559</v>
      </c>
      <c r="J239"/>
      <c r="K239" s="125" t="s">
        <v>324</v>
      </c>
      <c r="L239" s="126" t="s">
        <v>693</v>
      </c>
      <c r="M239" s="127">
        <v>6</v>
      </c>
      <c r="N239" s="126" t="s">
        <v>692</v>
      </c>
      <c r="O239" s="131" t="s">
        <v>692</v>
      </c>
      <c r="P239" s="127"/>
    </row>
    <row r="240" spans="1:16" x14ac:dyDescent="0.25">
      <c r="A240" t="s">
        <v>248</v>
      </c>
      <c r="B240" s="117">
        <v>666</v>
      </c>
      <c r="C240" s="117">
        <v>657</v>
      </c>
      <c r="D240" s="141">
        <v>573</v>
      </c>
      <c r="E240" s="117">
        <v>580</v>
      </c>
      <c r="F240">
        <v>38.799999999999997</v>
      </c>
      <c r="G240" s="162">
        <v>3.32</v>
      </c>
      <c r="H240" s="164">
        <v>14394</v>
      </c>
      <c r="I240" s="161">
        <v>22765491</v>
      </c>
      <c r="J240"/>
      <c r="K240" s="125" t="s">
        <v>326</v>
      </c>
      <c r="L240" s="126" t="s">
        <v>692</v>
      </c>
      <c r="M240" s="127">
        <v>3</v>
      </c>
      <c r="N240" s="126" t="s">
        <v>692</v>
      </c>
      <c r="O240" s="131" t="s">
        <v>692</v>
      </c>
      <c r="P240" s="127"/>
    </row>
    <row r="241" spans="1:16" x14ac:dyDescent="0.25">
      <c r="A241" t="s">
        <v>249</v>
      </c>
      <c r="B241" s="117">
        <v>291303</v>
      </c>
      <c r="C241" s="117">
        <v>298564</v>
      </c>
      <c r="D241" s="141">
        <v>297231</v>
      </c>
      <c r="E241" s="117">
        <v>302734</v>
      </c>
      <c r="F241">
        <v>18.399999999999999</v>
      </c>
      <c r="G241" s="162">
        <v>3.95</v>
      </c>
      <c r="H241" s="164">
        <v>58884</v>
      </c>
      <c r="I241" s="161">
        <v>38568421370</v>
      </c>
      <c r="J241"/>
      <c r="K241" s="125" t="s">
        <v>327</v>
      </c>
      <c r="L241" s="126" t="s">
        <v>692</v>
      </c>
      <c r="M241" s="127">
        <v>6</v>
      </c>
      <c r="N241" s="126" t="s">
        <v>692</v>
      </c>
      <c r="O241" s="131" t="s">
        <v>692</v>
      </c>
      <c r="P241" s="127"/>
    </row>
    <row r="242" spans="1:16" x14ac:dyDescent="0.25">
      <c r="A242" t="s">
        <v>251</v>
      </c>
      <c r="B242" s="117">
        <v>91921</v>
      </c>
      <c r="C242" s="117">
        <v>88540</v>
      </c>
      <c r="D242" s="141">
        <v>86824</v>
      </c>
      <c r="E242" s="117">
        <v>92084</v>
      </c>
      <c r="F242">
        <v>24.5</v>
      </c>
      <c r="G242" s="162">
        <v>4.07</v>
      </c>
      <c r="H242" s="164">
        <v>50564</v>
      </c>
      <c r="I242" s="161">
        <v>8255665883</v>
      </c>
      <c r="J242"/>
      <c r="K242" s="125" t="s">
        <v>328</v>
      </c>
      <c r="L242" s="126" t="s">
        <v>692</v>
      </c>
      <c r="M242" s="127">
        <v>8</v>
      </c>
      <c r="N242" s="126" t="s">
        <v>692</v>
      </c>
      <c r="O242" s="131" t="s">
        <v>692</v>
      </c>
      <c r="P242" s="127"/>
    </row>
    <row r="243" spans="1:16" x14ac:dyDescent="0.25">
      <c r="A243" t="s">
        <v>252</v>
      </c>
      <c r="B243" s="117">
        <v>2732</v>
      </c>
      <c r="C243" s="117">
        <v>2661</v>
      </c>
      <c r="D243" s="141">
        <v>2464</v>
      </c>
      <c r="E243" s="117">
        <v>2947</v>
      </c>
      <c r="F243">
        <v>31.3</v>
      </c>
      <c r="G243" s="162">
        <v>3.97</v>
      </c>
      <c r="H243" s="164">
        <v>36664</v>
      </c>
      <c r="I243" s="161">
        <v>127480089</v>
      </c>
      <c r="J243"/>
      <c r="K243" s="125" t="s">
        <v>329</v>
      </c>
      <c r="L243" s="126" t="s">
        <v>693</v>
      </c>
      <c r="M243" s="127">
        <v>7</v>
      </c>
      <c r="N243" s="126" t="s">
        <v>692</v>
      </c>
      <c r="O243" s="131" t="s">
        <v>692</v>
      </c>
      <c r="P243" s="127"/>
    </row>
    <row r="244" spans="1:16" x14ac:dyDescent="0.25">
      <c r="A244" t="s">
        <v>253</v>
      </c>
      <c r="B244" s="117">
        <v>454</v>
      </c>
      <c r="C244" s="117">
        <v>428</v>
      </c>
      <c r="D244" s="141">
        <v>389</v>
      </c>
      <c r="E244" s="117">
        <v>413</v>
      </c>
      <c r="F244">
        <v>27.3</v>
      </c>
      <c r="G244" s="162">
        <v>4.07</v>
      </c>
      <c r="H244" s="164">
        <v>35417</v>
      </c>
      <c r="I244" s="161">
        <v>35451310</v>
      </c>
      <c r="J244"/>
      <c r="K244" s="125" t="s">
        <v>333</v>
      </c>
      <c r="L244" s="126" t="s">
        <v>692</v>
      </c>
      <c r="M244" s="127">
        <v>6</v>
      </c>
      <c r="N244" s="126" t="s">
        <v>692</v>
      </c>
      <c r="O244" s="131" t="s">
        <v>692</v>
      </c>
      <c r="P244" s="127"/>
    </row>
    <row r="245" spans="1:16" x14ac:dyDescent="0.25">
      <c r="A245" t="s">
        <v>254</v>
      </c>
      <c r="B245" s="117">
        <v>638</v>
      </c>
      <c r="C245" s="117">
        <v>602</v>
      </c>
      <c r="D245" s="141">
        <v>789</v>
      </c>
      <c r="E245" s="117">
        <v>818</v>
      </c>
      <c r="F245">
        <v>20.8</v>
      </c>
      <c r="G245" s="162">
        <v>3.84</v>
      </c>
      <c r="H245" s="164">
        <v>36111</v>
      </c>
      <c r="I245" s="161">
        <v>45597855</v>
      </c>
      <c r="J245"/>
      <c r="K245" s="125" t="s">
        <v>334</v>
      </c>
      <c r="L245" s="126" t="s">
        <v>693</v>
      </c>
      <c r="M245" s="127">
        <v>12</v>
      </c>
      <c r="N245" s="126" t="s">
        <v>692</v>
      </c>
      <c r="O245" s="131" t="s">
        <v>692</v>
      </c>
      <c r="P245" s="127"/>
    </row>
    <row r="246" spans="1:16" x14ac:dyDescent="0.25">
      <c r="A246" t="s">
        <v>255</v>
      </c>
      <c r="B246" s="117">
        <v>527868</v>
      </c>
      <c r="C246" s="117">
        <v>542987</v>
      </c>
      <c r="D246" s="141">
        <v>538536</v>
      </c>
      <c r="E246" s="117">
        <v>550202</v>
      </c>
      <c r="F246">
        <v>15.2</v>
      </c>
      <c r="G246" s="162">
        <v>3.95</v>
      </c>
      <c r="H246" s="164">
        <v>66027</v>
      </c>
      <c r="I246" s="161">
        <v>71805898782</v>
      </c>
      <c r="J246"/>
      <c r="K246" s="128" t="s">
        <v>335</v>
      </c>
      <c r="L246" s="126" t="s">
        <v>692</v>
      </c>
      <c r="M246" s="127">
        <v>4</v>
      </c>
      <c r="N246" s="126" t="s">
        <v>692</v>
      </c>
      <c r="O246" s="131" t="s">
        <v>692</v>
      </c>
      <c r="P246" s="127"/>
    </row>
    <row r="247" spans="1:16" x14ac:dyDescent="0.25">
      <c r="A247" t="s">
        <v>256</v>
      </c>
      <c r="B247" s="117">
        <v>51190</v>
      </c>
      <c r="C247" s="117">
        <v>48219</v>
      </c>
      <c r="D247" s="141">
        <v>49173</v>
      </c>
      <c r="E247" s="117">
        <v>46616</v>
      </c>
      <c r="F247">
        <v>25.2</v>
      </c>
      <c r="G247" s="162">
        <v>5.35</v>
      </c>
      <c r="H247" s="164">
        <v>45071</v>
      </c>
      <c r="I247" s="161">
        <v>4317754870</v>
      </c>
      <c r="J247"/>
      <c r="K247" s="125" t="s">
        <v>339</v>
      </c>
      <c r="L247" s="126" t="s">
        <v>692</v>
      </c>
      <c r="M247" s="127">
        <v>1</v>
      </c>
      <c r="N247" s="126" t="s">
        <v>692</v>
      </c>
      <c r="O247" s="131" t="s">
        <v>692</v>
      </c>
      <c r="P247" s="127"/>
    </row>
    <row r="248" spans="1:16" x14ac:dyDescent="0.25">
      <c r="A248" t="s">
        <v>257</v>
      </c>
      <c r="B248" s="117">
        <v>170</v>
      </c>
      <c r="C248" s="117">
        <v>257</v>
      </c>
      <c r="D248" s="141">
        <v>174</v>
      </c>
      <c r="E248" s="117">
        <v>160</v>
      </c>
      <c r="F248">
        <v>6.2</v>
      </c>
      <c r="G248" s="162">
        <v>5.35</v>
      </c>
      <c r="H248" s="164">
        <v>61321</v>
      </c>
      <c r="I248" s="161">
        <v>16475396</v>
      </c>
      <c r="J248"/>
      <c r="K248" s="125" t="s">
        <v>340</v>
      </c>
      <c r="L248" s="126" t="s">
        <v>692</v>
      </c>
      <c r="M248" s="127">
        <v>1</v>
      </c>
      <c r="N248" s="126" t="s">
        <v>692</v>
      </c>
      <c r="O248" s="131" t="s">
        <v>692</v>
      </c>
      <c r="P248" s="127"/>
    </row>
    <row r="249" spans="1:16" x14ac:dyDescent="0.25">
      <c r="A249" t="s">
        <v>258</v>
      </c>
      <c r="B249" s="117">
        <v>275</v>
      </c>
      <c r="C249" s="117">
        <v>183</v>
      </c>
      <c r="D249" s="141">
        <v>314</v>
      </c>
      <c r="E249" s="117">
        <v>291</v>
      </c>
      <c r="F249">
        <v>13.7</v>
      </c>
      <c r="G249" s="162">
        <v>4.03</v>
      </c>
      <c r="H249" s="164">
        <v>40781</v>
      </c>
      <c r="I249" s="161">
        <v>14661059</v>
      </c>
      <c r="J249"/>
      <c r="K249" s="125" t="s">
        <v>342</v>
      </c>
      <c r="L249" s="126" t="s">
        <v>692</v>
      </c>
      <c r="M249" s="127">
        <v>4</v>
      </c>
      <c r="N249" s="126" t="s">
        <v>692</v>
      </c>
      <c r="O249" s="131" t="s">
        <v>692</v>
      </c>
      <c r="P249" s="127"/>
    </row>
    <row r="250" spans="1:16" x14ac:dyDescent="0.25">
      <c r="A250" t="s">
        <v>259</v>
      </c>
      <c r="B250" s="117">
        <v>6331</v>
      </c>
      <c r="C250" s="117">
        <v>6000</v>
      </c>
      <c r="D250" s="141">
        <v>6120</v>
      </c>
      <c r="E250" s="117">
        <v>5880</v>
      </c>
      <c r="F250">
        <v>22.1</v>
      </c>
      <c r="G250" s="162">
        <v>3.87</v>
      </c>
      <c r="H250" s="164">
        <v>38500</v>
      </c>
      <c r="I250" s="161">
        <v>324596110</v>
      </c>
      <c r="J250"/>
      <c r="K250" s="125" t="s">
        <v>343</v>
      </c>
      <c r="L250" s="126" t="s">
        <v>693</v>
      </c>
      <c r="M250" s="127">
        <v>13</v>
      </c>
      <c r="N250" s="126" t="s">
        <v>692</v>
      </c>
      <c r="O250" s="131" t="s">
        <v>692</v>
      </c>
      <c r="P250" s="127"/>
    </row>
    <row r="251" spans="1:16" x14ac:dyDescent="0.25">
      <c r="A251" t="s">
        <v>262</v>
      </c>
      <c r="B251" s="117">
        <v>541</v>
      </c>
      <c r="C251" s="117">
        <v>811</v>
      </c>
      <c r="D251" s="141">
        <v>538</v>
      </c>
      <c r="E251" s="117">
        <v>571</v>
      </c>
      <c r="F251">
        <v>8.8000000000000007</v>
      </c>
      <c r="G251" s="162">
        <v>3.2</v>
      </c>
      <c r="H251" s="164">
        <v>75179</v>
      </c>
      <c r="I251" s="161">
        <v>47161070</v>
      </c>
      <c r="J251"/>
      <c r="K251" s="125" t="s">
        <v>344</v>
      </c>
      <c r="L251" s="126" t="s">
        <v>693</v>
      </c>
      <c r="M251" s="127">
        <v>4</v>
      </c>
      <c r="N251" s="126" t="s">
        <v>692</v>
      </c>
      <c r="O251" s="131" t="s">
        <v>692</v>
      </c>
      <c r="P251" s="127"/>
    </row>
    <row r="252" spans="1:16" x14ac:dyDescent="0.25">
      <c r="A252" t="s">
        <v>263</v>
      </c>
      <c r="B252" s="117">
        <v>132283</v>
      </c>
      <c r="C252" s="117">
        <v>136503</v>
      </c>
      <c r="D252" s="141">
        <v>132615</v>
      </c>
      <c r="E252" s="117">
        <v>140984</v>
      </c>
      <c r="F252">
        <v>14.5</v>
      </c>
      <c r="G252" s="162">
        <v>3.76</v>
      </c>
      <c r="H252" s="164">
        <v>69012</v>
      </c>
      <c r="I252" s="161">
        <v>15510548105</v>
      </c>
      <c r="J252"/>
      <c r="K252" s="125" t="s">
        <v>345</v>
      </c>
      <c r="L252" s="126" t="s">
        <v>692</v>
      </c>
      <c r="M252" s="127">
        <v>6</v>
      </c>
      <c r="N252" s="126" t="s">
        <v>692</v>
      </c>
      <c r="O252" s="131" t="s">
        <v>692</v>
      </c>
      <c r="P252" s="127"/>
    </row>
    <row r="253" spans="1:16" x14ac:dyDescent="0.25">
      <c r="A253" t="s">
        <v>264</v>
      </c>
      <c r="B253" s="117">
        <v>227</v>
      </c>
      <c r="C253" s="117">
        <v>220</v>
      </c>
      <c r="D253" s="141">
        <v>162</v>
      </c>
      <c r="E253" s="117">
        <v>160</v>
      </c>
      <c r="F253">
        <v>20.9</v>
      </c>
      <c r="G253" s="162">
        <v>3.61</v>
      </c>
      <c r="H253" s="164">
        <v>68393</v>
      </c>
      <c r="I253" s="161">
        <v>16200399</v>
      </c>
      <c r="J253"/>
      <c r="K253" s="125" t="s">
        <v>346</v>
      </c>
      <c r="L253" s="126" t="s">
        <v>692</v>
      </c>
      <c r="M253" s="127">
        <v>0</v>
      </c>
      <c r="N253" s="126" t="s">
        <v>692</v>
      </c>
      <c r="O253" s="131" t="s">
        <v>692</v>
      </c>
      <c r="P253" s="127"/>
    </row>
    <row r="254" spans="1:16" x14ac:dyDescent="0.25">
      <c r="A254" t="s">
        <v>265</v>
      </c>
      <c r="B254" s="117">
        <v>149</v>
      </c>
      <c r="C254" s="117">
        <v>180</v>
      </c>
      <c r="D254" s="141">
        <v>88</v>
      </c>
      <c r="E254" s="117">
        <v>80</v>
      </c>
      <c r="F254">
        <v>20</v>
      </c>
      <c r="G254" s="162">
        <v>4.16</v>
      </c>
      <c r="H254" s="164">
        <v>68558</v>
      </c>
      <c r="I254" s="161">
        <v>6453938</v>
      </c>
      <c r="J254"/>
      <c r="K254" s="125" t="s">
        <v>347</v>
      </c>
      <c r="L254" s="126" t="s">
        <v>692</v>
      </c>
      <c r="M254" s="127">
        <v>2</v>
      </c>
      <c r="N254" s="126" t="s">
        <v>692</v>
      </c>
      <c r="O254" s="131" t="s">
        <v>692</v>
      </c>
      <c r="P254" s="127"/>
    </row>
    <row r="255" spans="1:16" x14ac:dyDescent="0.25">
      <c r="A255" t="s">
        <v>266</v>
      </c>
      <c r="B255" s="117">
        <v>15806</v>
      </c>
      <c r="C255" s="117">
        <v>19203</v>
      </c>
      <c r="D255" s="141">
        <v>18734</v>
      </c>
      <c r="E255" s="117">
        <v>21019</v>
      </c>
      <c r="F255">
        <v>3.8</v>
      </c>
      <c r="G255" s="162">
        <v>3.27</v>
      </c>
      <c r="H255" s="164">
        <v>143393</v>
      </c>
      <c r="I255" s="161">
        <v>3212329897</v>
      </c>
      <c r="J255"/>
      <c r="K255" s="125" t="s">
        <v>348</v>
      </c>
      <c r="L255" s="126" t="s">
        <v>692</v>
      </c>
      <c r="M255" s="127">
        <v>2</v>
      </c>
      <c r="N255" s="126" t="s">
        <v>692</v>
      </c>
      <c r="O255" s="131" t="s">
        <v>692</v>
      </c>
      <c r="P255" s="127"/>
    </row>
    <row r="256" spans="1:16" x14ac:dyDescent="0.25">
      <c r="A256" t="s">
        <v>267</v>
      </c>
      <c r="B256" s="117">
        <v>16</v>
      </c>
      <c r="C256" s="117">
        <v>49</v>
      </c>
      <c r="D256" s="141">
        <v>51</v>
      </c>
      <c r="E256" s="117">
        <v>46</v>
      </c>
      <c r="F256">
        <v>8.1999999999999993</v>
      </c>
      <c r="G256" s="162">
        <v>4.03</v>
      </c>
      <c r="H256" s="164">
        <v>21058</v>
      </c>
      <c r="I256" s="161">
        <v>2938866</v>
      </c>
      <c r="J256"/>
      <c r="K256" s="125" t="s">
        <v>349</v>
      </c>
      <c r="L256" s="126" t="s">
        <v>693</v>
      </c>
      <c r="M256" s="127">
        <v>7</v>
      </c>
      <c r="N256" s="126" t="s">
        <v>692</v>
      </c>
      <c r="O256" s="131" t="s">
        <v>692</v>
      </c>
      <c r="P256" s="127"/>
    </row>
    <row r="257" spans="1:16" x14ac:dyDescent="0.25">
      <c r="A257" t="s">
        <v>268</v>
      </c>
      <c r="B257" s="117">
        <v>20086</v>
      </c>
      <c r="C257" s="117">
        <v>16471</v>
      </c>
      <c r="D257" s="141">
        <v>17977</v>
      </c>
      <c r="E257" s="117">
        <v>17479</v>
      </c>
      <c r="F257">
        <v>13.4</v>
      </c>
      <c r="G257" s="162">
        <v>3.63</v>
      </c>
      <c r="H257" s="164">
        <v>64433</v>
      </c>
      <c r="I257" s="161">
        <v>1144045968</v>
      </c>
      <c r="J257"/>
      <c r="K257" s="125" t="s">
        <v>350</v>
      </c>
      <c r="L257" s="126" t="s">
        <v>692</v>
      </c>
      <c r="M257" s="127">
        <v>1</v>
      </c>
      <c r="N257" s="126" t="s">
        <v>692</v>
      </c>
      <c r="O257" s="131" t="s">
        <v>692</v>
      </c>
      <c r="P257" s="127"/>
    </row>
    <row r="258" spans="1:16" x14ac:dyDescent="0.25">
      <c r="A258" t="s">
        <v>269</v>
      </c>
      <c r="B258" s="117">
        <v>2458</v>
      </c>
      <c r="C258" s="117">
        <v>2581</v>
      </c>
      <c r="D258" s="141">
        <v>2250</v>
      </c>
      <c r="E258" s="117">
        <v>2526</v>
      </c>
      <c r="F258">
        <v>17</v>
      </c>
      <c r="G258" s="162">
        <v>3.49</v>
      </c>
      <c r="H258" s="164">
        <v>67366</v>
      </c>
      <c r="I258" s="161">
        <v>266251780</v>
      </c>
      <c r="J258"/>
      <c r="K258" s="125" t="s">
        <v>351</v>
      </c>
      <c r="L258" s="126" t="s">
        <v>692</v>
      </c>
      <c r="M258" s="127">
        <v>3</v>
      </c>
      <c r="N258" s="126" t="s">
        <v>692</v>
      </c>
      <c r="O258" s="131" t="s">
        <v>692</v>
      </c>
      <c r="P258" s="127"/>
    </row>
    <row r="259" spans="1:16" x14ac:dyDescent="0.25">
      <c r="A259" t="s">
        <v>270</v>
      </c>
      <c r="B259" s="117">
        <v>387</v>
      </c>
      <c r="C259" s="117">
        <v>1110</v>
      </c>
      <c r="D259" s="141">
        <v>468</v>
      </c>
      <c r="E259" s="117">
        <v>461</v>
      </c>
      <c r="F259">
        <v>24.2</v>
      </c>
      <c r="G259" s="162">
        <v>3.39</v>
      </c>
      <c r="H259" s="164">
        <v>52875</v>
      </c>
      <c r="I259" s="161">
        <v>44670261</v>
      </c>
      <c r="J259"/>
      <c r="K259" s="125" t="s">
        <v>352</v>
      </c>
      <c r="L259" s="126" t="s">
        <v>692</v>
      </c>
      <c r="M259" s="127">
        <v>2</v>
      </c>
      <c r="N259" s="126" t="s">
        <v>692</v>
      </c>
      <c r="O259" s="131" t="s">
        <v>692</v>
      </c>
      <c r="P259" s="127"/>
    </row>
    <row r="260" spans="1:16" x14ac:dyDescent="0.25">
      <c r="A260" t="s">
        <v>271</v>
      </c>
      <c r="B260" s="117">
        <v>61053</v>
      </c>
      <c r="C260" s="117">
        <v>62432</v>
      </c>
      <c r="D260" s="141">
        <v>61940</v>
      </c>
      <c r="E260" s="117">
        <v>63949</v>
      </c>
      <c r="F260">
        <v>11.3</v>
      </c>
      <c r="G260" s="162">
        <v>3.16</v>
      </c>
      <c r="H260" s="164">
        <v>61001</v>
      </c>
      <c r="I260" s="161">
        <v>10200104344</v>
      </c>
      <c r="J260"/>
      <c r="K260" s="125" t="s">
        <v>353</v>
      </c>
      <c r="L260" s="126" t="s">
        <v>693</v>
      </c>
      <c r="M260" s="127">
        <v>7</v>
      </c>
      <c r="N260" s="126" t="s">
        <v>692</v>
      </c>
      <c r="O260" s="131" t="s">
        <v>692</v>
      </c>
      <c r="P260" s="127"/>
    </row>
    <row r="261" spans="1:16" x14ac:dyDescent="0.25">
      <c r="A261" t="s">
        <v>272</v>
      </c>
      <c r="B261" s="117">
        <v>1978</v>
      </c>
      <c r="C261" s="117">
        <v>2079</v>
      </c>
      <c r="D261" s="141">
        <v>1598</v>
      </c>
      <c r="E261" s="117">
        <v>1713</v>
      </c>
      <c r="F261">
        <v>20</v>
      </c>
      <c r="G261" s="162">
        <v>3.1</v>
      </c>
      <c r="H261" s="164">
        <v>71953</v>
      </c>
      <c r="I261" s="161"/>
      <c r="J261"/>
      <c r="K261" s="125" t="s">
        <v>354</v>
      </c>
      <c r="L261" s="126" t="s">
        <v>692</v>
      </c>
      <c r="M261" s="127">
        <v>4</v>
      </c>
      <c r="N261" s="126" t="s">
        <v>692</v>
      </c>
      <c r="O261" s="131" t="s">
        <v>692</v>
      </c>
      <c r="P261" s="127"/>
    </row>
    <row r="262" spans="1:16" x14ac:dyDescent="0.25">
      <c r="A262" t="s">
        <v>273</v>
      </c>
      <c r="B262" s="117">
        <v>114913</v>
      </c>
      <c r="C262" s="117">
        <v>117387</v>
      </c>
      <c r="D262" s="141">
        <v>115539</v>
      </c>
      <c r="E262" s="117">
        <v>120597</v>
      </c>
      <c r="F262">
        <v>11.7</v>
      </c>
      <c r="G262" s="162">
        <v>2.82</v>
      </c>
      <c r="H262" s="164">
        <v>67623</v>
      </c>
      <c r="I262" s="161">
        <v>24511906730</v>
      </c>
      <c r="J262"/>
      <c r="K262" s="125" t="s">
        <v>355</v>
      </c>
      <c r="L262" s="126" t="s">
        <v>693</v>
      </c>
      <c r="M262" s="127">
        <v>2</v>
      </c>
      <c r="N262" s="126" t="s">
        <v>692</v>
      </c>
      <c r="O262" s="131" t="s">
        <v>692</v>
      </c>
      <c r="P262" s="127"/>
    </row>
    <row r="263" spans="1:16" x14ac:dyDescent="0.25">
      <c r="A263" t="s">
        <v>274</v>
      </c>
      <c r="B263" s="117">
        <v>14948</v>
      </c>
      <c r="C263" s="117">
        <v>14922</v>
      </c>
      <c r="D263" s="141">
        <v>15115</v>
      </c>
      <c r="E263" s="117">
        <v>14454</v>
      </c>
      <c r="F263">
        <v>27.4</v>
      </c>
      <c r="G263" s="162">
        <v>4.6500000000000004</v>
      </c>
      <c r="H263" s="164">
        <v>38780</v>
      </c>
      <c r="I263" s="161">
        <v>945080200</v>
      </c>
      <c r="J263"/>
      <c r="K263" s="125" t="s">
        <v>357</v>
      </c>
      <c r="L263" s="126" t="s">
        <v>692</v>
      </c>
      <c r="M263" s="127">
        <v>3</v>
      </c>
      <c r="N263" s="126" t="s">
        <v>692</v>
      </c>
      <c r="O263" s="131" t="s">
        <v>692</v>
      </c>
      <c r="P263" s="127"/>
    </row>
    <row r="264" spans="1:16" x14ac:dyDescent="0.25">
      <c r="A264" t="s">
        <v>275</v>
      </c>
      <c r="B264" s="117">
        <v>13908</v>
      </c>
      <c r="C264" s="117">
        <v>15253</v>
      </c>
      <c r="D264" s="141">
        <v>14995</v>
      </c>
      <c r="E264" s="117">
        <v>16830</v>
      </c>
      <c r="F264">
        <v>16.8</v>
      </c>
      <c r="G264" s="162">
        <v>2.82</v>
      </c>
      <c r="H264" s="164">
        <v>52337</v>
      </c>
      <c r="I264" s="161">
        <v>3028063761</v>
      </c>
      <c r="J264"/>
      <c r="K264" s="125" t="s">
        <v>358</v>
      </c>
      <c r="L264" s="126" t="s">
        <v>693</v>
      </c>
      <c r="M264" s="127">
        <v>7</v>
      </c>
      <c r="N264" s="126" t="s">
        <v>692</v>
      </c>
      <c r="O264" s="131" t="s">
        <v>692</v>
      </c>
      <c r="P264" s="127"/>
    </row>
    <row r="265" spans="1:16" x14ac:dyDescent="0.25">
      <c r="A265" t="s">
        <v>276</v>
      </c>
      <c r="B265" s="117">
        <v>24012</v>
      </c>
      <c r="C265" s="117">
        <v>20492</v>
      </c>
      <c r="D265" s="141">
        <v>22045</v>
      </c>
      <c r="E265" s="117">
        <v>18772</v>
      </c>
      <c r="F265">
        <v>21.4</v>
      </c>
      <c r="G265" s="162">
        <v>4.16</v>
      </c>
      <c r="H265" s="164">
        <v>47472</v>
      </c>
      <c r="I265" s="161">
        <v>1821084039</v>
      </c>
      <c r="J265"/>
      <c r="K265" s="125" t="s">
        <v>362</v>
      </c>
      <c r="L265" s="126" t="s">
        <v>693</v>
      </c>
      <c r="M265" s="127">
        <v>8</v>
      </c>
      <c r="N265" s="126" t="s">
        <v>692</v>
      </c>
      <c r="O265" s="131" t="s">
        <v>692</v>
      </c>
      <c r="P265" s="127"/>
    </row>
    <row r="266" spans="1:16" x14ac:dyDescent="0.25">
      <c r="A266" t="s">
        <v>277</v>
      </c>
      <c r="B266" s="117">
        <v>2321</v>
      </c>
      <c r="C266" s="117">
        <v>1703</v>
      </c>
      <c r="D266" s="141">
        <v>1955</v>
      </c>
      <c r="E266" s="117">
        <v>1968</v>
      </c>
      <c r="F266">
        <v>24.7</v>
      </c>
      <c r="G266" s="162">
        <v>3.6</v>
      </c>
      <c r="H266" s="164">
        <v>40096</v>
      </c>
      <c r="I266" s="161">
        <v>140552922</v>
      </c>
      <c r="J266"/>
      <c r="K266" s="125" t="s">
        <v>363</v>
      </c>
      <c r="L266" s="126" t="s">
        <v>692</v>
      </c>
      <c r="M266" s="127">
        <v>2</v>
      </c>
      <c r="N266" s="126" t="s">
        <v>692</v>
      </c>
      <c r="O266" s="131" t="s">
        <v>692</v>
      </c>
      <c r="P266" s="127"/>
    </row>
    <row r="267" spans="1:16" x14ac:dyDescent="0.25">
      <c r="A267" t="s">
        <v>278</v>
      </c>
      <c r="B267" s="117">
        <v>40634</v>
      </c>
      <c r="C267" s="117">
        <v>43747</v>
      </c>
      <c r="D267" s="141">
        <v>42972</v>
      </c>
      <c r="E267" s="117">
        <v>45411</v>
      </c>
      <c r="F267">
        <v>16.899999999999999</v>
      </c>
      <c r="G267" s="162">
        <v>3.31</v>
      </c>
      <c r="H267" s="164">
        <v>63361</v>
      </c>
      <c r="I267" s="161">
        <v>8500510260</v>
      </c>
      <c r="J267"/>
      <c r="K267" s="125" t="s">
        <v>364</v>
      </c>
      <c r="L267" s="126" t="s">
        <v>692</v>
      </c>
      <c r="M267" s="127">
        <v>2</v>
      </c>
      <c r="N267" s="126" t="s">
        <v>692</v>
      </c>
      <c r="O267" s="131" t="s">
        <v>692</v>
      </c>
      <c r="P267" s="127"/>
    </row>
    <row r="268" spans="1:16" x14ac:dyDescent="0.25">
      <c r="A268" t="s">
        <v>279</v>
      </c>
      <c r="B268" s="117">
        <v>111714</v>
      </c>
      <c r="C268" s="117">
        <v>115263</v>
      </c>
      <c r="D268" s="141">
        <v>113651</v>
      </c>
      <c r="E268" s="117">
        <v>117206</v>
      </c>
      <c r="F268">
        <v>14.7</v>
      </c>
      <c r="G268" s="162">
        <v>3.65</v>
      </c>
      <c r="H268" s="164">
        <v>61228</v>
      </c>
      <c r="I268" s="161">
        <v>13499885360</v>
      </c>
      <c r="J268"/>
      <c r="K268" s="125" t="s">
        <v>365</v>
      </c>
      <c r="L268" s="126" t="s">
        <v>693</v>
      </c>
      <c r="M268" s="127">
        <v>6</v>
      </c>
      <c r="N268" s="126" t="s">
        <v>692</v>
      </c>
      <c r="O268" s="131" t="s">
        <v>692</v>
      </c>
      <c r="P268" s="127"/>
    </row>
    <row r="269" spans="1:16" x14ac:dyDescent="0.25">
      <c r="A269" t="s">
        <v>280</v>
      </c>
      <c r="B269" s="117">
        <v>671</v>
      </c>
      <c r="C269" s="117">
        <v>565</v>
      </c>
      <c r="D269" s="141">
        <v>602</v>
      </c>
      <c r="E269" s="117">
        <v>648</v>
      </c>
      <c r="F269">
        <v>22.5</v>
      </c>
      <c r="G269" s="162">
        <v>3.33</v>
      </c>
      <c r="H269" s="164">
        <v>50893</v>
      </c>
      <c r="I269" s="161">
        <v>67606888</v>
      </c>
      <c r="J269"/>
      <c r="K269" s="125" t="s">
        <v>366</v>
      </c>
      <c r="L269" s="126" t="s">
        <v>692</v>
      </c>
      <c r="M269" s="127">
        <v>6</v>
      </c>
      <c r="N269" s="126" t="s">
        <v>692</v>
      </c>
      <c r="O269" s="131" t="s">
        <v>692</v>
      </c>
      <c r="P269" s="127"/>
    </row>
    <row r="270" spans="1:16" x14ac:dyDescent="0.25">
      <c r="A270" t="s">
        <v>281</v>
      </c>
      <c r="B270" s="117">
        <v>1164</v>
      </c>
      <c r="C270" s="117">
        <v>1276</v>
      </c>
      <c r="D270" s="141">
        <v>1059</v>
      </c>
      <c r="E270" s="117">
        <v>1119</v>
      </c>
      <c r="F270">
        <v>12.8</v>
      </c>
      <c r="G270" s="162">
        <v>3.43</v>
      </c>
      <c r="H270" s="164">
        <v>63750</v>
      </c>
      <c r="I270" s="161">
        <v>2982128912</v>
      </c>
      <c r="J270"/>
      <c r="K270" s="125" t="s">
        <v>367</v>
      </c>
      <c r="L270" s="126" t="s">
        <v>692</v>
      </c>
      <c r="M270" s="127">
        <v>2</v>
      </c>
      <c r="N270" s="126" t="s">
        <v>692</v>
      </c>
      <c r="O270" s="131" t="s">
        <v>692</v>
      </c>
      <c r="P270" s="127"/>
    </row>
    <row r="271" spans="1:16" x14ac:dyDescent="0.25">
      <c r="A271" t="s">
        <v>282</v>
      </c>
      <c r="B271" s="117">
        <v>1834</v>
      </c>
      <c r="C271" s="117">
        <v>1860</v>
      </c>
      <c r="D271" s="141">
        <v>1710</v>
      </c>
      <c r="E271" s="117">
        <v>1708</v>
      </c>
      <c r="F271">
        <v>19</v>
      </c>
      <c r="G271" s="162">
        <v>3.29</v>
      </c>
      <c r="H271" s="164">
        <v>53125</v>
      </c>
      <c r="I271" s="161">
        <v>238748368</v>
      </c>
      <c r="J271"/>
      <c r="K271" s="125" t="s">
        <v>369</v>
      </c>
      <c r="L271" s="126" t="s">
        <v>692</v>
      </c>
      <c r="M271" s="127">
        <v>4</v>
      </c>
      <c r="N271" s="126" t="s">
        <v>692</v>
      </c>
      <c r="O271" s="131" t="s">
        <v>692</v>
      </c>
      <c r="P271" s="127"/>
    </row>
    <row r="272" spans="1:16" x14ac:dyDescent="0.25">
      <c r="A272" t="s">
        <v>283</v>
      </c>
      <c r="B272" s="117">
        <v>7115</v>
      </c>
      <c r="C272" s="117">
        <v>9656</v>
      </c>
      <c r="D272" s="141">
        <v>9285</v>
      </c>
      <c r="E272" s="117">
        <v>9996</v>
      </c>
      <c r="F272">
        <v>8.6999999999999993</v>
      </c>
      <c r="G272" s="162">
        <v>3.13</v>
      </c>
      <c r="H272" s="164">
        <v>98467</v>
      </c>
      <c r="I272" s="161">
        <v>1642774350</v>
      </c>
      <c r="J272"/>
      <c r="K272" s="125" t="s">
        <v>370</v>
      </c>
      <c r="L272" s="126" t="s">
        <v>692</v>
      </c>
      <c r="M272" s="127">
        <v>2</v>
      </c>
      <c r="N272" s="126" t="s">
        <v>692</v>
      </c>
      <c r="O272" s="131" t="s">
        <v>692</v>
      </c>
      <c r="P272" s="127"/>
    </row>
    <row r="273" spans="1:16" x14ac:dyDescent="0.25">
      <c r="A273" t="s">
        <v>284</v>
      </c>
      <c r="B273" s="117">
        <v>291</v>
      </c>
      <c r="C273" s="117">
        <v>215</v>
      </c>
      <c r="D273" s="141">
        <v>274</v>
      </c>
      <c r="E273" s="117">
        <v>258</v>
      </c>
      <c r="F273">
        <v>3.3</v>
      </c>
      <c r="G273" s="162">
        <v>5.35</v>
      </c>
      <c r="H273" s="164">
        <v>60250</v>
      </c>
      <c r="I273" s="161">
        <v>10218098</v>
      </c>
      <c r="J273"/>
      <c r="K273" s="125" t="s">
        <v>371</v>
      </c>
      <c r="L273" s="126" t="s">
        <v>692</v>
      </c>
      <c r="M273" s="127">
        <v>4</v>
      </c>
      <c r="N273" s="126" t="s">
        <v>692</v>
      </c>
      <c r="O273" s="131" t="s">
        <v>692</v>
      </c>
      <c r="P273" s="127"/>
    </row>
    <row r="274" spans="1:16" x14ac:dyDescent="0.25">
      <c r="A274" t="s">
        <v>285</v>
      </c>
      <c r="B274" s="117">
        <v>701</v>
      </c>
      <c r="C274" s="117">
        <v>789</v>
      </c>
      <c r="D274" s="141">
        <v>430</v>
      </c>
      <c r="E274" s="117">
        <v>404</v>
      </c>
      <c r="F274">
        <v>40.700000000000003</v>
      </c>
      <c r="G274" s="162">
        <v>3.87</v>
      </c>
      <c r="H274" s="164"/>
      <c r="I274" s="161">
        <v>22699664</v>
      </c>
      <c r="J274"/>
      <c r="K274" s="125" t="s">
        <v>372</v>
      </c>
      <c r="L274" s="126" t="s">
        <v>692</v>
      </c>
      <c r="M274" s="127">
        <v>3</v>
      </c>
      <c r="N274" s="126" t="s">
        <v>692</v>
      </c>
      <c r="O274" s="131" t="s">
        <v>692</v>
      </c>
      <c r="P274" s="127"/>
    </row>
    <row r="275" spans="1:16" x14ac:dyDescent="0.25">
      <c r="A275" t="s">
        <v>286</v>
      </c>
      <c r="B275" s="117">
        <v>53957</v>
      </c>
      <c r="C275" s="117">
        <v>53102</v>
      </c>
      <c r="D275" s="141">
        <v>52193</v>
      </c>
      <c r="E275" s="117">
        <v>55054</v>
      </c>
      <c r="F275">
        <v>17.399999999999999</v>
      </c>
      <c r="G275" s="162">
        <v>4.29</v>
      </c>
      <c r="H275" s="164">
        <v>60095</v>
      </c>
      <c r="I275" s="161">
        <v>4829664311</v>
      </c>
      <c r="J275"/>
      <c r="K275" s="125" t="s">
        <v>373</v>
      </c>
      <c r="L275" s="126" t="s">
        <v>693</v>
      </c>
      <c r="M275" s="127">
        <v>11</v>
      </c>
      <c r="N275" s="126" t="s">
        <v>692</v>
      </c>
      <c r="O275" s="131" t="s">
        <v>692</v>
      </c>
      <c r="P275" s="127"/>
    </row>
    <row r="276" spans="1:16" x14ac:dyDescent="0.25">
      <c r="A276" t="s">
        <v>287</v>
      </c>
      <c r="B276" s="117">
        <v>1137</v>
      </c>
      <c r="C276" s="117">
        <v>1047</v>
      </c>
      <c r="D276" s="141">
        <v>881</v>
      </c>
      <c r="E276" s="117">
        <v>1054</v>
      </c>
      <c r="F276">
        <v>5.6</v>
      </c>
      <c r="G276" s="162">
        <v>3.99</v>
      </c>
      <c r="H276" s="164">
        <v>110000</v>
      </c>
      <c r="I276" s="161">
        <v>2393406820</v>
      </c>
      <c r="J276"/>
      <c r="K276" s="125" t="s">
        <v>374</v>
      </c>
      <c r="L276" s="126" t="s">
        <v>692</v>
      </c>
      <c r="M276" s="127">
        <v>2</v>
      </c>
      <c r="N276" s="126" t="s">
        <v>692</v>
      </c>
      <c r="O276" s="131" t="s">
        <v>692</v>
      </c>
      <c r="P276" s="127"/>
    </row>
    <row r="277" spans="1:16" x14ac:dyDescent="0.25">
      <c r="A277" t="s">
        <v>288</v>
      </c>
      <c r="B277" s="117">
        <v>2421</v>
      </c>
      <c r="C277" s="117">
        <v>4532</v>
      </c>
      <c r="D277" s="141">
        <v>3874</v>
      </c>
      <c r="E277" s="117">
        <v>5075</v>
      </c>
      <c r="F277">
        <v>0.8</v>
      </c>
      <c r="G277" s="162">
        <v>3.65</v>
      </c>
      <c r="H277" s="164">
        <v>106230</v>
      </c>
      <c r="I277" s="161">
        <v>810923300</v>
      </c>
      <c r="J277"/>
      <c r="K277" s="125" t="s">
        <v>377</v>
      </c>
      <c r="L277" s="126" t="s">
        <v>692</v>
      </c>
      <c r="M277" s="127">
        <v>2</v>
      </c>
      <c r="N277" s="126" t="s">
        <v>692</v>
      </c>
      <c r="O277" s="131" t="s">
        <v>692</v>
      </c>
      <c r="P277" s="127"/>
    </row>
    <row r="278" spans="1:16" x14ac:dyDescent="0.25">
      <c r="A278" t="s">
        <v>289</v>
      </c>
      <c r="B278" s="117">
        <v>34874</v>
      </c>
      <c r="C278" s="117">
        <v>43429</v>
      </c>
      <c r="D278" s="141">
        <v>39490</v>
      </c>
      <c r="E278" s="117">
        <v>46043</v>
      </c>
      <c r="F278">
        <v>4.4000000000000004</v>
      </c>
      <c r="G278" s="162">
        <v>3</v>
      </c>
      <c r="H278" s="164">
        <v>132435</v>
      </c>
      <c r="I278" s="161">
        <v>8131803934</v>
      </c>
      <c r="J278"/>
      <c r="K278" s="125" t="s">
        <v>378</v>
      </c>
      <c r="L278" s="126" t="s">
        <v>692</v>
      </c>
      <c r="M278" s="127">
        <v>8</v>
      </c>
      <c r="N278" s="126" t="s">
        <v>692</v>
      </c>
      <c r="O278" s="131" t="s">
        <v>692</v>
      </c>
      <c r="P278" s="127"/>
    </row>
    <row r="279" spans="1:16" x14ac:dyDescent="0.25">
      <c r="A279" t="s">
        <v>290</v>
      </c>
      <c r="B279" s="117">
        <v>499</v>
      </c>
      <c r="C279" s="117">
        <v>468</v>
      </c>
      <c r="D279" s="141">
        <v>409</v>
      </c>
      <c r="E279" s="117">
        <v>405</v>
      </c>
      <c r="F279">
        <v>17.3</v>
      </c>
      <c r="G279" s="162">
        <v>3.04</v>
      </c>
      <c r="H279" s="164">
        <v>43000</v>
      </c>
      <c r="I279" s="161">
        <v>18183279</v>
      </c>
      <c r="J279"/>
      <c r="K279" s="125" t="s">
        <v>379</v>
      </c>
      <c r="L279" s="126" t="s">
        <v>692</v>
      </c>
      <c r="M279" s="127">
        <v>3</v>
      </c>
      <c r="N279" s="126" t="s">
        <v>692</v>
      </c>
      <c r="O279" s="131" t="s">
        <v>692</v>
      </c>
      <c r="P279" s="127"/>
    </row>
    <row r="280" spans="1:16" x14ac:dyDescent="0.25">
      <c r="A280" t="s">
        <v>291</v>
      </c>
      <c r="B280" s="117">
        <v>15769</v>
      </c>
      <c r="C280" s="117">
        <v>17823</v>
      </c>
      <c r="D280" s="141">
        <v>17404</v>
      </c>
      <c r="E280" s="117">
        <v>18035</v>
      </c>
      <c r="F280">
        <v>15</v>
      </c>
      <c r="G280" s="162">
        <v>4.46</v>
      </c>
      <c r="H280" s="164">
        <v>60671</v>
      </c>
      <c r="I280" s="161">
        <v>1327672506</v>
      </c>
      <c r="J280"/>
      <c r="K280" s="125" t="s">
        <v>380</v>
      </c>
      <c r="L280" s="126" t="s">
        <v>693</v>
      </c>
      <c r="M280" s="127">
        <v>6</v>
      </c>
      <c r="N280" s="126" t="s">
        <v>692</v>
      </c>
      <c r="O280" s="131" t="s">
        <v>692</v>
      </c>
      <c r="P280" s="127"/>
    </row>
    <row r="281" spans="1:16" x14ac:dyDescent="0.25">
      <c r="A281" t="s">
        <v>292</v>
      </c>
      <c r="B281" s="117">
        <v>532</v>
      </c>
      <c r="C281" s="117">
        <v>494</v>
      </c>
      <c r="D281" s="141">
        <v>521</v>
      </c>
      <c r="E281" s="117">
        <v>526</v>
      </c>
      <c r="F281">
        <v>18.8</v>
      </c>
      <c r="G281" s="162">
        <v>3</v>
      </c>
      <c r="H281" s="164">
        <v>39167</v>
      </c>
      <c r="I281" s="161">
        <v>82289765</v>
      </c>
      <c r="J281"/>
      <c r="K281" s="125" t="s">
        <v>381</v>
      </c>
      <c r="L281" s="126" t="s">
        <v>693</v>
      </c>
      <c r="M281" s="127">
        <v>1</v>
      </c>
      <c r="N281" s="126" t="s">
        <v>692</v>
      </c>
      <c r="O281" s="131" t="s">
        <v>692</v>
      </c>
      <c r="P281" s="127"/>
    </row>
    <row r="282" spans="1:16" x14ac:dyDescent="0.25">
      <c r="A282" t="s">
        <v>293</v>
      </c>
      <c r="B282" s="117">
        <v>3701</v>
      </c>
      <c r="C282" s="117">
        <v>3777</v>
      </c>
      <c r="D282" s="141">
        <v>3784</v>
      </c>
      <c r="E282" s="117">
        <v>3891</v>
      </c>
      <c r="F282">
        <v>17.5</v>
      </c>
      <c r="G282" s="162">
        <v>3.26</v>
      </c>
      <c r="H282" s="164">
        <v>61600</v>
      </c>
      <c r="I282" s="161">
        <v>369379649</v>
      </c>
      <c r="J282"/>
      <c r="K282" s="125" t="s">
        <v>383</v>
      </c>
      <c r="L282" s="126" t="s">
        <v>693</v>
      </c>
      <c r="M282" s="127">
        <v>4</v>
      </c>
      <c r="N282" s="126" t="s">
        <v>692</v>
      </c>
      <c r="O282" s="131" t="s">
        <v>692</v>
      </c>
      <c r="P282" s="127"/>
    </row>
    <row r="283" spans="1:16" x14ac:dyDescent="0.25">
      <c r="A283" t="s">
        <v>294</v>
      </c>
      <c r="B283" s="117">
        <v>55980</v>
      </c>
      <c r="C283" s="117">
        <v>62458</v>
      </c>
      <c r="D283" s="141">
        <v>60789</v>
      </c>
      <c r="E283" s="117">
        <v>64147</v>
      </c>
      <c r="F283">
        <v>3.4</v>
      </c>
      <c r="G283" s="162">
        <v>3.51</v>
      </c>
      <c r="H283" s="164">
        <v>119951</v>
      </c>
      <c r="I283" s="161">
        <v>15777569753</v>
      </c>
      <c r="J283"/>
      <c r="K283" s="125" t="s">
        <v>385</v>
      </c>
      <c r="L283" s="126" t="s">
        <v>692</v>
      </c>
      <c r="M283" s="127">
        <v>1</v>
      </c>
      <c r="N283" s="126" t="s">
        <v>692</v>
      </c>
      <c r="O283" s="131" t="s">
        <v>692</v>
      </c>
      <c r="P283" s="127"/>
    </row>
    <row r="284" spans="1:16" x14ac:dyDescent="0.25">
      <c r="A284" t="s">
        <v>295</v>
      </c>
      <c r="B284" s="117">
        <v>5213</v>
      </c>
      <c r="C284" s="117">
        <v>4625</v>
      </c>
      <c r="D284" s="141">
        <v>4636</v>
      </c>
      <c r="E284" s="117">
        <v>4671</v>
      </c>
      <c r="F284">
        <v>22.4</v>
      </c>
      <c r="G284" s="162">
        <v>6.23</v>
      </c>
      <c r="H284" s="164">
        <v>47338</v>
      </c>
      <c r="I284" s="161">
        <v>978246609</v>
      </c>
      <c r="J284"/>
      <c r="K284" s="125" t="s">
        <v>388</v>
      </c>
      <c r="L284" s="126" t="s">
        <v>693</v>
      </c>
      <c r="M284" s="127">
        <v>2</v>
      </c>
      <c r="N284" s="126" t="s">
        <v>692</v>
      </c>
      <c r="O284" s="131" t="s">
        <v>692</v>
      </c>
      <c r="P284" s="127"/>
    </row>
    <row r="285" spans="1:16" x14ac:dyDescent="0.25">
      <c r="A285" t="s">
        <v>296</v>
      </c>
      <c r="B285" s="117">
        <v>185</v>
      </c>
      <c r="C285" s="117">
        <v>229</v>
      </c>
      <c r="D285" s="141">
        <v>214</v>
      </c>
      <c r="E285" s="117">
        <v>245</v>
      </c>
      <c r="F285">
        <v>3.2</v>
      </c>
      <c r="G285" s="162">
        <v>3.34</v>
      </c>
      <c r="H285" s="164">
        <v>89583</v>
      </c>
      <c r="I285" s="161">
        <v>468519990</v>
      </c>
      <c r="J285"/>
      <c r="K285" s="125" t="s">
        <v>390</v>
      </c>
      <c r="L285" s="126" t="s">
        <v>693</v>
      </c>
      <c r="M285" s="127">
        <v>2</v>
      </c>
      <c r="N285" s="126" t="s">
        <v>692</v>
      </c>
      <c r="O285" s="131" t="s">
        <v>692</v>
      </c>
      <c r="P285" s="127"/>
    </row>
    <row r="286" spans="1:16" x14ac:dyDescent="0.25">
      <c r="A286" t="s">
        <v>297</v>
      </c>
      <c r="B286" s="117">
        <v>38822</v>
      </c>
      <c r="C286" s="117">
        <v>41146</v>
      </c>
      <c r="D286" s="141">
        <v>39603</v>
      </c>
      <c r="E286" s="117">
        <v>43701</v>
      </c>
      <c r="F286">
        <v>6.7</v>
      </c>
      <c r="G286" s="162">
        <v>3.1</v>
      </c>
      <c r="H286" s="164">
        <v>99073</v>
      </c>
      <c r="I286" s="161">
        <v>6223478962</v>
      </c>
      <c r="J286"/>
      <c r="K286" s="125" t="s">
        <v>394</v>
      </c>
      <c r="L286" s="126" t="s">
        <v>693</v>
      </c>
      <c r="M286" s="127">
        <v>12</v>
      </c>
      <c r="N286" s="126" t="s">
        <v>692</v>
      </c>
      <c r="O286" s="131" t="s">
        <v>692</v>
      </c>
      <c r="P286" s="127"/>
    </row>
    <row r="287" spans="1:16" x14ac:dyDescent="0.25">
      <c r="A287" t="s">
        <v>298</v>
      </c>
      <c r="B287" s="117">
        <v>175538</v>
      </c>
      <c r="C287" s="117">
        <v>191800</v>
      </c>
      <c r="D287" s="141">
        <v>183851</v>
      </c>
      <c r="E287" s="117">
        <v>202038</v>
      </c>
      <c r="F287">
        <v>9.1</v>
      </c>
      <c r="G287" s="162">
        <v>3.2</v>
      </c>
      <c r="H287" s="164">
        <v>78678</v>
      </c>
      <c r="I287" s="161">
        <v>40848407941</v>
      </c>
      <c r="J287"/>
      <c r="K287" s="125" t="s">
        <v>400</v>
      </c>
      <c r="L287" s="126" t="s">
        <v>692</v>
      </c>
      <c r="M287" s="127">
        <v>2</v>
      </c>
      <c r="N287" s="126" t="s">
        <v>692</v>
      </c>
      <c r="O287" s="131" t="s">
        <v>692</v>
      </c>
      <c r="P287" s="127"/>
    </row>
    <row r="288" spans="1:16" x14ac:dyDescent="0.25">
      <c r="A288" t="s">
        <v>299</v>
      </c>
      <c r="B288" s="117">
        <v>42938</v>
      </c>
      <c r="C288" s="117">
        <v>43089</v>
      </c>
      <c r="D288" s="141">
        <v>43060</v>
      </c>
      <c r="E288" s="117">
        <v>44274</v>
      </c>
      <c r="F288">
        <v>19.3</v>
      </c>
      <c r="G288" s="162">
        <v>3.57</v>
      </c>
      <c r="H288" s="164">
        <v>53479</v>
      </c>
      <c r="I288" s="161">
        <v>12274379011</v>
      </c>
      <c r="J288"/>
      <c r="K288" s="125" t="s">
        <v>402</v>
      </c>
      <c r="L288" s="126" t="s">
        <v>692</v>
      </c>
      <c r="M288" s="127">
        <v>0</v>
      </c>
      <c r="N288" s="126" t="s">
        <v>692</v>
      </c>
      <c r="O288" s="131" t="s">
        <v>692</v>
      </c>
      <c r="P288" s="127"/>
    </row>
    <row r="289" spans="1:16" x14ac:dyDescent="0.25">
      <c r="A289" t="s">
        <v>300</v>
      </c>
      <c r="B289" s="117">
        <v>510</v>
      </c>
      <c r="C289" s="117">
        <v>688</v>
      </c>
      <c r="D289" s="141">
        <v>440</v>
      </c>
      <c r="E289" s="117">
        <v>407</v>
      </c>
      <c r="F289">
        <v>21.9</v>
      </c>
      <c r="G289" s="162">
        <v>4.67</v>
      </c>
      <c r="H289" s="164">
        <v>48292</v>
      </c>
      <c r="I289" s="161">
        <v>37949975</v>
      </c>
      <c r="J289"/>
      <c r="K289" s="125" t="s">
        <v>403</v>
      </c>
      <c r="L289" s="126" t="s">
        <v>692</v>
      </c>
      <c r="M289" s="127">
        <v>1</v>
      </c>
      <c r="N289" s="126" t="s">
        <v>692</v>
      </c>
      <c r="O289" s="131" t="s">
        <v>692</v>
      </c>
      <c r="P289" s="127"/>
    </row>
    <row r="290" spans="1:16" x14ac:dyDescent="0.25">
      <c r="A290" t="s">
        <v>301</v>
      </c>
      <c r="B290" s="117">
        <v>73025</v>
      </c>
      <c r="C290" s="117">
        <v>73507</v>
      </c>
      <c r="D290" s="141">
        <v>72583</v>
      </c>
      <c r="E290" s="117">
        <v>72543</v>
      </c>
      <c r="F290">
        <v>13.5</v>
      </c>
      <c r="G290" s="162">
        <v>3.65</v>
      </c>
      <c r="H290" s="164">
        <v>54069</v>
      </c>
      <c r="I290" s="161">
        <v>4647645875</v>
      </c>
      <c r="J290"/>
      <c r="K290" s="125" t="s">
        <v>404</v>
      </c>
      <c r="L290" s="126" t="s">
        <v>692</v>
      </c>
      <c r="M290" s="127">
        <v>3</v>
      </c>
      <c r="N290" s="126" t="s">
        <v>692</v>
      </c>
      <c r="O290" s="131" t="s">
        <v>692</v>
      </c>
      <c r="P290" s="127"/>
    </row>
    <row r="291" spans="1:16" x14ac:dyDescent="0.25">
      <c r="A291" t="s">
        <v>302</v>
      </c>
      <c r="B291" s="117">
        <v>4148</v>
      </c>
      <c r="C291" s="117">
        <v>3685</v>
      </c>
      <c r="D291" s="141">
        <v>3662</v>
      </c>
      <c r="E291" s="117">
        <v>3794</v>
      </c>
      <c r="F291">
        <v>3.6</v>
      </c>
      <c r="G291" s="162">
        <v>3.95</v>
      </c>
      <c r="H291" s="164">
        <v>90542</v>
      </c>
      <c r="I291" s="161">
        <v>630924853</v>
      </c>
      <c r="J291"/>
      <c r="K291" s="125" t="s">
        <v>405</v>
      </c>
      <c r="L291" s="126" t="s">
        <v>692</v>
      </c>
      <c r="M291" s="127">
        <v>2</v>
      </c>
      <c r="N291" s="126" t="s">
        <v>692</v>
      </c>
      <c r="O291" s="131" t="s">
        <v>692</v>
      </c>
      <c r="P291" s="127"/>
    </row>
    <row r="292" spans="1:16" x14ac:dyDescent="0.25">
      <c r="A292" t="s">
        <v>303</v>
      </c>
      <c r="B292" s="117">
        <v>495</v>
      </c>
      <c r="C292" s="117">
        <v>373</v>
      </c>
      <c r="D292" s="141">
        <v>430</v>
      </c>
      <c r="E292" s="117">
        <v>407</v>
      </c>
      <c r="F292">
        <v>7.8</v>
      </c>
      <c r="G292" s="162">
        <v>4.03</v>
      </c>
      <c r="H292" s="164">
        <v>43319</v>
      </c>
      <c r="I292" s="161">
        <v>21284193</v>
      </c>
      <c r="J292"/>
      <c r="K292" s="125" t="s">
        <v>407</v>
      </c>
      <c r="L292" s="126" t="s">
        <v>692</v>
      </c>
      <c r="M292" s="127">
        <v>1</v>
      </c>
      <c r="N292" s="126" t="s">
        <v>692</v>
      </c>
      <c r="O292" s="131" t="s">
        <v>692</v>
      </c>
      <c r="P292" s="127"/>
    </row>
    <row r="293" spans="1:16" x14ac:dyDescent="0.25">
      <c r="A293" t="s">
        <v>304</v>
      </c>
      <c r="B293" s="117">
        <v>1441</v>
      </c>
      <c r="C293" s="117">
        <v>1852</v>
      </c>
      <c r="D293" s="141">
        <v>1613</v>
      </c>
      <c r="E293" s="117">
        <v>1628</v>
      </c>
      <c r="F293">
        <v>25.7</v>
      </c>
      <c r="G293" s="162">
        <v>3.11</v>
      </c>
      <c r="H293" s="164">
        <v>35938</v>
      </c>
      <c r="I293" s="161">
        <v>233366028</v>
      </c>
      <c r="J293"/>
      <c r="K293" s="125" t="s">
        <v>408</v>
      </c>
      <c r="L293" s="126" t="s">
        <v>692</v>
      </c>
      <c r="M293" s="127">
        <v>3</v>
      </c>
      <c r="N293" s="126" t="s">
        <v>692</v>
      </c>
      <c r="O293" s="131" t="s">
        <v>692</v>
      </c>
      <c r="P293" s="127"/>
    </row>
    <row r="294" spans="1:16" x14ac:dyDescent="0.25">
      <c r="A294" t="s">
        <v>305</v>
      </c>
      <c r="B294" s="117">
        <v>196870</v>
      </c>
      <c r="C294" s="117">
        <v>226623</v>
      </c>
      <c r="D294" s="141">
        <v>211110</v>
      </c>
      <c r="E294" s="117">
        <v>241049</v>
      </c>
      <c r="F294">
        <v>11.2</v>
      </c>
      <c r="G294" s="162">
        <v>3.05</v>
      </c>
      <c r="H294" s="164">
        <v>79838</v>
      </c>
      <c r="I294" s="161">
        <v>27475388917</v>
      </c>
      <c r="J294"/>
      <c r="K294" s="125" t="s">
        <v>409</v>
      </c>
      <c r="L294" s="126" t="s">
        <v>692</v>
      </c>
      <c r="M294" s="127">
        <v>1</v>
      </c>
      <c r="N294" s="126" t="s">
        <v>692</v>
      </c>
      <c r="O294" s="131" t="s">
        <v>692</v>
      </c>
      <c r="P294" s="127"/>
    </row>
    <row r="295" spans="1:16" x14ac:dyDescent="0.25">
      <c r="A295" t="s">
        <v>306</v>
      </c>
      <c r="B295" s="117">
        <v>9594</v>
      </c>
      <c r="C295" s="117">
        <v>9245</v>
      </c>
      <c r="D295" s="141">
        <v>9311</v>
      </c>
      <c r="E295" s="117">
        <v>9208</v>
      </c>
      <c r="F295">
        <v>21.3</v>
      </c>
      <c r="G295" s="162">
        <v>3.63</v>
      </c>
      <c r="H295" s="164">
        <v>55659</v>
      </c>
      <c r="I295" s="161">
        <v>1159458736</v>
      </c>
      <c r="J295"/>
      <c r="K295" s="125" t="s">
        <v>411</v>
      </c>
      <c r="L295" s="126" t="s">
        <v>693</v>
      </c>
      <c r="M295" s="127">
        <v>2</v>
      </c>
      <c r="N295" s="126" t="s">
        <v>692</v>
      </c>
      <c r="O295" s="131" t="s">
        <v>692</v>
      </c>
      <c r="P295" s="127"/>
    </row>
    <row r="296" spans="1:16" x14ac:dyDescent="0.25">
      <c r="A296" t="s">
        <v>307</v>
      </c>
      <c r="B296" s="117">
        <v>2551</v>
      </c>
      <c r="C296" s="117">
        <v>2782</v>
      </c>
      <c r="D296" s="141">
        <v>2303</v>
      </c>
      <c r="E296" s="117">
        <v>2340</v>
      </c>
      <c r="F296">
        <v>23.2</v>
      </c>
      <c r="G296" s="162">
        <v>3.19</v>
      </c>
      <c r="H296" s="164">
        <v>28257</v>
      </c>
      <c r="I296" s="161">
        <v>225179366</v>
      </c>
      <c r="J296"/>
      <c r="K296" s="125" t="s">
        <v>412</v>
      </c>
      <c r="L296" s="126" t="s">
        <v>692</v>
      </c>
      <c r="M296" s="127">
        <v>1</v>
      </c>
      <c r="N296" s="126" t="s">
        <v>692</v>
      </c>
      <c r="O296" s="131" t="s">
        <v>692</v>
      </c>
      <c r="P296" s="127"/>
    </row>
    <row r="297" spans="1:16" x14ac:dyDescent="0.25">
      <c r="A297" t="s">
        <v>309</v>
      </c>
      <c r="B297" s="117">
        <v>48630</v>
      </c>
      <c r="C297" s="117">
        <v>56470</v>
      </c>
      <c r="D297" s="141">
        <v>51953</v>
      </c>
      <c r="E297" s="117">
        <v>57697</v>
      </c>
      <c r="F297">
        <v>12.2</v>
      </c>
      <c r="G297" s="162">
        <v>3.35</v>
      </c>
      <c r="H297" s="164">
        <v>70691</v>
      </c>
      <c r="I297" s="161">
        <v>6234117197</v>
      </c>
      <c r="J297"/>
      <c r="K297" s="125" t="s">
        <v>413</v>
      </c>
      <c r="L297" s="126" t="s">
        <v>692</v>
      </c>
      <c r="M297" s="127">
        <v>7</v>
      </c>
      <c r="N297" s="126" t="s">
        <v>692</v>
      </c>
      <c r="O297" s="131" t="s">
        <v>692</v>
      </c>
      <c r="P297" s="127"/>
    </row>
    <row r="298" spans="1:16" x14ac:dyDescent="0.25">
      <c r="A298" t="s">
        <v>310</v>
      </c>
      <c r="B298" s="117">
        <v>338</v>
      </c>
      <c r="C298" s="117">
        <v>245</v>
      </c>
      <c r="D298" s="141">
        <v>205</v>
      </c>
      <c r="E298" s="117">
        <v>200</v>
      </c>
      <c r="F298">
        <v>34.700000000000003</v>
      </c>
      <c r="G298" s="162">
        <v>4.68</v>
      </c>
      <c r="H298" s="164"/>
      <c r="I298" s="161">
        <v>9131635</v>
      </c>
      <c r="J298"/>
      <c r="K298" s="125" t="s">
        <v>414</v>
      </c>
      <c r="L298" s="126" t="s">
        <v>692</v>
      </c>
      <c r="M298" s="127">
        <v>1</v>
      </c>
      <c r="N298" s="126" t="s">
        <v>692</v>
      </c>
      <c r="O298" s="131" t="s">
        <v>692</v>
      </c>
      <c r="P298" s="127"/>
    </row>
    <row r="299" spans="1:16" x14ac:dyDescent="0.25">
      <c r="A299" t="s">
        <v>311</v>
      </c>
      <c r="B299" s="117">
        <v>943</v>
      </c>
      <c r="C299" s="117">
        <v>1157</v>
      </c>
      <c r="D299" s="141">
        <v>775</v>
      </c>
      <c r="E299" s="117">
        <v>777</v>
      </c>
      <c r="F299">
        <v>22.7</v>
      </c>
      <c r="G299" s="162">
        <v>3.32</v>
      </c>
      <c r="H299" s="164">
        <v>62917</v>
      </c>
      <c r="I299" s="161">
        <v>82188259</v>
      </c>
      <c r="J299"/>
      <c r="K299" s="125" t="s">
        <v>415</v>
      </c>
      <c r="L299" s="126" t="s">
        <v>693</v>
      </c>
      <c r="M299" s="127">
        <v>6</v>
      </c>
      <c r="N299" s="126" t="s">
        <v>692</v>
      </c>
      <c r="O299" s="131" t="s">
        <v>692</v>
      </c>
      <c r="P299" s="127"/>
    </row>
    <row r="300" spans="1:16" x14ac:dyDescent="0.25">
      <c r="A300" t="s">
        <v>312</v>
      </c>
      <c r="B300" s="117">
        <v>1892</v>
      </c>
      <c r="C300" s="117">
        <v>2351</v>
      </c>
      <c r="D300" s="141">
        <v>1473</v>
      </c>
      <c r="E300" s="117">
        <v>1636</v>
      </c>
      <c r="F300">
        <v>16.899999999999999</v>
      </c>
      <c r="G300" s="162">
        <v>3.85</v>
      </c>
      <c r="H300" s="164">
        <v>46229</v>
      </c>
      <c r="I300" s="161">
        <v>177012769</v>
      </c>
      <c r="J300"/>
      <c r="K300" s="125" t="s">
        <v>416</v>
      </c>
      <c r="L300" s="126" t="s">
        <v>692</v>
      </c>
      <c r="M300" s="127">
        <v>1</v>
      </c>
      <c r="N300" s="126" t="s">
        <v>692</v>
      </c>
      <c r="O300" s="131" t="s">
        <v>692</v>
      </c>
      <c r="P300" s="127"/>
    </row>
    <row r="301" spans="1:16" x14ac:dyDescent="0.25">
      <c r="A301" t="s">
        <v>313</v>
      </c>
      <c r="B301" s="117">
        <v>24576</v>
      </c>
      <c r="C301" s="117">
        <v>27439</v>
      </c>
      <c r="D301" s="141">
        <v>26027</v>
      </c>
      <c r="E301" s="117">
        <v>27858</v>
      </c>
      <c r="F301">
        <v>11.5</v>
      </c>
      <c r="G301" s="162">
        <v>3.81</v>
      </c>
      <c r="H301" s="164">
        <v>69923</v>
      </c>
      <c r="I301" s="161">
        <v>4221794067</v>
      </c>
      <c r="J301"/>
      <c r="K301" s="125" t="s">
        <v>417</v>
      </c>
      <c r="L301" s="126" t="s">
        <v>692</v>
      </c>
      <c r="M301" s="127">
        <v>5</v>
      </c>
      <c r="N301" s="126" t="s">
        <v>692</v>
      </c>
      <c r="O301" s="131" t="s">
        <v>692</v>
      </c>
      <c r="P301" s="127"/>
    </row>
    <row r="302" spans="1:16" x14ac:dyDescent="0.25">
      <c r="A302" t="s">
        <v>314</v>
      </c>
      <c r="B302" s="117">
        <v>7155</v>
      </c>
      <c r="C302" s="117">
        <v>7727</v>
      </c>
      <c r="D302" s="141">
        <v>7566</v>
      </c>
      <c r="E302" s="117">
        <v>7852</v>
      </c>
      <c r="F302">
        <v>7</v>
      </c>
      <c r="G302" s="162">
        <v>4.16</v>
      </c>
      <c r="H302" s="164">
        <v>85747</v>
      </c>
      <c r="I302" s="161">
        <v>3122953063</v>
      </c>
      <c r="J302"/>
      <c r="K302" s="125" t="s">
        <v>418</v>
      </c>
      <c r="L302" s="126" t="s">
        <v>692</v>
      </c>
      <c r="M302" s="127">
        <v>3</v>
      </c>
      <c r="N302" s="126" t="s">
        <v>692</v>
      </c>
      <c r="O302" s="131" t="s">
        <v>692</v>
      </c>
      <c r="P302" s="127"/>
    </row>
    <row r="303" spans="1:16" x14ac:dyDescent="0.25">
      <c r="A303" t="s">
        <v>315</v>
      </c>
      <c r="B303" s="117">
        <v>6961</v>
      </c>
      <c r="C303" s="117">
        <v>7345</v>
      </c>
      <c r="D303" s="141">
        <v>7164</v>
      </c>
      <c r="E303" s="117">
        <v>7582</v>
      </c>
      <c r="F303">
        <v>6.4</v>
      </c>
      <c r="G303" s="162">
        <v>3.45</v>
      </c>
      <c r="H303" s="164">
        <v>60451</v>
      </c>
      <c r="I303" s="161">
        <v>815266277</v>
      </c>
      <c r="J303"/>
      <c r="K303" s="125" t="s">
        <v>419</v>
      </c>
      <c r="L303" s="126" t="s">
        <v>692</v>
      </c>
      <c r="M303" s="127">
        <v>2</v>
      </c>
      <c r="N303" s="126" t="s">
        <v>692</v>
      </c>
      <c r="O303" s="131" t="s">
        <v>692</v>
      </c>
      <c r="P303" s="127"/>
    </row>
    <row r="304" spans="1:16" x14ac:dyDescent="0.25">
      <c r="A304" t="s">
        <v>316</v>
      </c>
      <c r="B304" s="117">
        <v>11028</v>
      </c>
      <c r="C304" s="117">
        <v>11472</v>
      </c>
      <c r="D304" s="141">
        <v>11066</v>
      </c>
      <c r="E304" s="117">
        <v>11600</v>
      </c>
      <c r="F304">
        <v>23.7</v>
      </c>
      <c r="G304" s="162">
        <v>3.68</v>
      </c>
      <c r="H304" s="164">
        <v>45507</v>
      </c>
      <c r="I304" s="161">
        <v>2123657575</v>
      </c>
      <c r="J304"/>
      <c r="K304" s="125" t="s">
        <v>420</v>
      </c>
      <c r="L304" s="126" t="s">
        <v>693</v>
      </c>
      <c r="M304" s="127">
        <v>4</v>
      </c>
      <c r="N304" s="126" t="s">
        <v>692</v>
      </c>
      <c r="O304" s="131" t="s">
        <v>692</v>
      </c>
      <c r="P304" s="127"/>
    </row>
    <row r="305" spans="1:16" x14ac:dyDescent="0.25">
      <c r="A305" t="s">
        <v>317</v>
      </c>
      <c r="B305" s="117">
        <v>492</v>
      </c>
      <c r="C305" s="117">
        <v>499</v>
      </c>
      <c r="D305" s="141">
        <v>654</v>
      </c>
      <c r="E305" s="117">
        <v>657</v>
      </c>
      <c r="F305">
        <v>24.4</v>
      </c>
      <c r="G305" s="162">
        <v>3.84</v>
      </c>
      <c r="H305" s="164">
        <v>31625</v>
      </c>
      <c r="I305" s="161">
        <v>23343154</v>
      </c>
      <c r="J305"/>
      <c r="K305" s="125" t="s">
        <v>421</v>
      </c>
      <c r="L305" s="126" t="s">
        <v>692</v>
      </c>
      <c r="M305" s="127">
        <v>2</v>
      </c>
      <c r="N305" s="126" t="s">
        <v>692</v>
      </c>
      <c r="O305" s="131" t="s">
        <v>692</v>
      </c>
      <c r="P305" s="127"/>
    </row>
    <row r="306" spans="1:16" x14ac:dyDescent="0.25">
      <c r="A306" t="s">
        <v>318</v>
      </c>
      <c r="B306" s="117">
        <v>20398</v>
      </c>
      <c r="C306" s="117">
        <v>19576</v>
      </c>
      <c r="D306" s="141">
        <v>19962</v>
      </c>
      <c r="E306" s="117">
        <v>19242</v>
      </c>
      <c r="F306">
        <v>28.9</v>
      </c>
      <c r="G306" s="162">
        <v>3.86</v>
      </c>
      <c r="H306" s="164">
        <v>35250</v>
      </c>
      <c r="I306" s="161">
        <v>1461581997</v>
      </c>
      <c r="J306"/>
      <c r="K306" s="125" t="s">
        <v>423</v>
      </c>
      <c r="L306" s="126" t="s">
        <v>692</v>
      </c>
      <c r="M306" s="127">
        <v>0</v>
      </c>
      <c r="N306" s="126" t="s">
        <v>693</v>
      </c>
      <c r="O306" s="131" t="s">
        <v>692</v>
      </c>
      <c r="P306" s="127"/>
    </row>
    <row r="307" spans="1:16" x14ac:dyDescent="0.25">
      <c r="A307" t="s">
        <v>319</v>
      </c>
      <c r="B307" s="117">
        <v>178</v>
      </c>
      <c r="C307" s="117">
        <v>53</v>
      </c>
      <c r="D307" s="141">
        <v>135</v>
      </c>
      <c r="E307" s="117">
        <v>124</v>
      </c>
      <c r="F307">
        <v>13.2</v>
      </c>
      <c r="G307" s="162">
        <v>4.6500000000000004</v>
      </c>
      <c r="H307" s="164">
        <v>98750</v>
      </c>
      <c r="I307" s="161">
        <v>8665875</v>
      </c>
      <c r="J307"/>
      <c r="K307" s="125" t="s">
        <v>424</v>
      </c>
      <c r="L307" s="126" t="s">
        <v>692</v>
      </c>
      <c r="M307" s="127">
        <v>3</v>
      </c>
      <c r="N307" s="126" t="s">
        <v>692</v>
      </c>
      <c r="O307" s="131" t="s">
        <v>692</v>
      </c>
      <c r="P307" s="127"/>
    </row>
    <row r="308" spans="1:16" x14ac:dyDescent="0.25">
      <c r="A308" t="s">
        <v>320</v>
      </c>
      <c r="B308" s="117">
        <v>3490</v>
      </c>
      <c r="C308" s="117">
        <v>3721</v>
      </c>
      <c r="D308" s="141">
        <v>3653</v>
      </c>
      <c r="E308" s="117">
        <v>3791</v>
      </c>
      <c r="F308">
        <v>3.7</v>
      </c>
      <c r="G308" s="162">
        <v>4.16</v>
      </c>
      <c r="H308" s="164">
        <v>88811</v>
      </c>
      <c r="I308" s="161">
        <v>1549385482</v>
      </c>
      <c r="J308"/>
      <c r="K308" s="125" t="s">
        <v>426</v>
      </c>
      <c r="L308" s="126" t="s">
        <v>692</v>
      </c>
      <c r="M308" s="127">
        <v>1</v>
      </c>
      <c r="N308" s="126" t="s">
        <v>692</v>
      </c>
      <c r="O308" s="131" t="s">
        <v>692</v>
      </c>
      <c r="P308" s="127"/>
    </row>
    <row r="309" spans="1:16" x14ac:dyDescent="0.25">
      <c r="A309" t="s">
        <v>321</v>
      </c>
      <c r="B309" s="117">
        <v>16001</v>
      </c>
      <c r="C309" s="117">
        <v>19532</v>
      </c>
      <c r="D309" s="141">
        <v>18571</v>
      </c>
      <c r="E309" s="117">
        <v>20957</v>
      </c>
      <c r="F309">
        <v>5.8</v>
      </c>
      <c r="G309" s="162">
        <v>3</v>
      </c>
      <c r="H309" s="164">
        <v>91638</v>
      </c>
      <c r="I309" s="161">
        <v>2752720310</v>
      </c>
      <c r="J309"/>
      <c r="K309" s="125" t="s">
        <v>427</v>
      </c>
      <c r="L309" s="126" t="s">
        <v>692</v>
      </c>
      <c r="M309" s="127">
        <v>2</v>
      </c>
      <c r="N309" s="126" t="s">
        <v>692</v>
      </c>
      <c r="O309" s="131" t="s">
        <v>692</v>
      </c>
      <c r="P309" s="127"/>
    </row>
    <row r="310" spans="1:16" x14ac:dyDescent="0.25">
      <c r="A310" t="s">
        <v>322</v>
      </c>
      <c r="B310" s="117">
        <v>2124</v>
      </c>
      <c r="C310" s="117">
        <v>2323</v>
      </c>
      <c r="D310" s="141">
        <v>2198</v>
      </c>
      <c r="E310" s="117">
        <v>2228</v>
      </c>
      <c r="F310">
        <v>4.0999999999999996</v>
      </c>
      <c r="G310" s="162">
        <v>3.38</v>
      </c>
      <c r="H310" s="164">
        <v>102292</v>
      </c>
      <c r="I310" s="161">
        <v>1292953947</v>
      </c>
      <c r="J310"/>
      <c r="K310" s="125" t="s">
        <v>428</v>
      </c>
      <c r="L310" s="126" t="s">
        <v>693</v>
      </c>
      <c r="M310" s="127">
        <v>1</v>
      </c>
      <c r="N310" s="126" t="s">
        <v>692</v>
      </c>
      <c r="O310" s="131" t="s">
        <v>692</v>
      </c>
      <c r="P310" s="127"/>
    </row>
    <row r="311" spans="1:16" x14ac:dyDescent="0.25">
      <c r="A311" t="s">
        <v>323</v>
      </c>
      <c r="B311" s="117">
        <v>2670</v>
      </c>
      <c r="C311" s="117">
        <v>2692</v>
      </c>
      <c r="D311" s="141">
        <v>2603</v>
      </c>
      <c r="E311" s="117">
        <v>2656</v>
      </c>
      <c r="F311">
        <v>29</v>
      </c>
      <c r="G311" s="162">
        <v>3.86</v>
      </c>
      <c r="H311" s="164">
        <v>49475</v>
      </c>
      <c r="I311" s="161">
        <v>148700838</v>
      </c>
      <c r="J311"/>
      <c r="K311" s="125" t="s">
        <v>429</v>
      </c>
      <c r="L311" s="126" t="s">
        <v>693</v>
      </c>
      <c r="M311" s="127">
        <v>2</v>
      </c>
      <c r="N311" s="126" t="s">
        <v>692</v>
      </c>
      <c r="O311" s="131" t="s">
        <v>692</v>
      </c>
      <c r="P311" s="127"/>
    </row>
    <row r="312" spans="1:16" x14ac:dyDescent="0.25">
      <c r="A312" t="s">
        <v>324</v>
      </c>
      <c r="B312" s="117">
        <v>1498</v>
      </c>
      <c r="C312" s="117">
        <v>1488</v>
      </c>
      <c r="D312" s="141">
        <v>1349</v>
      </c>
      <c r="E312" s="117">
        <v>1426</v>
      </c>
      <c r="F312">
        <v>8.9</v>
      </c>
      <c r="G312" s="162">
        <v>4.08</v>
      </c>
      <c r="H312" s="164">
        <v>72813</v>
      </c>
      <c r="I312" s="161">
        <v>1302916186</v>
      </c>
      <c r="J312"/>
      <c r="K312" s="125" t="s">
        <v>430</v>
      </c>
      <c r="L312" s="126" t="s">
        <v>692</v>
      </c>
      <c r="M312" s="127">
        <v>2</v>
      </c>
      <c r="N312" s="126" t="s">
        <v>692</v>
      </c>
      <c r="O312" s="131" t="s">
        <v>692</v>
      </c>
      <c r="P312" s="127"/>
    </row>
    <row r="313" spans="1:16" x14ac:dyDescent="0.25">
      <c r="A313" t="s">
        <v>325</v>
      </c>
      <c r="B313" s="117">
        <v>3798</v>
      </c>
      <c r="C313" s="117">
        <v>3365</v>
      </c>
      <c r="D313" s="141">
        <v>3275</v>
      </c>
      <c r="E313" s="117">
        <v>3417</v>
      </c>
      <c r="F313">
        <v>4.4000000000000004</v>
      </c>
      <c r="G313" s="162">
        <v>3.1</v>
      </c>
      <c r="H313" s="164">
        <v>76366</v>
      </c>
      <c r="I313" s="161">
        <v>390949354</v>
      </c>
      <c r="J313"/>
      <c r="K313" s="125" t="s">
        <v>431</v>
      </c>
      <c r="L313" s="126" t="s">
        <v>692</v>
      </c>
      <c r="M313" s="127">
        <v>7</v>
      </c>
      <c r="N313" s="126" t="s">
        <v>692</v>
      </c>
      <c r="O313" s="131" t="s">
        <v>692</v>
      </c>
      <c r="P313" s="127"/>
    </row>
    <row r="314" spans="1:16" x14ac:dyDescent="0.25">
      <c r="A314" t="s">
        <v>326</v>
      </c>
      <c r="B314" s="117">
        <v>52</v>
      </c>
      <c r="C314" s="117">
        <v>116</v>
      </c>
      <c r="D314" s="141">
        <v>39</v>
      </c>
      <c r="E314" s="117">
        <v>41</v>
      </c>
      <c r="F314">
        <v>0</v>
      </c>
      <c r="G314" s="162">
        <v>3.52</v>
      </c>
      <c r="H314" s="164">
        <v>106875</v>
      </c>
      <c r="I314" s="161">
        <v>134075727</v>
      </c>
      <c r="J314"/>
      <c r="K314" s="125" t="s">
        <v>433</v>
      </c>
      <c r="L314" s="126" t="s">
        <v>692</v>
      </c>
      <c r="M314" s="127">
        <v>5</v>
      </c>
      <c r="N314" s="126" t="s">
        <v>692</v>
      </c>
      <c r="O314" s="131" t="s">
        <v>692</v>
      </c>
      <c r="P314" s="127"/>
    </row>
    <row r="315" spans="1:16" x14ac:dyDescent="0.25">
      <c r="A315" t="s">
        <v>327</v>
      </c>
      <c r="B315" s="117">
        <v>1733</v>
      </c>
      <c r="C315" s="117">
        <v>1666</v>
      </c>
      <c r="D315" s="141">
        <v>1317</v>
      </c>
      <c r="E315" s="117">
        <v>1267</v>
      </c>
      <c r="F315">
        <v>6.8</v>
      </c>
      <c r="G315" s="162">
        <v>4.0599999999999996</v>
      </c>
      <c r="H315" s="164">
        <v>79844</v>
      </c>
      <c r="I315" s="161">
        <v>296677623</v>
      </c>
      <c r="J315"/>
      <c r="K315" s="125" t="s">
        <v>434</v>
      </c>
      <c r="L315" s="126" t="s">
        <v>693</v>
      </c>
      <c r="M315" s="127">
        <v>6</v>
      </c>
      <c r="N315" s="126" t="s">
        <v>692</v>
      </c>
      <c r="O315" s="131" t="s">
        <v>692</v>
      </c>
      <c r="P315" s="127"/>
    </row>
    <row r="316" spans="1:16" x14ac:dyDescent="0.25">
      <c r="A316" t="s">
        <v>328</v>
      </c>
      <c r="B316" s="117">
        <v>3099</v>
      </c>
      <c r="C316" s="117">
        <v>3726</v>
      </c>
      <c r="D316" s="141">
        <v>3634</v>
      </c>
      <c r="E316" s="117">
        <v>3909</v>
      </c>
      <c r="F316">
        <v>7.2</v>
      </c>
      <c r="G316" s="162">
        <v>3.43</v>
      </c>
      <c r="H316" s="164">
        <v>82645</v>
      </c>
      <c r="I316" s="161">
        <v>497536004</v>
      </c>
      <c r="J316"/>
      <c r="K316" s="128" t="s">
        <v>812</v>
      </c>
      <c r="L316" s="126" t="s">
        <v>692</v>
      </c>
      <c r="M316" s="127">
        <v>0</v>
      </c>
      <c r="N316" s="126" t="s">
        <v>692</v>
      </c>
      <c r="O316" s="131" t="s">
        <v>692</v>
      </c>
      <c r="P316" s="127"/>
    </row>
    <row r="317" spans="1:16" x14ac:dyDescent="0.25">
      <c r="A317" t="s">
        <v>329</v>
      </c>
      <c r="B317" s="117">
        <v>202</v>
      </c>
      <c r="C317" s="117">
        <v>222</v>
      </c>
      <c r="D317" s="141">
        <v>127</v>
      </c>
      <c r="E317" s="117">
        <v>126</v>
      </c>
      <c r="F317">
        <v>5.4</v>
      </c>
      <c r="G317" s="162">
        <v>3.11</v>
      </c>
      <c r="H317" s="164">
        <v>49083</v>
      </c>
      <c r="I317" s="161">
        <v>14673883</v>
      </c>
      <c r="J317"/>
      <c r="K317" s="125" t="s">
        <v>435</v>
      </c>
      <c r="L317" s="126" t="s">
        <v>693</v>
      </c>
      <c r="M317" s="127">
        <v>10</v>
      </c>
      <c r="N317" s="126" t="s">
        <v>692</v>
      </c>
      <c r="O317" s="131" t="s">
        <v>692</v>
      </c>
      <c r="P317" s="127"/>
    </row>
    <row r="318" spans="1:16" x14ac:dyDescent="0.25">
      <c r="A318" t="s">
        <v>330</v>
      </c>
      <c r="B318" s="117">
        <v>173</v>
      </c>
      <c r="C318" s="117">
        <v>169</v>
      </c>
      <c r="D318" s="141">
        <v>68</v>
      </c>
      <c r="E318" s="117">
        <v>57</v>
      </c>
      <c r="F318">
        <v>6.5</v>
      </c>
      <c r="G318" s="162">
        <v>4.67</v>
      </c>
      <c r="H318" s="164">
        <v>64167</v>
      </c>
      <c r="I318" s="161">
        <v>5857059</v>
      </c>
      <c r="J318"/>
      <c r="K318" s="125" t="s">
        <v>437</v>
      </c>
      <c r="L318" s="126" t="s">
        <v>692</v>
      </c>
      <c r="M318" s="127">
        <v>2</v>
      </c>
      <c r="N318" s="126" t="s">
        <v>692</v>
      </c>
      <c r="O318" s="131" t="s">
        <v>692</v>
      </c>
      <c r="P318" s="127"/>
    </row>
    <row r="319" spans="1:16" x14ac:dyDescent="0.25">
      <c r="A319" t="s">
        <v>331</v>
      </c>
      <c r="B319" s="117">
        <v>489</v>
      </c>
      <c r="C319" s="117">
        <v>549</v>
      </c>
      <c r="D319" s="141">
        <v>408</v>
      </c>
      <c r="E319" s="117">
        <v>449</v>
      </c>
      <c r="F319">
        <v>3.1</v>
      </c>
      <c r="G319" s="162">
        <v>3.84</v>
      </c>
      <c r="H319" s="164">
        <v>78958</v>
      </c>
      <c r="I319" s="161">
        <v>20900668</v>
      </c>
      <c r="J319"/>
      <c r="K319" s="125" t="s">
        <v>439</v>
      </c>
      <c r="L319" s="126" t="s">
        <v>692</v>
      </c>
      <c r="M319" s="127">
        <v>2</v>
      </c>
      <c r="N319" s="126" t="s">
        <v>692</v>
      </c>
      <c r="O319" s="131" t="s">
        <v>692</v>
      </c>
      <c r="P319" s="127"/>
    </row>
    <row r="320" spans="1:16" x14ac:dyDescent="0.25">
      <c r="A320" t="s">
        <v>332</v>
      </c>
      <c r="B320" s="117">
        <v>2680</v>
      </c>
      <c r="C320" s="117">
        <v>2391</v>
      </c>
      <c r="D320" s="141">
        <v>2248</v>
      </c>
      <c r="E320" s="117">
        <v>2320</v>
      </c>
      <c r="F320">
        <v>7</v>
      </c>
      <c r="G320" s="162">
        <v>2.82</v>
      </c>
      <c r="H320" s="164">
        <v>89107</v>
      </c>
      <c r="I320" s="161">
        <v>684131915</v>
      </c>
      <c r="J320"/>
      <c r="K320" s="125" t="s">
        <v>440</v>
      </c>
      <c r="L320" s="126" t="s">
        <v>692</v>
      </c>
      <c r="M320" s="127">
        <v>1</v>
      </c>
      <c r="N320" s="126" t="s">
        <v>692</v>
      </c>
      <c r="O320" s="131" t="s">
        <v>692</v>
      </c>
      <c r="P320" s="127"/>
    </row>
    <row r="321" spans="1:16" x14ac:dyDescent="0.25">
      <c r="A321" t="s">
        <v>333</v>
      </c>
      <c r="B321" s="117">
        <v>15119</v>
      </c>
      <c r="C321" s="117">
        <v>15079</v>
      </c>
      <c r="D321" s="141">
        <v>15143</v>
      </c>
      <c r="E321" s="117">
        <v>14987</v>
      </c>
      <c r="F321">
        <v>32</v>
      </c>
      <c r="G321" s="162">
        <v>5.32</v>
      </c>
      <c r="H321" s="164">
        <v>39258</v>
      </c>
      <c r="I321" s="161">
        <v>862494950</v>
      </c>
      <c r="J321"/>
      <c r="K321" s="125" t="s">
        <v>441</v>
      </c>
      <c r="L321" s="126" t="s">
        <v>693</v>
      </c>
      <c r="M321" s="127">
        <v>2</v>
      </c>
      <c r="N321" s="126" t="s">
        <v>692</v>
      </c>
      <c r="O321" s="131" t="s">
        <v>692</v>
      </c>
      <c r="P321" s="127"/>
    </row>
    <row r="322" spans="1:16" x14ac:dyDescent="0.25">
      <c r="A322" t="s">
        <v>334</v>
      </c>
      <c r="B322" s="117">
        <v>769</v>
      </c>
      <c r="C322" s="117">
        <v>585</v>
      </c>
      <c r="D322" s="141">
        <v>568</v>
      </c>
      <c r="E322" s="117">
        <v>570</v>
      </c>
      <c r="F322">
        <v>22.1</v>
      </c>
      <c r="G322" s="162">
        <v>3.84</v>
      </c>
      <c r="H322" s="164">
        <v>31691</v>
      </c>
      <c r="I322" s="161">
        <v>24655756</v>
      </c>
      <c r="J322"/>
      <c r="K322" s="125" t="s">
        <v>442</v>
      </c>
      <c r="L322" s="126" t="s">
        <v>692</v>
      </c>
      <c r="M322" s="127">
        <v>3</v>
      </c>
      <c r="N322" s="126" t="s">
        <v>692</v>
      </c>
      <c r="O322" s="131" t="s">
        <v>692</v>
      </c>
      <c r="P322" s="127"/>
    </row>
    <row r="323" spans="1:16" x14ac:dyDescent="0.25">
      <c r="A323" t="s">
        <v>335</v>
      </c>
      <c r="B323" s="117">
        <v>60481</v>
      </c>
      <c r="C323" s="117">
        <v>64565</v>
      </c>
      <c r="D323" s="141">
        <v>62488</v>
      </c>
      <c r="E323" s="117">
        <v>67308</v>
      </c>
      <c r="F323">
        <v>15.5</v>
      </c>
      <c r="G323" s="162">
        <v>3.58</v>
      </c>
      <c r="H323" s="164">
        <v>63060</v>
      </c>
      <c r="I323" s="161">
        <v>9494992099</v>
      </c>
      <c r="J323"/>
      <c r="K323" s="125" t="s">
        <v>444</v>
      </c>
      <c r="L323" s="126" t="s">
        <v>692</v>
      </c>
      <c r="M323" s="127">
        <v>0</v>
      </c>
      <c r="N323" s="126" t="s">
        <v>692</v>
      </c>
      <c r="O323" s="131" t="s">
        <v>692</v>
      </c>
      <c r="P323" s="127"/>
    </row>
    <row r="324" spans="1:16" x14ac:dyDescent="0.25">
      <c r="A324" t="s">
        <v>336</v>
      </c>
      <c r="B324" s="117">
        <v>44</v>
      </c>
      <c r="C324" s="117">
        <v>50</v>
      </c>
      <c r="D324" s="141">
        <v>39</v>
      </c>
      <c r="E324" s="117">
        <v>37</v>
      </c>
      <c r="F324">
        <v>2</v>
      </c>
      <c r="G324" s="162">
        <v>5.47</v>
      </c>
      <c r="H324" s="164">
        <v>42188</v>
      </c>
      <c r="I324" s="161">
        <v>5022839</v>
      </c>
      <c r="J324"/>
      <c r="K324" s="125" t="s">
        <v>446</v>
      </c>
      <c r="L324" s="126" t="s">
        <v>692</v>
      </c>
      <c r="M324" s="127">
        <v>0</v>
      </c>
      <c r="N324" s="126" t="s">
        <v>692</v>
      </c>
      <c r="O324" s="131" t="s">
        <v>692</v>
      </c>
      <c r="P324" s="127"/>
    </row>
    <row r="325" spans="1:16" x14ac:dyDescent="0.25">
      <c r="A325" t="s">
        <v>337</v>
      </c>
      <c r="B325" s="117">
        <v>20294</v>
      </c>
      <c r="C325" s="117">
        <v>26307</v>
      </c>
      <c r="D325" s="141">
        <v>21446</v>
      </c>
      <c r="E325" s="117">
        <v>30264</v>
      </c>
      <c r="F325">
        <v>5.8</v>
      </c>
      <c r="G325" s="162">
        <v>3.99</v>
      </c>
      <c r="H325" s="164">
        <v>88576</v>
      </c>
      <c r="I325" s="161">
        <v>6316988345</v>
      </c>
      <c r="J325"/>
      <c r="K325" s="125" t="s">
        <v>447</v>
      </c>
      <c r="L325" s="126" t="s">
        <v>692</v>
      </c>
      <c r="M325" s="127">
        <v>2</v>
      </c>
      <c r="N325" s="126" t="s">
        <v>692</v>
      </c>
      <c r="O325" s="131" t="s">
        <v>692</v>
      </c>
      <c r="P325" s="127"/>
    </row>
    <row r="326" spans="1:16" x14ac:dyDescent="0.25">
      <c r="A326" t="s">
        <v>338</v>
      </c>
      <c r="B326" s="117">
        <v>56756</v>
      </c>
      <c r="C326" s="117">
        <v>54917</v>
      </c>
      <c r="D326" s="141">
        <v>55247</v>
      </c>
      <c r="E326" s="117">
        <v>53966</v>
      </c>
      <c r="F326">
        <v>22.5</v>
      </c>
      <c r="G326" s="162">
        <v>3.86</v>
      </c>
      <c r="H326" s="164">
        <v>44795</v>
      </c>
      <c r="I326" s="161">
        <v>4653282102</v>
      </c>
      <c r="J326"/>
      <c r="K326" s="125" t="s">
        <v>449</v>
      </c>
      <c r="L326" s="126" t="s">
        <v>693</v>
      </c>
      <c r="M326" s="127">
        <v>7</v>
      </c>
      <c r="N326" s="126" t="s">
        <v>692</v>
      </c>
      <c r="O326" s="131" t="s">
        <v>692</v>
      </c>
      <c r="P326" s="127"/>
    </row>
    <row r="327" spans="1:16" x14ac:dyDescent="0.25">
      <c r="A327" t="s">
        <v>339</v>
      </c>
      <c r="B327" s="117">
        <v>17879</v>
      </c>
      <c r="C327" s="117">
        <v>18282</v>
      </c>
      <c r="D327" s="141">
        <v>18382</v>
      </c>
      <c r="E327" s="117">
        <v>18766</v>
      </c>
      <c r="F327">
        <v>12.9</v>
      </c>
      <c r="G327" s="162">
        <v>3.26</v>
      </c>
      <c r="H327" s="164">
        <v>48889</v>
      </c>
      <c r="I327" s="161">
        <v>2973882643</v>
      </c>
      <c r="J327"/>
      <c r="K327" s="125" t="s">
        <v>450</v>
      </c>
      <c r="L327" s="126" t="s">
        <v>692</v>
      </c>
      <c r="M327" s="127">
        <v>2</v>
      </c>
      <c r="N327" s="126" t="s">
        <v>692</v>
      </c>
      <c r="O327" s="131" t="s">
        <v>692</v>
      </c>
      <c r="P327" s="127"/>
    </row>
    <row r="328" spans="1:16" x14ac:dyDescent="0.25">
      <c r="A328" t="s">
        <v>340</v>
      </c>
      <c r="B328" s="117">
        <v>574</v>
      </c>
      <c r="C328" s="117">
        <v>466</v>
      </c>
      <c r="D328" s="141">
        <v>433</v>
      </c>
      <c r="E328" s="117">
        <v>407</v>
      </c>
      <c r="F328">
        <v>24.1</v>
      </c>
      <c r="G328" s="162">
        <v>4.68</v>
      </c>
      <c r="H328" s="164">
        <v>48333</v>
      </c>
      <c r="I328" s="161">
        <v>26097611</v>
      </c>
      <c r="J328"/>
      <c r="K328" s="125" t="s">
        <v>451</v>
      </c>
      <c r="L328" s="126" t="s">
        <v>692</v>
      </c>
      <c r="M328" s="127">
        <v>6</v>
      </c>
      <c r="N328" s="126" t="s">
        <v>692</v>
      </c>
      <c r="O328" s="131" t="s">
        <v>692</v>
      </c>
      <c r="P328" s="127"/>
    </row>
    <row r="329" spans="1:16" x14ac:dyDescent="0.25">
      <c r="A329" t="s">
        <v>341</v>
      </c>
      <c r="B329" s="117">
        <v>13861</v>
      </c>
      <c r="C329" s="117">
        <v>13655</v>
      </c>
      <c r="D329" s="141">
        <v>13369</v>
      </c>
      <c r="E329" s="117">
        <v>13656</v>
      </c>
      <c r="F329">
        <v>10.3</v>
      </c>
      <c r="G329" s="162">
        <v>3.67</v>
      </c>
      <c r="H329" s="164">
        <v>84424</v>
      </c>
      <c r="I329" s="161">
        <v>1734501644</v>
      </c>
      <c r="J329"/>
      <c r="K329" s="125" t="s">
        <v>453</v>
      </c>
      <c r="L329" s="126" t="s">
        <v>693</v>
      </c>
      <c r="M329" s="127">
        <v>3</v>
      </c>
      <c r="N329" s="126" t="s">
        <v>692</v>
      </c>
      <c r="O329" s="131" t="s">
        <v>692</v>
      </c>
      <c r="P329" s="127"/>
    </row>
    <row r="330" spans="1:16" x14ac:dyDescent="0.25">
      <c r="A330" t="s">
        <v>342</v>
      </c>
      <c r="B330" s="117">
        <v>18861</v>
      </c>
      <c r="C330" s="117">
        <v>19691</v>
      </c>
      <c r="D330" s="141">
        <v>19490</v>
      </c>
      <c r="E330" s="117">
        <v>20179</v>
      </c>
      <c r="F330">
        <v>25.4</v>
      </c>
      <c r="G330" s="162">
        <v>3.47</v>
      </c>
      <c r="H330" s="164">
        <v>41775</v>
      </c>
      <c r="I330" s="161">
        <v>1841403457</v>
      </c>
      <c r="J330"/>
      <c r="K330" s="125" t="s">
        <v>454</v>
      </c>
      <c r="L330" s="126" t="s">
        <v>693</v>
      </c>
      <c r="M330" s="127">
        <v>2</v>
      </c>
      <c r="N330" s="126" t="s">
        <v>692</v>
      </c>
      <c r="O330" s="131" t="s">
        <v>692</v>
      </c>
      <c r="P330" s="127"/>
    </row>
    <row r="331" spans="1:16" x14ac:dyDescent="0.25">
      <c r="A331" t="s">
        <v>343</v>
      </c>
      <c r="B331" s="117">
        <v>2662</v>
      </c>
      <c r="C331" s="117">
        <v>2678</v>
      </c>
      <c r="D331" s="141">
        <v>2652</v>
      </c>
      <c r="E331" s="117">
        <v>2677</v>
      </c>
      <c r="F331">
        <v>18.100000000000001</v>
      </c>
      <c r="G331" s="162">
        <v>3.52</v>
      </c>
      <c r="H331" s="164">
        <v>39293</v>
      </c>
      <c r="I331" s="161">
        <v>297982261</v>
      </c>
      <c r="J331"/>
      <c r="K331" s="125" t="s">
        <v>455</v>
      </c>
      <c r="L331" s="126" t="s">
        <v>692</v>
      </c>
      <c r="M331" s="127">
        <v>2</v>
      </c>
      <c r="N331" s="126" t="s">
        <v>692</v>
      </c>
      <c r="O331" s="131" t="s">
        <v>692</v>
      </c>
      <c r="P331" s="127"/>
    </row>
    <row r="332" spans="1:16" x14ac:dyDescent="0.25">
      <c r="A332" t="s">
        <v>344</v>
      </c>
      <c r="B332" s="117">
        <v>537</v>
      </c>
      <c r="C332" s="117">
        <v>791</v>
      </c>
      <c r="D332" s="141">
        <v>379</v>
      </c>
      <c r="E332" s="117">
        <v>390</v>
      </c>
      <c r="F332">
        <v>20.9</v>
      </c>
      <c r="G332" s="162">
        <v>4.45</v>
      </c>
      <c r="H332" s="164">
        <v>54250</v>
      </c>
      <c r="I332" s="161">
        <v>19170267</v>
      </c>
      <c r="J332"/>
      <c r="K332" s="125" t="s">
        <v>457</v>
      </c>
      <c r="L332" s="126" t="s">
        <v>692</v>
      </c>
      <c r="M332" s="127">
        <v>2</v>
      </c>
      <c r="N332" s="126" t="s">
        <v>692</v>
      </c>
      <c r="O332" s="131" t="s">
        <v>692</v>
      </c>
      <c r="P332" s="127"/>
    </row>
    <row r="333" spans="1:16" x14ac:dyDescent="0.25">
      <c r="A333" t="s">
        <v>345</v>
      </c>
      <c r="B333" s="117">
        <v>3571</v>
      </c>
      <c r="C333" s="117">
        <v>4683</v>
      </c>
      <c r="D333" s="141">
        <v>4573</v>
      </c>
      <c r="E333" s="117">
        <v>4890</v>
      </c>
      <c r="F333">
        <v>6.3</v>
      </c>
      <c r="G333" s="162">
        <v>3.76</v>
      </c>
      <c r="H333" s="164">
        <v>63393</v>
      </c>
      <c r="I333" s="161">
        <v>618634396</v>
      </c>
      <c r="J333"/>
      <c r="K333" s="125" t="s">
        <v>459</v>
      </c>
      <c r="L333" s="126" t="s">
        <v>692</v>
      </c>
      <c r="M333" s="127">
        <v>3</v>
      </c>
      <c r="N333" s="126" t="s">
        <v>692</v>
      </c>
      <c r="O333" s="131" t="s">
        <v>692</v>
      </c>
      <c r="P333" s="127"/>
    </row>
    <row r="334" spans="1:16" x14ac:dyDescent="0.25">
      <c r="A334" t="s">
        <v>346</v>
      </c>
      <c r="B334" s="117">
        <v>82919</v>
      </c>
      <c r="C334" s="117">
        <v>90359</v>
      </c>
      <c r="D334" s="141">
        <v>85670</v>
      </c>
      <c r="E334" s="117">
        <v>94819</v>
      </c>
      <c r="F334">
        <v>9</v>
      </c>
      <c r="G334" s="162">
        <v>3.14</v>
      </c>
      <c r="H334" s="164">
        <v>78490</v>
      </c>
      <c r="I334" s="161">
        <v>18982503332</v>
      </c>
      <c r="J334"/>
      <c r="K334" s="125" t="s">
        <v>460</v>
      </c>
      <c r="L334" s="126" t="s">
        <v>692</v>
      </c>
      <c r="M334" s="127">
        <v>5</v>
      </c>
      <c r="N334" s="126" t="s">
        <v>692</v>
      </c>
      <c r="O334" s="131" t="s">
        <v>692</v>
      </c>
      <c r="P334" s="127"/>
    </row>
    <row r="335" spans="1:16" x14ac:dyDescent="0.25">
      <c r="A335" t="s">
        <v>347</v>
      </c>
      <c r="B335" s="117">
        <v>10832</v>
      </c>
      <c r="C335" s="117">
        <v>11503</v>
      </c>
      <c r="D335" s="141">
        <v>10971</v>
      </c>
      <c r="E335" s="117">
        <v>11764</v>
      </c>
      <c r="F335">
        <v>18.399999999999999</v>
      </c>
      <c r="G335" s="162">
        <v>3.14</v>
      </c>
      <c r="H335" s="164">
        <v>43294</v>
      </c>
      <c r="I335" s="161">
        <v>1587974500</v>
      </c>
      <c r="J335"/>
      <c r="K335" s="125" t="s">
        <v>461</v>
      </c>
      <c r="L335" s="126" t="s">
        <v>693</v>
      </c>
      <c r="M335" s="127">
        <v>3</v>
      </c>
      <c r="N335" s="126" t="s">
        <v>692</v>
      </c>
      <c r="O335" s="131" t="s">
        <v>692</v>
      </c>
      <c r="P335" s="127"/>
    </row>
    <row r="336" spans="1:16" x14ac:dyDescent="0.25">
      <c r="A336" t="s">
        <v>348</v>
      </c>
      <c r="B336" s="117">
        <v>115</v>
      </c>
      <c r="C336" s="117">
        <v>118</v>
      </c>
      <c r="D336" s="141">
        <v>135</v>
      </c>
      <c r="E336" s="117">
        <v>138</v>
      </c>
      <c r="F336">
        <v>19.5</v>
      </c>
      <c r="G336" s="162">
        <v>4.46</v>
      </c>
      <c r="H336" s="164">
        <v>59583</v>
      </c>
      <c r="I336" s="161">
        <v>9723531</v>
      </c>
      <c r="J336"/>
      <c r="K336" s="125" t="s">
        <v>463</v>
      </c>
      <c r="L336" s="126" t="s">
        <v>692</v>
      </c>
      <c r="M336" s="127">
        <v>1</v>
      </c>
      <c r="N336" s="126" t="s">
        <v>693</v>
      </c>
      <c r="O336" s="131" t="s">
        <v>692</v>
      </c>
      <c r="P336" s="127"/>
    </row>
    <row r="337" spans="1:16" x14ac:dyDescent="0.25">
      <c r="A337" t="s">
        <v>349</v>
      </c>
      <c r="B337" s="117">
        <v>634</v>
      </c>
      <c r="C337" s="117">
        <v>446</v>
      </c>
      <c r="D337" s="141">
        <v>567</v>
      </c>
      <c r="E337" s="117">
        <v>541</v>
      </c>
      <c r="F337">
        <v>26</v>
      </c>
      <c r="G337" s="162">
        <v>5.35</v>
      </c>
      <c r="H337" s="164">
        <v>29792</v>
      </c>
      <c r="I337" s="161">
        <v>51784511</v>
      </c>
      <c r="J337"/>
      <c r="K337" s="125" t="s">
        <v>464</v>
      </c>
      <c r="L337" s="126" t="s">
        <v>693</v>
      </c>
      <c r="M337" s="127">
        <v>7</v>
      </c>
      <c r="N337" s="126" t="s">
        <v>692</v>
      </c>
      <c r="O337" s="131" t="s">
        <v>692</v>
      </c>
      <c r="P337" s="127"/>
    </row>
    <row r="338" spans="1:16" x14ac:dyDescent="0.25">
      <c r="A338" t="s">
        <v>350</v>
      </c>
      <c r="B338" s="117">
        <v>3297</v>
      </c>
      <c r="C338" s="117">
        <v>5529</v>
      </c>
      <c r="D338" s="141">
        <v>4318</v>
      </c>
      <c r="E338" s="117">
        <v>5301</v>
      </c>
      <c r="F338">
        <v>8.1999999999999993</v>
      </c>
      <c r="G338" s="162">
        <v>3.18</v>
      </c>
      <c r="H338" s="164">
        <v>78280</v>
      </c>
      <c r="I338" s="161">
        <v>738842577</v>
      </c>
      <c r="J338"/>
      <c r="K338" s="125" t="s">
        <v>465</v>
      </c>
      <c r="L338" s="126" t="s">
        <v>693</v>
      </c>
      <c r="M338" s="127">
        <v>1</v>
      </c>
      <c r="N338" s="126" t="s">
        <v>692</v>
      </c>
      <c r="O338" s="131" t="s">
        <v>692</v>
      </c>
      <c r="P338" s="127"/>
    </row>
    <row r="339" spans="1:16" x14ac:dyDescent="0.25">
      <c r="A339" t="s">
        <v>351</v>
      </c>
      <c r="B339" s="117">
        <v>4959</v>
      </c>
      <c r="C339" s="117">
        <v>4967</v>
      </c>
      <c r="D339" s="141">
        <v>5074</v>
      </c>
      <c r="E339" s="117">
        <v>5163</v>
      </c>
      <c r="F339">
        <v>10.8</v>
      </c>
      <c r="G339" s="162">
        <v>3.33</v>
      </c>
      <c r="H339" s="164">
        <v>44156</v>
      </c>
      <c r="I339" s="161">
        <v>528571688</v>
      </c>
      <c r="J339"/>
      <c r="K339" s="125" t="s">
        <v>466</v>
      </c>
      <c r="L339" s="126" t="s">
        <v>692</v>
      </c>
      <c r="M339" s="127">
        <v>1</v>
      </c>
      <c r="N339" s="126" t="s">
        <v>692</v>
      </c>
      <c r="O339" s="131" t="s">
        <v>692</v>
      </c>
      <c r="P339" s="127"/>
    </row>
    <row r="340" spans="1:16" x14ac:dyDescent="0.25">
      <c r="A340" t="s">
        <v>352</v>
      </c>
      <c r="B340" s="117">
        <v>3531</v>
      </c>
      <c r="C340" s="117">
        <v>3128</v>
      </c>
      <c r="D340" s="141">
        <v>3084</v>
      </c>
      <c r="E340" s="117">
        <v>3187</v>
      </c>
      <c r="F340">
        <v>37.1</v>
      </c>
      <c r="G340" s="162">
        <v>3.31</v>
      </c>
      <c r="H340" s="164">
        <v>31827</v>
      </c>
      <c r="I340" s="161">
        <v>308200076</v>
      </c>
      <c r="J340"/>
      <c r="K340" s="125" t="s">
        <v>467</v>
      </c>
      <c r="L340" s="126" t="s">
        <v>692</v>
      </c>
      <c r="M340" s="127">
        <v>2</v>
      </c>
      <c r="N340" s="126" t="s">
        <v>692</v>
      </c>
      <c r="O340" s="131" t="s">
        <v>692</v>
      </c>
      <c r="P340" s="127"/>
    </row>
    <row r="341" spans="1:16" x14ac:dyDescent="0.25">
      <c r="A341" t="s">
        <v>353</v>
      </c>
      <c r="B341" s="117">
        <v>96</v>
      </c>
      <c r="C341" s="117">
        <v>155</v>
      </c>
      <c r="D341" s="141">
        <v>148</v>
      </c>
      <c r="E341" s="117">
        <v>167</v>
      </c>
      <c r="F341">
        <v>37.4</v>
      </c>
      <c r="G341" s="162">
        <v>3.2</v>
      </c>
      <c r="H341" s="164">
        <v>26750</v>
      </c>
      <c r="I341" s="161">
        <v>13641510</v>
      </c>
      <c r="J341"/>
      <c r="K341" s="125" t="s">
        <v>468</v>
      </c>
      <c r="L341" s="126" t="s">
        <v>692</v>
      </c>
      <c r="M341" s="127">
        <v>2</v>
      </c>
      <c r="N341" s="126" t="s">
        <v>692</v>
      </c>
      <c r="O341" s="131" t="s">
        <v>692</v>
      </c>
      <c r="P341" s="127"/>
    </row>
    <row r="342" spans="1:16" x14ac:dyDescent="0.25">
      <c r="A342" t="s">
        <v>354</v>
      </c>
      <c r="B342" s="117">
        <v>3640</v>
      </c>
      <c r="C342" s="117">
        <v>3711</v>
      </c>
      <c r="D342" s="141">
        <v>3656</v>
      </c>
      <c r="E342" s="117">
        <v>3827</v>
      </c>
      <c r="F342">
        <v>19.2</v>
      </c>
      <c r="G342" s="162">
        <v>3.51</v>
      </c>
      <c r="H342" s="164">
        <v>51829</v>
      </c>
      <c r="I342" s="161">
        <v>669216592</v>
      </c>
      <c r="J342"/>
      <c r="K342" s="125" t="s">
        <v>470</v>
      </c>
      <c r="L342" s="126" t="s">
        <v>693</v>
      </c>
      <c r="M342" s="127">
        <v>7</v>
      </c>
      <c r="N342" s="126" t="s">
        <v>692</v>
      </c>
      <c r="O342" s="131" t="s">
        <v>692</v>
      </c>
      <c r="P342" s="127"/>
    </row>
    <row r="343" spans="1:16" x14ac:dyDescent="0.25">
      <c r="A343" t="s">
        <v>355</v>
      </c>
      <c r="B343" s="117">
        <v>1186</v>
      </c>
      <c r="C343" s="117">
        <v>1108</v>
      </c>
      <c r="D343" s="141">
        <v>1045</v>
      </c>
      <c r="E343" s="117">
        <v>1028</v>
      </c>
      <c r="F343">
        <v>26.4</v>
      </c>
      <c r="G343" s="162">
        <v>4.6500000000000004</v>
      </c>
      <c r="H343" s="164">
        <v>34583</v>
      </c>
      <c r="I343" s="161">
        <v>39534840</v>
      </c>
      <c r="J343"/>
      <c r="K343" s="125" t="s">
        <v>472</v>
      </c>
      <c r="L343" s="126" t="s">
        <v>693</v>
      </c>
      <c r="M343" s="127">
        <v>2</v>
      </c>
      <c r="N343" s="126" t="s">
        <v>692</v>
      </c>
      <c r="O343" s="131" t="s">
        <v>692</v>
      </c>
      <c r="P343" s="127"/>
    </row>
    <row r="344" spans="1:16" x14ac:dyDescent="0.25">
      <c r="A344" t="s">
        <v>356</v>
      </c>
      <c r="B344" s="117">
        <v>75</v>
      </c>
      <c r="C344" s="117">
        <v>65</v>
      </c>
      <c r="D344" s="141">
        <v>83</v>
      </c>
      <c r="E344" s="117">
        <v>83</v>
      </c>
      <c r="F344">
        <v>10.8</v>
      </c>
      <c r="G344" s="162">
        <v>4.96</v>
      </c>
      <c r="H344" s="164">
        <v>63750</v>
      </c>
      <c r="I344" s="161">
        <v>10243341</v>
      </c>
      <c r="J344"/>
      <c r="K344" s="125" t="s">
        <v>476</v>
      </c>
      <c r="L344" s="126" t="s">
        <v>693</v>
      </c>
      <c r="M344" s="127">
        <v>9</v>
      </c>
      <c r="N344" s="126" t="s">
        <v>692</v>
      </c>
      <c r="O344" s="131" t="s">
        <v>692</v>
      </c>
      <c r="P344" s="127"/>
    </row>
    <row r="345" spans="1:16" x14ac:dyDescent="0.25">
      <c r="A345" t="s">
        <v>357</v>
      </c>
      <c r="B345" s="117">
        <v>20928</v>
      </c>
      <c r="C345" s="117">
        <v>19220</v>
      </c>
      <c r="D345" s="141">
        <v>19215</v>
      </c>
      <c r="E345" s="117">
        <v>19168</v>
      </c>
      <c r="F345">
        <v>31</v>
      </c>
      <c r="G345" s="162">
        <v>4.96</v>
      </c>
      <c r="H345" s="164">
        <v>43114</v>
      </c>
      <c r="I345" s="161">
        <v>1755666902</v>
      </c>
      <c r="J345"/>
      <c r="K345" s="128" t="s">
        <v>477</v>
      </c>
      <c r="L345" s="126" t="s">
        <v>692</v>
      </c>
      <c r="M345" s="127">
        <v>4</v>
      </c>
      <c r="N345" s="126" t="s">
        <v>692</v>
      </c>
      <c r="O345" s="131" t="s">
        <v>692</v>
      </c>
      <c r="P345" s="127"/>
    </row>
    <row r="346" spans="1:16" x14ac:dyDescent="0.25">
      <c r="A346" t="s">
        <v>358</v>
      </c>
      <c r="B346" s="117">
        <v>494</v>
      </c>
      <c r="C346" s="117">
        <v>393</v>
      </c>
      <c r="D346" s="141">
        <v>415</v>
      </c>
      <c r="E346" s="117">
        <v>406</v>
      </c>
      <c r="F346">
        <v>29.8</v>
      </c>
      <c r="G346" s="162">
        <v>5.47</v>
      </c>
      <c r="H346" s="164">
        <v>53036</v>
      </c>
      <c r="I346" s="161">
        <v>21056645</v>
      </c>
      <c r="J346"/>
      <c r="K346" s="125" t="s">
        <v>478</v>
      </c>
      <c r="L346" s="126" t="s">
        <v>693</v>
      </c>
      <c r="M346" s="127">
        <v>4</v>
      </c>
      <c r="N346" s="126" t="s">
        <v>692</v>
      </c>
      <c r="O346" s="131" t="s">
        <v>692</v>
      </c>
      <c r="P346" s="127"/>
    </row>
    <row r="347" spans="1:16" x14ac:dyDescent="0.25">
      <c r="A347" t="s">
        <v>359</v>
      </c>
      <c r="B347" s="117">
        <v>34813</v>
      </c>
      <c r="C347" s="117">
        <v>37533</v>
      </c>
      <c r="D347" s="141">
        <v>36766</v>
      </c>
      <c r="E347" s="117">
        <v>38152</v>
      </c>
      <c r="F347">
        <v>14.4</v>
      </c>
      <c r="G347" s="162">
        <v>3.28</v>
      </c>
      <c r="H347" s="164">
        <v>53298</v>
      </c>
      <c r="I347" s="161">
        <v>12947312615</v>
      </c>
      <c r="J347"/>
      <c r="K347" s="125" t="s">
        <v>479</v>
      </c>
      <c r="L347" s="126" t="s">
        <v>693</v>
      </c>
      <c r="M347" s="127">
        <v>7</v>
      </c>
      <c r="N347" s="126" t="s">
        <v>692</v>
      </c>
      <c r="O347" s="131" t="s">
        <v>692</v>
      </c>
      <c r="P347" s="127"/>
    </row>
    <row r="348" spans="1:16" x14ac:dyDescent="0.25">
      <c r="A348" t="s">
        <v>360</v>
      </c>
      <c r="B348" s="117">
        <v>116</v>
      </c>
      <c r="C348" s="117">
        <v>79</v>
      </c>
      <c r="D348" s="141">
        <v>112</v>
      </c>
      <c r="E348" s="117">
        <v>104</v>
      </c>
      <c r="F348">
        <v>10.1</v>
      </c>
      <c r="G348" s="162">
        <v>4.54</v>
      </c>
      <c r="H348" s="164">
        <v>79464</v>
      </c>
      <c r="I348" s="161">
        <v>5719240</v>
      </c>
      <c r="J348"/>
      <c r="K348" s="125" t="s">
        <v>480</v>
      </c>
      <c r="L348" s="126" t="s">
        <v>693</v>
      </c>
      <c r="M348" s="127">
        <v>4</v>
      </c>
      <c r="N348" s="126" t="s">
        <v>692</v>
      </c>
      <c r="O348" s="131" t="s">
        <v>692</v>
      </c>
      <c r="P348" s="127"/>
    </row>
    <row r="349" spans="1:16" x14ac:dyDescent="0.25">
      <c r="A349" t="s">
        <v>361</v>
      </c>
      <c r="B349" s="117">
        <v>21499</v>
      </c>
      <c r="C349" s="117">
        <v>21640</v>
      </c>
      <c r="D349" s="141">
        <v>21187</v>
      </c>
      <c r="E349" s="117">
        <v>21753</v>
      </c>
      <c r="F349">
        <v>11.4</v>
      </c>
      <c r="G349" s="162">
        <v>3</v>
      </c>
      <c r="H349" s="164">
        <v>58628</v>
      </c>
      <c r="I349" s="161">
        <v>2929992220</v>
      </c>
      <c r="J349"/>
      <c r="K349" s="125" t="s">
        <v>481</v>
      </c>
      <c r="L349" s="126" t="s">
        <v>692</v>
      </c>
      <c r="M349" s="127">
        <v>2</v>
      </c>
      <c r="N349" s="126" t="s">
        <v>692</v>
      </c>
      <c r="O349" s="131" t="s">
        <v>692</v>
      </c>
      <c r="P349" s="127"/>
    </row>
    <row r="350" spans="1:16" x14ac:dyDescent="0.25">
      <c r="A350" t="s">
        <v>362</v>
      </c>
      <c r="B350" s="117">
        <v>2347</v>
      </c>
      <c r="C350" s="117">
        <v>2198</v>
      </c>
      <c r="D350" s="141">
        <v>2127</v>
      </c>
      <c r="E350" s="117">
        <v>2157</v>
      </c>
      <c r="F350">
        <v>9.4</v>
      </c>
      <c r="G350" s="162">
        <v>3.93</v>
      </c>
      <c r="H350" s="164">
        <v>49964</v>
      </c>
      <c r="I350" s="161">
        <v>246161198</v>
      </c>
      <c r="J350"/>
      <c r="K350" s="125" t="s">
        <v>482</v>
      </c>
      <c r="L350" s="126" t="s">
        <v>693</v>
      </c>
      <c r="M350" s="127">
        <v>6</v>
      </c>
      <c r="N350" s="126" t="s">
        <v>692</v>
      </c>
      <c r="O350" s="131" t="s">
        <v>692</v>
      </c>
      <c r="P350" s="127"/>
    </row>
    <row r="351" spans="1:16" x14ac:dyDescent="0.25">
      <c r="A351" t="s">
        <v>364</v>
      </c>
      <c r="B351" s="117">
        <v>1763</v>
      </c>
      <c r="C351" s="117">
        <v>2311</v>
      </c>
      <c r="D351" s="141">
        <v>1656</v>
      </c>
      <c r="E351" s="117">
        <v>1921</v>
      </c>
      <c r="F351">
        <v>11.8</v>
      </c>
      <c r="G351" s="162">
        <v>3.16</v>
      </c>
      <c r="H351" s="164">
        <v>67674</v>
      </c>
      <c r="I351" s="161">
        <v>539570617</v>
      </c>
      <c r="J351"/>
      <c r="K351" s="125" t="s">
        <v>484</v>
      </c>
      <c r="L351" s="126" t="s">
        <v>692</v>
      </c>
      <c r="M351" s="127">
        <v>2</v>
      </c>
      <c r="N351" s="126" t="s">
        <v>692</v>
      </c>
      <c r="O351" s="131" t="s">
        <v>692</v>
      </c>
      <c r="P351" s="127"/>
    </row>
    <row r="352" spans="1:16" x14ac:dyDescent="0.25">
      <c r="A352" t="s">
        <v>365</v>
      </c>
      <c r="B352" s="117">
        <v>1092</v>
      </c>
      <c r="C352" s="117">
        <v>1109</v>
      </c>
      <c r="D352" s="141">
        <v>832</v>
      </c>
      <c r="E352" s="117">
        <v>852</v>
      </c>
      <c r="F352">
        <v>35.6</v>
      </c>
      <c r="G352" s="162">
        <v>3.32</v>
      </c>
      <c r="H352" s="164">
        <v>40156</v>
      </c>
      <c r="I352" s="161">
        <v>32810953</v>
      </c>
      <c r="J352"/>
      <c r="K352" s="125" t="s">
        <v>485</v>
      </c>
      <c r="L352" s="126" t="s">
        <v>692</v>
      </c>
      <c r="M352" s="127">
        <v>3</v>
      </c>
      <c r="N352" s="126" t="s">
        <v>692</v>
      </c>
      <c r="O352" s="131" t="s">
        <v>692</v>
      </c>
      <c r="P352" s="127"/>
    </row>
    <row r="353" spans="1:16" x14ac:dyDescent="0.25">
      <c r="A353" t="s">
        <v>366</v>
      </c>
      <c r="B353" s="117">
        <v>3410</v>
      </c>
      <c r="C353" s="117">
        <v>3777</v>
      </c>
      <c r="D353" s="141">
        <v>3701</v>
      </c>
      <c r="E353" s="117">
        <v>3845</v>
      </c>
      <c r="F353">
        <v>12.8</v>
      </c>
      <c r="G353" s="162">
        <v>3.26</v>
      </c>
      <c r="H353" s="164">
        <v>52102</v>
      </c>
      <c r="I353" s="161">
        <v>2565664490</v>
      </c>
      <c r="J353"/>
      <c r="K353" s="125" t="s">
        <v>486</v>
      </c>
      <c r="L353" s="126" t="s">
        <v>692</v>
      </c>
      <c r="M353" s="127">
        <v>1</v>
      </c>
      <c r="N353" s="126" t="s">
        <v>692</v>
      </c>
      <c r="O353" s="131" t="s">
        <v>692</v>
      </c>
      <c r="P353" s="127"/>
    </row>
    <row r="354" spans="1:16" x14ac:dyDescent="0.25">
      <c r="A354" t="s">
        <v>367</v>
      </c>
      <c r="B354" s="117">
        <v>1950</v>
      </c>
      <c r="C354" s="117">
        <v>1853</v>
      </c>
      <c r="D354" s="141">
        <v>1579</v>
      </c>
      <c r="E354" s="117">
        <v>1636</v>
      </c>
      <c r="F354">
        <v>23.2</v>
      </c>
      <c r="G354" s="162">
        <v>4.16</v>
      </c>
      <c r="H354" s="164">
        <v>78594</v>
      </c>
      <c r="I354" s="161">
        <v>699278599</v>
      </c>
      <c r="J354"/>
      <c r="K354" s="125" t="s">
        <v>487</v>
      </c>
      <c r="L354" s="126" t="s">
        <v>693</v>
      </c>
      <c r="M354" s="127">
        <v>3</v>
      </c>
      <c r="N354" s="126" t="s">
        <v>692</v>
      </c>
      <c r="O354" s="131" t="s">
        <v>692</v>
      </c>
      <c r="P354" s="127"/>
    </row>
    <row r="355" spans="1:16" x14ac:dyDescent="0.25">
      <c r="A355" t="s">
        <v>368</v>
      </c>
      <c r="B355" s="117">
        <v>139</v>
      </c>
      <c r="C355" s="117">
        <v>130</v>
      </c>
      <c r="D355" s="141">
        <v>115</v>
      </c>
      <c r="E355" s="117">
        <v>106</v>
      </c>
      <c r="F355">
        <v>23.1</v>
      </c>
      <c r="G355" s="162">
        <v>4.96</v>
      </c>
      <c r="H355" s="164"/>
      <c r="I355" s="161"/>
      <c r="J355"/>
      <c r="K355" s="125" t="s">
        <v>488</v>
      </c>
      <c r="L355" s="126" t="s">
        <v>692</v>
      </c>
      <c r="M355" s="127">
        <v>1</v>
      </c>
      <c r="N355" s="126" t="s">
        <v>692</v>
      </c>
      <c r="O355" s="131" t="s">
        <v>692</v>
      </c>
      <c r="P355" s="127"/>
    </row>
    <row r="356" spans="1:16" x14ac:dyDescent="0.25">
      <c r="A356" t="s">
        <v>369</v>
      </c>
      <c r="B356" s="117">
        <v>7834</v>
      </c>
      <c r="C356" s="117">
        <v>7594</v>
      </c>
      <c r="D356" s="141">
        <v>7773</v>
      </c>
      <c r="E356" s="117">
        <v>7716</v>
      </c>
      <c r="F356">
        <v>24.2</v>
      </c>
      <c r="G356" s="162">
        <v>3.37</v>
      </c>
      <c r="H356" s="164">
        <v>44472</v>
      </c>
      <c r="I356" s="161">
        <v>763719734</v>
      </c>
      <c r="J356"/>
      <c r="K356" s="125" t="s">
        <v>490</v>
      </c>
      <c r="L356" s="126" t="s">
        <v>692</v>
      </c>
      <c r="M356" s="127">
        <v>5</v>
      </c>
      <c r="N356" s="126" t="s">
        <v>692</v>
      </c>
      <c r="O356" s="131" t="s">
        <v>692</v>
      </c>
      <c r="P356" s="127"/>
    </row>
    <row r="357" spans="1:16" x14ac:dyDescent="0.25">
      <c r="A357" t="s">
        <v>370</v>
      </c>
      <c r="B357" s="117">
        <v>2537</v>
      </c>
      <c r="C357" s="117">
        <v>2738</v>
      </c>
      <c r="D357" s="141">
        <v>2047</v>
      </c>
      <c r="E357" s="117">
        <v>2239</v>
      </c>
      <c r="F357">
        <v>3.3</v>
      </c>
      <c r="G357" s="162">
        <v>3</v>
      </c>
      <c r="H357" s="164">
        <v>77826</v>
      </c>
      <c r="I357" s="161">
        <v>190043581</v>
      </c>
      <c r="J357"/>
      <c r="K357" s="125" t="s">
        <v>494</v>
      </c>
      <c r="L357" s="126" t="s">
        <v>692</v>
      </c>
      <c r="M357" s="127">
        <v>8</v>
      </c>
      <c r="N357" s="126" t="s">
        <v>692</v>
      </c>
      <c r="O357" s="131" t="s">
        <v>692</v>
      </c>
      <c r="P357" s="127"/>
    </row>
    <row r="358" spans="1:16" x14ac:dyDescent="0.25">
      <c r="A358" t="s">
        <v>371</v>
      </c>
      <c r="B358" s="117">
        <v>782</v>
      </c>
      <c r="C358" s="117">
        <v>846</v>
      </c>
      <c r="D358" s="141">
        <v>783</v>
      </c>
      <c r="E358" s="117">
        <v>788</v>
      </c>
      <c r="F358">
        <v>20.9</v>
      </c>
      <c r="G358" s="162">
        <v>3</v>
      </c>
      <c r="H358" s="164">
        <v>53125</v>
      </c>
      <c r="I358" s="161">
        <v>135887883</v>
      </c>
      <c r="J358"/>
      <c r="K358" s="125" t="s">
        <v>495</v>
      </c>
      <c r="L358" s="126" t="s">
        <v>692</v>
      </c>
      <c r="M358" s="127">
        <v>4</v>
      </c>
      <c r="N358" s="126" t="s">
        <v>692</v>
      </c>
      <c r="O358" s="131" t="s">
        <v>692</v>
      </c>
      <c r="P358" s="127"/>
    </row>
    <row r="359" spans="1:16" x14ac:dyDescent="0.25">
      <c r="A359" t="s">
        <v>372</v>
      </c>
      <c r="B359" s="117">
        <v>2714</v>
      </c>
      <c r="C359" s="117">
        <v>2586</v>
      </c>
      <c r="D359" s="141">
        <v>2524</v>
      </c>
      <c r="E359" s="117">
        <v>2573</v>
      </c>
      <c r="F359">
        <v>18</v>
      </c>
      <c r="G359" s="162">
        <v>3.1</v>
      </c>
      <c r="H359" s="164">
        <v>60784</v>
      </c>
      <c r="I359" s="161">
        <v>264081651</v>
      </c>
      <c r="J359"/>
      <c r="K359" s="125" t="s">
        <v>497</v>
      </c>
      <c r="L359" s="126" t="s">
        <v>692</v>
      </c>
      <c r="M359" s="127">
        <v>3</v>
      </c>
      <c r="N359" s="126" t="s">
        <v>692</v>
      </c>
      <c r="O359" s="131" t="s">
        <v>692</v>
      </c>
      <c r="P359" s="127"/>
    </row>
    <row r="360" spans="1:16" x14ac:dyDescent="0.25">
      <c r="A360" t="s">
        <v>373</v>
      </c>
      <c r="B360" s="117">
        <v>22849</v>
      </c>
      <c r="C360" s="117">
        <v>21773</v>
      </c>
      <c r="D360" s="141">
        <v>22285</v>
      </c>
      <c r="E360" s="117">
        <v>21183</v>
      </c>
      <c r="F360">
        <v>19.600000000000001</v>
      </c>
      <c r="G360" s="162">
        <v>4.03</v>
      </c>
      <c r="H360" s="164">
        <v>46793</v>
      </c>
      <c r="I360" s="161">
        <v>2151314778</v>
      </c>
      <c r="J360"/>
      <c r="K360" s="125" t="s">
        <v>498</v>
      </c>
      <c r="L360" s="126" t="s">
        <v>693</v>
      </c>
      <c r="M360" s="127">
        <v>7</v>
      </c>
      <c r="N360" s="126" t="s">
        <v>692</v>
      </c>
      <c r="O360" s="131" t="s">
        <v>692</v>
      </c>
      <c r="P360" s="127"/>
    </row>
    <row r="361" spans="1:16" x14ac:dyDescent="0.25">
      <c r="A361" t="s">
        <v>375</v>
      </c>
      <c r="B361" s="117">
        <v>6553</v>
      </c>
      <c r="C361" s="117">
        <v>6542</v>
      </c>
      <c r="D361" s="141">
        <v>6352</v>
      </c>
      <c r="E361" s="117">
        <v>6748</v>
      </c>
      <c r="F361">
        <v>6.6</v>
      </c>
      <c r="G361" s="162">
        <v>3.1</v>
      </c>
      <c r="H361" s="164">
        <v>250001</v>
      </c>
      <c r="I361" s="161">
        <v>1671399777</v>
      </c>
      <c r="J361"/>
      <c r="K361" s="125" t="s">
        <v>501</v>
      </c>
      <c r="L361" s="126" t="s">
        <v>692</v>
      </c>
      <c r="M361" s="127">
        <v>3</v>
      </c>
      <c r="N361" s="126" t="s">
        <v>692</v>
      </c>
      <c r="O361" s="131" t="s">
        <v>692</v>
      </c>
      <c r="P361" s="127"/>
    </row>
    <row r="362" spans="1:16" x14ac:dyDescent="0.25">
      <c r="A362" t="s">
        <v>376</v>
      </c>
      <c r="B362" s="117">
        <v>32044</v>
      </c>
      <c r="C362" s="117">
        <v>29959</v>
      </c>
      <c r="D362" s="141">
        <v>29682</v>
      </c>
      <c r="E362" s="117">
        <v>30101</v>
      </c>
      <c r="F362">
        <v>4</v>
      </c>
      <c r="G362" s="162">
        <v>3.51</v>
      </c>
      <c r="H362" s="164">
        <v>105579</v>
      </c>
      <c r="I362" s="161">
        <v>7385750195</v>
      </c>
      <c r="J362"/>
      <c r="K362" s="125" t="s">
        <v>502</v>
      </c>
      <c r="L362" s="126" t="s">
        <v>692</v>
      </c>
      <c r="M362" s="127">
        <v>3</v>
      </c>
      <c r="N362" s="126" t="s">
        <v>692</v>
      </c>
      <c r="O362" s="131" t="s">
        <v>692</v>
      </c>
      <c r="P362" s="127"/>
    </row>
    <row r="363" spans="1:16" x14ac:dyDescent="0.25">
      <c r="A363" t="s">
        <v>378</v>
      </c>
      <c r="B363" s="117">
        <v>2549</v>
      </c>
      <c r="C363" s="117">
        <v>2398</v>
      </c>
      <c r="D363" s="141">
        <v>2135</v>
      </c>
      <c r="E363" s="117">
        <v>2105</v>
      </c>
      <c r="F363">
        <v>43.1</v>
      </c>
      <c r="G363" s="162">
        <v>5.14</v>
      </c>
      <c r="H363" s="164">
        <v>22632</v>
      </c>
      <c r="I363" s="161">
        <v>105247310</v>
      </c>
      <c r="J363"/>
      <c r="K363" s="125" t="s">
        <v>503</v>
      </c>
      <c r="L363" s="126" t="s">
        <v>692</v>
      </c>
      <c r="M363" s="127">
        <v>1</v>
      </c>
      <c r="N363" s="126" t="s">
        <v>692</v>
      </c>
      <c r="O363" s="131" t="s">
        <v>692</v>
      </c>
      <c r="P363" s="127"/>
    </row>
    <row r="364" spans="1:16" x14ac:dyDescent="0.25">
      <c r="A364" t="s">
        <v>379</v>
      </c>
      <c r="B364" s="117">
        <v>2508</v>
      </c>
      <c r="C364" s="117">
        <v>2446</v>
      </c>
      <c r="D364" s="141">
        <v>2413</v>
      </c>
      <c r="E364" s="117">
        <v>2427</v>
      </c>
      <c r="F364">
        <v>14.5</v>
      </c>
      <c r="G364" s="162">
        <v>3.93</v>
      </c>
      <c r="H364" s="164">
        <v>42336</v>
      </c>
      <c r="I364" s="161">
        <v>280343904</v>
      </c>
      <c r="J364"/>
      <c r="K364" s="125" t="s">
        <v>505</v>
      </c>
      <c r="L364" s="126" t="s">
        <v>693</v>
      </c>
      <c r="M364" s="127">
        <v>3</v>
      </c>
      <c r="N364" s="126" t="s">
        <v>692</v>
      </c>
      <c r="O364" s="131" t="s">
        <v>692</v>
      </c>
      <c r="P364" s="127"/>
    </row>
    <row r="365" spans="1:16" x14ac:dyDescent="0.25">
      <c r="A365" t="s">
        <v>380</v>
      </c>
      <c r="B365" s="117">
        <v>1070</v>
      </c>
      <c r="C365" s="117">
        <v>982</v>
      </c>
      <c r="D365" s="141">
        <v>838</v>
      </c>
      <c r="E365" s="117">
        <v>823</v>
      </c>
      <c r="F365">
        <v>21.8</v>
      </c>
      <c r="G365" s="162">
        <v>3.63</v>
      </c>
      <c r="H365" s="164">
        <v>57969</v>
      </c>
      <c r="I365" s="161">
        <v>65077756</v>
      </c>
      <c r="J365"/>
      <c r="K365" s="125" t="s">
        <v>506</v>
      </c>
      <c r="L365" s="126" t="s">
        <v>692</v>
      </c>
      <c r="M365" s="127">
        <v>2</v>
      </c>
      <c r="N365" s="126" t="s">
        <v>692</v>
      </c>
      <c r="O365" s="131" t="s">
        <v>692</v>
      </c>
      <c r="P365" s="127"/>
    </row>
    <row r="366" spans="1:16" x14ac:dyDescent="0.25">
      <c r="A366" t="s">
        <v>381</v>
      </c>
      <c r="B366" s="117">
        <v>865</v>
      </c>
      <c r="C366" s="117">
        <v>1139</v>
      </c>
      <c r="D366" s="141">
        <v>864</v>
      </c>
      <c r="E366" s="117">
        <v>954</v>
      </c>
      <c r="F366">
        <v>5.2</v>
      </c>
      <c r="G366" s="162">
        <v>3.51</v>
      </c>
      <c r="H366" s="164">
        <v>117411</v>
      </c>
      <c r="I366" s="161">
        <v>195860348</v>
      </c>
      <c r="J366"/>
      <c r="K366" s="125" t="s">
        <v>507</v>
      </c>
      <c r="L366" s="126" t="s">
        <v>693</v>
      </c>
      <c r="M366" s="127">
        <v>2</v>
      </c>
      <c r="N366" s="126" t="s">
        <v>692</v>
      </c>
      <c r="O366" s="131" t="s">
        <v>692</v>
      </c>
      <c r="P366" s="127"/>
    </row>
    <row r="367" spans="1:16" x14ac:dyDescent="0.25">
      <c r="A367" t="s">
        <v>382</v>
      </c>
      <c r="B367" s="117">
        <v>100</v>
      </c>
      <c r="C367" s="117">
        <v>99</v>
      </c>
      <c r="D367" s="141">
        <v>95</v>
      </c>
      <c r="E367" s="117">
        <v>92</v>
      </c>
      <c r="F367">
        <v>8.1</v>
      </c>
      <c r="G367" s="162">
        <v>4.96</v>
      </c>
      <c r="H367" s="164">
        <v>53125</v>
      </c>
      <c r="I367" s="161">
        <v>4100020</v>
      </c>
      <c r="J367"/>
      <c r="K367" s="125" t="s">
        <v>508</v>
      </c>
      <c r="L367" s="126" t="s">
        <v>692</v>
      </c>
      <c r="M367" s="127">
        <v>3</v>
      </c>
      <c r="N367" s="126" t="s">
        <v>692</v>
      </c>
      <c r="O367" s="131" t="s">
        <v>692</v>
      </c>
      <c r="P367" s="127"/>
    </row>
    <row r="368" spans="1:16" x14ac:dyDescent="0.25">
      <c r="A368" t="s">
        <v>383</v>
      </c>
      <c r="B368" s="117">
        <v>45227</v>
      </c>
      <c r="C368" s="117">
        <v>44679</v>
      </c>
      <c r="D368" s="141">
        <v>44682</v>
      </c>
      <c r="E368" s="117">
        <v>44521</v>
      </c>
      <c r="F368">
        <v>14</v>
      </c>
      <c r="G368" s="162">
        <v>3.37</v>
      </c>
      <c r="H368" s="164">
        <v>55527</v>
      </c>
      <c r="I368" s="161">
        <v>6402685320</v>
      </c>
      <c r="J368"/>
      <c r="K368" s="125" t="s">
        <v>509</v>
      </c>
      <c r="L368" s="126" t="s">
        <v>693</v>
      </c>
      <c r="M368" s="127">
        <v>13</v>
      </c>
      <c r="N368" s="126" t="s">
        <v>692</v>
      </c>
      <c r="O368" s="131" t="s">
        <v>692</v>
      </c>
      <c r="P368" s="127"/>
    </row>
    <row r="369" spans="1:16" x14ac:dyDescent="0.25">
      <c r="A369" t="s">
        <v>384</v>
      </c>
      <c r="B369" s="117">
        <v>115</v>
      </c>
      <c r="C369" s="117">
        <v>124</v>
      </c>
      <c r="D369" s="141">
        <v>90</v>
      </c>
      <c r="E369" s="117">
        <v>89</v>
      </c>
      <c r="F369">
        <v>64.5</v>
      </c>
      <c r="G369" s="162">
        <v>4.45</v>
      </c>
      <c r="H369" s="164"/>
      <c r="I369" s="161">
        <v>3514470</v>
      </c>
      <c r="J369"/>
      <c r="K369" s="125" t="s">
        <v>510</v>
      </c>
      <c r="L369" s="126" t="s">
        <v>692</v>
      </c>
      <c r="M369" s="127">
        <v>5</v>
      </c>
      <c r="N369" s="126" t="s">
        <v>692</v>
      </c>
      <c r="O369" s="131" t="s">
        <v>692</v>
      </c>
      <c r="P369" s="127"/>
    </row>
    <row r="370" spans="1:16" x14ac:dyDescent="0.25">
      <c r="A370" t="s">
        <v>385</v>
      </c>
      <c r="B370" s="117">
        <v>14952</v>
      </c>
      <c r="C370" s="117">
        <v>18899</v>
      </c>
      <c r="D370" s="141">
        <v>17097</v>
      </c>
      <c r="E370" s="117">
        <v>19885</v>
      </c>
      <c r="F370">
        <v>7.1</v>
      </c>
      <c r="G370" s="162">
        <v>3.31</v>
      </c>
      <c r="H370" s="164">
        <v>84312</v>
      </c>
      <c r="I370" s="161">
        <v>4235266772</v>
      </c>
      <c r="J370"/>
      <c r="K370" s="125" t="s">
        <v>512</v>
      </c>
      <c r="L370" s="126" t="s">
        <v>692</v>
      </c>
      <c r="M370" s="127">
        <v>6</v>
      </c>
      <c r="N370" s="126" t="s">
        <v>692</v>
      </c>
      <c r="O370" s="131" t="s">
        <v>692</v>
      </c>
      <c r="P370" s="127"/>
    </row>
    <row r="371" spans="1:16" x14ac:dyDescent="0.25">
      <c r="A371" t="s">
        <v>386</v>
      </c>
      <c r="B371" s="117">
        <v>1074475</v>
      </c>
      <c r="C371" s="117">
        <v>1130906</v>
      </c>
      <c r="D371" s="141">
        <v>1107514</v>
      </c>
      <c r="E371" s="117">
        <v>1162168</v>
      </c>
      <c r="F371">
        <v>10.4</v>
      </c>
      <c r="G371" s="162">
        <v>3.51</v>
      </c>
      <c r="H371" s="164">
        <v>83765</v>
      </c>
      <c r="I371" s="161">
        <v>287458075411</v>
      </c>
      <c r="J371"/>
      <c r="K371" s="125" t="s">
        <v>514</v>
      </c>
      <c r="L371" s="126" t="s">
        <v>693</v>
      </c>
      <c r="M371" s="127">
        <v>2</v>
      </c>
      <c r="N371" s="126" t="s">
        <v>692</v>
      </c>
      <c r="O371" s="131" t="s">
        <v>692</v>
      </c>
      <c r="P371" s="127"/>
    </row>
    <row r="372" spans="1:16" x14ac:dyDescent="0.25">
      <c r="A372" t="s">
        <v>387</v>
      </c>
      <c r="B372" s="117">
        <v>143</v>
      </c>
      <c r="C372" s="117">
        <v>206</v>
      </c>
      <c r="D372" s="141">
        <v>148</v>
      </c>
      <c r="E372" s="117">
        <v>146</v>
      </c>
      <c r="F372">
        <v>14.6</v>
      </c>
      <c r="G372" s="162">
        <v>3.68</v>
      </c>
      <c r="H372" s="164"/>
      <c r="I372" s="161">
        <v>14212521</v>
      </c>
      <c r="J372"/>
      <c r="K372" s="125" t="s">
        <v>515</v>
      </c>
      <c r="L372" s="126" t="s">
        <v>692</v>
      </c>
      <c r="M372" s="127">
        <v>7</v>
      </c>
      <c r="N372" s="126" t="s">
        <v>692</v>
      </c>
      <c r="O372" s="131" t="s">
        <v>692</v>
      </c>
      <c r="P372" s="127"/>
    </row>
    <row r="373" spans="1:16" x14ac:dyDescent="0.25">
      <c r="A373" t="s">
        <v>388</v>
      </c>
      <c r="B373" s="117">
        <v>672</v>
      </c>
      <c r="C373" s="117">
        <v>788</v>
      </c>
      <c r="D373" s="141">
        <v>459</v>
      </c>
      <c r="E373" s="117">
        <v>501</v>
      </c>
      <c r="F373">
        <v>21.9</v>
      </c>
      <c r="G373" s="162">
        <v>3.05</v>
      </c>
      <c r="H373" s="164">
        <v>51094</v>
      </c>
      <c r="I373" s="161">
        <v>27701571</v>
      </c>
      <c r="J373"/>
      <c r="K373" s="125" t="s">
        <v>516</v>
      </c>
      <c r="L373" s="126" t="s">
        <v>692</v>
      </c>
      <c r="M373" s="127">
        <v>3</v>
      </c>
      <c r="N373" s="126" t="s">
        <v>692</v>
      </c>
      <c r="O373" s="131" t="s">
        <v>692</v>
      </c>
      <c r="P373" s="127"/>
    </row>
    <row r="374" spans="1:16" x14ac:dyDescent="0.25">
      <c r="A374" t="s">
        <v>389</v>
      </c>
      <c r="B374" s="117">
        <v>201</v>
      </c>
      <c r="C374" s="117">
        <v>179</v>
      </c>
      <c r="D374" s="141">
        <v>104</v>
      </c>
      <c r="E374" s="117">
        <v>99</v>
      </c>
      <c r="F374">
        <v>48.6</v>
      </c>
      <c r="G374" s="162">
        <v>4.6500000000000004</v>
      </c>
      <c r="H374" s="164"/>
      <c r="I374" s="161">
        <v>6444003</v>
      </c>
      <c r="J374"/>
      <c r="K374" s="125" t="s">
        <v>517</v>
      </c>
      <c r="L374" s="126" t="s">
        <v>692</v>
      </c>
      <c r="M374" s="127">
        <v>4</v>
      </c>
      <c r="N374" s="126" t="s">
        <v>692</v>
      </c>
      <c r="O374" s="131" t="s">
        <v>692</v>
      </c>
      <c r="P374" s="127"/>
    </row>
    <row r="375" spans="1:16" x14ac:dyDescent="0.25">
      <c r="A375" t="s">
        <v>390</v>
      </c>
      <c r="B375" s="117">
        <v>1145</v>
      </c>
      <c r="C375" s="117">
        <v>1005</v>
      </c>
      <c r="D375" s="141">
        <v>903</v>
      </c>
      <c r="E375" s="117">
        <v>954</v>
      </c>
      <c r="F375">
        <v>10.8</v>
      </c>
      <c r="G375" s="162">
        <v>4.4800000000000004</v>
      </c>
      <c r="H375" s="164">
        <v>49931</v>
      </c>
      <c r="I375" s="161">
        <v>77583024</v>
      </c>
      <c r="J375"/>
      <c r="K375" s="125" t="s">
        <v>518</v>
      </c>
      <c r="L375" s="126" t="s">
        <v>692</v>
      </c>
      <c r="M375" s="127">
        <v>2</v>
      </c>
      <c r="N375" s="126" t="s">
        <v>692</v>
      </c>
      <c r="O375" s="131" t="s">
        <v>692</v>
      </c>
      <c r="P375" s="127"/>
    </row>
    <row r="376" spans="1:16" x14ac:dyDescent="0.25">
      <c r="A376" t="s">
        <v>391</v>
      </c>
      <c r="B376" s="117">
        <v>3622</v>
      </c>
      <c r="C376" s="117">
        <v>4758</v>
      </c>
      <c r="D376" s="141">
        <v>4598</v>
      </c>
      <c r="E376" s="117">
        <v>5259</v>
      </c>
      <c r="F376">
        <v>4.5999999999999996</v>
      </c>
      <c r="G376" s="162">
        <v>3.27</v>
      </c>
      <c r="H376" s="164">
        <v>85551</v>
      </c>
      <c r="I376" s="161">
        <v>673763662</v>
      </c>
      <c r="J376"/>
      <c r="K376" s="128" t="s">
        <v>519</v>
      </c>
      <c r="L376" s="126" t="s">
        <v>692</v>
      </c>
      <c r="M376" s="127">
        <v>6</v>
      </c>
      <c r="N376" s="126" t="s">
        <v>692</v>
      </c>
      <c r="O376" s="131" t="s">
        <v>692</v>
      </c>
      <c r="P376" s="127"/>
    </row>
    <row r="377" spans="1:16" x14ac:dyDescent="0.25">
      <c r="A377" t="s">
        <v>392</v>
      </c>
      <c r="B377" s="117">
        <v>4840</v>
      </c>
      <c r="C377" s="117">
        <v>4826</v>
      </c>
      <c r="D377" s="141">
        <v>4741</v>
      </c>
      <c r="E377" s="117">
        <v>4954</v>
      </c>
      <c r="F377">
        <v>4.5999999999999996</v>
      </c>
      <c r="G377" s="162">
        <v>3.47</v>
      </c>
      <c r="H377" s="164">
        <v>75208</v>
      </c>
      <c r="I377" s="161">
        <v>442935670</v>
      </c>
      <c r="J377"/>
      <c r="K377" s="125" t="s">
        <v>520</v>
      </c>
      <c r="L377" s="126" t="s">
        <v>693</v>
      </c>
      <c r="M377" s="127">
        <v>7</v>
      </c>
      <c r="N377" s="126" t="s">
        <v>692</v>
      </c>
      <c r="O377" s="131" t="s">
        <v>692</v>
      </c>
      <c r="P377" s="127"/>
    </row>
    <row r="378" spans="1:16" x14ac:dyDescent="0.25">
      <c r="A378" t="s">
        <v>393</v>
      </c>
      <c r="B378" s="117">
        <v>7251</v>
      </c>
      <c r="C378" s="117">
        <v>7214</v>
      </c>
      <c r="D378" s="141">
        <v>7052</v>
      </c>
      <c r="E378" s="117">
        <v>7428</v>
      </c>
      <c r="F378">
        <v>2</v>
      </c>
      <c r="G378" s="162">
        <v>2.82</v>
      </c>
      <c r="H378" s="164">
        <v>88359</v>
      </c>
      <c r="I378" s="161">
        <v>2316727228</v>
      </c>
      <c r="J378"/>
      <c r="K378" s="125" t="s">
        <v>521</v>
      </c>
      <c r="L378" s="126" t="s">
        <v>693</v>
      </c>
      <c r="M378" s="127">
        <v>9</v>
      </c>
      <c r="N378" s="126" t="s">
        <v>692</v>
      </c>
      <c r="O378" s="131" t="s">
        <v>692</v>
      </c>
      <c r="P378" s="127"/>
    </row>
    <row r="379" spans="1:16" x14ac:dyDescent="0.25">
      <c r="A379" t="s">
        <v>394</v>
      </c>
      <c r="B379" s="117">
        <v>202</v>
      </c>
      <c r="C379" s="117">
        <v>159</v>
      </c>
      <c r="D379" s="141">
        <v>155</v>
      </c>
      <c r="E379" s="117">
        <v>154</v>
      </c>
      <c r="F379">
        <v>26.4</v>
      </c>
      <c r="G379" s="162">
        <v>3.53</v>
      </c>
      <c r="H379" s="164">
        <v>33750</v>
      </c>
      <c r="I379" s="161">
        <v>11413559</v>
      </c>
      <c r="J379"/>
      <c r="K379" s="125" t="s">
        <v>525</v>
      </c>
      <c r="L379" s="126" t="s">
        <v>692</v>
      </c>
      <c r="M379" s="127">
        <v>2</v>
      </c>
      <c r="N379" s="126" t="s">
        <v>692</v>
      </c>
      <c r="O379" s="131" t="s">
        <v>692</v>
      </c>
      <c r="P379" s="127"/>
    </row>
    <row r="380" spans="1:16" x14ac:dyDescent="0.25">
      <c r="A380" t="s">
        <v>395</v>
      </c>
      <c r="B380" s="117">
        <v>3008</v>
      </c>
      <c r="C380" s="117">
        <v>3244</v>
      </c>
      <c r="D380" s="141">
        <v>3129</v>
      </c>
      <c r="E380" s="117">
        <v>3306</v>
      </c>
      <c r="F380">
        <v>6.2</v>
      </c>
      <c r="G380" s="162">
        <v>3.1</v>
      </c>
      <c r="H380" s="164">
        <v>88203</v>
      </c>
      <c r="I380" s="161">
        <v>436223955</v>
      </c>
      <c r="J380"/>
      <c r="K380" s="125" t="s">
        <v>527</v>
      </c>
      <c r="L380" s="126" t="s">
        <v>693</v>
      </c>
      <c r="M380" s="127">
        <v>4</v>
      </c>
      <c r="N380" s="126" t="s">
        <v>692</v>
      </c>
      <c r="O380" s="131" t="s">
        <v>692</v>
      </c>
      <c r="P380" s="127"/>
    </row>
    <row r="381" spans="1:16" x14ac:dyDescent="0.25">
      <c r="A381" t="s">
        <v>396</v>
      </c>
      <c r="B381" s="117">
        <v>476</v>
      </c>
      <c r="C381" s="117">
        <v>529</v>
      </c>
      <c r="D381" s="141">
        <v>523</v>
      </c>
      <c r="E381" s="117">
        <v>580</v>
      </c>
      <c r="F381">
        <v>12.5</v>
      </c>
      <c r="G381" s="162">
        <v>3.68</v>
      </c>
      <c r="H381" s="164">
        <v>72344</v>
      </c>
      <c r="I381" s="161">
        <v>134342905</v>
      </c>
      <c r="J381"/>
      <c r="K381" s="125" t="s">
        <v>531</v>
      </c>
      <c r="L381" s="126" t="s">
        <v>692</v>
      </c>
      <c r="M381" s="127">
        <v>6</v>
      </c>
      <c r="N381" s="126" t="s">
        <v>692</v>
      </c>
      <c r="O381" s="131" t="s">
        <v>692</v>
      </c>
      <c r="P381" s="127"/>
    </row>
    <row r="382" spans="1:16" x14ac:dyDescent="0.25">
      <c r="A382" t="s">
        <v>397</v>
      </c>
      <c r="B382" s="117">
        <v>26697</v>
      </c>
      <c r="C382" s="117">
        <v>26954</v>
      </c>
      <c r="D382" s="141">
        <v>26426</v>
      </c>
      <c r="E382" s="117">
        <v>27152</v>
      </c>
      <c r="F382">
        <v>8.6999999999999993</v>
      </c>
      <c r="G382" s="162">
        <v>3.31</v>
      </c>
      <c r="H382" s="164">
        <v>99272</v>
      </c>
      <c r="I382" s="161">
        <v>5752459488</v>
      </c>
      <c r="J382"/>
      <c r="K382" s="125" t="s">
        <v>532</v>
      </c>
      <c r="L382" s="126" t="s">
        <v>692</v>
      </c>
      <c r="M382" s="127">
        <v>2</v>
      </c>
      <c r="N382" s="126" t="s">
        <v>692</v>
      </c>
      <c r="O382" s="131" t="s">
        <v>692</v>
      </c>
      <c r="P382" s="127"/>
    </row>
    <row r="383" spans="1:16" x14ac:dyDescent="0.25">
      <c r="A383" t="s">
        <v>398</v>
      </c>
      <c r="B383" s="117">
        <v>774</v>
      </c>
      <c r="C383" s="117">
        <v>645</v>
      </c>
      <c r="D383" s="141">
        <v>672</v>
      </c>
      <c r="E383" s="117">
        <v>640</v>
      </c>
      <c r="F383">
        <v>9.6</v>
      </c>
      <c r="G383" s="162">
        <v>3.08</v>
      </c>
      <c r="H383" s="164">
        <v>42917</v>
      </c>
      <c r="I383" s="161">
        <v>16438218</v>
      </c>
      <c r="J383"/>
      <c r="K383" s="125" t="s">
        <v>533</v>
      </c>
      <c r="L383" s="126" t="s">
        <v>692</v>
      </c>
      <c r="M383" s="127">
        <v>10</v>
      </c>
      <c r="N383" s="126" t="s">
        <v>692</v>
      </c>
      <c r="O383" s="131" t="s">
        <v>692</v>
      </c>
      <c r="P383" s="127"/>
    </row>
    <row r="384" spans="1:16" x14ac:dyDescent="0.25">
      <c r="A384" t="s">
        <v>399</v>
      </c>
      <c r="B384" s="117">
        <v>15004</v>
      </c>
      <c r="C384" s="117">
        <v>14973</v>
      </c>
      <c r="D384" s="141">
        <v>14891</v>
      </c>
      <c r="E384" s="117">
        <v>14721</v>
      </c>
      <c r="F384">
        <v>13</v>
      </c>
      <c r="G384" s="162">
        <v>3.28</v>
      </c>
      <c r="H384" s="164">
        <v>58089</v>
      </c>
      <c r="I384" s="161">
        <v>2493327288</v>
      </c>
      <c r="J384"/>
      <c r="K384" s="125" t="s">
        <v>534</v>
      </c>
      <c r="L384" s="126" t="s">
        <v>692</v>
      </c>
      <c r="M384" s="127">
        <v>2</v>
      </c>
      <c r="N384" s="126" t="s">
        <v>692</v>
      </c>
      <c r="O384" s="131" t="s">
        <v>692</v>
      </c>
      <c r="P384" s="127"/>
    </row>
    <row r="385" spans="1:16" x14ac:dyDescent="0.25">
      <c r="A385" t="s">
        <v>400</v>
      </c>
      <c r="B385" s="117">
        <v>5213</v>
      </c>
      <c r="C385" s="117">
        <v>6001</v>
      </c>
      <c r="D385" s="141">
        <v>5796</v>
      </c>
      <c r="E385" s="117">
        <v>6439</v>
      </c>
      <c r="F385">
        <v>19.899999999999999</v>
      </c>
      <c r="G385" s="162">
        <v>3.18</v>
      </c>
      <c r="H385" s="164">
        <v>55544</v>
      </c>
      <c r="I385" s="161">
        <v>1187617417</v>
      </c>
      <c r="J385"/>
      <c r="K385" s="125" t="s">
        <v>536</v>
      </c>
      <c r="L385" s="126" t="s">
        <v>692</v>
      </c>
      <c r="M385" s="127">
        <v>2</v>
      </c>
      <c r="N385" s="126" t="s">
        <v>692</v>
      </c>
      <c r="O385" s="131" t="s">
        <v>692</v>
      </c>
      <c r="P385" s="127"/>
    </row>
    <row r="386" spans="1:16" x14ac:dyDescent="0.25">
      <c r="A386" t="s">
        <v>401</v>
      </c>
      <c r="B386" s="117">
        <v>250</v>
      </c>
      <c r="C386" s="117">
        <v>415</v>
      </c>
      <c r="D386" s="141">
        <v>271</v>
      </c>
      <c r="E386" s="117">
        <v>288</v>
      </c>
      <c r="F386">
        <v>29.9</v>
      </c>
      <c r="G386" s="162">
        <v>4.4800000000000004</v>
      </c>
      <c r="H386" s="164">
        <v>59375</v>
      </c>
      <c r="I386" s="161">
        <v>15006625</v>
      </c>
      <c r="J386"/>
      <c r="K386" s="125" t="s">
        <v>537</v>
      </c>
      <c r="L386" s="126" t="s">
        <v>692</v>
      </c>
      <c r="M386" s="127">
        <v>3</v>
      </c>
      <c r="N386" s="126" t="s">
        <v>692</v>
      </c>
      <c r="O386" s="131" t="s">
        <v>692</v>
      </c>
      <c r="P386" s="127"/>
    </row>
    <row r="387" spans="1:16" x14ac:dyDescent="0.25">
      <c r="A387" t="s">
        <v>402</v>
      </c>
      <c r="B387" s="117">
        <v>35105</v>
      </c>
      <c r="C387" s="117">
        <v>35596</v>
      </c>
      <c r="D387" s="141">
        <v>34492</v>
      </c>
      <c r="E387" s="117">
        <v>37273</v>
      </c>
      <c r="F387">
        <v>13.9</v>
      </c>
      <c r="G387" s="162">
        <v>3.1</v>
      </c>
      <c r="H387" s="164">
        <v>67265</v>
      </c>
      <c r="I387" s="161">
        <v>5566170690</v>
      </c>
      <c r="J387"/>
      <c r="K387" s="125" t="s">
        <v>538</v>
      </c>
      <c r="L387" s="126" t="s">
        <v>693</v>
      </c>
      <c r="M387" s="127">
        <v>4</v>
      </c>
      <c r="N387" s="126" t="s">
        <v>692</v>
      </c>
      <c r="O387" s="131" t="s">
        <v>692</v>
      </c>
      <c r="P387" s="127"/>
    </row>
    <row r="388" spans="1:16" x14ac:dyDescent="0.25">
      <c r="A388" t="s">
        <v>403</v>
      </c>
      <c r="B388" s="117">
        <v>27252</v>
      </c>
      <c r="C388" s="117">
        <v>25874</v>
      </c>
      <c r="D388" s="141">
        <v>25688</v>
      </c>
      <c r="E388" s="117">
        <v>25833</v>
      </c>
      <c r="F388">
        <v>16.100000000000001</v>
      </c>
      <c r="G388" s="162">
        <v>3.73</v>
      </c>
      <c r="H388" s="164">
        <v>55849</v>
      </c>
      <c r="I388" s="161">
        <v>3817867096</v>
      </c>
      <c r="J388"/>
      <c r="K388" s="125" t="s">
        <v>539</v>
      </c>
      <c r="L388" s="126" t="s">
        <v>692</v>
      </c>
      <c r="M388" s="127">
        <v>3</v>
      </c>
      <c r="N388" s="126" t="s">
        <v>692</v>
      </c>
      <c r="O388" s="131" t="s">
        <v>692</v>
      </c>
      <c r="P388" s="127"/>
    </row>
    <row r="389" spans="1:16" x14ac:dyDescent="0.25">
      <c r="A389" t="s">
        <v>404</v>
      </c>
      <c r="B389" s="117">
        <v>446</v>
      </c>
      <c r="C389" s="117">
        <v>474</v>
      </c>
      <c r="D389" s="141">
        <v>862</v>
      </c>
      <c r="E389" s="117">
        <v>1045</v>
      </c>
      <c r="F389">
        <v>0</v>
      </c>
      <c r="G389" s="162">
        <v>2.86</v>
      </c>
      <c r="H389" s="164"/>
      <c r="I389" s="161">
        <v>298987132</v>
      </c>
      <c r="J389"/>
      <c r="K389" s="125" t="s">
        <v>540</v>
      </c>
      <c r="L389" s="126" t="s">
        <v>692</v>
      </c>
      <c r="M389" s="127">
        <v>3</v>
      </c>
      <c r="N389" s="126" t="s">
        <v>692</v>
      </c>
      <c r="O389" s="131" t="s">
        <v>692</v>
      </c>
      <c r="P389" s="127"/>
    </row>
    <row r="390" spans="1:16" x14ac:dyDescent="0.25">
      <c r="A390" t="s">
        <v>405</v>
      </c>
      <c r="B390" s="117">
        <v>97294</v>
      </c>
      <c r="C390" s="117">
        <v>102840</v>
      </c>
      <c r="D390" s="141">
        <v>98346</v>
      </c>
      <c r="E390" s="117">
        <v>107861</v>
      </c>
      <c r="F390">
        <v>10</v>
      </c>
      <c r="G390" s="162">
        <v>3.45</v>
      </c>
      <c r="H390" s="164">
        <v>82837</v>
      </c>
      <c r="I390" s="161">
        <v>21959827442</v>
      </c>
      <c r="J390"/>
      <c r="K390" s="125" t="s">
        <v>541</v>
      </c>
      <c r="L390" s="126" t="s">
        <v>693</v>
      </c>
      <c r="M390" s="127">
        <v>5</v>
      </c>
      <c r="N390" s="126" t="s">
        <v>692</v>
      </c>
      <c r="O390" s="131" t="s">
        <v>692</v>
      </c>
      <c r="P390" s="127"/>
    </row>
    <row r="391" spans="1:16" x14ac:dyDescent="0.25">
      <c r="A391" t="s">
        <v>406</v>
      </c>
      <c r="B391" s="117">
        <v>372</v>
      </c>
      <c r="C391" s="117">
        <v>168</v>
      </c>
      <c r="D391" s="141">
        <v>292</v>
      </c>
      <c r="E391" s="117">
        <v>294</v>
      </c>
      <c r="F391">
        <v>22</v>
      </c>
      <c r="G391" s="162">
        <v>3.84</v>
      </c>
      <c r="H391" s="164">
        <v>39167</v>
      </c>
      <c r="I391" s="161"/>
      <c r="J391"/>
      <c r="K391" s="125" t="s">
        <v>542</v>
      </c>
      <c r="L391" s="126" t="s">
        <v>693</v>
      </c>
      <c r="M391" s="127">
        <v>3</v>
      </c>
      <c r="N391" s="126" t="s">
        <v>692</v>
      </c>
      <c r="O391" s="131" t="s">
        <v>692</v>
      </c>
      <c r="P391" s="127"/>
    </row>
    <row r="392" spans="1:16" x14ac:dyDescent="0.25">
      <c r="A392" t="s">
        <v>407</v>
      </c>
      <c r="B392" s="117">
        <v>37835</v>
      </c>
      <c r="C392" s="117">
        <v>51447</v>
      </c>
      <c r="D392" s="141">
        <v>48523</v>
      </c>
      <c r="E392" s="117">
        <v>56517</v>
      </c>
      <c r="F392">
        <v>7.6</v>
      </c>
      <c r="G392" s="162">
        <v>3.2</v>
      </c>
      <c r="H392" s="164">
        <v>88592</v>
      </c>
      <c r="I392" s="161">
        <v>12589205176</v>
      </c>
      <c r="J392"/>
      <c r="K392" s="125" t="s">
        <v>544</v>
      </c>
      <c r="L392" s="126" t="s">
        <v>692</v>
      </c>
      <c r="M392" s="127">
        <v>2</v>
      </c>
      <c r="N392" s="126" t="s">
        <v>692</v>
      </c>
      <c r="O392" s="131" t="s">
        <v>692</v>
      </c>
      <c r="P392" s="127"/>
    </row>
    <row r="393" spans="1:16" x14ac:dyDescent="0.25">
      <c r="A393" t="s">
        <v>408</v>
      </c>
      <c r="B393" s="117">
        <v>9413</v>
      </c>
      <c r="C393" s="117">
        <v>9696</v>
      </c>
      <c r="D393" s="141">
        <v>9548</v>
      </c>
      <c r="E393" s="117">
        <v>10050</v>
      </c>
      <c r="F393">
        <v>17.399999999999999</v>
      </c>
      <c r="G393" s="162">
        <v>3.34</v>
      </c>
      <c r="H393" s="164">
        <v>53718</v>
      </c>
      <c r="I393" s="161">
        <v>2443079813</v>
      </c>
      <c r="J393"/>
      <c r="K393" s="125" t="s">
        <v>546</v>
      </c>
      <c r="L393" s="126" t="s">
        <v>692</v>
      </c>
      <c r="M393" s="127">
        <v>1</v>
      </c>
      <c r="N393" s="126" t="s">
        <v>692</v>
      </c>
      <c r="O393" s="131" t="s">
        <v>692</v>
      </c>
      <c r="P393" s="127"/>
    </row>
    <row r="394" spans="1:16" x14ac:dyDescent="0.25">
      <c r="A394" t="s">
        <v>409</v>
      </c>
      <c r="B394" s="117">
        <v>16481</v>
      </c>
      <c r="C394" s="117">
        <v>17541</v>
      </c>
      <c r="D394" s="141">
        <v>17444</v>
      </c>
      <c r="E394" s="117">
        <v>18260</v>
      </c>
      <c r="F394">
        <v>29.9</v>
      </c>
      <c r="G394" s="162">
        <v>3.29</v>
      </c>
      <c r="H394" s="164">
        <v>49434</v>
      </c>
      <c r="I394" s="161">
        <v>2673077758</v>
      </c>
      <c r="J394"/>
      <c r="K394" s="125" t="s">
        <v>547</v>
      </c>
      <c r="L394" s="126" t="s">
        <v>692</v>
      </c>
      <c r="M394" s="127">
        <v>5</v>
      </c>
      <c r="N394" s="126" t="s">
        <v>692</v>
      </c>
      <c r="O394" s="131" t="s">
        <v>692</v>
      </c>
      <c r="P394" s="127"/>
    </row>
    <row r="395" spans="1:16" x14ac:dyDescent="0.25">
      <c r="A395" t="s">
        <v>410</v>
      </c>
      <c r="B395" s="117">
        <v>26280</v>
      </c>
      <c r="C395" s="117">
        <v>30471</v>
      </c>
      <c r="D395" s="141">
        <v>28837</v>
      </c>
      <c r="E395" s="117">
        <v>32431</v>
      </c>
      <c r="F395">
        <v>4.8</v>
      </c>
      <c r="G395" s="162">
        <v>3.07</v>
      </c>
      <c r="H395" s="164">
        <v>125404</v>
      </c>
      <c r="I395" s="161">
        <v>6936552323</v>
      </c>
      <c r="J395"/>
      <c r="K395" s="125" t="s">
        <v>548</v>
      </c>
      <c r="L395" s="126" t="s">
        <v>692</v>
      </c>
      <c r="M395" s="127">
        <v>3</v>
      </c>
      <c r="N395" s="126" t="s">
        <v>692</v>
      </c>
      <c r="O395" s="131" t="s">
        <v>692</v>
      </c>
      <c r="P395" s="127"/>
    </row>
    <row r="396" spans="1:16" x14ac:dyDescent="0.25">
      <c r="A396" t="s">
        <v>411</v>
      </c>
      <c r="B396" s="117">
        <v>548</v>
      </c>
      <c r="C396" s="117">
        <v>435</v>
      </c>
      <c r="D396" s="141">
        <v>319</v>
      </c>
      <c r="E396" s="117">
        <v>325</v>
      </c>
      <c r="F396">
        <v>41.5</v>
      </c>
      <c r="G396" s="162">
        <v>4.45</v>
      </c>
      <c r="H396" s="164"/>
      <c r="I396" s="161">
        <v>16788847</v>
      </c>
      <c r="J396"/>
      <c r="K396" s="128" t="s">
        <v>549</v>
      </c>
      <c r="L396" s="126" t="s">
        <v>692</v>
      </c>
      <c r="M396" s="127">
        <v>2</v>
      </c>
      <c r="N396" s="126" t="s">
        <v>692</v>
      </c>
      <c r="O396" s="131" t="s">
        <v>692</v>
      </c>
      <c r="P396" s="127"/>
    </row>
    <row r="397" spans="1:16" x14ac:dyDescent="0.25">
      <c r="A397" t="s">
        <v>412</v>
      </c>
      <c r="B397" s="117">
        <v>10193</v>
      </c>
      <c r="C397" s="117">
        <v>10631</v>
      </c>
      <c r="D397" s="141">
        <v>10602</v>
      </c>
      <c r="E397" s="117">
        <v>10664</v>
      </c>
      <c r="F397">
        <v>27.1</v>
      </c>
      <c r="G397" s="162">
        <v>3.23</v>
      </c>
      <c r="H397" s="164">
        <v>39873</v>
      </c>
      <c r="I397" s="161">
        <v>1337557438</v>
      </c>
      <c r="J397"/>
      <c r="K397" s="125" t="s">
        <v>550</v>
      </c>
      <c r="L397" s="126" t="s">
        <v>692</v>
      </c>
      <c r="M397" s="127">
        <v>3</v>
      </c>
      <c r="N397" s="126" t="s">
        <v>692</v>
      </c>
      <c r="O397" s="131" t="s">
        <v>692</v>
      </c>
      <c r="P397" s="127"/>
    </row>
    <row r="398" spans="1:16" x14ac:dyDescent="0.25">
      <c r="A398" t="s">
        <v>413</v>
      </c>
      <c r="B398" s="117">
        <v>1228</v>
      </c>
      <c r="C398" s="117">
        <v>1166</v>
      </c>
      <c r="D398" s="141">
        <v>1155</v>
      </c>
      <c r="E398" s="117">
        <v>1167</v>
      </c>
      <c r="F398">
        <v>17.100000000000001</v>
      </c>
      <c r="G398" s="162">
        <v>3.73</v>
      </c>
      <c r="H398" s="164">
        <v>58281</v>
      </c>
      <c r="I398" s="161">
        <v>104349886</v>
      </c>
      <c r="J398"/>
      <c r="K398" s="125" t="s">
        <v>551</v>
      </c>
      <c r="L398" s="126" t="s">
        <v>692</v>
      </c>
      <c r="M398" s="127">
        <v>2</v>
      </c>
      <c r="N398" s="126" t="s">
        <v>692</v>
      </c>
      <c r="O398" s="131" t="s">
        <v>692</v>
      </c>
      <c r="P398" s="127"/>
    </row>
    <row r="399" spans="1:16" x14ac:dyDescent="0.25">
      <c r="A399" t="s">
        <v>414</v>
      </c>
      <c r="B399" s="117">
        <v>15610</v>
      </c>
      <c r="C399" s="117">
        <v>17928</v>
      </c>
      <c r="D399" s="141">
        <v>17218</v>
      </c>
      <c r="E399" s="117">
        <v>19309</v>
      </c>
      <c r="F399">
        <v>8.1999999999999993</v>
      </c>
      <c r="G399" s="162">
        <v>3.51</v>
      </c>
      <c r="H399" s="164">
        <v>75928</v>
      </c>
      <c r="I399" s="161">
        <v>3120396539</v>
      </c>
      <c r="J399"/>
      <c r="K399" s="125" t="s">
        <v>552</v>
      </c>
      <c r="L399" s="126" t="s">
        <v>693</v>
      </c>
      <c r="M399" s="127">
        <v>8</v>
      </c>
      <c r="N399" s="126" t="s">
        <v>692</v>
      </c>
      <c r="O399" s="131" t="s">
        <v>692</v>
      </c>
      <c r="P399" s="127"/>
    </row>
    <row r="400" spans="1:16" x14ac:dyDescent="0.25">
      <c r="A400" t="s">
        <v>415</v>
      </c>
      <c r="B400" s="117">
        <v>4674</v>
      </c>
      <c r="C400" s="117">
        <v>4204</v>
      </c>
      <c r="D400" s="141">
        <v>4224</v>
      </c>
      <c r="E400" s="117">
        <v>4588</v>
      </c>
      <c r="F400">
        <v>21.7</v>
      </c>
      <c r="G400" s="162">
        <v>3.5</v>
      </c>
      <c r="H400" s="164">
        <v>45869</v>
      </c>
      <c r="I400" s="161">
        <v>298805533</v>
      </c>
      <c r="J400"/>
      <c r="K400" s="125" t="s">
        <v>553</v>
      </c>
      <c r="L400" s="126" t="s">
        <v>692</v>
      </c>
      <c r="M400" s="127">
        <v>5</v>
      </c>
      <c r="N400" s="126" t="s">
        <v>692</v>
      </c>
      <c r="O400" s="131" t="s">
        <v>692</v>
      </c>
      <c r="P400" s="127"/>
    </row>
    <row r="401" spans="1:16" x14ac:dyDescent="0.25">
      <c r="A401" t="s">
        <v>416</v>
      </c>
      <c r="B401" s="117">
        <v>1757</v>
      </c>
      <c r="C401" s="117">
        <v>1866</v>
      </c>
      <c r="D401" s="141">
        <v>1690</v>
      </c>
      <c r="E401" s="117">
        <v>1758</v>
      </c>
      <c r="F401">
        <v>6.9</v>
      </c>
      <c r="G401" s="162">
        <v>3.27</v>
      </c>
      <c r="H401" s="164">
        <v>81250</v>
      </c>
      <c r="I401" s="161">
        <v>201234248</v>
      </c>
      <c r="J401"/>
      <c r="K401" s="125" t="s">
        <v>554</v>
      </c>
      <c r="L401" s="126" t="s">
        <v>692</v>
      </c>
      <c r="M401" s="127">
        <v>7</v>
      </c>
      <c r="N401" s="126" t="s">
        <v>692</v>
      </c>
      <c r="O401" s="131" t="s">
        <v>692</v>
      </c>
      <c r="P401" s="127"/>
    </row>
    <row r="402" spans="1:16" x14ac:dyDescent="0.25">
      <c r="A402" t="s">
        <v>417</v>
      </c>
      <c r="B402" s="117">
        <v>3044</v>
      </c>
      <c r="C402" s="117">
        <v>2814</v>
      </c>
      <c r="D402" s="141">
        <v>2730</v>
      </c>
      <c r="E402" s="117">
        <v>2348</v>
      </c>
      <c r="F402">
        <v>35.799999999999997</v>
      </c>
      <c r="G402" s="162">
        <v>4.16</v>
      </c>
      <c r="H402" s="164">
        <v>43504</v>
      </c>
      <c r="I402" s="161">
        <v>140276352</v>
      </c>
      <c r="J402"/>
      <c r="K402" s="125" t="s">
        <v>556</v>
      </c>
      <c r="L402" s="126" t="s">
        <v>692</v>
      </c>
      <c r="M402" s="127">
        <v>2</v>
      </c>
      <c r="N402" s="126" t="s">
        <v>692</v>
      </c>
      <c r="O402" s="131" t="s">
        <v>692</v>
      </c>
      <c r="P402" s="127"/>
    </row>
    <row r="403" spans="1:16" x14ac:dyDescent="0.25">
      <c r="A403" t="s">
        <v>418</v>
      </c>
      <c r="B403" s="117">
        <v>1671</v>
      </c>
      <c r="C403" s="117">
        <v>1356</v>
      </c>
      <c r="D403" s="141">
        <v>1624</v>
      </c>
      <c r="E403" s="117">
        <v>1838</v>
      </c>
      <c r="F403">
        <v>20.6</v>
      </c>
      <c r="G403" s="162">
        <v>3.79</v>
      </c>
      <c r="H403" s="164">
        <v>36989</v>
      </c>
      <c r="I403" s="161">
        <v>300290465</v>
      </c>
      <c r="J403"/>
      <c r="K403" s="125" t="s">
        <v>557</v>
      </c>
      <c r="L403" s="126" t="s">
        <v>692</v>
      </c>
      <c r="M403" s="127">
        <v>1</v>
      </c>
      <c r="N403" s="126" t="s">
        <v>692</v>
      </c>
      <c r="O403" s="131" t="s">
        <v>692</v>
      </c>
      <c r="P403" s="127"/>
    </row>
    <row r="404" spans="1:16" x14ac:dyDescent="0.25">
      <c r="A404" t="s">
        <v>419</v>
      </c>
      <c r="B404" s="117">
        <v>2923</v>
      </c>
      <c r="C404" s="117">
        <v>3164</v>
      </c>
      <c r="D404" s="141">
        <v>3122</v>
      </c>
      <c r="E404" s="117">
        <v>3233</v>
      </c>
      <c r="F404">
        <v>2.6</v>
      </c>
      <c r="G404" s="162">
        <v>4.16</v>
      </c>
      <c r="H404" s="164">
        <v>87619</v>
      </c>
      <c r="I404" s="161">
        <v>3142149066</v>
      </c>
      <c r="J404"/>
      <c r="K404" s="125" t="s">
        <v>558</v>
      </c>
      <c r="L404" s="126" t="s">
        <v>693</v>
      </c>
      <c r="M404" s="127">
        <v>1</v>
      </c>
      <c r="N404" s="126" t="s">
        <v>692</v>
      </c>
      <c r="O404" s="131" t="s">
        <v>692</v>
      </c>
      <c r="P404" s="127"/>
    </row>
    <row r="405" spans="1:16" x14ac:dyDescent="0.25">
      <c r="A405" t="s">
        <v>420</v>
      </c>
      <c r="B405" s="117">
        <v>94030</v>
      </c>
      <c r="C405" s="117">
        <v>95451</v>
      </c>
      <c r="D405" s="141">
        <v>94726</v>
      </c>
      <c r="E405" s="117">
        <v>97802</v>
      </c>
      <c r="F405">
        <v>14</v>
      </c>
      <c r="G405" s="162">
        <v>4.4800000000000004</v>
      </c>
      <c r="H405" s="164">
        <v>60704</v>
      </c>
      <c r="I405" s="161">
        <v>9132259308</v>
      </c>
      <c r="J405"/>
      <c r="K405" s="125" t="s">
        <v>559</v>
      </c>
      <c r="L405" s="126" t="s">
        <v>692</v>
      </c>
      <c r="M405" s="127">
        <v>1</v>
      </c>
      <c r="N405" s="126" t="s">
        <v>692</v>
      </c>
      <c r="O405" s="131" t="s">
        <v>692</v>
      </c>
      <c r="P405" s="127"/>
    </row>
    <row r="406" spans="1:16" x14ac:dyDescent="0.25">
      <c r="A406" t="s">
        <v>421</v>
      </c>
      <c r="B406" s="117">
        <v>5516</v>
      </c>
      <c r="C406" s="117">
        <v>5672</v>
      </c>
      <c r="D406" s="141">
        <v>5617</v>
      </c>
      <c r="E406" s="117">
        <v>5871</v>
      </c>
      <c r="F406">
        <v>20.8</v>
      </c>
      <c r="G406" s="162">
        <v>4.4800000000000004</v>
      </c>
      <c r="H406" s="164">
        <v>63553</v>
      </c>
      <c r="I406" s="161">
        <v>468743096</v>
      </c>
      <c r="J406"/>
      <c r="K406" s="125" t="s">
        <v>560</v>
      </c>
      <c r="L406" s="126" t="s">
        <v>692</v>
      </c>
      <c r="M406" s="127">
        <v>2</v>
      </c>
      <c r="N406" s="126" t="s">
        <v>692</v>
      </c>
      <c r="O406" s="131" t="s">
        <v>692</v>
      </c>
      <c r="P406" s="127"/>
    </row>
    <row r="407" spans="1:16" x14ac:dyDescent="0.25">
      <c r="A407" t="s">
        <v>422</v>
      </c>
      <c r="B407" s="117">
        <v>1758</v>
      </c>
      <c r="C407" s="117">
        <v>2148</v>
      </c>
      <c r="D407" s="141">
        <v>1359</v>
      </c>
      <c r="E407" s="117">
        <v>1620</v>
      </c>
      <c r="F407">
        <v>10.3</v>
      </c>
      <c r="G407" s="162">
        <v>3.99</v>
      </c>
      <c r="H407" s="164">
        <v>57571</v>
      </c>
      <c r="I407" s="161">
        <v>217808058</v>
      </c>
      <c r="J407"/>
      <c r="K407" s="125" t="s">
        <v>561</v>
      </c>
      <c r="L407" s="126" t="s">
        <v>692</v>
      </c>
      <c r="M407" s="127">
        <v>0</v>
      </c>
      <c r="N407" s="126" t="s">
        <v>692</v>
      </c>
      <c r="O407" s="131" t="s">
        <v>692</v>
      </c>
      <c r="P407" s="127"/>
    </row>
    <row r="408" spans="1:16" x14ac:dyDescent="0.25">
      <c r="A408" t="s">
        <v>424</v>
      </c>
      <c r="B408" s="117">
        <v>29895</v>
      </c>
      <c r="C408" s="117">
        <v>31563</v>
      </c>
      <c r="D408" s="141">
        <v>30794</v>
      </c>
      <c r="E408" s="117">
        <v>33911</v>
      </c>
      <c r="F408">
        <v>16.3</v>
      </c>
      <c r="G408" s="162">
        <v>3.63</v>
      </c>
      <c r="H408" s="164">
        <v>56893</v>
      </c>
      <c r="I408" s="161">
        <v>4938818281</v>
      </c>
      <c r="J408"/>
      <c r="K408" s="125" t="s">
        <v>562</v>
      </c>
      <c r="L408" s="126" t="s">
        <v>692</v>
      </c>
      <c r="M408" s="127">
        <v>1</v>
      </c>
      <c r="N408" s="126" t="s">
        <v>692</v>
      </c>
      <c r="O408" s="131" t="s">
        <v>692</v>
      </c>
      <c r="P408" s="127"/>
    </row>
    <row r="409" spans="1:16" x14ac:dyDescent="0.25">
      <c r="A409" t="s">
        <v>425</v>
      </c>
      <c r="B409" s="117">
        <v>227938</v>
      </c>
      <c r="C409" s="117">
        <v>231214</v>
      </c>
      <c r="D409" s="141">
        <v>225161</v>
      </c>
      <c r="E409" s="117">
        <v>239514</v>
      </c>
      <c r="F409">
        <v>12.4</v>
      </c>
      <c r="G409" s="162">
        <v>3.38</v>
      </c>
      <c r="H409" s="164">
        <v>72892</v>
      </c>
      <c r="I409" s="161">
        <v>50661154886</v>
      </c>
      <c r="J409"/>
      <c r="K409" s="125" t="s">
        <v>564</v>
      </c>
      <c r="L409" s="126" t="s">
        <v>692</v>
      </c>
      <c r="M409" s="127">
        <v>1</v>
      </c>
      <c r="N409" s="126" t="s">
        <v>692</v>
      </c>
      <c r="O409" s="131" t="s">
        <v>692</v>
      </c>
      <c r="P409" s="127"/>
    </row>
    <row r="410" spans="1:16" x14ac:dyDescent="0.25">
      <c r="A410" t="s">
        <v>426</v>
      </c>
      <c r="B410" s="117">
        <v>702</v>
      </c>
      <c r="C410" s="117">
        <v>594</v>
      </c>
      <c r="D410" s="141">
        <v>604</v>
      </c>
      <c r="E410" s="117">
        <v>764</v>
      </c>
      <c r="F410">
        <v>14.2</v>
      </c>
      <c r="G410" s="162">
        <v>3.08</v>
      </c>
      <c r="H410" s="164">
        <v>59688</v>
      </c>
      <c r="I410" s="161">
        <v>267791003</v>
      </c>
      <c r="J410"/>
      <c r="K410" s="125" t="s">
        <v>566</v>
      </c>
      <c r="L410" s="126" t="s">
        <v>692</v>
      </c>
      <c r="M410" s="127">
        <v>1</v>
      </c>
      <c r="N410" s="126" t="s">
        <v>692</v>
      </c>
      <c r="O410" s="131" t="s">
        <v>692</v>
      </c>
      <c r="P410" s="127"/>
    </row>
    <row r="411" spans="1:16" x14ac:dyDescent="0.25">
      <c r="A411" t="s">
        <v>427</v>
      </c>
      <c r="B411" s="117">
        <v>755</v>
      </c>
      <c r="C411" s="117">
        <v>815</v>
      </c>
      <c r="D411" s="141">
        <v>711</v>
      </c>
      <c r="E411" s="117">
        <v>713</v>
      </c>
      <c r="F411">
        <v>12.1</v>
      </c>
      <c r="G411" s="162">
        <v>3.27</v>
      </c>
      <c r="H411" s="164">
        <v>43429</v>
      </c>
      <c r="I411" s="161">
        <v>88754624</v>
      </c>
      <c r="J411"/>
      <c r="K411" s="125" t="s">
        <v>567</v>
      </c>
      <c r="L411" s="126" t="s">
        <v>692</v>
      </c>
      <c r="M411" s="127">
        <v>5</v>
      </c>
      <c r="N411" s="126" t="s">
        <v>692</v>
      </c>
      <c r="O411" s="131" t="s">
        <v>692</v>
      </c>
      <c r="P411" s="127"/>
    </row>
    <row r="412" spans="1:16" x14ac:dyDescent="0.25">
      <c r="A412" t="s">
        <v>428</v>
      </c>
      <c r="B412" s="117">
        <v>4606</v>
      </c>
      <c r="C412" s="117">
        <v>4428</v>
      </c>
      <c r="D412" s="141">
        <v>4387</v>
      </c>
      <c r="E412" s="117">
        <v>4428</v>
      </c>
      <c r="F412">
        <v>9.9</v>
      </c>
      <c r="G412" s="162">
        <v>3.34</v>
      </c>
      <c r="H412" s="164">
        <v>76091</v>
      </c>
      <c r="I412" s="161">
        <v>423378297</v>
      </c>
      <c r="J412"/>
      <c r="K412" s="125" t="s">
        <v>570</v>
      </c>
      <c r="L412" s="126" t="s">
        <v>692</v>
      </c>
      <c r="M412" s="127">
        <v>4</v>
      </c>
      <c r="N412" s="126" t="s">
        <v>692</v>
      </c>
      <c r="O412" s="131" t="s">
        <v>692</v>
      </c>
      <c r="P412" s="127"/>
    </row>
    <row r="413" spans="1:16" x14ac:dyDescent="0.25">
      <c r="A413" t="s">
        <v>429</v>
      </c>
      <c r="B413" s="117">
        <v>557</v>
      </c>
      <c r="C413" s="117">
        <v>574</v>
      </c>
      <c r="D413" s="141">
        <v>584</v>
      </c>
      <c r="E413" s="117">
        <v>590</v>
      </c>
      <c r="F413">
        <v>3.9</v>
      </c>
      <c r="G413" s="162">
        <v>3.89</v>
      </c>
      <c r="H413" s="164">
        <v>68750</v>
      </c>
      <c r="I413" s="161">
        <v>76128353</v>
      </c>
      <c r="J413"/>
      <c r="K413" s="125" t="s">
        <v>571</v>
      </c>
      <c r="L413" s="126" t="s">
        <v>692</v>
      </c>
      <c r="M413" s="127">
        <v>7</v>
      </c>
      <c r="N413" s="126" t="s">
        <v>692</v>
      </c>
      <c r="O413" s="131" t="s">
        <v>692</v>
      </c>
      <c r="P413" s="127"/>
    </row>
    <row r="414" spans="1:16" x14ac:dyDescent="0.25">
      <c r="A414" t="s">
        <v>430</v>
      </c>
      <c r="B414" s="117">
        <v>13059</v>
      </c>
      <c r="C414" s="117">
        <v>13223</v>
      </c>
      <c r="D414" s="141">
        <v>13095</v>
      </c>
      <c r="E414" s="117">
        <v>13452</v>
      </c>
      <c r="F414">
        <v>14.2</v>
      </c>
      <c r="G414" s="162">
        <v>3.37</v>
      </c>
      <c r="H414" s="164">
        <v>56869</v>
      </c>
      <c r="I414" s="161">
        <v>2009652703</v>
      </c>
      <c r="J414"/>
      <c r="K414" s="125" t="s">
        <v>572</v>
      </c>
      <c r="L414" s="126" t="s">
        <v>693</v>
      </c>
      <c r="M414" s="127">
        <v>2</v>
      </c>
      <c r="N414" s="126" t="s">
        <v>692</v>
      </c>
      <c r="O414" s="131" t="s">
        <v>692</v>
      </c>
      <c r="P414" s="127"/>
    </row>
    <row r="415" spans="1:16" x14ac:dyDescent="0.25">
      <c r="A415" t="s">
        <v>431</v>
      </c>
      <c r="B415" s="117">
        <v>1115</v>
      </c>
      <c r="C415" s="117">
        <v>1050</v>
      </c>
      <c r="D415" s="141">
        <v>931</v>
      </c>
      <c r="E415" s="117">
        <v>907</v>
      </c>
      <c r="F415">
        <v>17.399999999999999</v>
      </c>
      <c r="G415" s="162">
        <v>4.54</v>
      </c>
      <c r="H415" s="164">
        <v>34659</v>
      </c>
      <c r="I415" s="161">
        <v>41390629</v>
      </c>
      <c r="J415"/>
      <c r="K415" s="125" t="s">
        <v>573</v>
      </c>
      <c r="L415" s="126" t="s">
        <v>692</v>
      </c>
      <c r="M415" s="127">
        <v>4</v>
      </c>
      <c r="N415" s="126" t="s">
        <v>692</v>
      </c>
      <c r="O415" s="131" t="s">
        <v>692</v>
      </c>
      <c r="P415" s="127"/>
    </row>
    <row r="416" spans="1:16" x14ac:dyDescent="0.25">
      <c r="A416" t="s">
        <v>432</v>
      </c>
      <c r="B416" s="117">
        <v>163</v>
      </c>
      <c r="C416" s="117">
        <v>138</v>
      </c>
      <c r="D416" s="141">
        <v>103</v>
      </c>
      <c r="E416" s="117">
        <v>97</v>
      </c>
      <c r="F416">
        <v>37.700000000000003</v>
      </c>
      <c r="G416" s="162">
        <v>3.87</v>
      </c>
      <c r="H416" s="164">
        <v>63125</v>
      </c>
      <c r="I416" s="161"/>
      <c r="J416"/>
      <c r="K416" t="s">
        <v>530</v>
      </c>
      <c r="L416" s="126" t="s">
        <v>693</v>
      </c>
      <c r="M416" s="127">
        <v>2</v>
      </c>
      <c r="N416" s="126" t="s">
        <v>692</v>
      </c>
      <c r="O416" s="131" t="s">
        <v>692</v>
      </c>
      <c r="P416" s="127"/>
    </row>
    <row r="417" spans="1:16" x14ac:dyDescent="0.25">
      <c r="A417" t="s">
        <v>808</v>
      </c>
      <c r="B417" s="117">
        <v>846</v>
      </c>
      <c r="C417" s="117">
        <v>699</v>
      </c>
      <c r="D417" s="141">
        <v>1007</v>
      </c>
      <c r="E417" s="117">
        <v>1101</v>
      </c>
      <c r="F417">
        <v>6.4</v>
      </c>
      <c r="G417" s="162">
        <v>3.65</v>
      </c>
      <c r="H417" s="164">
        <v>106818</v>
      </c>
      <c r="I417" s="161">
        <v>1644538879</v>
      </c>
      <c r="J417"/>
      <c r="K417" s="125" t="s">
        <v>576</v>
      </c>
      <c r="L417" s="126" t="s">
        <v>692</v>
      </c>
      <c r="M417" s="127">
        <v>6</v>
      </c>
      <c r="N417" s="126" t="s">
        <v>692</v>
      </c>
      <c r="O417" s="131" t="s">
        <v>692</v>
      </c>
      <c r="P417" s="127"/>
    </row>
    <row r="418" spans="1:16" x14ac:dyDescent="0.25">
      <c r="A418" t="s">
        <v>433</v>
      </c>
      <c r="B418" s="117">
        <v>4194</v>
      </c>
      <c r="C418" s="117">
        <v>4348</v>
      </c>
      <c r="D418" s="141">
        <v>4363</v>
      </c>
      <c r="E418" s="117">
        <v>4392</v>
      </c>
      <c r="F418">
        <v>21.1</v>
      </c>
      <c r="G418" s="162">
        <v>3.67</v>
      </c>
      <c r="H418" s="164">
        <v>39288</v>
      </c>
      <c r="I418" s="161">
        <v>514129572</v>
      </c>
      <c r="J418"/>
      <c r="K418" s="125" t="s">
        <v>577</v>
      </c>
      <c r="L418" s="126" t="s">
        <v>692</v>
      </c>
      <c r="M418" s="127">
        <v>1</v>
      </c>
      <c r="N418" s="126" t="s">
        <v>692</v>
      </c>
      <c r="O418" s="131" t="s">
        <v>692</v>
      </c>
      <c r="P418" s="127"/>
    </row>
    <row r="419" spans="1:16" x14ac:dyDescent="0.25">
      <c r="A419" t="s">
        <v>434</v>
      </c>
      <c r="B419" s="117">
        <v>19946</v>
      </c>
      <c r="C419" s="117">
        <v>17212</v>
      </c>
      <c r="D419" s="141">
        <v>18031</v>
      </c>
      <c r="E419" s="117">
        <v>16503</v>
      </c>
      <c r="F419">
        <v>20</v>
      </c>
      <c r="G419" s="162">
        <v>4.67</v>
      </c>
      <c r="H419" s="164">
        <v>47935</v>
      </c>
      <c r="I419" s="161">
        <v>2751658736</v>
      </c>
      <c r="J419"/>
      <c r="K419" s="125" t="s">
        <v>578</v>
      </c>
      <c r="L419" s="126" t="s">
        <v>693</v>
      </c>
      <c r="M419" s="127">
        <v>5</v>
      </c>
      <c r="N419" s="126" t="s">
        <v>692</v>
      </c>
      <c r="O419" s="131" t="s">
        <v>692</v>
      </c>
      <c r="P419" s="127"/>
    </row>
    <row r="420" spans="1:16" x14ac:dyDescent="0.25">
      <c r="A420" t="s">
        <v>809</v>
      </c>
      <c r="B420" s="117">
        <v>856</v>
      </c>
      <c r="C420" s="117">
        <v>690</v>
      </c>
      <c r="D420" s="141">
        <v>704</v>
      </c>
      <c r="E420" s="117">
        <v>905</v>
      </c>
      <c r="F420">
        <v>17.100000000000001</v>
      </c>
      <c r="G420" s="162">
        <v>3.99</v>
      </c>
      <c r="H420" s="164">
        <v>53143</v>
      </c>
      <c r="I420" s="161">
        <v>144665057</v>
      </c>
      <c r="J420"/>
      <c r="K420" s="125" t="s">
        <v>579</v>
      </c>
      <c r="L420" s="126" t="s">
        <v>692</v>
      </c>
      <c r="M420" s="127">
        <v>2</v>
      </c>
      <c r="N420" s="126" t="s">
        <v>692</v>
      </c>
      <c r="O420" s="131" t="s">
        <v>692</v>
      </c>
      <c r="P420" s="127"/>
    </row>
    <row r="421" spans="1:16" x14ac:dyDescent="0.25">
      <c r="A421" t="s">
        <v>435</v>
      </c>
      <c r="B421" s="117">
        <v>2243</v>
      </c>
      <c r="C421" s="117">
        <v>3110</v>
      </c>
      <c r="D421" s="141">
        <v>2371</v>
      </c>
      <c r="E421" s="117">
        <v>2415</v>
      </c>
      <c r="F421">
        <v>10.8</v>
      </c>
      <c r="G421" s="162">
        <v>3.08</v>
      </c>
      <c r="H421" s="164">
        <v>57953</v>
      </c>
      <c r="I421" s="161">
        <v>400028167</v>
      </c>
      <c r="J421"/>
      <c r="K421" s="125" t="s">
        <v>580</v>
      </c>
      <c r="L421" s="126" t="s">
        <v>693</v>
      </c>
      <c r="M421" s="127">
        <v>2</v>
      </c>
      <c r="N421" s="126" t="s">
        <v>692</v>
      </c>
      <c r="O421" s="131" t="s">
        <v>692</v>
      </c>
      <c r="P421" s="127"/>
    </row>
    <row r="422" spans="1:16" x14ac:dyDescent="0.25">
      <c r="A422" t="s">
        <v>436</v>
      </c>
      <c r="B422" s="117">
        <v>257</v>
      </c>
      <c r="C422" s="117">
        <v>472</v>
      </c>
      <c r="D422" s="141">
        <v>270</v>
      </c>
      <c r="E422" s="117">
        <v>260</v>
      </c>
      <c r="F422">
        <v>3.6</v>
      </c>
      <c r="G422" s="162">
        <v>4.03</v>
      </c>
      <c r="H422" s="164">
        <v>60739</v>
      </c>
      <c r="I422" s="161">
        <v>19733069</v>
      </c>
      <c r="J422"/>
      <c r="K422" s="125" t="s">
        <v>581</v>
      </c>
      <c r="L422" s="126" t="s">
        <v>693</v>
      </c>
      <c r="M422" s="127">
        <v>1</v>
      </c>
      <c r="N422" s="126" t="s">
        <v>692</v>
      </c>
      <c r="O422" s="131" t="s">
        <v>692</v>
      </c>
      <c r="P422" s="127"/>
    </row>
    <row r="423" spans="1:16" x14ac:dyDescent="0.25">
      <c r="A423" t="s">
        <v>437</v>
      </c>
      <c r="B423" s="117">
        <v>7851</v>
      </c>
      <c r="C423" s="117">
        <v>8888</v>
      </c>
      <c r="D423" s="141">
        <v>8225</v>
      </c>
      <c r="E423" s="117">
        <v>9712</v>
      </c>
      <c r="F423">
        <v>9.6999999999999993</v>
      </c>
      <c r="G423" s="162">
        <v>3.99</v>
      </c>
      <c r="H423" s="164">
        <v>83483</v>
      </c>
      <c r="I423" s="161">
        <v>6744252081</v>
      </c>
      <c r="J423"/>
      <c r="K423" s="125" t="s">
        <v>582</v>
      </c>
      <c r="L423" s="126" t="s">
        <v>692</v>
      </c>
      <c r="M423" s="127">
        <v>1</v>
      </c>
      <c r="N423" s="126" t="s">
        <v>692</v>
      </c>
      <c r="O423" s="131" t="s">
        <v>692</v>
      </c>
      <c r="P423" s="127"/>
    </row>
    <row r="424" spans="1:16" x14ac:dyDescent="0.25">
      <c r="A424" t="s">
        <v>438</v>
      </c>
      <c r="B424" s="117">
        <v>6901</v>
      </c>
      <c r="C424" s="117">
        <v>7660</v>
      </c>
      <c r="D424" s="141">
        <v>7410</v>
      </c>
      <c r="E424" s="117">
        <v>8039</v>
      </c>
      <c r="F424">
        <v>2.7</v>
      </c>
      <c r="G424" s="162">
        <v>3.95</v>
      </c>
      <c r="H424" s="164">
        <v>140583</v>
      </c>
      <c r="I424" s="161">
        <v>1503814096</v>
      </c>
      <c r="J424"/>
      <c r="K424" s="125" t="s">
        <v>583</v>
      </c>
      <c r="L424" s="126" t="s">
        <v>692</v>
      </c>
      <c r="M424" s="127">
        <v>1</v>
      </c>
      <c r="N424" s="126" t="s">
        <v>692</v>
      </c>
      <c r="O424" s="131" t="s">
        <v>692</v>
      </c>
      <c r="P424" s="127"/>
    </row>
    <row r="425" spans="1:16" x14ac:dyDescent="0.25">
      <c r="A425" t="s">
        <v>439</v>
      </c>
      <c r="B425" s="117">
        <v>2004</v>
      </c>
      <c r="C425" s="117">
        <v>2453</v>
      </c>
      <c r="D425" s="141">
        <v>2095</v>
      </c>
      <c r="E425" s="117">
        <v>2370</v>
      </c>
      <c r="F425">
        <v>5.6</v>
      </c>
      <c r="G425" s="162">
        <v>3.08</v>
      </c>
      <c r="H425" s="164">
        <v>76071</v>
      </c>
      <c r="I425" s="161">
        <v>285486309</v>
      </c>
      <c r="J425"/>
      <c r="K425" s="125" t="s">
        <v>585</v>
      </c>
      <c r="L425" s="126" t="s">
        <v>692</v>
      </c>
      <c r="M425" s="127">
        <v>5</v>
      </c>
      <c r="N425" s="126" t="s">
        <v>692</v>
      </c>
      <c r="O425" s="131" t="s">
        <v>692</v>
      </c>
      <c r="P425" s="127"/>
    </row>
    <row r="426" spans="1:16" x14ac:dyDescent="0.25">
      <c r="A426" t="s">
        <v>440</v>
      </c>
      <c r="B426" s="117">
        <v>734</v>
      </c>
      <c r="C426" s="117">
        <v>796</v>
      </c>
      <c r="D426" s="141">
        <v>835</v>
      </c>
      <c r="E426" s="117">
        <v>1026</v>
      </c>
      <c r="F426">
        <v>5.9</v>
      </c>
      <c r="G426" s="162">
        <v>3.99</v>
      </c>
      <c r="H426" s="164">
        <v>99231</v>
      </c>
      <c r="I426" s="161">
        <v>3530690486</v>
      </c>
      <c r="J426"/>
      <c r="K426" s="125" t="s">
        <v>586</v>
      </c>
      <c r="L426" s="126" t="s">
        <v>692</v>
      </c>
      <c r="M426" s="127">
        <v>8</v>
      </c>
      <c r="N426" s="126" t="s">
        <v>692</v>
      </c>
      <c r="O426" s="131" t="s">
        <v>692</v>
      </c>
      <c r="P426" s="127"/>
    </row>
    <row r="427" spans="1:16" x14ac:dyDescent="0.25">
      <c r="A427" t="s">
        <v>442</v>
      </c>
      <c r="B427" s="117">
        <v>1004</v>
      </c>
      <c r="C427" s="117">
        <v>643</v>
      </c>
      <c r="D427" s="141">
        <v>819</v>
      </c>
      <c r="E427" s="117">
        <v>809</v>
      </c>
      <c r="F427">
        <v>14</v>
      </c>
      <c r="G427" s="162">
        <v>3.37</v>
      </c>
      <c r="H427" s="164">
        <v>50357</v>
      </c>
      <c r="I427" s="161">
        <v>171554550</v>
      </c>
      <c r="J427"/>
      <c r="K427" s="125" t="s">
        <v>587</v>
      </c>
      <c r="L427" s="126" t="s">
        <v>692</v>
      </c>
      <c r="M427" s="127">
        <v>2</v>
      </c>
      <c r="N427" s="126" t="s">
        <v>692</v>
      </c>
      <c r="O427" s="131" t="s">
        <v>692</v>
      </c>
      <c r="P427" s="127"/>
    </row>
    <row r="428" spans="1:16" x14ac:dyDescent="0.25">
      <c r="A428" t="s">
        <v>443</v>
      </c>
      <c r="B428" s="117">
        <v>195069</v>
      </c>
      <c r="C428" s="117">
        <v>208537</v>
      </c>
      <c r="D428" s="141">
        <v>203718</v>
      </c>
      <c r="E428" s="117">
        <v>213447</v>
      </c>
      <c r="F428">
        <v>11.7</v>
      </c>
      <c r="G428" s="162">
        <v>3.65</v>
      </c>
      <c r="H428" s="164">
        <v>64568</v>
      </c>
      <c r="I428" s="161">
        <v>21076314518</v>
      </c>
      <c r="J428"/>
      <c r="K428" s="125" t="s">
        <v>588</v>
      </c>
      <c r="L428" s="126" t="s">
        <v>693</v>
      </c>
      <c r="M428" s="127">
        <v>2</v>
      </c>
      <c r="N428" s="126" t="s">
        <v>692</v>
      </c>
      <c r="O428" s="131" t="s">
        <v>692</v>
      </c>
      <c r="P428" s="127"/>
    </row>
    <row r="429" spans="1:16" x14ac:dyDescent="0.25">
      <c r="A429" t="s">
        <v>445</v>
      </c>
      <c r="B429" s="117">
        <v>144836</v>
      </c>
      <c r="C429" s="117">
        <v>147292</v>
      </c>
      <c r="D429" s="141">
        <v>147802</v>
      </c>
      <c r="E429" s="117">
        <v>150913</v>
      </c>
      <c r="F429">
        <v>12.4</v>
      </c>
      <c r="G429" s="162">
        <v>3.13</v>
      </c>
      <c r="H429" s="164">
        <v>88553</v>
      </c>
      <c r="I429" s="161">
        <v>22865742002</v>
      </c>
      <c r="J429"/>
      <c r="K429" s="125" t="s">
        <v>590</v>
      </c>
      <c r="L429" s="126" t="s">
        <v>693</v>
      </c>
      <c r="M429" s="127">
        <v>2</v>
      </c>
      <c r="N429" s="126" t="s">
        <v>692</v>
      </c>
      <c r="O429" s="131" t="s">
        <v>692</v>
      </c>
      <c r="P429" s="127"/>
    </row>
    <row r="430" spans="1:16" x14ac:dyDescent="0.25">
      <c r="A430" t="s">
        <v>447</v>
      </c>
      <c r="B430" s="117">
        <v>994</v>
      </c>
      <c r="C430" s="117">
        <v>930</v>
      </c>
      <c r="D430" s="141">
        <v>879</v>
      </c>
      <c r="E430" s="117">
        <v>901</v>
      </c>
      <c r="F430">
        <v>6.3</v>
      </c>
      <c r="G430" s="162">
        <v>3.68</v>
      </c>
      <c r="H430" s="164">
        <v>57875</v>
      </c>
      <c r="I430" s="161">
        <v>267102679</v>
      </c>
      <c r="J430"/>
      <c r="K430" s="125" t="s">
        <v>594</v>
      </c>
      <c r="L430" s="126" t="s">
        <v>692</v>
      </c>
      <c r="M430" s="127">
        <v>1</v>
      </c>
      <c r="N430" s="126" t="s">
        <v>692</v>
      </c>
      <c r="O430" s="131" t="s">
        <v>692</v>
      </c>
      <c r="P430" s="127"/>
    </row>
    <row r="431" spans="1:16" x14ac:dyDescent="0.25">
      <c r="A431" t="s">
        <v>448</v>
      </c>
      <c r="B431" s="117">
        <v>61</v>
      </c>
      <c r="C431" s="117">
        <v>56</v>
      </c>
      <c r="D431" s="141">
        <v>60</v>
      </c>
      <c r="E431" s="117">
        <v>58</v>
      </c>
      <c r="F431">
        <v>28.6</v>
      </c>
      <c r="G431" s="162">
        <v>4.96</v>
      </c>
      <c r="H431" s="164">
        <v>23000</v>
      </c>
      <c r="I431" s="161"/>
      <c r="J431"/>
      <c r="K431" s="125" t="s">
        <v>595</v>
      </c>
      <c r="L431" s="126" t="s">
        <v>693</v>
      </c>
      <c r="M431" s="127">
        <v>13</v>
      </c>
      <c r="N431" s="126" t="s">
        <v>692</v>
      </c>
      <c r="O431" s="131" t="s">
        <v>692</v>
      </c>
      <c r="P431" s="127"/>
    </row>
    <row r="432" spans="1:16" x14ac:dyDescent="0.25">
      <c r="A432" t="s">
        <v>449</v>
      </c>
      <c r="B432" s="117">
        <v>466</v>
      </c>
      <c r="C432" s="117">
        <v>650</v>
      </c>
      <c r="D432" s="141">
        <v>536</v>
      </c>
      <c r="E432" s="117">
        <v>587</v>
      </c>
      <c r="F432">
        <v>13</v>
      </c>
      <c r="G432" s="162">
        <v>3.49</v>
      </c>
      <c r="H432" s="164">
        <v>59076</v>
      </c>
      <c r="I432" s="161">
        <v>46536343</v>
      </c>
      <c r="J432"/>
      <c r="K432" s="125" t="s">
        <v>597</v>
      </c>
      <c r="L432" s="126" t="s">
        <v>693</v>
      </c>
      <c r="M432" s="127">
        <v>1</v>
      </c>
      <c r="N432" s="126" t="s">
        <v>692</v>
      </c>
      <c r="O432" s="131" t="s">
        <v>692</v>
      </c>
      <c r="P432" s="127"/>
    </row>
    <row r="433" spans="1:16" x14ac:dyDescent="0.25">
      <c r="A433" t="s">
        <v>450</v>
      </c>
      <c r="B433" s="117">
        <v>8721</v>
      </c>
      <c r="C433" s="117">
        <v>8897</v>
      </c>
      <c r="D433" s="141">
        <v>8626</v>
      </c>
      <c r="E433" s="117">
        <v>8986</v>
      </c>
      <c r="F433">
        <v>25.3</v>
      </c>
      <c r="G433" s="162">
        <v>3.41</v>
      </c>
      <c r="H433" s="164">
        <v>48135</v>
      </c>
      <c r="I433" s="161">
        <v>584084866</v>
      </c>
      <c r="J433"/>
      <c r="K433" s="125" t="s">
        <v>599</v>
      </c>
      <c r="L433" s="126" t="s">
        <v>692</v>
      </c>
      <c r="M433" s="127">
        <v>3</v>
      </c>
      <c r="N433" s="126" t="s">
        <v>692</v>
      </c>
      <c r="O433" s="131" t="s">
        <v>692</v>
      </c>
      <c r="P433" s="127"/>
    </row>
    <row r="434" spans="1:16" x14ac:dyDescent="0.25">
      <c r="A434" t="s">
        <v>451</v>
      </c>
      <c r="B434" s="117">
        <v>12701</v>
      </c>
      <c r="C434" s="117">
        <v>12315</v>
      </c>
      <c r="D434" s="141">
        <v>12304</v>
      </c>
      <c r="E434" s="117">
        <v>12521</v>
      </c>
      <c r="F434">
        <v>12.4</v>
      </c>
      <c r="G434" s="162">
        <v>3.68</v>
      </c>
      <c r="H434" s="164">
        <v>61624</v>
      </c>
      <c r="I434" s="161">
        <v>2023500611</v>
      </c>
      <c r="J434"/>
      <c r="K434" s="125" t="s">
        <v>601</v>
      </c>
      <c r="L434" s="126" t="s">
        <v>692</v>
      </c>
      <c r="M434" s="127">
        <v>4</v>
      </c>
      <c r="N434" s="126" t="s">
        <v>692</v>
      </c>
      <c r="O434" s="131" t="s">
        <v>692</v>
      </c>
      <c r="P434" s="127"/>
    </row>
    <row r="435" spans="1:16" x14ac:dyDescent="0.25">
      <c r="A435" t="s">
        <v>452</v>
      </c>
      <c r="B435" s="117">
        <v>201</v>
      </c>
      <c r="C435" s="117">
        <v>445</v>
      </c>
      <c r="D435" s="141">
        <v>166</v>
      </c>
      <c r="E435" s="117">
        <v>162</v>
      </c>
      <c r="F435">
        <v>8.1</v>
      </c>
      <c r="G435" s="162">
        <v>3.97</v>
      </c>
      <c r="H435" s="164">
        <v>67500</v>
      </c>
      <c r="I435" s="161">
        <v>22630956</v>
      </c>
      <c r="J435"/>
      <c r="K435" s="125" t="s">
        <v>603</v>
      </c>
      <c r="L435" s="126" t="s">
        <v>692</v>
      </c>
      <c r="M435" s="127">
        <v>3</v>
      </c>
      <c r="N435" s="126" t="s">
        <v>692</v>
      </c>
      <c r="O435" s="131" t="s">
        <v>692</v>
      </c>
      <c r="P435" s="127"/>
    </row>
    <row r="436" spans="1:16" x14ac:dyDescent="0.25">
      <c r="A436" t="s">
        <v>453</v>
      </c>
      <c r="B436" s="117">
        <v>443</v>
      </c>
      <c r="C436" s="117">
        <v>515</v>
      </c>
      <c r="D436" s="141">
        <v>499</v>
      </c>
      <c r="E436" s="117">
        <v>499</v>
      </c>
      <c r="F436">
        <v>15.9</v>
      </c>
      <c r="G436" s="162">
        <v>4.96</v>
      </c>
      <c r="H436" s="164">
        <v>55000</v>
      </c>
      <c r="I436" s="161">
        <v>46935425</v>
      </c>
      <c r="J436"/>
      <c r="K436" s="125" t="s">
        <v>604</v>
      </c>
      <c r="L436" s="126" t="s">
        <v>693</v>
      </c>
      <c r="M436" s="127">
        <v>1</v>
      </c>
      <c r="N436" s="126" t="s">
        <v>692</v>
      </c>
      <c r="O436" s="131" t="s">
        <v>692</v>
      </c>
      <c r="P436" s="127"/>
    </row>
    <row r="437" spans="1:16" x14ac:dyDescent="0.25">
      <c r="A437" t="s">
        <v>454</v>
      </c>
      <c r="B437" s="117">
        <v>211</v>
      </c>
      <c r="C437" s="117">
        <v>288</v>
      </c>
      <c r="D437" s="141">
        <v>247</v>
      </c>
      <c r="E437" s="117">
        <v>243</v>
      </c>
      <c r="F437">
        <v>34</v>
      </c>
      <c r="G437" s="162">
        <v>4.03</v>
      </c>
      <c r="H437" s="164">
        <v>28971</v>
      </c>
      <c r="I437" s="161">
        <v>14637570</v>
      </c>
      <c r="J437"/>
      <c r="K437" s="125" t="s">
        <v>605</v>
      </c>
      <c r="L437" s="126" t="s">
        <v>693</v>
      </c>
      <c r="M437" s="127">
        <v>1</v>
      </c>
      <c r="N437" s="126" t="s">
        <v>692</v>
      </c>
      <c r="O437" s="131" t="s">
        <v>692</v>
      </c>
      <c r="P437" s="127"/>
    </row>
    <row r="438" spans="1:16" x14ac:dyDescent="0.25">
      <c r="A438" t="s">
        <v>455</v>
      </c>
      <c r="B438" s="117">
        <v>39514</v>
      </c>
      <c r="C438" s="117">
        <v>40830</v>
      </c>
      <c r="D438" s="141">
        <v>40446</v>
      </c>
      <c r="E438" s="117">
        <v>41417</v>
      </c>
      <c r="F438">
        <v>10</v>
      </c>
      <c r="G438" s="162">
        <v>3.96</v>
      </c>
      <c r="H438" s="164">
        <v>63912</v>
      </c>
      <c r="I438" s="161">
        <v>4497194963</v>
      </c>
      <c r="J438"/>
      <c r="K438" s="125" t="s">
        <v>606</v>
      </c>
      <c r="L438" s="126" t="s">
        <v>692</v>
      </c>
      <c r="M438" s="127">
        <v>5</v>
      </c>
      <c r="N438" s="126" t="s">
        <v>692</v>
      </c>
      <c r="O438" s="131" t="s">
        <v>692</v>
      </c>
      <c r="P438" s="127"/>
    </row>
    <row r="439" spans="1:16" x14ac:dyDescent="0.25">
      <c r="A439" t="s">
        <v>456</v>
      </c>
      <c r="B439" s="117">
        <v>934</v>
      </c>
      <c r="C439" s="117">
        <v>980</v>
      </c>
      <c r="D439" s="141">
        <v>571</v>
      </c>
      <c r="E439" s="117">
        <v>572</v>
      </c>
      <c r="F439">
        <v>25.5</v>
      </c>
      <c r="G439" s="162">
        <v>3.84</v>
      </c>
      <c r="H439" s="164">
        <v>55625</v>
      </c>
      <c r="I439" s="161">
        <v>26750611</v>
      </c>
      <c r="J439"/>
      <c r="K439" s="125" t="s">
        <v>607</v>
      </c>
      <c r="L439" s="126" t="s">
        <v>692</v>
      </c>
      <c r="M439" s="127">
        <v>4</v>
      </c>
      <c r="N439" s="126" t="s">
        <v>692</v>
      </c>
      <c r="O439" s="131" t="s">
        <v>692</v>
      </c>
      <c r="P439" s="127"/>
    </row>
    <row r="440" spans="1:16" x14ac:dyDescent="0.25">
      <c r="A440" t="s">
        <v>457</v>
      </c>
      <c r="B440" s="117">
        <v>470</v>
      </c>
      <c r="C440" s="117">
        <v>437</v>
      </c>
      <c r="D440" s="141">
        <v>370</v>
      </c>
      <c r="E440" s="117">
        <v>387</v>
      </c>
      <c r="F440">
        <v>5</v>
      </c>
      <c r="G440" s="162">
        <v>4.45</v>
      </c>
      <c r="H440" s="164">
        <v>69375</v>
      </c>
      <c r="I440" s="161">
        <v>24099914</v>
      </c>
      <c r="J440"/>
      <c r="K440" s="125" t="s">
        <v>609</v>
      </c>
      <c r="L440" s="126" t="s">
        <v>692</v>
      </c>
      <c r="M440" s="127">
        <v>6</v>
      </c>
      <c r="N440" s="126" t="s">
        <v>692</v>
      </c>
      <c r="O440" s="131" t="s">
        <v>692</v>
      </c>
      <c r="P440" s="127"/>
    </row>
    <row r="441" spans="1:16" x14ac:dyDescent="0.25">
      <c r="A441" t="s">
        <v>458</v>
      </c>
      <c r="B441" s="117">
        <v>754</v>
      </c>
      <c r="C441" s="117">
        <v>779</v>
      </c>
      <c r="D441" s="141">
        <v>769</v>
      </c>
      <c r="E441" s="117">
        <v>808</v>
      </c>
      <c r="F441">
        <v>14.5</v>
      </c>
      <c r="G441" s="162">
        <v>3.34</v>
      </c>
      <c r="H441" s="164">
        <v>44375</v>
      </c>
      <c r="I441" s="161">
        <v>139472711</v>
      </c>
      <c r="J441"/>
      <c r="K441" s="125" t="s">
        <v>612</v>
      </c>
      <c r="L441" s="126" t="s">
        <v>693</v>
      </c>
      <c r="M441" s="127">
        <v>7</v>
      </c>
      <c r="N441" s="126" t="s">
        <v>692</v>
      </c>
      <c r="O441" s="131" t="s">
        <v>692</v>
      </c>
      <c r="P441" s="127"/>
    </row>
    <row r="442" spans="1:16" x14ac:dyDescent="0.25">
      <c r="A442" t="s">
        <v>459</v>
      </c>
      <c r="B442" s="117">
        <v>3002</v>
      </c>
      <c r="C442" s="117">
        <v>2823</v>
      </c>
      <c r="D442" s="141">
        <v>2861</v>
      </c>
      <c r="E442" s="117">
        <v>3072</v>
      </c>
      <c r="F442">
        <v>43.7</v>
      </c>
      <c r="G442" s="162">
        <v>4.96</v>
      </c>
      <c r="H442" s="164">
        <v>22940</v>
      </c>
      <c r="I442" s="161">
        <v>241884659</v>
      </c>
      <c r="J442"/>
      <c r="K442" s="125" t="s">
        <v>613</v>
      </c>
      <c r="L442" s="126" t="s">
        <v>692</v>
      </c>
      <c r="M442" s="127">
        <v>8</v>
      </c>
      <c r="N442" s="126" t="s">
        <v>692</v>
      </c>
      <c r="O442" s="131" t="s">
        <v>692</v>
      </c>
      <c r="P442" s="127"/>
    </row>
    <row r="443" spans="1:16" x14ac:dyDescent="0.25">
      <c r="A443" t="s">
        <v>460</v>
      </c>
      <c r="B443" s="117">
        <v>60399</v>
      </c>
      <c r="C443" s="117">
        <v>63475</v>
      </c>
      <c r="D443" s="141">
        <v>59641</v>
      </c>
      <c r="E443" s="117">
        <v>67464</v>
      </c>
      <c r="F443">
        <v>10.7</v>
      </c>
      <c r="G443" s="162">
        <v>3.31</v>
      </c>
      <c r="H443" s="164">
        <v>76838</v>
      </c>
      <c r="I443" s="161">
        <v>9577325779</v>
      </c>
      <c r="J443"/>
      <c r="K443" s="125" t="s">
        <v>614</v>
      </c>
      <c r="L443" s="126" t="s">
        <v>692</v>
      </c>
      <c r="M443" s="127">
        <v>1</v>
      </c>
      <c r="N443" s="126" t="s">
        <v>692</v>
      </c>
      <c r="O443" s="131" t="s">
        <v>692</v>
      </c>
      <c r="P443" s="127"/>
    </row>
    <row r="444" spans="1:16" x14ac:dyDescent="0.25">
      <c r="A444" t="s">
        <v>461</v>
      </c>
      <c r="B444" s="117">
        <v>13430</v>
      </c>
      <c r="C444" s="117">
        <v>13146</v>
      </c>
      <c r="D444" s="141">
        <v>13079</v>
      </c>
      <c r="E444" s="117">
        <v>13278</v>
      </c>
      <c r="F444">
        <v>11.4</v>
      </c>
      <c r="G444" s="162">
        <v>3.6</v>
      </c>
      <c r="H444" s="164">
        <v>61224</v>
      </c>
      <c r="I444" s="161">
        <v>1925540122</v>
      </c>
      <c r="J444"/>
      <c r="K444" s="125" t="s">
        <v>615</v>
      </c>
      <c r="L444" s="126" t="s">
        <v>692</v>
      </c>
      <c r="M444" s="127">
        <v>5</v>
      </c>
      <c r="N444" s="126" t="s">
        <v>692</v>
      </c>
      <c r="O444" s="131" t="s">
        <v>692</v>
      </c>
      <c r="P444" s="127"/>
    </row>
    <row r="445" spans="1:16" x14ac:dyDescent="0.25">
      <c r="A445" t="s">
        <v>462</v>
      </c>
      <c r="B445" s="117">
        <v>39345</v>
      </c>
      <c r="C445" s="117">
        <v>39275</v>
      </c>
      <c r="D445" s="141">
        <v>39066</v>
      </c>
      <c r="E445" s="117">
        <v>39461</v>
      </c>
      <c r="F445">
        <v>18.399999999999999</v>
      </c>
      <c r="G445" s="162">
        <v>3.29</v>
      </c>
      <c r="H445" s="164">
        <v>64927</v>
      </c>
      <c r="I445" s="161">
        <v>5435021393</v>
      </c>
      <c r="J445"/>
      <c r="K445" s="125" t="s">
        <v>616</v>
      </c>
      <c r="L445" s="126" t="s">
        <v>693</v>
      </c>
      <c r="M445" s="127">
        <v>1</v>
      </c>
      <c r="N445" s="126" t="s">
        <v>692</v>
      </c>
      <c r="O445" s="131" t="s">
        <v>692</v>
      </c>
      <c r="P445" s="127"/>
    </row>
    <row r="446" spans="1:16" x14ac:dyDescent="0.25">
      <c r="A446" t="s">
        <v>464</v>
      </c>
      <c r="B446" s="117">
        <v>606</v>
      </c>
      <c r="C446" s="117">
        <v>747</v>
      </c>
      <c r="D446" s="141">
        <v>713</v>
      </c>
      <c r="E446" s="117">
        <v>714</v>
      </c>
      <c r="F446">
        <v>19.399999999999999</v>
      </c>
      <c r="G446" s="162">
        <v>3.68</v>
      </c>
      <c r="H446" s="164">
        <v>61071</v>
      </c>
      <c r="I446" s="161">
        <v>49305213</v>
      </c>
      <c r="J446"/>
      <c r="K446" s="125" t="s">
        <v>617</v>
      </c>
      <c r="L446" s="126" t="s">
        <v>692</v>
      </c>
      <c r="M446" s="127">
        <v>2</v>
      </c>
      <c r="N446" s="126" t="s">
        <v>692</v>
      </c>
      <c r="O446" s="131" t="s">
        <v>692</v>
      </c>
      <c r="P446" s="127"/>
    </row>
    <row r="447" spans="1:16" x14ac:dyDescent="0.25">
      <c r="A447" t="s">
        <v>465</v>
      </c>
      <c r="B447" s="117">
        <v>1649</v>
      </c>
      <c r="C447" s="117">
        <v>1584</v>
      </c>
      <c r="D447" s="141">
        <v>1441</v>
      </c>
      <c r="E447" s="117">
        <v>1438</v>
      </c>
      <c r="F447">
        <v>15.4</v>
      </c>
      <c r="G447" s="162">
        <v>3.23</v>
      </c>
      <c r="H447" s="164">
        <v>48239</v>
      </c>
      <c r="I447" s="161">
        <v>178441541</v>
      </c>
      <c r="J447"/>
      <c r="K447" s="125" t="s">
        <v>618</v>
      </c>
      <c r="L447" s="126" t="s">
        <v>692</v>
      </c>
      <c r="M447" s="127">
        <v>2</v>
      </c>
      <c r="N447" s="126" t="s">
        <v>692</v>
      </c>
      <c r="O447" s="131" t="s">
        <v>692</v>
      </c>
      <c r="P447" s="127"/>
    </row>
    <row r="448" spans="1:16" x14ac:dyDescent="0.25">
      <c r="A448" t="s">
        <v>466</v>
      </c>
      <c r="B448" s="117">
        <v>1343</v>
      </c>
      <c r="C448" s="117">
        <v>1387</v>
      </c>
      <c r="D448" s="141">
        <v>1387</v>
      </c>
      <c r="E448" s="117">
        <v>1445</v>
      </c>
      <c r="F448">
        <v>2.6</v>
      </c>
      <c r="G448" s="162">
        <v>3.34</v>
      </c>
      <c r="H448" s="164">
        <v>108393</v>
      </c>
      <c r="I448" s="161">
        <v>1047045882</v>
      </c>
      <c r="J448"/>
      <c r="K448" s="125" t="s">
        <v>619</v>
      </c>
      <c r="L448" s="126" t="s">
        <v>692</v>
      </c>
      <c r="M448" s="127">
        <v>8</v>
      </c>
      <c r="N448" s="126" t="s">
        <v>692</v>
      </c>
      <c r="O448" s="131" t="s">
        <v>692</v>
      </c>
      <c r="P448" s="127"/>
    </row>
    <row r="449" spans="1:16" x14ac:dyDescent="0.25">
      <c r="A449" t="s">
        <v>467</v>
      </c>
      <c r="B449" s="117">
        <v>2044</v>
      </c>
      <c r="C449" s="117">
        <v>2072</v>
      </c>
      <c r="D449" s="141">
        <v>2010</v>
      </c>
      <c r="E449" s="117">
        <v>2274</v>
      </c>
      <c r="F449">
        <v>7.4</v>
      </c>
      <c r="G449" s="162">
        <v>3.05</v>
      </c>
      <c r="H449" s="164">
        <v>72663</v>
      </c>
      <c r="I449" s="161">
        <v>144441633</v>
      </c>
      <c r="J449"/>
      <c r="K449" s="125" t="s">
        <v>620</v>
      </c>
      <c r="L449" s="126" t="s">
        <v>692</v>
      </c>
      <c r="M449" s="127">
        <v>7</v>
      </c>
      <c r="N449" s="126" t="s">
        <v>692</v>
      </c>
      <c r="O449" s="131" t="s">
        <v>692</v>
      </c>
      <c r="P449" s="127"/>
    </row>
    <row r="450" spans="1:16" x14ac:dyDescent="0.25">
      <c r="A450" t="s">
        <v>468</v>
      </c>
      <c r="B450" s="117">
        <v>1664</v>
      </c>
      <c r="C450" s="117">
        <v>1723</v>
      </c>
      <c r="D450" s="141">
        <v>1445</v>
      </c>
      <c r="E450" s="117">
        <v>1555</v>
      </c>
      <c r="F450">
        <v>4.0999999999999996</v>
      </c>
      <c r="G450" s="162">
        <v>3.45</v>
      </c>
      <c r="H450" s="164">
        <v>75188</v>
      </c>
      <c r="I450" s="161">
        <v>199414681</v>
      </c>
      <c r="J450"/>
      <c r="K450" s="125" t="s">
        <v>622</v>
      </c>
      <c r="L450" s="126" t="s">
        <v>692</v>
      </c>
      <c r="M450" s="127">
        <v>4</v>
      </c>
      <c r="N450" s="126" t="s">
        <v>692</v>
      </c>
      <c r="O450" s="131" t="s">
        <v>692</v>
      </c>
      <c r="P450" s="127"/>
    </row>
    <row r="451" spans="1:16" x14ac:dyDescent="0.25">
      <c r="A451" t="s">
        <v>469</v>
      </c>
      <c r="B451" s="117">
        <v>16050</v>
      </c>
      <c r="C451" s="117">
        <v>17992</v>
      </c>
      <c r="D451" s="141">
        <v>17407</v>
      </c>
      <c r="E451" s="117">
        <v>18885</v>
      </c>
      <c r="F451">
        <v>4.3</v>
      </c>
      <c r="G451" s="162">
        <v>3.45</v>
      </c>
      <c r="H451" s="164">
        <v>104955</v>
      </c>
      <c r="I451" s="161">
        <v>5906366613</v>
      </c>
      <c r="J451"/>
      <c r="K451" s="125" t="s">
        <v>623</v>
      </c>
      <c r="L451" s="126" t="s">
        <v>693</v>
      </c>
      <c r="M451" s="127">
        <v>8</v>
      </c>
      <c r="N451" s="126" t="s">
        <v>692</v>
      </c>
      <c r="O451" s="131" t="s">
        <v>692</v>
      </c>
      <c r="P451" s="127"/>
    </row>
    <row r="452" spans="1:16" x14ac:dyDescent="0.25">
      <c r="A452" t="s">
        <v>470</v>
      </c>
      <c r="B452" s="117">
        <v>1259</v>
      </c>
      <c r="C452" s="117">
        <v>1323</v>
      </c>
      <c r="D452" s="141">
        <v>1208</v>
      </c>
      <c r="E452" s="117">
        <v>1194</v>
      </c>
      <c r="F452">
        <v>18.399999999999999</v>
      </c>
      <c r="G452" s="162">
        <v>5.47</v>
      </c>
      <c r="H452" s="164">
        <v>54196</v>
      </c>
      <c r="I452" s="161">
        <v>59612809</v>
      </c>
      <c r="J452"/>
      <c r="K452" s="125" t="s">
        <v>624</v>
      </c>
      <c r="L452" s="126" t="s">
        <v>693</v>
      </c>
      <c r="M452" s="127">
        <v>2</v>
      </c>
      <c r="N452" s="126" t="s">
        <v>692</v>
      </c>
      <c r="O452" s="131" t="s">
        <v>692</v>
      </c>
      <c r="P452" s="127"/>
    </row>
    <row r="453" spans="1:16" x14ac:dyDescent="0.25">
      <c r="A453" t="s">
        <v>471</v>
      </c>
      <c r="B453" s="117">
        <v>8749</v>
      </c>
      <c r="C453" s="117">
        <v>10780</v>
      </c>
      <c r="D453" s="141">
        <v>10406</v>
      </c>
      <c r="E453" s="117">
        <v>10995</v>
      </c>
      <c r="F453">
        <v>14</v>
      </c>
      <c r="G453" s="162">
        <v>3.51</v>
      </c>
      <c r="H453" s="164">
        <v>64257</v>
      </c>
      <c r="I453" s="161">
        <v>3695671275</v>
      </c>
      <c r="J453"/>
      <c r="K453" s="125" t="s">
        <v>629</v>
      </c>
      <c r="L453" s="126" t="s">
        <v>692</v>
      </c>
      <c r="M453" s="127">
        <v>4</v>
      </c>
      <c r="N453" s="126" t="s">
        <v>692</v>
      </c>
      <c r="O453" s="131" t="s">
        <v>692</v>
      </c>
      <c r="P453" s="127"/>
    </row>
    <row r="454" spans="1:16" x14ac:dyDescent="0.25">
      <c r="A454" t="s">
        <v>472</v>
      </c>
      <c r="B454" s="117">
        <v>557</v>
      </c>
      <c r="C454" s="117">
        <v>470</v>
      </c>
      <c r="D454" s="141">
        <v>454</v>
      </c>
      <c r="E454" s="117">
        <v>448</v>
      </c>
      <c r="F454">
        <v>32.1</v>
      </c>
      <c r="G454" s="162">
        <v>3.86</v>
      </c>
      <c r="H454" s="164">
        <v>42670</v>
      </c>
      <c r="I454" s="161">
        <v>39167040</v>
      </c>
      <c r="J454"/>
      <c r="K454" s="125" t="s">
        <v>630</v>
      </c>
      <c r="L454" s="126" t="s">
        <v>692</v>
      </c>
      <c r="M454" s="127">
        <v>3</v>
      </c>
      <c r="N454" s="126" t="s">
        <v>692</v>
      </c>
      <c r="O454" s="131" t="s">
        <v>692</v>
      </c>
      <c r="P454" s="127"/>
    </row>
    <row r="455" spans="1:16" x14ac:dyDescent="0.25">
      <c r="A455" t="s">
        <v>473</v>
      </c>
      <c r="B455" s="117">
        <v>178433</v>
      </c>
      <c r="C455" s="117">
        <v>172279</v>
      </c>
      <c r="D455" s="141">
        <v>170186</v>
      </c>
      <c r="E455" s="117">
        <v>174842</v>
      </c>
      <c r="F455">
        <v>19.399999999999999</v>
      </c>
      <c r="G455" s="162">
        <v>4.07</v>
      </c>
      <c r="H455" s="164">
        <v>58851</v>
      </c>
      <c r="I455" s="161">
        <v>16647033099</v>
      </c>
      <c r="J455"/>
      <c r="K455" s="125" t="s">
        <v>631</v>
      </c>
      <c r="L455" s="126" t="s">
        <v>692</v>
      </c>
      <c r="M455" s="127">
        <v>3</v>
      </c>
      <c r="N455" s="126" t="s">
        <v>692</v>
      </c>
      <c r="O455" s="131" t="s">
        <v>692</v>
      </c>
      <c r="P455" s="127"/>
    </row>
    <row r="456" spans="1:16" x14ac:dyDescent="0.25">
      <c r="A456" t="s">
        <v>474</v>
      </c>
      <c r="B456" s="117">
        <v>4195</v>
      </c>
      <c r="C456" s="117">
        <v>4640</v>
      </c>
      <c r="D456" s="141">
        <v>4506</v>
      </c>
      <c r="E456" s="117">
        <v>5364</v>
      </c>
      <c r="F456">
        <v>10.4</v>
      </c>
      <c r="G456" s="162">
        <v>3.06</v>
      </c>
      <c r="H456" s="164">
        <v>64792</v>
      </c>
      <c r="I456" s="161">
        <v>1023916417</v>
      </c>
      <c r="J456"/>
      <c r="K456" s="125" t="s">
        <v>635</v>
      </c>
      <c r="L456" s="126" t="s">
        <v>692</v>
      </c>
      <c r="M456" s="127">
        <v>3</v>
      </c>
      <c r="N456" s="126" t="s">
        <v>692</v>
      </c>
      <c r="O456" s="131" t="s">
        <v>692</v>
      </c>
      <c r="P456" s="127"/>
    </row>
    <row r="457" spans="1:16" x14ac:dyDescent="0.25">
      <c r="A457" t="s">
        <v>475</v>
      </c>
      <c r="B457" s="117">
        <v>4837</v>
      </c>
      <c r="C457" s="117">
        <v>4989</v>
      </c>
      <c r="D457" s="141">
        <v>4970</v>
      </c>
      <c r="E457" s="117">
        <v>5049</v>
      </c>
      <c r="F457">
        <v>9.5</v>
      </c>
      <c r="G457" s="162">
        <v>3.95</v>
      </c>
      <c r="H457" s="164">
        <v>88482</v>
      </c>
      <c r="I457" s="161">
        <v>552429941</v>
      </c>
      <c r="J457"/>
      <c r="K457" s="125" t="s">
        <v>637</v>
      </c>
      <c r="L457" s="126" t="s">
        <v>692</v>
      </c>
      <c r="M457" s="127">
        <v>1</v>
      </c>
      <c r="N457" s="126" t="s">
        <v>692</v>
      </c>
      <c r="O457" s="131" t="s">
        <v>692</v>
      </c>
      <c r="P457" s="127"/>
    </row>
    <row r="458" spans="1:16" x14ac:dyDescent="0.25">
      <c r="A458" t="s">
        <v>476</v>
      </c>
      <c r="B458" s="117">
        <v>3478</v>
      </c>
      <c r="C458" s="117">
        <v>3264</v>
      </c>
      <c r="D458" s="141">
        <v>3358</v>
      </c>
      <c r="E458" s="117">
        <v>3163</v>
      </c>
      <c r="F458">
        <v>34.5</v>
      </c>
      <c r="G458" s="162">
        <v>4.99</v>
      </c>
      <c r="H458" s="164">
        <v>30462</v>
      </c>
      <c r="I458" s="161">
        <v>211605982</v>
      </c>
      <c r="J458"/>
      <c r="K458" s="125" t="s">
        <v>638</v>
      </c>
      <c r="L458" s="126" t="s">
        <v>692</v>
      </c>
      <c r="M458" s="127">
        <v>1</v>
      </c>
      <c r="N458" s="126" t="s">
        <v>692</v>
      </c>
      <c r="O458" s="131" t="s">
        <v>692</v>
      </c>
      <c r="P458" s="127"/>
    </row>
    <row r="459" spans="1:16" x14ac:dyDescent="0.25">
      <c r="A459" t="s">
        <v>477</v>
      </c>
      <c r="B459" s="117">
        <v>20557</v>
      </c>
      <c r="C459" s="117">
        <v>19689</v>
      </c>
      <c r="D459" s="141">
        <v>19538</v>
      </c>
      <c r="E459" s="117">
        <v>19742</v>
      </c>
      <c r="F459">
        <v>13.7</v>
      </c>
      <c r="G459" s="162">
        <v>3.14</v>
      </c>
      <c r="H459" s="164">
        <v>61005</v>
      </c>
      <c r="I459" s="161">
        <v>3714288732</v>
      </c>
      <c r="J459"/>
      <c r="K459" s="125" t="s">
        <v>639</v>
      </c>
      <c r="L459" s="126" t="s">
        <v>693</v>
      </c>
      <c r="M459" s="127">
        <v>3</v>
      </c>
      <c r="N459" s="126" t="s">
        <v>692</v>
      </c>
      <c r="O459" s="131" t="s">
        <v>692</v>
      </c>
      <c r="P459" s="127"/>
    </row>
    <row r="460" spans="1:16" x14ac:dyDescent="0.25">
      <c r="A460" t="s">
        <v>478</v>
      </c>
      <c r="B460" s="117">
        <v>2921</v>
      </c>
      <c r="C460" s="117">
        <v>2759</v>
      </c>
      <c r="D460" s="141">
        <v>3168</v>
      </c>
      <c r="E460" s="117">
        <v>2091</v>
      </c>
      <c r="F460">
        <v>28.1</v>
      </c>
      <c r="G460" s="162">
        <v>4.45</v>
      </c>
      <c r="H460" s="164">
        <v>45625</v>
      </c>
      <c r="I460" s="161">
        <v>49593881</v>
      </c>
      <c r="J460"/>
      <c r="K460" s="125" t="s">
        <v>640</v>
      </c>
      <c r="L460" s="126" t="s">
        <v>692</v>
      </c>
      <c r="M460" s="127">
        <v>3</v>
      </c>
      <c r="N460" s="126" t="s">
        <v>692</v>
      </c>
      <c r="O460" s="131" t="s">
        <v>692</v>
      </c>
      <c r="P460" s="127"/>
    </row>
    <row r="461" spans="1:16" x14ac:dyDescent="0.25">
      <c r="A461" t="s">
        <v>479</v>
      </c>
      <c r="B461" s="117">
        <v>479</v>
      </c>
      <c r="C461" s="117">
        <v>542</v>
      </c>
      <c r="D461" s="141">
        <v>511</v>
      </c>
      <c r="E461" s="117">
        <v>515</v>
      </c>
      <c r="F461">
        <v>18.5</v>
      </c>
      <c r="G461" s="162">
        <v>3.84</v>
      </c>
      <c r="H461" s="164">
        <v>66607</v>
      </c>
      <c r="I461" s="161">
        <v>36130809</v>
      </c>
      <c r="J461"/>
      <c r="K461" s="125" t="s">
        <v>641</v>
      </c>
      <c r="L461" s="126" t="s">
        <v>693</v>
      </c>
      <c r="M461" s="127">
        <v>9</v>
      </c>
      <c r="N461" s="126" t="s">
        <v>692</v>
      </c>
      <c r="O461" s="131" t="s">
        <v>692</v>
      </c>
      <c r="P461" s="127"/>
    </row>
    <row r="462" spans="1:16" x14ac:dyDescent="0.25">
      <c r="A462" t="s">
        <v>480</v>
      </c>
      <c r="B462" s="117">
        <v>216</v>
      </c>
      <c r="C462" s="117">
        <v>363</v>
      </c>
      <c r="D462" s="141">
        <v>273</v>
      </c>
      <c r="E462" s="117">
        <v>278</v>
      </c>
      <c r="F462">
        <v>17.399999999999999</v>
      </c>
      <c r="G462" s="162">
        <v>3.63</v>
      </c>
      <c r="H462" s="164">
        <v>58250</v>
      </c>
      <c r="I462" s="161">
        <v>24086314</v>
      </c>
      <c r="J462"/>
      <c r="K462" s="125" t="s">
        <v>642</v>
      </c>
      <c r="L462" s="126" t="s">
        <v>692</v>
      </c>
      <c r="M462" s="127">
        <v>2</v>
      </c>
      <c r="N462" s="126" t="s">
        <v>692</v>
      </c>
      <c r="O462" s="131" t="s">
        <v>692</v>
      </c>
      <c r="P462" s="127"/>
    </row>
    <row r="463" spans="1:16" x14ac:dyDescent="0.25">
      <c r="A463" t="s">
        <v>481</v>
      </c>
      <c r="B463" s="117">
        <v>175</v>
      </c>
      <c r="C463" s="117">
        <v>141</v>
      </c>
      <c r="D463" s="141">
        <v>194</v>
      </c>
      <c r="E463" s="117">
        <v>180</v>
      </c>
      <c r="F463">
        <v>2.1</v>
      </c>
      <c r="G463" s="162">
        <v>4.68</v>
      </c>
      <c r="H463" s="164">
        <v>43125</v>
      </c>
      <c r="I463" s="161">
        <v>9040533</v>
      </c>
      <c r="J463"/>
      <c r="K463" s="125" t="s">
        <v>643</v>
      </c>
      <c r="L463" s="126" t="s">
        <v>693</v>
      </c>
      <c r="M463" s="127">
        <v>8</v>
      </c>
      <c r="N463" s="126" t="s">
        <v>692</v>
      </c>
      <c r="O463" s="131" t="s">
        <v>692</v>
      </c>
      <c r="P463" s="127"/>
    </row>
    <row r="464" spans="1:16" x14ac:dyDescent="0.25">
      <c r="A464" t="s">
        <v>482</v>
      </c>
      <c r="B464" s="117">
        <v>1067</v>
      </c>
      <c r="C464" s="117">
        <v>1543</v>
      </c>
      <c r="D464" s="141">
        <v>1300</v>
      </c>
      <c r="E464" s="117">
        <v>1450</v>
      </c>
      <c r="F464">
        <v>10.6</v>
      </c>
      <c r="G464" s="162">
        <v>3.05</v>
      </c>
      <c r="H464" s="164">
        <v>36656</v>
      </c>
      <c r="I464" s="161">
        <v>106095419</v>
      </c>
      <c r="J464"/>
      <c r="K464" s="125" t="s">
        <v>645</v>
      </c>
      <c r="L464" s="126" t="s">
        <v>692</v>
      </c>
      <c r="M464" s="127">
        <v>5</v>
      </c>
      <c r="N464" s="126" t="s">
        <v>692</v>
      </c>
      <c r="O464" s="131" t="s">
        <v>692</v>
      </c>
      <c r="P464" s="127"/>
    </row>
    <row r="465" spans="1:16" x14ac:dyDescent="0.25">
      <c r="A465" t="s">
        <v>483</v>
      </c>
      <c r="B465" s="117">
        <v>2119</v>
      </c>
      <c r="C465" s="117">
        <v>1502</v>
      </c>
      <c r="D465" s="141">
        <v>1298</v>
      </c>
      <c r="E465" s="117">
        <v>1265</v>
      </c>
      <c r="F465">
        <v>24.1</v>
      </c>
      <c r="G465" s="162">
        <v>5.47</v>
      </c>
      <c r="H465" s="164">
        <v>49583</v>
      </c>
      <c r="I465" s="161">
        <v>47477524</v>
      </c>
      <c r="J465"/>
      <c r="K465" s="125" t="s">
        <v>649</v>
      </c>
      <c r="L465" s="126" t="s">
        <v>692</v>
      </c>
      <c r="M465" s="127">
        <v>6</v>
      </c>
      <c r="N465" s="126" t="s">
        <v>692</v>
      </c>
      <c r="O465" s="131" t="s">
        <v>692</v>
      </c>
      <c r="P465" s="127"/>
    </row>
    <row r="466" spans="1:16" x14ac:dyDescent="0.25">
      <c r="A466" t="s">
        <v>484</v>
      </c>
      <c r="B466" s="117">
        <v>167</v>
      </c>
      <c r="C466" s="117">
        <v>128</v>
      </c>
      <c r="D466" s="141">
        <v>120</v>
      </c>
      <c r="E466" s="117">
        <v>119</v>
      </c>
      <c r="F466">
        <v>10.199999999999999</v>
      </c>
      <c r="G466" s="162">
        <v>4.96</v>
      </c>
      <c r="H466" s="164">
        <v>74375</v>
      </c>
      <c r="I466" s="161">
        <v>5967194</v>
      </c>
      <c r="J466"/>
      <c r="K466" s="125" t="s">
        <v>650</v>
      </c>
      <c r="L466" s="126" t="s">
        <v>693</v>
      </c>
      <c r="M466" s="127">
        <v>7</v>
      </c>
      <c r="N466" s="126" t="s">
        <v>692</v>
      </c>
      <c r="O466" s="131" t="s">
        <v>692</v>
      </c>
      <c r="P466" s="127"/>
    </row>
    <row r="467" spans="1:16" x14ac:dyDescent="0.25">
      <c r="A467" t="s">
        <v>485</v>
      </c>
      <c r="B467" s="117">
        <v>4926</v>
      </c>
      <c r="C467" s="117">
        <v>4545</v>
      </c>
      <c r="D467" s="141">
        <v>4610</v>
      </c>
      <c r="E467" s="117">
        <v>4673</v>
      </c>
      <c r="F467">
        <v>23.5</v>
      </c>
      <c r="G467" s="162">
        <v>4.29</v>
      </c>
      <c r="H467" s="164">
        <v>43311</v>
      </c>
      <c r="I467" s="161">
        <v>603078838</v>
      </c>
      <c r="J467"/>
      <c r="K467" s="125" t="s">
        <v>651</v>
      </c>
      <c r="L467" s="126" t="s">
        <v>692</v>
      </c>
      <c r="M467" s="127">
        <v>3</v>
      </c>
      <c r="N467" s="126" t="s">
        <v>692</v>
      </c>
      <c r="O467" s="131" t="s">
        <v>692</v>
      </c>
      <c r="P467" s="127"/>
    </row>
    <row r="468" spans="1:16" x14ac:dyDescent="0.25">
      <c r="A468" t="s">
        <v>486</v>
      </c>
      <c r="B468" s="117">
        <v>464485</v>
      </c>
      <c r="C468" s="117">
        <v>470763</v>
      </c>
      <c r="D468" s="141">
        <v>467245</v>
      </c>
      <c r="E468" s="117">
        <v>489756</v>
      </c>
      <c r="F468">
        <v>11.4</v>
      </c>
      <c r="G468" s="162">
        <v>3</v>
      </c>
      <c r="H468" s="164">
        <v>82424</v>
      </c>
      <c r="I468" s="161">
        <v>82197180362</v>
      </c>
      <c r="J468"/>
      <c r="K468" s="125" t="s">
        <v>654</v>
      </c>
      <c r="L468" s="126" t="s">
        <v>692</v>
      </c>
      <c r="M468" s="127">
        <v>7</v>
      </c>
      <c r="N468" s="126" t="s">
        <v>692</v>
      </c>
      <c r="O468" s="131" t="s">
        <v>692</v>
      </c>
      <c r="P468" s="127"/>
    </row>
    <row r="469" spans="1:16" x14ac:dyDescent="0.25">
      <c r="A469" t="s">
        <v>487</v>
      </c>
      <c r="B469" s="117">
        <v>1817</v>
      </c>
      <c r="C469" s="117">
        <v>2061</v>
      </c>
      <c r="D469" s="141">
        <v>1765</v>
      </c>
      <c r="E469" s="117">
        <v>1773</v>
      </c>
      <c r="F469">
        <v>53.3</v>
      </c>
      <c r="G469" s="162">
        <v>3.52</v>
      </c>
      <c r="H469" s="164">
        <v>29508</v>
      </c>
      <c r="I469" s="161">
        <v>170908512</v>
      </c>
      <c r="J469"/>
      <c r="K469" s="125" t="s">
        <v>658</v>
      </c>
      <c r="L469" s="126" t="s">
        <v>692</v>
      </c>
      <c r="M469" s="127">
        <v>3</v>
      </c>
      <c r="N469" s="126" t="s">
        <v>692</v>
      </c>
      <c r="O469" s="131" t="s">
        <v>692</v>
      </c>
      <c r="P469" s="127"/>
    </row>
    <row r="470" spans="1:16" x14ac:dyDescent="0.25">
      <c r="A470" t="s">
        <v>488</v>
      </c>
      <c r="B470" s="117">
        <v>4101</v>
      </c>
      <c r="C470" s="117">
        <v>4611</v>
      </c>
      <c r="D470" s="141">
        <v>4542</v>
      </c>
      <c r="E470" s="117">
        <v>4689</v>
      </c>
      <c r="F470">
        <v>33.799999999999997</v>
      </c>
      <c r="G470" s="162">
        <v>3.52</v>
      </c>
      <c r="H470" s="164">
        <v>51852</v>
      </c>
      <c r="I470" s="161">
        <v>620989379</v>
      </c>
      <c r="J470"/>
      <c r="K470" s="125" t="s">
        <v>659</v>
      </c>
      <c r="L470" s="126" t="s">
        <v>692</v>
      </c>
      <c r="M470" s="127">
        <v>0</v>
      </c>
      <c r="N470" s="126" t="s">
        <v>692</v>
      </c>
      <c r="O470" s="131" t="s">
        <v>692</v>
      </c>
      <c r="P470" s="127"/>
    </row>
    <row r="471" spans="1:16" x14ac:dyDescent="0.25">
      <c r="A471" t="s">
        <v>489</v>
      </c>
      <c r="B471" s="117">
        <v>143118</v>
      </c>
      <c r="C471" s="117">
        <v>145322</v>
      </c>
      <c r="D471" s="141">
        <v>143550</v>
      </c>
      <c r="E471" s="117">
        <v>146496</v>
      </c>
      <c r="F471">
        <v>14.8</v>
      </c>
      <c r="G471" s="162">
        <v>3.52</v>
      </c>
      <c r="H471" s="164">
        <v>59047</v>
      </c>
      <c r="I471" s="161">
        <v>17227005904</v>
      </c>
      <c r="J471"/>
      <c r="K471" s="125" t="s">
        <v>661</v>
      </c>
      <c r="L471" s="126" t="s">
        <v>693</v>
      </c>
      <c r="M471" s="127">
        <v>7</v>
      </c>
      <c r="N471" s="126" t="s">
        <v>692</v>
      </c>
      <c r="O471" s="131" t="s">
        <v>692</v>
      </c>
      <c r="P471" s="127"/>
    </row>
    <row r="472" spans="1:16" x14ac:dyDescent="0.25">
      <c r="A472" t="s">
        <v>490</v>
      </c>
      <c r="B472" s="117">
        <v>3604</v>
      </c>
      <c r="C472" s="117">
        <v>4556</v>
      </c>
      <c r="D472" s="141">
        <v>4433</v>
      </c>
      <c r="E472" s="117">
        <v>4714</v>
      </c>
      <c r="F472">
        <v>5.6</v>
      </c>
      <c r="G472" s="162">
        <v>3.51</v>
      </c>
      <c r="H472" s="164">
        <v>75843</v>
      </c>
      <c r="I472" s="161">
        <v>498647095</v>
      </c>
      <c r="J472"/>
      <c r="K472" s="125" t="s">
        <v>662</v>
      </c>
      <c r="L472" s="126" t="s">
        <v>692</v>
      </c>
      <c r="M472" s="127">
        <v>6</v>
      </c>
      <c r="N472" s="126" t="s">
        <v>692</v>
      </c>
      <c r="O472" s="131" t="s">
        <v>692</v>
      </c>
      <c r="P472" s="127"/>
    </row>
    <row r="473" spans="1:16" x14ac:dyDescent="0.25">
      <c r="A473" t="s">
        <v>491</v>
      </c>
      <c r="B473" s="117">
        <v>38</v>
      </c>
      <c r="C473" s="117">
        <v>35</v>
      </c>
      <c r="D473" s="141">
        <v>61</v>
      </c>
      <c r="E473" s="117">
        <v>61</v>
      </c>
      <c r="F473">
        <v>17.100000000000001</v>
      </c>
      <c r="G473" s="162">
        <v>4.96</v>
      </c>
      <c r="H473" s="164"/>
      <c r="I473" s="161">
        <v>2891447</v>
      </c>
      <c r="J473"/>
      <c r="K473" s="125" t="s">
        <v>663</v>
      </c>
      <c r="L473" s="126" t="s">
        <v>692</v>
      </c>
      <c r="M473" s="127">
        <v>2</v>
      </c>
      <c r="N473" s="126" t="s">
        <v>692</v>
      </c>
      <c r="O473" s="131" t="s">
        <v>692</v>
      </c>
      <c r="P473" s="127"/>
    </row>
    <row r="474" spans="1:16" x14ac:dyDescent="0.25">
      <c r="A474" t="s">
        <v>492</v>
      </c>
      <c r="B474" s="117">
        <v>689</v>
      </c>
      <c r="C474" s="117">
        <v>740</v>
      </c>
      <c r="D474" s="141">
        <v>760</v>
      </c>
      <c r="E474" s="117">
        <v>838</v>
      </c>
      <c r="F474">
        <v>7.6</v>
      </c>
      <c r="G474" s="162">
        <v>3.08</v>
      </c>
      <c r="H474" s="164">
        <v>58375</v>
      </c>
      <c r="I474" s="161">
        <v>73009829</v>
      </c>
      <c r="J474"/>
      <c r="K474" s="128" t="s">
        <v>813</v>
      </c>
      <c r="L474" s="126" t="s">
        <v>692</v>
      </c>
      <c r="M474" s="127">
        <v>0</v>
      </c>
      <c r="N474" s="126" t="s">
        <v>692</v>
      </c>
      <c r="O474" s="131" t="s">
        <v>692</v>
      </c>
      <c r="P474" s="127"/>
    </row>
    <row r="475" spans="1:16" x14ac:dyDescent="0.25">
      <c r="A475" t="s">
        <v>493</v>
      </c>
      <c r="B475" s="117">
        <v>3445</v>
      </c>
      <c r="C475" s="117">
        <v>3372</v>
      </c>
      <c r="D475" s="141">
        <v>3340</v>
      </c>
      <c r="E475" s="117">
        <v>3454</v>
      </c>
      <c r="F475">
        <v>2.8</v>
      </c>
      <c r="G475" s="162">
        <v>4.4800000000000004</v>
      </c>
      <c r="H475" s="164">
        <v>81464</v>
      </c>
      <c r="I475" s="161"/>
      <c r="J475"/>
      <c r="K475" s="125" t="s">
        <v>664</v>
      </c>
      <c r="L475" s="126" t="s">
        <v>692</v>
      </c>
      <c r="M475" s="127">
        <v>3</v>
      </c>
      <c r="N475" s="126" t="s">
        <v>692</v>
      </c>
      <c r="O475" s="131" t="s">
        <v>692</v>
      </c>
      <c r="P475" s="127"/>
    </row>
    <row r="476" spans="1:16" x14ac:dyDescent="0.25">
      <c r="A476" t="s">
        <v>494</v>
      </c>
      <c r="B476" s="117">
        <v>3378</v>
      </c>
      <c r="C476" s="117">
        <v>3107</v>
      </c>
      <c r="D476" s="141">
        <v>3113</v>
      </c>
      <c r="E476" s="117">
        <v>3090</v>
      </c>
      <c r="F476">
        <v>39.1</v>
      </c>
      <c r="G476" s="162">
        <v>4.96</v>
      </c>
      <c r="H476" s="164">
        <v>19752</v>
      </c>
      <c r="I476" s="161">
        <v>210446222</v>
      </c>
      <c r="J476"/>
      <c r="K476" s="125" t="s">
        <v>665</v>
      </c>
      <c r="L476" s="126" t="s">
        <v>692</v>
      </c>
      <c r="M476" s="127">
        <v>5</v>
      </c>
      <c r="N476" s="126" t="s">
        <v>692</v>
      </c>
      <c r="O476" s="131" t="s">
        <v>692</v>
      </c>
      <c r="P476" s="127"/>
    </row>
    <row r="477" spans="1:16" x14ac:dyDescent="0.25">
      <c r="A477" t="s">
        <v>495</v>
      </c>
      <c r="B477" s="117">
        <v>13915</v>
      </c>
      <c r="C477" s="117">
        <v>14547</v>
      </c>
      <c r="D477" s="141">
        <v>14445</v>
      </c>
      <c r="E477" s="117">
        <v>14773</v>
      </c>
      <c r="F477">
        <v>24.9</v>
      </c>
      <c r="G477" s="162">
        <v>3.93</v>
      </c>
      <c r="H477" s="164">
        <v>42702</v>
      </c>
      <c r="I477" s="161">
        <v>1230660550</v>
      </c>
      <c r="J477"/>
      <c r="K477" s="125" t="s">
        <v>667</v>
      </c>
      <c r="L477" s="126" t="s">
        <v>693</v>
      </c>
      <c r="M477" s="127">
        <v>4</v>
      </c>
      <c r="N477" s="126" t="s">
        <v>692</v>
      </c>
      <c r="O477" s="131" t="s">
        <v>692</v>
      </c>
      <c r="P477" s="127"/>
    </row>
    <row r="478" spans="1:16" x14ac:dyDescent="0.25">
      <c r="A478" t="s">
        <v>496</v>
      </c>
      <c r="B478" s="117">
        <v>386</v>
      </c>
      <c r="C478" s="117">
        <v>267</v>
      </c>
      <c r="D478" s="141">
        <v>282</v>
      </c>
      <c r="E478" s="117">
        <v>275</v>
      </c>
      <c r="F478">
        <v>31.4</v>
      </c>
      <c r="G478" s="162">
        <v>4.96</v>
      </c>
      <c r="H478" s="164"/>
      <c r="I478" s="161">
        <v>13831692</v>
      </c>
      <c r="J478"/>
      <c r="K478" s="125" t="s">
        <v>668</v>
      </c>
      <c r="L478" s="126" t="s">
        <v>693</v>
      </c>
      <c r="M478" s="127">
        <v>7</v>
      </c>
      <c r="N478" s="126" t="s">
        <v>692</v>
      </c>
      <c r="O478" s="131" t="s">
        <v>692</v>
      </c>
      <c r="P478" s="127"/>
    </row>
    <row r="479" spans="1:16" x14ac:dyDescent="0.25">
      <c r="A479" t="s">
        <v>497</v>
      </c>
      <c r="B479" s="117">
        <v>935</v>
      </c>
      <c r="C479" s="117">
        <v>1062</v>
      </c>
      <c r="D479" s="141">
        <v>1002</v>
      </c>
      <c r="E479" s="117">
        <v>1005</v>
      </c>
      <c r="F479">
        <v>14.5</v>
      </c>
      <c r="G479" s="162">
        <v>3.28</v>
      </c>
      <c r="H479" s="164">
        <v>48125</v>
      </c>
      <c r="I479" s="161">
        <v>55879674</v>
      </c>
      <c r="J479"/>
      <c r="K479" s="125" t="s">
        <v>670</v>
      </c>
      <c r="L479" s="126" t="s">
        <v>693</v>
      </c>
      <c r="M479" s="127">
        <v>2</v>
      </c>
      <c r="N479" s="126" t="s">
        <v>692</v>
      </c>
      <c r="O479" s="131" t="s">
        <v>692</v>
      </c>
      <c r="P479" s="127"/>
    </row>
    <row r="480" spans="1:16" x14ac:dyDescent="0.25">
      <c r="A480" t="s">
        <v>498</v>
      </c>
      <c r="B480" s="117">
        <v>780</v>
      </c>
      <c r="C480" s="117">
        <v>780</v>
      </c>
      <c r="D480" s="141">
        <v>914</v>
      </c>
      <c r="E480" s="117">
        <v>850</v>
      </c>
      <c r="F480">
        <v>29.4</v>
      </c>
      <c r="G480" s="162">
        <v>4.67</v>
      </c>
      <c r="H480" s="164">
        <v>38621</v>
      </c>
      <c r="I480" s="161">
        <v>51015340</v>
      </c>
      <c r="J480"/>
      <c r="K480" s="125" t="s">
        <v>671</v>
      </c>
      <c r="L480" s="126" t="s">
        <v>692</v>
      </c>
      <c r="M480" s="127">
        <v>1</v>
      </c>
      <c r="N480" s="126" t="s">
        <v>692</v>
      </c>
      <c r="O480" s="131" t="s">
        <v>692</v>
      </c>
      <c r="P480" s="127"/>
    </row>
    <row r="481" spans="1:16" x14ac:dyDescent="0.25">
      <c r="A481" t="s">
        <v>499</v>
      </c>
      <c r="B481" s="117">
        <v>545</v>
      </c>
      <c r="C481" s="117">
        <v>839</v>
      </c>
      <c r="D481" s="141">
        <v>581</v>
      </c>
      <c r="E481" s="117">
        <v>606</v>
      </c>
      <c r="F481">
        <v>12.8</v>
      </c>
      <c r="G481" s="162">
        <v>3.08</v>
      </c>
      <c r="H481" s="164">
        <v>80536</v>
      </c>
      <c r="I481" s="161">
        <v>90947257</v>
      </c>
      <c r="J481"/>
      <c r="K481" s="128" t="s">
        <v>672</v>
      </c>
      <c r="L481" s="126" t="s">
        <v>692</v>
      </c>
      <c r="M481" s="127">
        <v>2</v>
      </c>
      <c r="N481" s="126" t="s">
        <v>692</v>
      </c>
      <c r="O481" s="131" t="s">
        <v>692</v>
      </c>
      <c r="P481" s="127"/>
    </row>
    <row r="482" spans="1:16" x14ac:dyDescent="0.25">
      <c r="A482" t="s">
        <v>500</v>
      </c>
      <c r="B482" s="117">
        <v>2364</v>
      </c>
      <c r="C482" s="117">
        <v>2387</v>
      </c>
      <c r="D482" s="141">
        <v>2296</v>
      </c>
      <c r="E482" s="117">
        <v>2520</v>
      </c>
      <c r="F482">
        <v>10.4</v>
      </c>
      <c r="G482" s="162">
        <v>3.65</v>
      </c>
      <c r="H482" s="164">
        <v>61607</v>
      </c>
      <c r="I482" s="161">
        <v>226239133</v>
      </c>
      <c r="J482"/>
      <c r="K482" s="125" t="s">
        <v>673</v>
      </c>
      <c r="L482" s="126" t="s">
        <v>692</v>
      </c>
      <c r="M482" s="127">
        <v>4</v>
      </c>
      <c r="N482" s="126" t="s">
        <v>692</v>
      </c>
      <c r="O482" s="131" t="s">
        <v>692</v>
      </c>
      <c r="P482" s="127"/>
    </row>
    <row r="483" spans="1:16" x14ac:dyDescent="0.25">
      <c r="A483" t="s">
        <v>501</v>
      </c>
      <c r="B483" s="117">
        <v>44997</v>
      </c>
      <c r="C483" s="117">
        <v>42818</v>
      </c>
      <c r="D483" s="141">
        <v>43474</v>
      </c>
      <c r="E483" s="117">
        <v>42068</v>
      </c>
      <c r="F483">
        <v>25.2</v>
      </c>
      <c r="G483" s="162">
        <v>3.87</v>
      </c>
      <c r="H483" s="164">
        <v>43626</v>
      </c>
      <c r="I483" s="161">
        <v>3724786929</v>
      </c>
      <c r="J483"/>
      <c r="K483" s="125" t="s">
        <v>674</v>
      </c>
      <c r="L483" s="126" t="s">
        <v>692</v>
      </c>
      <c r="M483" s="127">
        <v>7</v>
      </c>
      <c r="N483" s="126" t="s">
        <v>692</v>
      </c>
      <c r="O483" s="131" t="s">
        <v>692</v>
      </c>
      <c r="P483" s="127"/>
    </row>
    <row r="484" spans="1:16" x14ac:dyDescent="0.25">
      <c r="A484" t="s">
        <v>502</v>
      </c>
      <c r="B484" s="117">
        <v>3051</v>
      </c>
      <c r="C484" s="117">
        <v>2896</v>
      </c>
      <c r="D484" s="141">
        <v>2894</v>
      </c>
      <c r="E484" s="117">
        <v>2874</v>
      </c>
      <c r="F484">
        <v>8.9</v>
      </c>
      <c r="G484" s="162">
        <v>3.63</v>
      </c>
      <c r="H484" s="164">
        <v>68314</v>
      </c>
      <c r="I484" s="161">
        <v>451186855</v>
      </c>
      <c r="J484"/>
      <c r="K484" s="125" t="s">
        <v>675</v>
      </c>
      <c r="L484" s="126" t="s">
        <v>692</v>
      </c>
      <c r="M484" s="127">
        <v>3</v>
      </c>
      <c r="N484" s="126" t="s">
        <v>692</v>
      </c>
      <c r="O484" s="131" t="s">
        <v>692</v>
      </c>
      <c r="P484" s="127"/>
    </row>
    <row r="485" spans="1:16" x14ac:dyDescent="0.25">
      <c r="A485" t="s">
        <v>504</v>
      </c>
      <c r="B485" s="117">
        <v>14741</v>
      </c>
      <c r="C485" s="117">
        <v>15024</v>
      </c>
      <c r="D485" s="141">
        <v>15323</v>
      </c>
      <c r="E485" s="117">
        <v>14662</v>
      </c>
      <c r="F485">
        <v>21.8</v>
      </c>
      <c r="G485" s="162">
        <v>5.35</v>
      </c>
      <c r="H485" s="164">
        <v>53981</v>
      </c>
      <c r="I485" s="161">
        <v>1319993999</v>
      </c>
      <c r="J485"/>
      <c r="K485" s="125" t="s">
        <v>676</v>
      </c>
      <c r="L485" s="126" t="s">
        <v>692</v>
      </c>
      <c r="M485" s="127">
        <v>2</v>
      </c>
      <c r="N485" s="126" t="s">
        <v>692</v>
      </c>
      <c r="O485" s="131" t="s">
        <v>692</v>
      </c>
      <c r="P485" s="127"/>
    </row>
    <row r="486" spans="1:16" x14ac:dyDescent="0.25">
      <c r="A486" t="s">
        <v>505</v>
      </c>
      <c r="B486" s="117">
        <v>1647</v>
      </c>
      <c r="C486" s="117">
        <v>1398</v>
      </c>
      <c r="D486" s="141">
        <v>1160</v>
      </c>
      <c r="E486" s="117">
        <v>1260</v>
      </c>
      <c r="F486">
        <v>33.1</v>
      </c>
      <c r="G486" s="162">
        <v>3.45</v>
      </c>
      <c r="H486" s="164">
        <v>50023</v>
      </c>
      <c r="I486" s="161">
        <v>97852473</v>
      </c>
      <c r="J486"/>
      <c r="K486" s="125" t="s">
        <v>677</v>
      </c>
      <c r="L486" s="126" t="s">
        <v>692</v>
      </c>
      <c r="M486" s="127">
        <v>2</v>
      </c>
      <c r="N486" s="126" t="s">
        <v>692</v>
      </c>
      <c r="O486" s="131" t="s">
        <v>692</v>
      </c>
      <c r="P486" s="127"/>
    </row>
    <row r="487" spans="1:16" x14ac:dyDescent="0.25">
      <c r="A487" t="s">
        <v>506</v>
      </c>
      <c r="B487" s="117">
        <v>693</v>
      </c>
      <c r="C487" s="117">
        <v>677</v>
      </c>
      <c r="D487" s="141">
        <v>608</v>
      </c>
      <c r="E487" s="117">
        <v>565</v>
      </c>
      <c r="F487">
        <v>36.700000000000003</v>
      </c>
      <c r="G487" s="162">
        <v>3.52</v>
      </c>
      <c r="H487" s="164">
        <v>17841</v>
      </c>
      <c r="I487" s="161">
        <v>96650161</v>
      </c>
      <c r="J487"/>
      <c r="K487" s="125" t="s">
        <v>678</v>
      </c>
      <c r="L487" s="126" t="s">
        <v>692</v>
      </c>
      <c r="M487" s="127">
        <v>4</v>
      </c>
      <c r="N487" s="126" t="s">
        <v>692</v>
      </c>
      <c r="O487" s="131" t="s">
        <v>692</v>
      </c>
      <c r="P487" s="127"/>
    </row>
    <row r="488" spans="1:16" x14ac:dyDescent="0.25">
      <c r="A488" t="s">
        <v>507</v>
      </c>
      <c r="B488" s="117">
        <v>1606</v>
      </c>
      <c r="C488" s="117">
        <v>1319</v>
      </c>
      <c r="D488" s="141">
        <v>1289</v>
      </c>
      <c r="E488" s="117">
        <v>1210</v>
      </c>
      <c r="F488">
        <v>19.100000000000001</v>
      </c>
      <c r="G488" s="162">
        <v>4.03</v>
      </c>
      <c r="H488" s="164">
        <v>43359</v>
      </c>
      <c r="I488" s="161">
        <v>111462493</v>
      </c>
      <c r="J488"/>
      <c r="K488" s="125" t="s">
        <v>679</v>
      </c>
      <c r="L488" s="126" t="s">
        <v>692</v>
      </c>
      <c r="M488" s="127">
        <v>2</v>
      </c>
      <c r="N488" s="126" t="s">
        <v>692</v>
      </c>
      <c r="O488" s="131" t="s">
        <v>692</v>
      </c>
      <c r="P488" s="127"/>
    </row>
    <row r="489" spans="1:16" x14ac:dyDescent="0.25">
      <c r="A489" t="s">
        <v>508</v>
      </c>
      <c r="B489" s="117">
        <v>132596</v>
      </c>
      <c r="C489" s="117">
        <v>116858</v>
      </c>
      <c r="D489" s="141">
        <v>117844</v>
      </c>
      <c r="E489" s="117">
        <v>116438</v>
      </c>
      <c r="F489">
        <v>28.8</v>
      </c>
      <c r="G489" s="162">
        <v>4.96</v>
      </c>
      <c r="H489" s="164">
        <v>40318</v>
      </c>
      <c r="I489" s="161">
        <v>8286933704</v>
      </c>
      <c r="J489"/>
      <c r="K489" s="125" t="s">
        <v>681</v>
      </c>
      <c r="L489" s="126" t="s">
        <v>692</v>
      </c>
      <c r="M489" s="127">
        <v>10</v>
      </c>
      <c r="N489" s="126" t="s">
        <v>692</v>
      </c>
      <c r="O489" s="131" t="s">
        <v>692</v>
      </c>
      <c r="P489" s="127"/>
    </row>
    <row r="490" spans="1:16" x14ac:dyDescent="0.25">
      <c r="A490" t="s">
        <v>509</v>
      </c>
      <c r="B490" s="117">
        <v>91077</v>
      </c>
      <c r="C490" s="117">
        <v>91585</v>
      </c>
      <c r="D490" s="141">
        <v>90847</v>
      </c>
      <c r="E490" s="117">
        <v>92416</v>
      </c>
      <c r="F490">
        <v>16.8</v>
      </c>
      <c r="G490" s="162">
        <v>3.93</v>
      </c>
      <c r="H490" s="164">
        <v>55796</v>
      </c>
      <c r="I490" s="161">
        <v>8636506668</v>
      </c>
      <c r="J490"/>
      <c r="K490" s="125" t="s">
        <v>682</v>
      </c>
      <c r="L490" s="126" t="s">
        <v>692</v>
      </c>
      <c r="M490" s="127">
        <v>2</v>
      </c>
      <c r="N490" s="126" t="s">
        <v>692</v>
      </c>
      <c r="O490" s="131" t="s">
        <v>692</v>
      </c>
      <c r="P490" s="127"/>
    </row>
    <row r="491" spans="1:16" x14ac:dyDescent="0.25">
      <c r="A491" t="s">
        <v>510</v>
      </c>
      <c r="B491" s="117">
        <v>8865</v>
      </c>
      <c r="C491" s="117">
        <v>9094</v>
      </c>
      <c r="D491" s="141">
        <v>9328</v>
      </c>
      <c r="E491" s="117">
        <v>8943</v>
      </c>
      <c r="F491">
        <v>33.799999999999997</v>
      </c>
      <c r="G491" s="162">
        <v>3.87</v>
      </c>
      <c r="H491" s="164">
        <v>36695</v>
      </c>
      <c r="I491" s="161">
        <v>709746427</v>
      </c>
      <c r="J491"/>
      <c r="K491" s="125" t="s">
        <v>683</v>
      </c>
      <c r="L491" s="126" t="s">
        <v>693</v>
      </c>
      <c r="M491" s="127">
        <v>7</v>
      </c>
      <c r="N491" s="126" t="s">
        <v>692</v>
      </c>
      <c r="O491" s="131" t="s">
        <v>692</v>
      </c>
      <c r="P491" s="127"/>
    </row>
    <row r="492" spans="1:16" x14ac:dyDescent="0.25">
      <c r="A492" t="s">
        <v>511</v>
      </c>
      <c r="B492" s="117">
        <v>2119</v>
      </c>
      <c r="C492" s="117">
        <v>2688</v>
      </c>
      <c r="D492" s="141">
        <v>2288</v>
      </c>
      <c r="E492" s="117">
        <v>2445</v>
      </c>
      <c r="F492">
        <v>8.9</v>
      </c>
      <c r="G492" s="162">
        <v>3.43</v>
      </c>
      <c r="H492" s="164">
        <v>64141</v>
      </c>
      <c r="I492" s="161">
        <v>290397906</v>
      </c>
      <c r="J492"/>
      <c r="K492" s="125" t="s">
        <v>684</v>
      </c>
      <c r="L492" s="126" t="s">
        <v>692</v>
      </c>
      <c r="M492" s="127">
        <v>3</v>
      </c>
      <c r="N492" s="126" t="s">
        <v>692</v>
      </c>
      <c r="O492" s="131" t="s">
        <v>692</v>
      </c>
      <c r="P492" s="127"/>
    </row>
    <row r="493" spans="1:16" x14ac:dyDescent="0.25">
      <c r="A493" t="s">
        <v>512</v>
      </c>
      <c r="B493" s="117">
        <v>54548</v>
      </c>
      <c r="C493" s="117">
        <v>54175</v>
      </c>
      <c r="D493" s="141">
        <v>54229</v>
      </c>
      <c r="E493" s="117">
        <v>55427</v>
      </c>
      <c r="F493">
        <v>21.2</v>
      </c>
      <c r="G493" s="162">
        <v>4.9800000000000004</v>
      </c>
      <c r="H493" s="164">
        <v>52927</v>
      </c>
      <c r="I493" s="161">
        <v>4448286798</v>
      </c>
      <c r="J493"/>
      <c r="K493" s="125" t="s">
        <v>685</v>
      </c>
      <c r="L493" s="126" t="s">
        <v>692</v>
      </c>
      <c r="M493" s="127">
        <v>4</v>
      </c>
      <c r="N493" s="126" t="s">
        <v>692</v>
      </c>
      <c r="O493" s="131" t="s">
        <v>692</v>
      </c>
      <c r="P493" s="127"/>
    </row>
    <row r="494" spans="1:16" x14ac:dyDescent="0.25">
      <c r="A494" t="s">
        <v>513</v>
      </c>
      <c r="B494" s="117">
        <v>7488</v>
      </c>
      <c r="C494" s="117">
        <v>10200</v>
      </c>
      <c r="D494" s="141">
        <v>8939</v>
      </c>
      <c r="E494" s="117">
        <v>11268</v>
      </c>
      <c r="F494">
        <v>0.9</v>
      </c>
      <c r="G494" s="162">
        <v>3</v>
      </c>
      <c r="H494" s="164">
        <v>148250</v>
      </c>
      <c r="I494" s="161">
        <v>1625549251</v>
      </c>
      <c r="J494"/>
      <c r="K494" s="128" t="s">
        <v>686</v>
      </c>
      <c r="L494" s="126" t="s">
        <v>692</v>
      </c>
      <c r="M494" s="127">
        <v>5</v>
      </c>
      <c r="N494" s="126" t="s">
        <v>692</v>
      </c>
      <c r="O494" s="131" t="s">
        <v>692</v>
      </c>
      <c r="P494" s="127"/>
    </row>
    <row r="495" spans="1:16" x14ac:dyDescent="0.25">
      <c r="A495" t="s">
        <v>514</v>
      </c>
      <c r="B495" s="117">
        <v>649</v>
      </c>
      <c r="C495" s="117">
        <v>468</v>
      </c>
      <c r="D495" s="141">
        <v>437</v>
      </c>
      <c r="E495" s="117">
        <v>446</v>
      </c>
      <c r="F495">
        <v>19.2</v>
      </c>
      <c r="G495" s="162">
        <v>3.67</v>
      </c>
      <c r="H495" s="164">
        <v>49018</v>
      </c>
      <c r="I495" s="161">
        <v>20766893</v>
      </c>
      <c r="J495"/>
      <c r="K495" s="125" t="s">
        <v>687</v>
      </c>
      <c r="L495" s="126" t="s">
        <v>692</v>
      </c>
      <c r="M495" s="127">
        <v>7</v>
      </c>
      <c r="N495" s="126" t="s">
        <v>692</v>
      </c>
      <c r="O495" s="131" t="s">
        <v>692</v>
      </c>
      <c r="P495" s="127"/>
    </row>
    <row r="496" spans="1:16" x14ac:dyDescent="0.25">
      <c r="A496" t="s">
        <v>515</v>
      </c>
      <c r="B496" s="117">
        <v>751</v>
      </c>
      <c r="C496" s="117">
        <v>586</v>
      </c>
      <c r="D496" s="141">
        <v>495</v>
      </c>
      <c r="E496" s="117">
        <v>469</v>
      </c>
      <c r="F496">
        <v>47.8</v>
      </c>
      <c r="G496" s="162">
        <v>4.99</v>
      </c>
      <c r="H496" s="164">
        <v>19155</v>
      </c>
      <c r="I496" s="161">
        <v>18956299</v>
      </c>
      <c r="J496"/>
      <c r="K496" s="129"/>
      <c r="P496" s="127"/>
    </row>
    <row r="497" spans="1:16" x14ac:dyDescent="0.25">
      <c r="A497" t="s">
        <v>516</v>
      </c>
      <c r="B497" s="117">
        <v>2315</v>
      </c>
      <c r="C497" s="117">
        <v>1501</v>
      </c>
      <c r="D497" s="141">
        <v>1391</v>
      </c>
      <c r="E497" s="117">
        <v>1369</v>
      </c>
      <c r="F497">
        <v>23.1</v>
      </c>
      <c r="G497" s="162">
        <v>3.32</v>
      </c>
      <c r="H497" s="164">
        <v>44722</v>
      </c>
      <c r="I497" s="161">
        <v>78585201</v>
      </c>
      <c r="J497"/>
      <c r="K497" s="129"/>
      <c r="P497" s="127"/>
    </row>
    <row r="498" spans="1:16" x14ac:dyDescent="0.25">
      <c r="A498" t="s">
        <v>517</v>
      </c>
      <c r="B498" s="117">
        <v>1278</v>
      </c>
      <c r="C498" s="117">
        <v>1007</v>
      </c>
      <c r="D498" s="141">
        <v>1169</v>
      </c>
      <c r="E498" s="117">
        <v>1156</v>
      </c>
      <c r="F498">
        <v>37.5</v>
      </c>
      <c r="G498" s="162">
        <v>3.89</v>
      </c>
      <c r="H498" s="164">
        <v>39345</v>
      </c>
      <c r="I498" s="161">
        <v>91732645</v>
      </c>
      <c r="J498"/>
      <c r="K498" s="129"/>
      <c r="P498" s="127"/>
    </row>
    <row r="499" spans="1:16" x14ac:dyDescent="0.25">
      <c r="A499" t="s">
        <v>518</v>
      </c>
      <c r="B499" s="117">
        <v>486</v>
      </c>
      <c r="C499" s="117">
        <v>730</v>
      </c>
      <c r="D499" s="141">
        <v>697</v>
      </c>
      <c r="E499" s="117">
        <v>750</v>
      </c>
      <c r="F499">
        <v>22.3</v>
      </c>
      <c r="G499" s="162">
        <v>3.25</v>
      </c>
      <c r="H499" s="164">
        <v>53224</v>
      </c>
      <c r="I499" s="161">
        <v>30961907</v>
      </c>
      <c r="J499"/>
      <c r="K499" s="129"/>
    </row>
    <row r="500" spans="1:16" x14ac:dyDescent="0.25">
      <c r="A500" t="s">
        <v>519</v>
      </c>
      <c r="B500" s="117">
        <v>140296</v>
      </c>
      <c r="C500" s="117">
        <v>148487</v>
      </c>
      <c r="D500" s="141">
        <v>145847</v>
      </c>
      <c r="E500" s="117">
        <v>152450</v>
      </c>
      <c r="F500">
        <v>15.8</v>
      </c>
      <c r="G500" s="162">
        <v>3.43</v>
      </c>
      <c r="H500" s="164">
        <v>63196</v>
      </c>
      <c r="I500" s="161">
        <v>19973615601</v>
      </c>
      <c r="J500"/>
      <c r="K500" s="129"/>
    </row>
    <row r="501" spans="1:16" x14ac:dyDescent="0.25">
      <c r="A501" t="s">
        <v>520</v>
      </c>
      <c r="B501" s="117">
        <v>1075</v>
      </c>
      <c r="C501" s="117">
        <v>972</v>
      </c>
      <c r="D501" s="141">
        <v>896</v>
      </c>
      <c r="E501" s="117">
        <v>884</v>
      </c>
      <c r="F501">
        <v>33.299999999999997</v>
      </c>
      <c r="G501" s="162">
        <v>4.96</v>
      </c>
      <c r="H501" s="164">
        <v>31667</v>
      </c>
      <c r="I501" s="161">
        <v>52756857</v>
      </c>
      <c r="J501"/>
      <c r="K501" s="129"/>
    </row>
    <row r="502" spans="1:16" x14ac:dyDescent="0.25">
      <c r="A502" t="s">
        <v>521</v>
      </c>
      <c r="B502" s="117">
        <v>8298</v>
      </c>
      <c r="C502" s="117">
        <v>8144</v>
      </c>
      <c r="D502" s="141">
        <v>8149</v>
      </c>
      <c r="E502" s="117">
        <v>8127</v>
      </c>
      <c r="F502">
        <v>33.700000000000003</v>
      </c>
      <c r="G502" s="162">
        <v>3.29</v>
      </c>
      <c r="H502" s="164">
        <v>39283</v>
      </c>
      <c r="I502" s="161">
        <v>786881344</v>
      </c>
      <c r="J502"/>
      <c r="K502" s="129"/>
    </row>
    <row r="503" spans="1:16" x14ac:dyDescent="0.25">
      <c r="A503" t="s">
        <v>522</v>
      </c>
      <c r="B503" s="117">
        <v>439</v>
      </c>
      <c r="C503" s="117">
        <v>347</v>
      </c>
      <c r="D503" s="141">
        <v>190</v>
      </c>
      <c r="E503" s="117">
        <v>175</v>
      </c>
      <c r="F503">
        <v>20.5</v>
      </c>
      <c r="G503" s="162">
        <v>4.68</v>
      </c>
      <c r="H503" s="164">
        <v>38375</v>
      </c>
      <c r="I503" s="161">
        <v>11339513</v>
      </c>
      <c r="J503"/>
      <c r="K503" s="129"/>
    </row>
    <row r="504" spans="1:16" x14ac:dyDescent="0.25">
      <c r="A504" t="s">
        <v>523</v>
      </c>
      <c r="B504" s="117">
        <v>3188</v>
      </c>
      <c r="C504" s="117">
        <v>3421</v>
      </c>
      <c r="D504" s="141">
        <v>3320</v>
      </c>
      <c r="E504" s="117">
        <v>3445</v>
      </c>
      <c r="F504">
        <v>15.6</v>
      </c>
      <c r="G504" s="162">
        <v>3.67</v>
      </c>
      <c r="H504" s="164">
        <v>50665</v>
      </c>
      <c r="I504" s="161">
        <v>523501696</v>
      </c>
      <c r="J504"/>
      <c r="K504" s="129"/>
    </row>
    <row r="505" spans="1:16" x14ac:dyDescent="0.25">
      <c r="A505" t="s">
        <v>524</v>
      </c>
      <c r="B505" s="117">
        <v>586</v>
      </c>
      <c r="C505" s="117">
        <v>526</v>
      </c>
      <c r="D505" s="141">
        <v>351</v>
      </c>
      <c r="E505" s="117">
        <v>347</v>
      </c>
      <c r="F505">
        <v>29.4</v>
      </c>
      <c r="G505" s="162">
        <v>4.08</v>
      </c>
      <c r="H505" s="164">
        <v>48125</v>
      </c>
      <c r="I505" s="161">
        <v>44928909</v>
      </c>
      <c r="J505"/>
      <c r="K505" s="129"/>
    </row>
    <row r="506" spans="1:16" x14ac:dyDescent="0.25">
      <c r="A506" t="s">
        <v>525</v>
      </c>
      <c r="B506" s="117">
        <v>1286</v>
      </c>
      <c r="C506" s="117">
        <v>1327</v>
      </c>
      <c r="D506" s="141">
        <v>1240</v>
      </c>
      <c r="E506" s="117">
        <v>1260</v>
      </c>
      <c r="F506">
        <v>10.9</v>
      </c>
      <c r="G506" s="162">
        <v>3.29</v>
      </c>
      <c r="H506" s="164">
        <v>63000</v>
      </c>
      <c r="I506" s="161">
        <v>193138515</v>
      </c>
      <c r="J506"/>
      <c r="K506" s="129"/>
    </row>
    <row r="507" spans="1:16" x14ac:dyDescent="0.25">
      <c r="A507" t="s">
        <v>526</v>
      </c>
      <c r="B507" s="117">
        <v>66599</v>
      </c>
      <c r="C507" s="117">
        <v>64850</v>
      </c>
      <c r="D507" s="141">
        <v>64694</v>
      </c>
      <c r="E507" s="117">
        <v>64692</v>
      </c>
      <c r="F507">
        <v>17.600000000000001</v>
      </c>
      <c r="G507" s="162">
        <v>4.08</v>
      </c>
      <c r="H507" s="164">
        <v>49771</v>
      </c>
      <c r="I507" s="161">
        <v>10905512640</v>
      </c>
      <c r="J507"/>
      <c r="K507" s="129"/>
    </row>
    <row r="508" spans="1:16" x14ac:dyDescent="0.25">
      <c r="A508" t="s">
        <v>527</v>
      </c>
      <c r="B508" s="117">
        <v>4073</v>
      </c>
      <c r="C508" s="117">
        <v>3669</v>
      </c>
      <c r="D508" s="141">
        <v>3673</v>
      </c>
      <c r="E508" s="117">
        <v>3664</v>
      </c>
      <c r="F508">
        <v>19.100000000000001</v>
      </c>
      <c r="G508" s="162">
        <v>4.08</v>
      </c>
      <c r="H508" s="164">
        <v>59750</v>
      </c>
      <c r="I508" s="161">
        <v>545634943</v>
      </c>
      <c r="J508"/>
      <c r="K508" s="129"/>
    </row>
    <row r="509" spans="1:16" x14ac:dyDescent="0.25">
      <c r="A509" t="s">
        <v>528</v>
      </c>
      <c r="B509" s="117">
        <v>399</v>
      </c>
      <c r="C509" s="117">
        <v>580</v>
      </c>
      <c r="D509" s="141">
        <v>417</v>
      </c>
      <c r="E509" s="117">
        <v>443</v>
      </c>
      <c r="F509">
        <v>23.9</v>
      </c>
      <c r="G509" s="162">
        <v>3.31</v>
      </c>
      <c r="H509" s="164">
        <v>77000</v>
      </c>
      <c r="I509" s="161">
        <v>47107913</v>
      </c>
      <c r="J509"/>
      <c r="K509" s="129"/>
    </row>
    <row r="510" spans="1:16" x14ac:dyDescent="0.25">
      <c r="A510" t="s">
        <v>529</v>
      </c>
      <c r="B510" s="117">
        <v>5521</v>
      </c>
      <c r="C510" s="117">
        <v>6901</v>
      </c>
      <c r="D510" s="141">
        <v>6238</v>
      </c>
      <c r="E510" s="117">
        <v>7932</v>
      </c>
      <c r="F510">
        <v>5.5</v>
      </c>
      <c r="G510" s="162">
        <v>3.99</v>
      </c>
      <c r="H510" s="164">
        <v>113670</v>
      </c>
      <c r="I510" s="161">
        <v>3483219713</v>
      </c>
      <c r="J510"/>
      <c r="K510" s="129"/>
    </row>
    <row r="511" spans="1:16" x14ac:dyDescent="0.25">
      <c r="A511" t="s">
        <v>530</v>
      </c>
      <c r="B511" s="117">
        <v>2107</v>
      </c>
      <c r="C511" s="117">
        <v>2628</v>
      </c>
      <c r="D511" s="141">
        <v>2086</v>
      </c>
      <c r="E511" s="117">
        <v>2045</v>
      </c>
      <c r="F511">
        <v>38.9</v>
      </c>
      <c r="G511" s="162">
        <v>4.96</v>
      </c>
      <c r="H511" s="164">
        <v>33667</v>
      </c>
      <c r="I511" s="161">
        <v>249918728</v>
      </c>
      <c r="J511"/>
      <c r="K511" s="129"/>
    </row>
    <row r="512" spans="1:16" x14ac:dyDescent="0.25">
      <c r="A512" t="s">
        <v>531</v>
      </c>
      <c r="B512" s="117">
        <v>458</v>
      </c>
      <c r="C512" s="117">
        <v>486</v>
      </c>
      <c r="D512" s="141">
        <v>452</v>
      </c>
      <c r="E512" s="117">
        <v>522</v>
      </c>
      <c r="F512">
        <v>9.8000000000000007</v>
      </c>
      <c r="G512" s="162">
        <v>3.89</v>
      </c>
      <c r="H512" s="164">
        <v>74375</v>
      </c>
      <c r="I512" s="161">
        <v>48633236</v>
      </c>
      <c r="J512"/>
      <c r="K512" s="129"/>
    </row>
    <row r="513" spans="1:11" x14ac:dyDescent="0.25">
      <c r="A513" t="s">
        <v>532</v>
      </c>
      <c r="B513" s="117">
        <v>33727</v>
      </c>
      <c r="C513" s="117">
        <v>35730</v>
      </c>
      <c r="D513" s="141">
        <v>35188</v>
      </c>
      <c r="E513" s="117">
        <v>37805</v>
      </c>
      <c r="F513">
        <v>24.3</v>
      </c>
      <c r="G513" s="162">
        <v>3.43</v>
      </c>
      <c r="H513" s="164">
        <v>51058</v>
      </c>
      <c r="I513" s="161">
        <v>4381202800</v>
      </c>
      <c r="J513"/>
      <c r="K513" s="129"/>
    </row>
    <row r="514" spans="1:11" x14ac:dyDescent="0.25">
      <c r="A514" t="s">
        <v>533</v>
      </c>
      <c r="B514" s="117">
        <v>891</v>
      </c>
      <c r="C514" s="117">
        <v>676</v>
      </c>
      <c r="D514" s="141">
        <v>642</v>
      </c>
      <c r="E514" s="117">
        <v>664</v>
      </c>
      <c r="F514">
        <v>18.8</v>
      </c>
      <c r="G514" s="162">
        <v>2.98</v>
      </c>
      <c r="H514" s="164">
        <v>52946</v>
      </c>
      <c r="I514" s="161">
        <v>149956430</v>
      </c>
      <c r="J514"/>
      <c r="K514" s="129"/>
    </row>
    <row r="515" spans="1:11" x14ac:dyDescent="0.25">
      <c r="A515" t="s">
        <v>534</v>
      </c>
      <c r="B515" s="117">
        <v>63385</v>
      </c>
      <c r="C515" s="117">
        <v>59245</v>
      </c>
      <c r="D515" s="141">
        <v>59388</v>
      </c>
      <c r="E515" s="117">
        <v>59514</v>
      </c>
      <c r="F515">
        <v>20.2</v>
      </c>
      <c r="G515" s="162">
        <v>3.89</v>
      </c>
      <c r="H515" s="164">
        <v>53159</v>
      </c>
      <c r="I515" s="161">
        <v>5279563888</v>
      </c>
      <c r="J515"/>
      <c r="K515" s="129"/>
    </row>
    <row r="516" spans="1:11" x14ac:dyDescent="0.25">
      <c r="A516" t="s">
        <v>535</v>
      </c>
      <c r="B516" s="117">
        <v>230</v>
      </c>
      <c r="C516" s="117">
        <v>281</v>
      </c>
      <c r="D516" s="141">
        <v>247</v>
      </c>
      <c r="E516" s="117">
        <v>288</v>
      </c>
      <c r="F516">
        <v>19.600000000000001</v>
      </c>
      <c r="G516" s="162">
        <v>3.99</v>
      </c>
      <c r="H516" s="164">
        <v>53750</v>
      </c>
      <c r="I516" s="161">
        <v>28118005</v>
      </c>
      <c r="J516"/>
      <c r="K516" s="129"/>
    </row>
    <row r="517" spans="1:11" x14ac:dyDescent="0.25">
      <c r="A517" t="s">
        <v>536</v>
      </c>
      <c r="B517" s="117">
        <v>429</v>
      </c>
      <c r="C517" s="117">
        <v>683</v>
      </c>
      <c r="D517" s="141">
        <v>434</v>
      </c>
      <c r="E517" s="117">
        <v>427</v>
      </c>
      <c r="F517">
        <v>35.299999999999997</v>
      </c>
      <c r="G517" s="162">
        <v>4.0599999999999996</v>
      </c>
      <c r="H517" s="164">
        <v>32750</v>
      </c>
      <c r="I517" s="161">
        <v>23625898</v>
      </c>
      <c r="J517"/>
      <c r="K517" s="129"/>
    </row>
    <row r="518" spans="1:11" x14ac:dyDescent="0.25">
      <c r="A518" t="s">
        <v>537</v>
      </c>
      <c r="B518" s="117">
        <v>29456</v>
      </c>
      <c r="C518" s="117">
        <v>30833</v>
      </c>
      <c r="D518" s="141">
        <v>29994</v>
      </c>
      <c r="E518" s="117">
        <v>32371</v>
      </c>
      <c r="F518">
        <v>20.3</v>
      </c>
      <c r="G518" s="162">
        <v>3.58</v>
      </c>
      <c r="H518" s="164">
        <v>54294</v>
      </c>
      <c r="I518" s="161">
        <v>4537959222</v>
      </c>
      <c r="J518"/>
      <c r="K518" s="129"/>
    </row>
    <row r="519" spans="1:11" x14ac:dyDescent="0.25">
      <c r="A519" t="s">
        <v>538</v>
      </c>
      <c r="B519" s="117">
        <v>413</v>
      </c>
      <c r="C519" s="117">
        <v>306</v>
      </c>
      <c r="D519" s="141">
        <v>356</v>
      </c>
      <c r="E519" s="117">
        <v>346</v>
      </c>
      <c r="F519">
        <v>29.1</v>
      </c>
      <c r="G519" s="162">
        <v>4.6500000000000004</v>
      </c>
      <c r="H519" s="164">
        <v>30662</v>
      </c>
      <c r="I519" s="161">
        <v>23902071</v>
      </c>
      <c r="J519"/>
      <c r="K519" s="129"/>
    </row>
    <row r="520" spans="1:11" x14ac:dyDescent="0.25">
      <c r="A520" t="s">
        <v>539</v>
      </c>
      <c r="B520" s="117">
        <v>5165</v>
      </c>
      <c r="C520" s="117">
        <v>5027</v>
      </c>
      <c r="D520" s="141">
        <v>5040</v>
      </c>
      <c r="E520" s="117">
        <v>5095</v>
      </c>
      <c r="F520">
        <v>13.7</v>
      </c>
      <c r="G520" s="162">
        <v>3.26</v>
      </c>
      <c r="H520" s="164">
        <v>56534</v>
      </c>
      <c r="I520" s="161">
        <v>314106832</v>
      </c>
      <c r="J520"/>
      <c r="K520" s="129"/>
    </row>
    <row r="521" spans="1:11" x14ac:dyDescent="0.25">
      <c r="A521" t="s">
        <v>540</v>
      </c>
      <c r="B521" s="117">
        <v>35076</v>
      </c>
      <c r="C521" s="117">
        <v>34353</v>
      </c>
      <c r="D521" s="141">
        <v>34517</v>
      </c>
      <c r="E521" s="117">
        <v>33567</v>
      </c>
      <c r="F521">
        <v>26.6</v>
      </c>
      <c r="G521" s="162">
        <v>5.32</v>
      </c>
      <c r="H521" s="164">
        <v>43500</v>
      </c>
      <c r="I521" s="161">
        <v>2566288877</v>
      </c>
      <c r="J521"/>
      <c r="K521" s="129"/>
    </row>
    <row r="522" spans="1:11" x14ac:dyDescent="0.25">
      <c r="A522" t="s">
        <v>541</v>
      </c>
      <c r="B522" s="117">
        <v>1421</v>
      </c>
      <c r="C522" s="117">
        <v>2087</v>
      </c>
      <c r="D522" s="141">
        <v>1681</v>
      </c>
      <c r="E522" s="117">
        <v>1641</v>
      </c>
      <c r="F522">
        <v>47.7</v>
      </c>
      <c r="G522" s="162">
        <v>5.35</v>
      </c>
      <c r="H522" s="164">
        <v>18202</v>
      </c>
      <c r="I522" s="161">
        <v>100892290</v>
      </c>
      <c r="J522"/>
      <c r="K522" s="129"/>
    </row>
    <row r="523" spans="1:11" x14ac:dyDescent="0.25">
      <c r="A523" t="s">
        <v>542</v>
      </c>
      <c r="B523" s="117">
        <v>723</v>
      </c>
      <c r="C523" s="117">
        <v>624</v>
      </c>
      <c r="D523" s="141">
        <v>554</v>
      </c>
      <c r="E523" s="117">
        <v>510</v>
      </c>
      <c r="F523">
        <v>32.1</v>
      </c>
      <c r="G523" s="162">
        <v>4.67</v>
      </c>
      <c r="H523" s="164">
        <v>19746</v>
      </c>
      <c r="I523" s="161">
        <v>32244010</v>
      </c>
      <c r="J523"/>
      <c r="K523" s="129"/>
    </row>
    <row r="524" spans="1:11" x14ac:dyDescent="0.25">
      <c r="A524" t="s">
        <v>543</v>
      </c>
      <c r="B524" s="117">
        <v>285</v>
      </c>
      <c r="C524" s="117">
        <v>347</v>
      </c>
      <c r="D524" s="141">
        <v>235</v>
      </c>
      <c r="E524" s="117">
        <v>237</v>
      </c>
      <c r="F524">
        <v>4.3</v>
      </c>
      <c r="G524" s="162">
        <v>3.52</v>
      </c>
      <c r="H524" s="164">
        <v>72689</v>
      </c>
      <c r="I524" s="161">
        <v>58335717</v>
      </c>
      <c r="J524"/>
      <c r="K524" s="129"/>
    </row>
    <row r="525" spans="1:11" x14ac:dyDescent="0.25">
      <c r="A525" t="s">
        <v>545</v>
      </c>
      <c r="B525" s="117">
        <v>501</v>
      </c>
      <c r="C525" s="117">
        <v>680</v>
      </c>
      <c r="D525" s="141">
        <v>673</v>
      </c>
      <c r="E525" s="117">
        <v>687</v>
      </c>
      <c r="F525">
        <v>9.1</v>
      </c>
      <c r="G525" s="162">
        <v>3.95</v>
      </c>
      <c r="H525" s="164">
        <v>78750</v>
      </c>
      <c r="I525" s="161">
        <v>71469530</v>
      </c>
      <c r="J525"/>
      <c r="K525" s="129"/>
    </row>
    <row r="526" spans="1:11" x14ac:dyDescent="0.25">
      <c r="A526" t="s">
        <v>547</v>
      </c>
      <c r="B526" s="117">
        <v>6746</v>
      </c>
      <c r="C526" s="117">
        <v>6611</v>
      </c>
      <c r="D526" s="141">
        <v>6321</v>
      </c>
      <c r="E526" s="117">
        <v>6712</v>
      </c>
      <c r="F526">
        <v>27.1</v>
      </c>
      <c r="G526" s="162">
        <v>3.05</v>
      </c>
      <c r="H526" s="164">
        <v>37440</v>
      </c>
      <c r="I526" s="161">
        <v>585431705</v>
      </c>
      <c r="J526"/>
      <c r="K526" s="129"/>
    </row>
    <row r="527" spans="1:11" x14ac:dyDescent="0.25">
      <c r="A527" t="s">
        <v>548</v>
      </c>
      <c r="B527" s="117">
        <v>327</v>
      </c>
      <c r="C527" s="117">
        <v>390</v>
      </c>
      <c r="D527" s="141">
        <v>306</v>
      </c>
      <c r="E527" s="117">
        <v>319</v>
      </c>
      <c r="F527">
        <v>4.4000000000000004</v>
      </c>
      <c r="G527" s="162">
        <v>3.31</v>
      </c>
      <c r="H527" s="164">
        <v>108438</v>
      </c>
      <c r="I527" s="161">
        <v>245336576</v>
      </c>
      <c r="J527"/>
      <c r="K527" s="129"/>
    </row>
    <row r="528" spans="1:11" x14ac:dyDescent="0.25">
      <c r="A528" t="s">
        <v>549</v>
      </c>
      <c r="B528" s="117">
        <v>53</v>
      </c>
      <c r="C528" s="117">
        <v>9</v>
      </c>
      <c r="D528" s="141">
        <v>58</v>
      </c>
      <c r="E528" s="117">
        <v>74</v>
      </c>
      <c r="F528">
        <v>0</v>
      </c>
      <c r="G528" s="162">
        <v>3.68</v>
      </c>
      <c r="H528" s="164"/>
      <c r="I528" s="161">
        <v>3205827</v>
      </c>
      <c r="J528"/>
      <c r="K528" s="129"/>
    </row>
    <row r="529" spans="1:11" x14ac:dyDescent="0.25">
      <c r="A529" t="s">
        <v>550</v>
      </c>
      <c r="B529" s="117">
        <v>212</v>
      </c>
      <c r="C529" s="117">
        <v>195</v>
      </c>
      <c r="D529" s="141">
        <v>199</v>
      </c>
      <c r="E529" s="117">
        <v>181</v>
      </c>
      <c r="F529">
        <v>0</v>
      </c>
      <c r="G529" s="162">
        <v>4.67</v>
      </c>
      <c r="H529" s="164">
        <v>52188</v>
      </c>
      <c r="I529" s="161">
        <v>71511356</v>
      </c>
      <c r="J529"/>
      <c r="K529" s="129"/>
    </row>
    <row r="530" spans="1:11" x14ac:dyDescent="0.25">
      <c r="A530" t="s">
        <v>551</v>
      </c>
      <c r="B530" s="117">
        <v>4090</v>
      </c>
      <c r="C530" s="117">
        <v>4465</v>
      </c>
      <c r="D530" s="141">
        <v>4151</v>
      </c>
      <c r="E530" s="117">
        <v>4992</v>
      </c>
      <c r="F530">
        <v>9.9</v>
      </c>
      <c r="G530" s="162">
        <v>3.99</v>
      </c>
      <c r="H530" s="164">
        <v>75642</v>
      </c>
      <c r="I530" s="161">
        <v>1099936831</v>
      </c>
      <c r="J530"/>
      <c r="K530" s="129"/>
    </row>
    <row r="531" spans="1:11" x14ac:dyDescent="0.25">
      <c r="A531" t="s">
        <v>552</v>
      </c>
      <c r="B531" s="117">
        <v>2133</v>
      </c>
      <c r="C531" s="117">
        <v>1629</v>
      </c>
      <c r="D531" s="141">
        <v>1709</v>
      </c>
      <c r="E531" s="117">
        <v>1726</v>
      </c>
      <c r="F531">
        <v>19.8</v>
      </c>
      <c r="G531" s="162">
        <v>4.87</v>
      </c>
      <c r="H531" s="164">
        <v>39792</v>
      </c>
      <c r="I531" s="161">
        <v>69864074</v>
      </c>
      <c r="J531"/>
      <c r="K531" s="129"/>
    </row>
    <row r="532" spans="1:11" x14ac:dyDescent="0.25">
      <c r="A532" t="s">
        <v>553</v>
      </c>
      <c r="B532" s="117">
        <v>20007</v>
      </c>
      <c r="C532" s="117">
        <v>21868</v>
      </c>
      <c r="D532" s="141">
        <v>21674</v>
      </c>
      <c r="E532" s="117">
        <v>22105</v>
      </c>
      <c r="F532">
        <v>18.2</v>
      </c>
      <c r="G532" s="162">
        <v>3.84</v>
      </c>
      <c r="H532" s="164">
        <v>50705</v>
      </c>
      <c r="I532" s="161">
        <v>2753342406</v>
      </c>
      <c r="J532"/>
      <c r="K532" s="129"/>
    </row>
    <row r="533" spans="1:11" x14ac:dyDescent="0.25">
      <c r="A533" t="s">
        <v>554</v>
      </c>
      <c r="B533" s="117">
        <v>8078</v>
      </c>
      <c r="C533" s="117">
        <v>7905</v>
      </c>
      <c r="D533" s="141">
        <v>7713</v>
      </c>
      <c r="E533" s="117">
        <v>7909</v>
      </c>
      <c r="F533">
        <v>25.2</v>
      </c>
      <c r="G533" s="162">
        <v>3.06</v>
      </c>
      <c r="H533" s="164">
        <v>51751</v>
      </c>
      <c r="I533" s="161">
        <v>648123609</v>
      </c>
      <c r="J533"/>
      <c r="K533" s="129"/>
    </row>
    <row r="534" spans="1:11" x14ac:dyDescent="0.25">
      <c r="A534" t="s">
        <v>555</v>
      </c>
      <c r="B534" s="117">
        <v>400</v>
      </c>
      <c r="C534" s="117">
        <v>388</v>
      </c>
      <c r="D534" s="141">
        <v>393</v>
      </c>
      <c r="E534" s="117">
        <v>516</v>
      </c>
      <c r="F534">
        <v>28.6</v>
      </c>
      <c r="G534" s="162">
        <v>4.07</v>
      </c>
      <c r="H534" s="164">
        <v>47321</v>
      </c>
      <c r="I534" s="161">
        <v>26478537</v>
      </c>
      <c r="J534"/>
      <c r="K534" s="129"/>
    </row>
    <row r="535" spans="1:11" x14ac:dyDescent="0.25">
      <c r="A535" t="s">
        <v>556</v>
      </c>
      <c r="B535" s="117">
        <v>599</v>
      </c>
      <c r="C535" s="117">
        <v>366</v>
      </c>
      <c r="D535" s="141">
        <v>278</v>
      </c>
      <c r="E535" s="117">
        <v>390</v>
      </c>
      <c r="F535">
        <v>9.3000000000000007</v>
      </c>
      <c r="G535" s="162">
        <v>4.6500000000000004</v>
      </c>
      <c r="H535" s="164">
        <v>73667</v>
      </c>
      <c r="I535" s="161">
        <v>28593317</v>
      </c>
      <c r="J535"/>
      <c r="K535" s="129"/>
    </row>
    <row r="536" spans="1:11" x14ac:dyDescent="0.25">
      <c r="A536" t="s">
        <v>557</v>
      </c>
      <c r="B536" s="117">
        <v>12400</v>
      </c>
      <c r="C536" s="117">
        <v>11798</v>
      </c>
      <c r="D536" s="141">
        <v>11216</v>
      </c>
      <c r="E536" s="117">
        <v>12135</v>
      </c>
      <c r="F536">
        <v>31.4</v>
      </c>
      <c r="G536" s="162">
        <v>3.05</v>
      </c>
      <c r="H536" s="164">
        <v>37827</v>
      </c>
      <c r="I536" s="161">
        <v>1644285788</v>
      </c>
      <c r="J536"/>
      <c r="K536" s="129"/>
    </row>
    <row r="537" spans="1:11" x14ac:dyDescent="0.25">
      <c r="A537" t="s">
        <v>558</v>
      </c>
      <c r="B537" s="117">
        <v>1699</v>
      </c>
      <c r="C537" s="117">
        <v>2102</v>
      </c>
      <c r="D537" s="141">
        <v>1484</v>
      </c>
      <c r="E537" s="117">
        <v>1447</v>
      </c>
      <c r="F537">
        <v>35.200000000000003</v>
      </c>
      <c r="G537" s="162">
        <v>3.04</v>
      </c>
      <c r="H537" s="164">
        <v>41125</v>
      </c>
      <c r="I537" s="161">
        <v>137709253</v>
      </c>
      <c r="J537"/>
      <c r="K537" s="129"/>
    </row>
    <row r="538" spans="1:11" x14ac:dyDescent="0.25">
      <c r="A538" t="s">
        <v>562</v>
      </c>
      <c r="B538" s="117">
        <v>14022</v>
      </c>
      <c r="C538" s="117">
        <v>16052</v>
      </c>
      <c r="D538" s="141">
        <v>15268</v>
      </c>
      <c r="E538" s="117">
        <v>16896</v>
      </c>
      <c r="F538">
        <v>10</v>
      </c>
      <c r="G538" s="162">
        <v>3.45</v>
      </c>
      <c r="H538" s="164">
        <v>83681</v>
      </c>
      <c r="I538" s="161">
        <v>4395815577</v>
      </c>
      <c r="J538"/>
      <c r="K538" s="129"/>
    </row>
    <row r="539" spans="1:11" x14ac:dyDescent="0.25">
      <c r="A539" t="s">
        <v>563</v>
      </c>
      <c r="B539" s="117">
        <v>2899</v>
      </c>
      <c r="C539" s="117">
        <v>3119</v>
      </c>
      <c r="D539" s="141">
        <v>3051</v>
      </c>
      <c r="E539" s="117">
        <v>3173</v>
      </c>
      <c r="F539">
        <v>0.8</v>
      </c>
      <c r="G539" s="162">
        <v>4.16</v>
      </c>
      <c r="H539" s="164">
        <v>116859</v>
      </c>
      <c r="I539" s="161">
        <v>1703715744</v>
      </c>
      <c r="J539"/>
      <c r="K539" s="129"/>
    </row>
    <row r="540" spans="1:11" x14ac:dyDescent="0.25">
      <c r="A540" t="s">
        <v>565</v>
      </c>
      <c r="B540" s="117">
        <v>3739</v>
      </c>
      <c r="C540" s="117">
        <v>4143</v>
      </c>
      <c r="D540" s="141">
        <v>3882</v>
      </c>
      <c r="E540" s="117">
        <v>4685</v>
      </c>
      <c r="F540">
        <v>5.3</v>
      </c>
      <c r="G540" s="162">
        <v>3.99</v>
      </c>
      <c r="H540" s="164">
        <v>82792</v>
      </c>
      <c r="I540" s="161">
        <v>1595931936</v>
      </c>
      <c r="J540"/>
      <c r="K540" s="129"/>
    </row>
    <row r="541" spans="1:11" x14ac:dyDescent="0.25">
      <c r="A541" t="s">
        <v>567</v>
      </c>
      <c r="B541" s="117">
        <v>1630</v>
      </c>
      <c r="C541" s="117">
        <v>1957</v>
      </c>
      <c r="D541" s="141">
        <v>1834</v>
      </c>
      <c r="E541" s="117">
        <v>1906</v>
      </c>
      <c r="F541">
        <v>21.2</v>
      </c>
      <c r="G541" s="162">
        <v>4.21</v>
      </c>
      <c r="H541" s="164">
        <v>38542</v>
      </c>
      <c r="I541" s="161">
        <v>190819784</v>
      </c>
      <c r="J541"/>
      <c r="K541" s="129"/>
    </row>
    <row r="542" spans="1:11" x14ac:dyDescent="0.25">
      <c r="A542" t="s">
        <v>568</v>
      </c>
      <c r="B542" s="117">
        <v>79</v>
      </c>
      <c r="C542" s="117">
        <v>81</v>
      </c>
      <c r="D542" s="141">
        <v>63</v>
      </c>
      <c r="E542" s="117">
        <v>63</v>
      </c>
      <c r="F542">
        <v>0</v>
      </c>
      <c r="G542" s="162">
        <v>5.47</v>
      </c>
      <c r="H542" s="164"/>
      <c r="I542" s="161">
        <v>4163564</v>
      </c>
      <c r="J542"/>
      <c r="K542" s="129"/>
    </row>
    <row r="543" spans="1:11" x14ac:dyDescent="0.25">
      <c r="A543" t="s">
        <v>569</v>
      </c>
      <c r="B543" s="117">
        <v>3230</v>
      </c>
      <c r="C543" s="117">
        <v>3305</v>
      </c>
      <c r="D543" s="141">
        <v>3287</v>
      </c>
      <c r="E543" s="117">
        <v>3381</v>
      </c>
      <c r="F543">
        <v>13.1</v>
      </c>
      <c r="G543" s="162">
        <v>3.43</v>
      </c>
      <c r="H543" s="164">
        <v>64031</v>
      </c>
      <c r="I543" s="161">
        <v>378650842</v>
      </c>
      <c r="J543"/>
      <c r="K543" s="129"/>
    </row>
    <row r="544" spans="1:11" x14ac:dyDescent="0.25">
      <c r="A544" t="s">
        <v>570</v>
      </c>
      <c r="B544" s="117">
        <v>4190</v>
      </c>
      <c r="C544" s="117">
        <v>4244</v>
      </c>
      <c r="D544" s="141">
        <v>4234</v>
      </c>
      <c r="E544" s="117">
        <v>4273</v>
      </c>
      <c r="F544">
        <v>16.899999999999999</v>
      </c>
      <c r="G544" s="162">
        <v>4.08</v>
      </c>
      <c r="H544" s="164">
        <v>38509</v>
      </c>
      <c r="I544" s="161">
        <v>382742685</v>
      </c>
      <c r="J544"/>
      <c r="K544" s="129"/>
    </row>
    <row r="545" spans="1:11" x14ac:dyDescent="0.25">
      <c r="A545" t="s">
        <v>571</v>
      </c>
      <c r="B545" s="117">
        <v>1687</v>
      </c>
      <c r="C545" s="117">
        <v>1334</v>
      </c>
      <c r="D545" s="141">
        <v>1309</v>
      </c>
      <c r="E545" s="117">
        <v>1333</v>
      </c>
      <c r="F545">
        <v>18.399999999999999</v>
      </c>
      <c r="G545" s="162">
        <v>4.4800000000000004</v>
      </c>
      <c r="H545" s="164">
        <v>35577</v>
      </c>
      <c r="I545" s="161">
        <v>95477324</v>
      </c>
      <c r="J545"/>
      <c r="K545" s="129"/>
    </row>
    <row r="546" spans="1:11" x14ac:dyDescent="0.25">
      <c r="A546" t="s">
        <v>572</v>
      </c>
      <c r="B546" s="117">
        <v>12119</v>
      </c>
      <c r="C546" s="117">
        <v>11613</v>
      </c>
      <c r="D546" s="141">
        <v>11677</v>
      </c>
      <c r="E546" s="117">
        <v>11619</v>
      </c>
      <c r="F546">
        <v>20.9</v>
      </c>
      <c r="G546" s="162">
        <v>4.46</v>
      </c>
      <c r="H546" s="164">
        <v>50497</v>
      </c>
      <c r="I546" s="161">
        <v>471916286</v>
      </c>
      <c r="J546"/>
      <c r="K546" s="129"/>
    </row>
    <row r="547" spans="1:11" x14ac:dyDescent="0.25">
      <c r="A547" t="s">
        <v>573</v>
      </c>
      <c r="B547" s="117">
        <v>2273</v>
      </c>
      <c r="C547" s="117">
        <v>2381</v>
      </c>
      <c r="D547" s="141">
        <v>2188</v>
      </c>
      <c r="E547" s="117">
        <v>2173</v>
      </c>
      <c r="F547">
        <v>18.2</v>
      </c>
      <c r="G547" s="162">
        <v>3.28</v>
      </c>
      <c r="H547" s="164">
        <v>47583</v>
      </c>
      <c r="I547" s="161">
        <v>338612007</v>
      </c>
      <c r="J547"/>
      <c r="K547" s="129"/>
    </row>
    <row r="548" spans="1:11" x14ac:dyDescent="0.25">
      <c r="A548" t="s">
        <v>574</v>
      </c>
      <c r="B548" s="117">
        <v>329</v>
      </c>
      <c r="C548" s="117">
        <v>532</v>
      </c>
      <c r="D548" s="141">
        <v>396</v>
      </c>
      <c r="E548" s="117">
        <v>393</v>
      </c>
      <c r="F548">
        <v>10.199999999999999</v>
      </c>
      <c r="G548" s="162">
        <v>3.52</v>
      </c>
      <c r="H548" s="164">
        <v>61875</v>
      </c>
      <c r="I548" s="161">
        <v>34728819</v>
      </c>
      <c r="J548"/>
      <c r="K548" s="129"/>
    </row>
    <row r="549" spans="1:11" x14ac:dyDescent="0.25">
      <c r="A549" t="s">
        <v>575</v>
      </c>
      <c r="B549" s="117">
        <v>15554</v>
      </c>
      <c r="C549" s="117">
        <v>16495</v>
      </c>
      <c r="D549" s="141">
        <v>15944</v>
      </c>
      <c r="E549" s="117">
        <v>17438</v>
      </c>
      <c r="F549">
        <v>3.7</v>
      </c>
      <c r="G549" s="162">
        <v>3.1</v>
      </c>
      <c r="H549" s="164">
        <v>106074</v>
      </c>
      <c r="I549" s="161">
        <v>2779305272</v>
      </c>
      <c r="J549"/>
      <c r="K549" s="129"/>
    </row>
    <row r="550" spans="1:11" x14ac:dyDescent="0.25">
      <c r="A550" t="s">
        <v>576</v>
      </c>
      <c r="B550" s="117">
        <v>1264</v>
      </c>
      <c r="C550" s="117">
        <v>1554</v>
      </c>
      <c r="D550" s="141">
        <v>1573</v>
      </c>
      <c r="E550" s="117">
        <v>1645</v>
      </c>
      <c r="F550">
        <v>11</v>
      </c>
      <c r="G550" s="162">
        <v>3.18</v>
      </c>
      <c r="H550" s="164">
        <v>81375</v>
      </c>
      <c r="I550" s="161">
        <v>199351854</v>
      </c>
      <c r="J550"/>
      <c r="K550" s="129"/>
    </row>
    <row r="551" spans="1:11" x14ac:dyDescent="0.25">
      <c r="A551" t="s">
        <v>577</v>
      </c>
      <c r="B551" s="117">
        <v>3679</v>
      </c>
      <c r="C551" s="117">
        <v>4014</v>
      </c>
      <c r="D551" s="141">
        <v>3922</v>
      </c>
      <c r="E551" s="117">
        <v>4333</v>
      </c>
      <c r="F551">
        <v>6.6</v>
      </c>
      <c r="G551" s="162">
        <v>3.51</v>
      </c>
      <c r="H551" s="164">
        <v>71333</v>
      </c>
      <c r="I551" s="161">
        <v>622326067</v>
      </c>
      <c r="J551"/>
      <c r="K551" s="129"/>
    </row>
    <row r="552" spans="1:11" x14ac:dyDescent="0.25">
      <c r="A552" t="s">
        <v>578</v>
      </c>
      <c r="B552" s="117">
        <v>61588</v>
      </c>
      <c r="C552" s="117">
        <v>63557</v>
      </c>
      <c r="D552" s="141">
        <v>62351</v>
      </c>
      <c r="E552" s="117">
        <v>64999</v>
      </c>
      <c r="F552">
        <v>14.2</v>
      </c>
      <c r="G552" s="162">
        <v>3.08</v>
      </c>
      <c r="H552" s="164">
        <v>61631</v>
      </c>
      <c r="I552" s="161">
        <v>7050505694</v>
      </c>
      <c r="J552"/>
      <c r="K552" s="129"/>
    </row>
    <row r="553" spans="1:11" x14ac:dyDescent="0.25">
      <c r="A553" t="s">
        <v>580</v>
      </c>
      <c r="B553" s="117">
        <v>633</v>
      </c>
      <c r="C553" s="117">
        <v>949</v>
      </c>
      <c r="D553" s="141">
        <v>755</v>
      </c>
      <c r="E553" s="117">
        <v>788</v>
      </c>
      <c r="F553">
        <v>24</v>
      </c>
      <c r="G553" s="162">
        <v>4.6500000000000004</v>
      </c>
      <c r="H553" s="164">
        <v>58929</v>
      </c>
      <c r="I553" s="161">
        <v>47885484</v>
      </c>
      <c r="J553"/>
      <c r="K553" s="129"/>
    </row>
    <row r="554" spans="1:11" x14ac:dyDescent="0.25">
      <c r="A554" t="s">
        <v>581</v>
      </c>
      <c r="B554" s="117">
        <v>756</v>
      </c>
      <c r="C554" s="117">
        <v>1430</v>
      </c>
      <c r="D554" s="141">
        <v>800</v>
      </c>
      <c r="E554" s="117">
        <v>816</v>
      </c>
      <c r="F554">
        <v>28</v>
      </c>
      <c r="G554" s="162">
        <v>3.73</v>
      </c>
      <c r="H554" s="164">
        <v>37135</v>
      </c>
      <c r="I554" s="161">
        <v>54369964</v>
      </c>
      <c r="J554"/>
      <c r="K554" s="129"/>
    </row>
    <row r="555" spans="1:11" x14ac:dyDescent="0.25">
      <c r="A555" t="s">
        <v>582</v>
      </c>
      <c r="B555" s="117">
        <v>26685</v>
      </c>
      <c r="C555" s="117">
        <v>29161</v>
      </c>
      <c r="D555" s="141">
        <v>27982</v>
      </c>
      <c r="E555" s="117">
        <v>30560</v>
      </c>
      <c r="F555">
        <v>16.399999999999999</v>
      </c>
      <c r="G555" s="162">
        <v>3.2</v>
      </c>
      <c r="H555" s="164">
        <v>55492</v>
      </c>
      <c r="I555" s="161">
        <v>4752083024</v>
      </c>
      <c r="J555"/>
      <c r="K555" s="129"/>
    </row>
    <row r="556" spans="1:11" x14ac:dyDescent="0.25">
      <c r="A556" t="s">
        <v>583</v>
      </c>
      <c r="B556" s="117">
        <v>1364</v>
      </c>
      <c r="C556" s="117">
        <v>1613</v>
      </c>
      <c r="D556" s="141">
        <v>1258</v>
      </c>
      <c r="E556" s="117">
        <v>1317</v>
      </c>
      <c r="F556">
        <v>6.4</v>
      </c>
      <c r="G556" s="162">
        <v>4.46</v>
      </c>
      <c r="H556" s="164">
        <v>105491</v>
      </c>
      <c r="I556" s="161">
        <v>114082586</v>
      </c>
      <c r="J556"/>
      <c r="K556" s="129"/>
    </row>
    <row r="557" spans="1:11" x14ac:dyDescent="0.25">
      <c r="A557" t="s">
        <v>584</v>
      </c>
      <c r="B557" s="117">
        <v>1177</v>
      </c>
      <c r="C557" s="117">
        <v>1064</v>
      </c>
      <c r="D557" s="141">
        <v>920</v>
      </c>
      <c r="E557" s="117">
        <v>1074</v>
      </c>
      <c r="F557">
        <v>2.6</v>
      </c>
      <c r="G557" s="162">
        <v>3.41</v>
      </c>
      <c r="H557" s="164">
        <v>85385</v>
      </c>
      <c r="I557" s="161">
        <v>81367501</v>
      </c>
      <c r="J557"/>
      <c r="K557" s="129"/>
    </row>
    <row r="558" spans="1:11" x14ac:dyDescent="0.25">
      <c r="A558" t="s">
        <v>585</v>
      </c>
      <c r="B558" s="117">
        <v>45781</v>
      </c>
      <c r="C558" s="117">
        <v>44889</v>
      </c>
      <c r="D558" s="141">
        <v>44571</v>
      </c>
      <c r="E558" s="117">
        <v>45493</v>
      </c>
      <c r="F558">
        <v>12</v>
      </c>
      <c r="G558" s="162">
        <v>3.22</v>
      </c>
      <c r="H558" s="164">
        <v>60039</v>
      </c>
      <c r="I558" s="161">
        <v>4983750340</v>
      </c>
      <c r="J558"/>
      <c r="K558" s="129"/>
    </row>
    <row r="559" spans="1:11" x14ac:dyDescent="0.25">
      <c r="A559" t="s">
        <v>587</v>
      </c>
      <c r="B559" s="117">
        <v>5396</v>
      </c>
      <c r="C559" s="117">
        <v>5943</v>
      </c>
      <c r="D559" s="141">
        <v>5852</v>
      </c>
      <c r="E559" s="117">
        <v>6274</v>
      </c>
      <c r="F559">
        <v>7.6</v>
      </c>
      <c r="G559" s="162">
        <v>3.95</v>
      </c>
      <c r="H559" s="164">
        <v>135389</v>
      </c>
      <c r="I559" s="161"/>
      <c r="J559"/>
      <c r="K559" s="129"/>
    </row>
    <row r="560" spans="1:11" x14ac:dyDescent="0.25">
      <c r="A560" t="s">
        <v>588</v>
      </c>
      <c r="B560" s="117">
        <v>1425</v>
      </c>
      <c r="C560" s="117">
        <v>1213</v>
      </c>
      <c r="D560" s="141">
        <v>1311</v>
      </c>
      <c r="E560" s="117">
        <v>1349</v>
      </c>
      <c r="F560">
        <v>23.3</v>
      </c>
      <c r="G560" s="162">
        <v>3.93</v>
      </c>
      <c r="H560" s="164">
        <v>52865</v>
      </c>
      <c r="I560" s="161">
        <v>91778743</v>
      </c>
      <c r="J560"/>
      <c r="K560" s="129"/>
    </row>
    <row r="561" spans="1:11" x14ac:dyDescent="0.25">
      <c r="A561" t="s">
        <v>589</v>
      </c>
      <c r="B561" s="117">
        <v>313</v>
      </c>
      <c r="C561" s="117">
        <v>151</v>
      </c>
      <c r="D561" s="141">
        <v>218</v>
      </c>
      <c r="E561" s="117">
        <v>216</v>
      </c>
      <c r="F561">
        <v>14.6</v>
      </c>
      <c r="G561" s="162">
        <v>3.68</v>
      </c>
      <c r="H561" s="164"/>
      <c r="I561" s="161">
        <v>24239042</v>
      </c>
      <c r="J561"/>
      <c r="K561" s="129"/>
    </row>
    <row r="562" spans="1:11" x14ac:dyDescent="0.25">
      <c r="A562" t="s">
        <v>590</v>
      </c>
      <c r="B562" s="117">
        <v>351</v>
      </c>
      <c r="C562" s="117">
        <v>276</v>
      </c>
      <c r="D562" s="141">
        <v>329</v>
      </c>
      <c r="E562" s="117">
        <v>388</v>
      </c>
      <c r="F562">
        <v>10.7</v>
      </c>
      <c r="G562" s="162">
        <v>3.41</v>
      </c>
      <c r="H562" s="164">
        <v>46250</v>
      </c>
      <c r="I562" s="161">
        <v>20125746</v>
      </c>
      <c r="J562"/>
      <c r="K562" s="129"/>
    </row>
    <row r="563" spans="1:11" x14ac:dyDescent="0.25">
      <c r="A563" t="s">
        <v>591</v>
      </c>
      <c r="B563" s="117">
        <v>443</v>
      </c>
      <c r="C563" s="117">
        <v>503</v>
      </c>
      <c r="D563" s="141">
        <v>352</v>
      </c>
      <c r="E563" s="117">
        <v>388</v>
      </c>
      <c r="F563">
        <v>6.8</v>
      </c>
      <c r="G563" s="162">
        <v>3.27</v>
      </c>
      <c r="H563" s="164">
        <v>110000</v>
      </c>
      <c r="I563" s="161">
        <v>512148005</v>
      </c>
      <c r="J563"/>
      <c r="K563" s="129"/>
    </row>
    <row r="564" spans="1:11" x14ac:dyDescent="0.25">
      <c r="A564" t="s">
        <v>592</v>
      </c>
      <c r="B564" s="117">
        <v>11151</v>
      </c>
      <c r="C564" s="117">
        <v>11031</v>
      </c>
      <c r="D564" s="141">
        <v>10936</v>
      </c>
      <c r="E564" s="117">
        <v>11157</v>
      </c>
      <c r="F564">
        <v>7.7</v>
      </c>
      <c r="G564" s="162">
        <v>3.95</v>
      </c>
      <c r="H564" s="164">
        <v>151131</v>
      </c>
      <c r="I564" s="161">
        <v>2075636681</v>
      </c>
      <c r="J564"/>
      <c r="K564" s="129"/>
    </row>
    <row r="565" spans="1:11" x14ac:dyDescent="0.25">
      <c r="A565" t="s">
        <v>593</v>
      </c>
      <c r="B565" s="117">
        <v>3901</v>
      </c>
      <c r="C565" s="117">
        <v>4326</v>
      </c>
      <c r="D565" s="141">
        <v>4111</v>
      </c>
      <c r="E565" s="117">
        <v>4631</v>
      </c>
      <c r="F565">
        <v>6</v>
      </c>
      <c r="G565" s="162">
        <v>3.99</v>
      </c>
      <c r="H565" s="164">
        <v>84934</v>
      </c>
      <c r="I565" s="161">
        <v>2864582189</v>
      </c>
      <c r="J565"/>
      <c r="K565" s="129"/>
    </row>
    <row r="566" spans="1:11" x14ac:dyDescent="0.25">
      <c r="A566" t="s">
        <v>594</v>
      </c>
      <c r="B566" s="117">
        <v>3449</v>
      </c>
      <c r="C566" s="117">
        <v>4160</v>
      </c>
      <c r="D566" s="141">
        <v>3682</v>
      </c>
      <c r="E566" s="117">
        <v>4798</v>
      </c>
      <c r="F566">
        <v>4.9000000000000004</v>
      </c>
      <c r="G566" s="162">
        <v>3.48</v>
      </c>
      <c r="H566" s="164">
        <v>84833</v>
      </c>
      <c r="I566" s="161">
        <v>2011751156</v>
      </c>
      <c r="J566"/>
      <c r="K566" s="129"/>
    </row>
    <row r="567" spans="1:11" x14ac:dyDescent="0.25">
      <c r="A567" t="s">
        <v>595</v>
      </c>
      <c r="B567" s="117">
        <v>71971</v>
      </c>
      <c r="C567" s="117">
        <v>71407</v>
      </c>
      <c r="D567" s="141">
        <v>71278</v>
      </c>
      <c r="E567" s="117">
        <v>71774</v>
      </c>
      <c r="F567">
        <v>16.7</v>
      </c>
      <c r="G567" s="162">
        <v>3.23</v>
      </c>
      <c r="H567" s="164">
        <v>56095</v>
      </c>
      <c r="I567" s="161">
        <v>7620542048</v>
      </c>
      <c r="J567"/>
      <c r="K567" s="129"/>
    </row>
    <row r="568" spans="1:11" x14ac:dyDescent="0.25">
      <c r="A568" t="s">
        <v>596</v>
      </c>
      <c r="B568" s="117">
        <v>14260</v>
      </c>
      <c r="C568" s="117">
        <v>14065</v>
      </c>
      <c r="D568" s="141">
        <v>14209</v>
      </c>
      <c r="E568" s="117">
        <v>13827</v>
      </c>
      <c r="F568">
        <v>21.1</v>
      </c>
      <c r="G568" s="162">
        <v>3.31</v>
      </c>
      <c r="H568" s="164">
        <v>55429</v>
      </c>
      <c r="I568" s="161">
        <v>2063421569</v>
      </c>
      <c r="J568"/>
      <c r="K568" s="129"/>
    </row>
    <row r="569" spans="1:11" x14ac:dyDescent="0.25">
      <c r="A569" t="s">
        <v>598</v>
      </c>
      <c r="B569" s="117">
        <v>3217</v>
      </c>
      <c r="C569" s="117">
        <v>3887</v>
      </c>
      <c r="D569" s="141">
        <v>3738</v>
      </c>
      <c r="E569" s="117">
        <v>4256</v>
      </c>
      <c r="F569">
        <v>9.6</v>
      </c>
      <c r="G569" s="162">
        <v>3.65</v>
      </c>
      <c r="H569" s="164">
        <v>112382</v>
      </c>
      <c r="I569" s="161">
        <v>723038699</v>
      </c>
      <c r="J569"/>
      <c r="K569" s="129"/>
    </row>
    <row r="570" spans="1:11" x14ac:dyDescent="0.25">
      <c r="A570" t="s">
        <v>599</v>
      </c>
      <c r="B570" s="117">
        <v>1939</v>
      </c>
      <c r="C570" s="117">
        <v>2452</v>
      </c>
      <c r="D570" s="141">
        <v>2315</v>
      </c>
      <c r="E570" s="117">
        <v>2739</v>
      </c>
      <c r="F570">
        <v>5.0999999999999996</v>
      </c>
      <c r="G570" s="162">
        <v>3.49</v>
      </c>
      <c r="H570" s="164">
        <v>94028</v>
      </c>
      <c r="I570" s="161"/>
      <c r="J570"/>
      <c r="K570" s="129"/>
    </row>
    <row r="571" spans="1:11" x14ac:dyDescent="0.25">
      <c r="A571" t="s">
        <v>600</v>
      </c>
      <c r="B571" s="117">
        <v>2687</v>
      </c>
      <c r="C571" s="117">
        <v>2600</v>
      </c>
      <c r="D571" s="141">
        <v>2581</v>
      </c>
      <c r="E571" s="117">
        <v>2518</v>
      </c>
      <c r="F571">
        <v>26.6</v>
      </c>
      <c r="G571" s="162">
        <v>3.57</v>
      </c>
      <c r="H571" s="164">
        <v>41926</v>
      </c>
      <c r="I571" s="161">
        <v>523655301</v>
      </c>
      <c r="J571"/>
      <c r="K571" s="129"/>
    </row>
    <row r="572" spans="1:11" x14ac:dyDescent="0.25">
      <c r="A572" t="s">
        <v>601</v>
      </c>
      <c r="B572" s="117">
        <v>4061</v>
      </c>
      <c r="C572" s="117">
        <v>3695</v>
      </c>
      <c r="D572" s="141">
        <v>3865</v>
      </c>
      <c r="E572" s="117">
        <v>3850</v>
      </c>
      <c r="F572">
        <v>40.5</v>
      </c>
      <c r="G572" s="162">
        <v>4.0599999999999996</v>
      </c>
      <c r="H572" s="164">
        <v>37014</v>
      </c>
      <c r="I572" s="161">
        <v>195912950</v>
      </c>
      <c r="J572"/>
      <c r="K572" s="129"/>
    </row>
    <row r="573" spans="1:11" x14ac:dyDescent="0.25">
      <c r="A573" t="s">
        <v>602</v>
      </c>
      <c r="B573" s="117">
        <v>135</v>
      </c>
      <c r="C573" s="117">
        <v>72</v>
      </c>
      <c r="D573" s="141">
        <v>92</v>
      </c>
      <c r="E573" s="117">
        <v>89</v>
      </c>
      <c r="F573">
        <v>9.6999999999999993</v>
      </c>
      <c r="G573" s="162">
        <v>4.71</v>
      </c>
      <c r="H573" s="164"/>
      <c r="I573" s="161">
        <v>12344366</v>
      </c>
      <c r="J573"/>
      <c r="K573" s="129"/>
    </row>
    <row r="574" spans="1:11" x14ac:dyDescent="0.25">
      <c r="A574" t="s">
        <v>603</v>
      </c>
      <c r="B574" s="117">
        <v>10915</v>
      </c>
      <c r="C574" s="117">
        <v>10705</v>
      </c>
      <c r="D574" s="141">
        <v>10742</v>
      </c>
      <c r="E574" s="117">
        <v>10664</v>
      </c>
      <c r="F574">
        <v>19.8</v>
      </c>
      <c r="G574" s="162">
        <v>5.47</v>
      </c>
      <c r="H574" s="164">
        <v>49386</v>
      </c>
      <c r="I574" s="161">
        <v>998509527</v>
      </c>
      <c r="J574"/>
      <c r="K574" s="129"/>
    </row>
    <row r="575" spans="1:11" x14ac:dyDescent="0.25">
      <c r="A575" t="s">
        <v>604</v>
      </c>
      <c r="B575" s="117">
        <v>2361</v>
      </c>
      <c r="C575" s="117">
        <v>2386</v>
      </c>
      <c r="D575" s="141">
        <v>2313</v>
      </c>
      <c r="E575" s="117">
        <v>2327</v>
      </c>
      <c r="F575">
        <v>27.8</v>
      </c>
      <c r="G575" s="162">
        <v>3.47</v>
      </c>
      <c r="H575" s="164">
        <v>48542</v>
      </c>
      <c r="I575" s="161">
        <v>269075149</v>
      </c>
      <c r="J575"/>
      <c r="K575" s="129"/>
    </row>
    <row r="576" spans="1:11" x14ac:dyDescent="0.25">
      <c r="A576" t="s">
        <v>605</v>
      </c>
      <c r="B576" s="117">
        <v>1037</v>
      </c>
      <c r="C576" s="117">
        <v>728</v>
      </c>
      <c r="D576" s="141">
        <v>641</v>
      </c>
      <c r="E576" s="117">
        <v>674</v>
      </c>
      <c r="F576">
        <v>11</v>
      </c>
      <c r="G576" s="162">
        <v>3.45</v>
      </c>
      <c r="H576" s="164">
        <v>47969</v>
      </c>
      <c r="I576" s="161">
        <v>165386636</v>
      </c>
      <c r="J576"/>
      <c r="K576" s="129"/>
    </row>
    <row r="577" spans="1:11" x14ac:dyDescent="0.25">
      <c r="A577" t="s">
        <v>606</v>
      </c>
      <c r="B577" s="117">
        <v>484</v>
      </c>
      <c r="C577" s="117">
        <v>528</v>
      </c>
      <c r="D577" s="141">
        <v>449</v>
      </c>
      <c r="E577" s="117">
        <v>480</v>
      </c>
      <c r="F577">
        <v>22.4</v>
      </c>
      <c r="G577" s="162">
        <v>3.32</v>
      </c>
      <c r="H577" s="164">
        <v>49828</v>
      </c>
      <c r="I577" s="161">
        <v>33195139</v>
      </c>
      <c r="J577"/>
      <c r="K577" s="129"/>
    </row>
    <row r="578" spans="1:11" x14ac:dyDescent="0.25">
      <c r="A578" t="s">
        <v>607</v>
      </c>
      <c r="B578" s="117">
        <v>26784</v>
      </c>
      <c r="C578" s="117">
        <v>27261</v>
      </c>
      <c r="D578" s="141">
        <v>27111</v>
      </c>
      <c r="E578" s="117">
        <v>27984</v>
      </c>
      <c r="F578">
        <v>18.399999999999999</v>
      </c>
      <c r="G578" s="162">
        <v>3.47</v>
      </c>
      <c r="H578" s="164">
        <v>58246</v>
      </c>
      <c r="I578" s="161">
        <v>2365541907</v>
      </c>
      <c r="J578"/>
      <c r="K578" s="129"/>
    </row>
    <row r="579" spans="1:11" x14ac:dyDescent="0.25">
      <c r="A579" t="s">
        <v>608</v>
      </c>
      <c r="B579" s="117">
        <v>2634</v>
      </c>
      <c r="C579" s="117">
        <v>2632</v>
      </c>
      <c r="D579" s="141">
        <v>2575</v>
      </c>
      <c r="E579" s="117">
        <v>2631</v>
      </c>
      <c r="F579">
        <v>10</v>
      </c>
      <c r="G579" s="162">
        <v>3.67</v>
      </c>
      <c r="H579" s="164">
        <v>78591</v>
      </c>
      <c r="I579" s="161">
        <v>262824867</v>
      </c>
      <c r="J579"/>
      <c r="K579" s="129"/>
    </row>
    <row r="580" spans="1:11" x14ac:dyDescent="0.25">
      <c r="A580" t="s">
        <v>609</v>
      </c>
      <c r="B580" s="117">
        <v>409</v>
      </c>
      <c r="C580" s="117">
        <v>444</v>
      </c>
      <c r="D580" s="141">
        <v>455</v>
      </c>
      <c r="E580" s="117">
        <v>510</v>
      </c>
      <c r="F580">
        <v>10.6</v>
      </c>
      <c r="G580" s="162">
        <v>3.31</v>
      </c>
      <c r="H580" s="164">
        <v>90833</v>
      </c>
      <c r="I580" s="161">
        <v>765313597</v>
      </c>
      <c r="J580"/>
      <c r="K580" s="129"/>
    </row>
    <row r="581" spans="1:11" x14ac:dyDescent="0.25">
      <c r="A581" t="s">
        <v>610</v>
      </c>
      <c r="B581" s="117">
        <v>33775</v>
      </c>
      <c r="C581" s="117">
        <v>33243</v>
      </c>
      <c r="D581" s="141">
        <v>33112</v>
      </c>
      <c r="E581" s="117">
        <v>33193</v>
      </c>
      <c r="F581">
        <v>14.2</v>
      </c>
      <c r="G581" s="162">
        <v>3.25</v>
      </c>
      <c r="H581" s="164">
        <v>64523</v>
      </c>
      <c r="I581" s="161">
        <v>7251634430</v>
      </c>
      <c r="J581"/>
      <c r="K581" s="129"/>
    </row>
    <row r="582" spans="1:11" x14ac:dyDescent="0.25">
      <c r="A582" t="s">
        <v>611</v>
      </c>
      <c r="B582" s="117">
        <v>4050</v>
      </c>
      <c r="C582" s="117">
        <v>4086</v>
      </c>
      <c r="D582" s="141">
        <v>4041</v>
      </c>
      <c r="E582" s="117">
        <v>4075</v>
      </c>
      <c r="F582">
        <v>1.2</v>
      </c>
      <c r="G582" s="162">
        <v>3.63</v>
      </c>
      <c r="H582" s="164">
        <v>109097</v>
      </c>
      <c r="I582" s="161">
        <v>912213986</v>
      </c>
      <c r="J582"/>
      <c r="K582" s="129"/>
    </row>
    <row r="583" spans="1:11" x14ac:dyDescent="0.25">
      <c r="A583" t="s">
        <v>612</v>
      </c>
      <c r="B583" s="117">
        <v>359</v>
      </c>
      <c r="C583" s="117">
        <v>218</v>
      </c>
      <c r="D583" s="141">
        <v>245</v>
      </c>
      <c r="E583" s="117">
        <v>259</v>
      </c>
      <c r="F583">
        <v>15.1</v>
      </c>
      <c r="G583" s="162">
        <v>3.63</v>
      </c>
      <c r="H583" s="164">
        <v>36667</v>
      </c>
      <c r="I583" s="161">
        <v>22742084</v>
      </c>
      <c r="J583"/>
      <c r="K583" s="129"/>
    </row>
    <row r="584" spans="1:11" x14ac:dyDescent="0.25">
      <c r="A584" t="s">
        <v>613</v>
      </c>
      <c r="B584" s="117">
        <v>6579</v>
      </c>
      <c r="C584" s="117">
        <v>7066</v>
      </c>
      <c r="D584" s="141">
        <v>6938</v>
      </c>
      <c r="E584" s="117">
        <v>7134</v>
      </c>
      <c r="F584">
        <v>10.4</v>
      </c>
      <c r="G584" s="162">
        <v>3.52</v>
      </c>
      <c r="H584" s="164">
        <v>80349</v>
      </c>
      <c r="I584" s="161">
        <v>996051058</v>
      </c>
      <c r="J584"/>
      <c r="K584" s="129"/>
    </row>
    <row r="585" spans="1:11" x14ac:dyDescent="0.25">
      <c r="A585" t="s">
        <v>614</v>
      </c>
      <c r="B585" s="117">
        <v>2685</v>
      </c>
      <c r="C585" s="117">
        <v>3813</v>
      </c>
      <c r="D585" s="141">
        <v>3546</v>
      </c>
      <c r="E585" s="117">
        <v>5520</v>
      </c>
      <c r="F585">
        <v>3.3</v>
      </c>
      <c r="G585" s="162">
        <v>3.2</v>
      </c>
      <c r="H585" s="164">
        <v>76389</v>
      </c>
      <c r="I585" s="161">
        <v>1292298449</v>
      </c>
      <c r="J585"/>
      <c r="K585" s="129"/>
    </row>
    <row r="586" spans="1:11" x14ac:dyDescent="0.25">
      <c r="A586" t="s">
        <v>615</v>
      </c>
      <c r="B586" s="117">
        <v>3294</v>
      </c>
      <c r="C586" s="117">
        <v>2905</v>
      </c>
      <c r="D586" s="141">
        <v>2985</v>
      </c>
      <c r="E586" s="117">
        <v>2998</v>
      </c>
      <c r="F586">
        <v>18.100000000000001</v>
      </c>
      <c r="G586" s="162">
        <v>3.73</v>
      </c>
      <c r="H586" s="164">
        <v>60167</v>
      </c>
      <c r="I586" s="161">
        <v>285582617</v>
      </c>
      <c r="J586"/>
      <c r="K586" s="129"/>
    </row>
    <row r="587" spans="1:11" x14ac:dyDescent="0.25">
      <c r="A587" t="s">
        <v>616</v>
      </c>
      <c r="B587" s="117">
        <v>1482</v>
      </c>
      <c r="C587" s="117">
        <v>1713</v>
      </c>
      <c r="D587" s="141">
        <v>1579</v>
      </c>
      <c r="E587" s="117">
        <v>1564</v>
      </c>
      <c r="F587">
        <v>28</v>
      </c>
      <c r="G587" s="162">
        <v>3.14</v>
      </c>
      <c r="H587" s="164">
        <v>47604</v>
      </c>
      <c r="I587" s="161">
        <v>219422733</v>
      </c>
      <c r="J587"/>
      <c r="K587" s="129"/>
    </row>
    <row r="588" spans="1:11" x14ac:dyDescent="0.25">
      <c r="A588" t="s">
        <v>618</v>
      </c>
      <c r="B588" s="117">
        <v>246</v>
      </c>
      <c r="C588" s="117">
        <v>446</v>
      </c>
      <c r="D588" s="141">
        <v>219</v>
      </c>
      <c r="E588" s="117">
        <v>215</v>
      </c>
      <c r="F588">
        <v>5.2</v>
      </c>
      <c r="G588" s="162">
        <v>3.89</v>
      </c>
      <c r="H588" s="164"/>
      <c r="I588" s="161">
        <v>12907718</v>
      </c>
      <c r="J588"/>
      <c r="K588" s="129"/>
    </row>
    <row r="589" spans="1:11" x14ac:dyDescent="0.25">
      <c r="A589" t="s">
        <v>619</v>
      </c>
      <c r="B589" s="117">
        <v>4095</v>
      </c>
      <c r="C589" s="117">
        <v>3376</v>
      </c>
      <c r="D589" s="141">
        <v>3568</v>
      </c>
      <c r="E589" s="117">
        <v>3480</v>
      </c>
      <c r="F589">
        <v>20.8</v>
      </c>
      <c r="G589" s="162">
        <v>5.7</v>
      </c>
      <c r="H589" s="164">
        <v>43952</v>
      </c>
      <c r="I589" s="161">
        <v>450249370</v>
      </c>
      <c r="J589"/>
      <c r="K589" s="129"/>
    </row>
    <row r="590" spans="1:11" x14ac:dyDescent="0.25">
      <c r="A590" t="s">
        <v>620</v>
      </c>
      <c r="B590" s="117">
        <v>231053</v>
      </c>
      <c r="C590" s="117">
        <v>244975</v>
      </c>
      <c r="D590" s="141">
        <v>235245</v>
      </c>
      <c r="E590" s="117">
        <v>257682</v>
      </c>
      <c r="F590">
        <v>7.7</v>
      </c>
      <c r="G590" s="162">
        <v>3.1</v>
      </c>
      <c r="H590" s="164">
        <v>99243</v>
      </c>
      <c r="I590" s="161">
        <v>40070925460</v>
      </c>
      <c r="J590"/>
      <c r="K590" s="129"/>
    </row>
    <row r="591" spans="1:11" x14ac:dyDescent="0.25">
      <c r="A591" t="s">
        <v>621</v>
      </c>
      <c r="B591" s="117">
        <v>6959</v>
      </c>
      <c r="C591" s="117">
        <v>6826</v>
      </c>
      <c r="D591" s="141">
        <v>6561</v>
      </c>
      <c r="E591" s="117">
        <v>6842</v>
      </c>
      <c r="F591">
        <v>9.4</v>
      </c>
      <c r="G591" s="162">
        <v>3.1</v>
      </c>
      <c r="H591" s="164">
        <v>92009</v>
      </c>
      <c r="I591" s="161">
        <v>915139542</v>
      </c>
      <c r="J591"/>
      <c r="K591" s="129"/>
    </row>
    <row r="592" spans="1:11" x14ac:dyDescent="0.25">
      <c r="A592" t="s">
        <v>622</v>
      </c>
      <c r="B592" s="117">
        <v>4410</v>
      </c>
      <c r="C592" s="117">
        <v>4689</v>
      </c>
      <c r="D592" s="141">
        <v>4678</v>
      </c>
      <c r="E592" s="117">
        <v>4962</v>
      </c>
      <c r="F592">
        <v>8.8000000000000007</v>
      </c>
      <c r="G592" s="162">
        <v>3.29</v>
      </c>
      <c r="H592" s="164">
        <v>61250</v>
      </c>
      <c r="I592" s="161">
        <v>578951316</v>
      </c>
      <c r="J592"/>
      <c r="K592" s="129"/>
    </row>
    <row r="593" spans="1:11" x14ac:dyDescent="0.25">
      <c r="A593" t="s">
        <v>623</v>
      </c>
      <c r="B593" s="117">
        <v>44479</v>
      </c>
      <c r="C593" s="117">
        <v>42361</v>
      </c>
      <c r="D593" s="141">
        <v>42862</v>
      </c>
      <c r="E593" s="117">
        <v>41263</v>
      </c>
      <c r="F593">
        <v>19</v>
      </c>
      <c r="G593" s="162">
        <v>4.6500000000000004</v>
      </c>
      <c r="H593" s="164">
        <v>46943</v>
      </c>
      <c r="I593" s="161">
        <v>3026199453</v>
      </c>
      <c r="J593"/>
      <c r="K593" s="129"/>
    </row>
    <row r="594" spans="1:11" x14ac:dyDescent="0.25">
      <c r="A594" t="s">
        <v>624</v>
      </c>
      <c r="B594" s="117">
        <v>1065</v>
      </c>
      <c r="C594" s="117">
        <v>939</v>
      </c>
      <c r="D594" s="141">
        <v>869</v>
      </c>
      <c r="E594" s="117">
        <v>878</v>
      </c>
      <c r="F594">
        <v>30.9</v>
      </c>
      <c r="G594" s="162">
        <v>3.63</v>
      </c>
      <c r="H594" s="164">
        <v>39125</v>
      </c>
      <c r="I594" s="161">
        <v>82664644</v>
      </c>
      <c r="J594"/>
      <c r="K594" s="129"/>
    </row>
    <row r="595" spans="1:11" x14ac:dyDescent="0.25">
      <c r="A595" t="s">
        <v>625</v>
      </c>
      <c r="B595" s="117">
        <v>234</v>
      </c>
      <c r="C595" s="117">
        <v>204</v>
      </c>
      <c r="D595" s="141">
        <v>246</v>
      </c>
      <c r="E595" s="117">
        <v>249</v>
      </c>
      <c r="F595">
        <v>25.5</v>
      </c>
      <c r="G595" s="162">
        <v>3.68</v>
      </c>
      <c r="H595" s="164">
        <v>31250</v>
      </c>
      <c r="I595" s="161">
        <v>24836339</v>
      </c>
      <c r="J595"/>
      <c r="K595" s="129"/>
    </row>
    <row r="596" spans="1:11" x14ac:dyDescent="0.25">
      <c r="A596" t="s">
        <v>626</v>
      </c>
      <c r="B596" s="117">
        <v>465</v>
      </c>
      <c r="C596" s="117">
        <v>792</v>
      </c>
      <c r="D596" s="141">
        <v>526</v>
      </c>
      <c r="E596" s="117">
        <v>564</v>
      </c>
      <c r="F596">
        <v>18.899999999999999</v>
      </c>
      <c r="G596" s="162">
        <v>3.99</v>
      </c>
      <c r="H596" s="164">
        <v>68750</v>
      </c>
      <c r="I596" s="161">
        <v>76925616</v>
      </c>
      <c r="J596"/>
      <c r="K596" s="129"/>
    </row>
    <row r="597" spans="1:11" x14ac:dyDescent="0.25">
      <c r="A597" t="s">
        <v>627</v>
      </c>
      <c r="B597" s="117">
        <v>841</v>
      </c>
      <c r="C597" s="117">
        <v>1092</v>
      </c>
      <c r="D597" s="141">
        <v>912</v>
      </c>
      <c r="E597" s="117">
        <v>1047</v>
      </c>
      <c r="F597">
        <v>7.5</v>
      </c>
      <c r="G597" s="162">
        <v>3.45</v>
      </c>
      <c r="H597" s="164">
        <v>56042</v>
      </c>
      <c r="I597" s="161">
        <v>185675377</v>
      </c>
      <c r="J597"/>
      <c r="K597" s="129"/>
    </row>
    <row r="598" spans="1:11" x14ac:dyDescent="0.25">
      <c r="A598" t="s">
        <v>628</v>
      </c>
      <c r="B598" s="117">
        <v>344</v>
      </c>
      <c r="C598" s="117">
        <v>216</v>
      </c>
      <c r="D598" s="141">
        <v>307</v>
      </c>
      <c r="E598" s="117">
        <v>317</v>
      </c>
      <c r="F598">
        <v>12</v>
      </c>
      <c r="G598" s="162">
        <v>3.84</v>
      </c>
      <c r="H598" s="164">
        <v>31250</v>
      </c>
      <c r="I598" s="161">
        <v>17400982</v>
      </c>
      <c r="J598"/>
      <c r="K598" s="129"/>
    </row>
    <row r="599" spans="1:11" x14ac:dyDescent="0.25">
      <c r="A599" t="s">
        <v>629</v>
      </c>
      <c r="B599" s="117">
        <v>684</v>
      </c>
      <c r="C599" s="117">
        <v>565</v>
      </c>
      <c r="D599" s="141">
        <v>629</v>
      </c>
      <c r="E599" s="117">
        <v>642</v>
      </c>
      <c r="F599">
        <v>17</v>
      </c>
      <c r="G599" s="162">
        <v>4.46</v>
      </c>
      <c r="H599" s="164">
        <v>67574</v>
      </c>
      <c r="I599" s="161">
        <v>47654274</v>
      </c>
      <c r="J599"/>
      <c r="K599" s="129"/>
    </row>
    <row r="600" spans="1:11" x14ac:dyDescent="0.25">
      <c r="A600" t="s">
        <v>630</v>
      </c>
      <c r="B600" s="117">
        <v>5305</v>
      </c>
      <c r="C600" s="117">
        <v>4966</v>
      </c>
      <c r="D600" s="141">
        <v>4741</v>
      </c>
      <c r="E600" s="117">
        <v>4921</v>
      </c>
      <c r="F600">
        <v>30</v>
      </c>
      <c r="G600" s="162">
        <v>4.45</v>
      </c>
      <c r="H600" s="164">
        <v>34125</v>
      </c>
      <c r="I600" s="161">
        <v>369719341</v>
      </c>
      <c r="J600"/>
      <c r="K600" s="129"/>
    </row>
    <row r="601" spans="1:11" x14ac:dyDescent="0.25">
      <c r="A601" t="s">
        <v>631</v>
      </c>
      <c r="B601" s="117">
        <v>773</v>
      </c>
      <c r="C601" s="117">
        <v>899</v>
      </c>
      <c r="D601" s="141">
        <v>632</v>
      </c>
      <c r="E601" s="117">
        <v>608</v>
      </c>
      <c r="F601">
        <v>8.9</v>
      </c>
      <c r="G601" s="162">
        <v>5.32</v>
      </c>
      <c r="H601" s="164">
        <v>53516</v>
      </c>
      <c r="I601" s="161">
        <v>31395575</v>
      </c>
      <c r="J601"/>
      <c r="K601" s="129"/>
    </row>
    <row r="602" spans="1:11" x14ac:dyDescent="0.25">
      <c r="A602" t="s">
        <v>632</v>
      </c>
      <c r="B602" s="117">
        <v>1069079</v>
      </c>
      <c r="C602" s="117">
        <v>1151009</v>
      </c>
      <c r="D602" s="141">
        <v>1114815</v>
      </c>
      <c r="E602" s="117">
        <v>1194900</v>
      </c>
      <c r="F602">
        <v>7.9</v>
      </c>
      <c r="G602" s="162">
        <v>3</v>
      </c>
      <c r="H602" s="164">
        <v>101763</v>
      </c>
      <c r="I602" s="161">
        <v>207548167530</v>
      </c>
      <c r="J602"/>
      <c r="K602" s="129"/>
    </row>
    <row r="603" spans="1:11" x14ac:dyDescent="0.25">
      <c r="A603" t="s">
        <v>633</v>
      </c>
      <c r="B603" s="117">
        <v>42111</v>
      </c>
      <c r="C603" s="117">
        <v>51199</v>
      </c>
      <c r="D603" s="141">
        <v>46142</v>
      </c>
      <c r="E603" s="117">
        <v>54230</v>
      </c>
      <c r="F603">
        <v>2.9</v>
      </c>
      <c r="G603" s="162">
        <v>3</v>
      </c>
      <c r="H603" s="164">
        <v>120777</v>
      </c>
      <c r="I603" s="161">
        <v>7876330021</v>
      </c>
      <c r="J603"/>
      <c r="K603" s="129"/>
    </row>
    <row r="604" spans="1:11" x14ac:dyDescent="0.25">
      <c r="A604" t="s">
        <v>634</v>
      </c>
      <c r="B604" s="117">
        <v>5099</v>
      </c>
      <c r="C604" s="117">
        <v>5793</v>
      </c>
      <c r="D604" s="141">
        <v>5620</v>
      </c>
      <c r="E604" s="117">
        <v>5893</v>
      </c>
      <c r="F604">
        <v>6</v>
      </c>
      <c r="G604" s="162">
        <v>3.67</v>
      </c>
      <c r="H604" s="164">
        <v>80761</v>
      </c>
      <c r="I604" s="161">
        <v>659130952</v>
      </c>
      <c r="J604"/>
      <c r="K604" s="129"/>
    </row>
    <row r="605" spans="1:11" x14ac:dyDescent="0.25">
      <c r="A605" t="s">
        <v>635</v>
      </c>
      <c r="B605" s="117">
        <v>3891</v>
      </c>
      <c r="C605" s="117">
        <v>3438</v>
      </c>
      <c r="D605" s="141">
        <v>3500</v>
      </c>
      <c r="E605" s="117">
        <v>3476</v>
      </c>
      <c r="F605">
        <v>20.3</v>
      </c>
      <c r="G605" s="162">
        <v>3.32</v>
      </c>
      <c r="H605" s="164">
        <v>49358</v>
      </c>
      <c r="I605" s="161">
        <v>277386473</v>
      </c>
      <c r="J605"/>
      <c r="K605" s="129"/>
    </row>
    <row r="606" spans="1:11" x14ac:dyDescent="0.25">
      <c r="A606" t="s">
        <v>636</v>
      </c>
      <c r="B606" s="117">
        <v>3053</v>
      </c>
      <c r="C606" s="117">
        <v>3104</v>
      </c>
      <c r="D606" s="141">
        <v>3056</v>
      </c>
      <c r="E606" s="117">
        <v>3200</v>
      </c>
      <c r="F606">
        <v>6.4</v>
      </c>
      <c r="G606" s="162">
        <v>3.47</v>
      </c>
      <c r="H606" s="164">
        <v>78821</v>
      </c>
      <c r="I606" s="161">
        <v>364955016</v>
      </c>
      <c r="J606"/>
      <c r="K606" s="129"/>
    </row>
    <row r="607" spans="1:11" x14ac:dyDescent="0.25">
      <c r="A607" t="s">
        <v>637</v>
      </c>
      <c r="B607" s="117">
        <v>1892</v>
      </c>
      <c r="C607" s="117">
        <v>2046</v>
      </c>
      <c r="D607" s="141">
        <v>1583</v>
      </c>
      <c r="E607" s="117">
        <v>1619</v>
      </c>
      <c r="F607">
        <v>13.8</v>
      </c>
      <c r="G607" s="162">
        <v>3.22</v>
      </c>
      <c r="H607" s="164">
        <v>44700</v>
      </c>
      <c r="I607" s="161">
        <v>161596751</v>
      </c>
      <c r="J607"/>
      <c r="K607" s="129"/>
    </row>
    <row r="608" spans="1:11" x14ac:dyDescent="0.25">
      <c r="A608" t="s">
        <v>638</v>
      </c>
      <c r="B608" s="117">
        <v>994</v>
      </c>
      <c r="C608" s="117">
        <v>1684</v>
      </c>
      <c r="D608" s="141">
        <v>1062</v>
      </c>
      <c r="E608" s="117">
        <v>1153</v>
      </c>
      <c r="F608">
        <v>8.1</v>
      </c>
      <c r="G608" s="162">
        <v>3.68</v>
      </c>
      <c r="H608" s="164">
        <v>145417</v>
      </c>
      <c r="I608" s="161">
        <v>207487041</v>
      </c>
      <c r="J608"/>
      <c r="K608" s="129"/>
    </row>
    <row r="609" spans="1:11" x14ac:dyDescent="0.25">
      <c r="A609" t="s">
        <v>639</v>
      </c>
      <c r="B609" s="117">
        <v>222</v>
      </c>
      <c r="C609" s="117">
        <v>288</v>
      </c>
      <c r="D609" s="141">
        <v>193</v>
      </c>
      <c r="E609" s="117">
        <v>194</v>
      </c>
      <c r="F609">
        <v>12.8</v>
      </c>
      <c r="G609" s="162">
        <v>3.04</v>
      </c>
      <c r="H609" s="164">
        <v>37125</v>
      </c>
      <c r="I609" s="161">
        <v>14127849</v>
      </c>
      <c r="J609"/>
      <c r="K609" s="129"/>
    </row>
    <row r="610" spans="1:11" x14ac:dyDescent="0.25">
      <c r="A610" t="s">
        <v>640</v>
      </c>
      <c r="B610" s="117">
        <v>19898</v>
      </c>
      <c r="C610" s="117">
        <v>18751</v>
      </c>
      <c r="D610" s="141">
        <v>18739</v>
      </c>
      <c r="E610" s="117">
        <v>18615</v>
      </c>
      <c r="F610">
        <v>22.2</v>
      </c>
      <c r="G610" s="162">
        <v>4.54</v>
      </c>
      <c r="H610" s="164">
        <v>45279</v>
      </c>
      <c r="I610" s="161">
        <v>2868781049</v>
      </c>
      <c r="J610"/>
      <c r="K610" s="129"/>
    </row>
    <row r="611" spans="1:11" x14ac:dyDescent="0.25">
      <c r="A611" t="s">
        <v>641</v>
      </c>
      <c r="B611" s="117">
        <v>1188</v>
      </c>
      <c r="C611" s="117">
        <v>859</v>
      </c>
      <c r="D611" s="141">
        <v>851</v>
      </c>
      <c r="E611" s="117">
        <v>821</v>
      </c>
      <c r="F611">
        <v>25.6</v>
      </c>
      <c r="G611" s="162">
        <v>4.54</v>
      </c>
      <c r="H611" s="164">
        <v>37188</v>
      </c>
      <c r="I611" s="161">
        <v>72024183</v>
      </c>
      <c r="J611"/>
      <c r="K611" s="129"/>
    </row>
    <row r="612" spans="1:11" x14ac:dyDescent="0.25">
      <c r="A612" t="s">
        <v>642</v>
      </c>
      <c r="B612" s="117">
        <v>3119</v>
      </c>
      <c r="C612" s="117">
        <v>2728</v>
      </c>
      <c r="D612" s="141">
        <v>2769</v>
      </c>
      <c r="E612" s="117">
        <v>2735</v>
      </c>
      <c r="F612">
        <v>10.6</v>
      </c>
      <c r="G612" s="162">
        <v>3.32</v>
      </c>
      <c r="H612" s="164">
        <v>46944</v>
      </c>
      <c r="I612" s="161">
        <v>259180703</v>
      </c>
      <c r="J612"/>
      <c r="K612" s="129"/>
    </row>
    <row r="613" spans="1:11" x14ac:dyDescent="0.25">
      <c r="A613" t="s">
        <v>643</v>
      </c>
      <c r="B613" s="117">
        <v>11922</v>
      </c>
      <c r="C613" s="117">
        <v>10905</v>
      </c>
      <c r="D613" s="141">
        <v>11160</v>
      </c>
      <c r="E613" s="117">
        <v>10548</v>
      </c>
      <c r="F613">
        <v>24.7</v>
      </c>
      <c r="G613" s="162">
        <v>4.99</v>
      </c>
      <c r="H613" s="164">
        <v>41750</v>
      </c>
      <c r="I613" s="161">
        <v>1034910473</v>
      </c>
      <c r="J613"/>
      <c r="K613" s="129"/>
    </row>
    <row r="614" spans="1:11" x14ac:dyDescent="0.25">
      <c r="A614" t="s">
        <v>644</v>
      </c>
      <c r="B614" s="117">
        <v>609</v>
      </c>
      <c r="C614" s="117">
        <v>470</v>
      </c>
      <c r="D614" s="141">
        <v>396</v>
      </c>
      <c r="E614" s="117">
        <v>382</v>
      </c>
      <c r="F614">
        <v>10.199999999999999</v>
      </c>
      <c r="G614" s="162">
        <v>3.97</v>
      </c>
      <c r="H614" s="164">
        <v>86875</v>
      </c>
      <c r="I614" s="161">
        <v>57160916</v>
      </c>
      <c r="J614"/>
      <c r="K614" s="129"/>
    </row>
    <row r="615" spans="1:11" x14ac:dyDescent="0.25">
      <c r="A615" t="s">
        <v>645</v>
      </c>
      <c r="B615" s="117">
        <v>9590</v>
      </c>
      <c r="C615" s="117">
        <v>9754</v>
      </c>
      <c r="D615" s="141">
        <v>9867</v>
      </c>
      <c r="E615" s="117">
        <v>9705</v>
      </c>
      <c r="F615">
        <v>19.7</v>
      </c>
      <c r="G615" s="162">
        <v>3.97</v>
      </c>
      <c r="H615" s="164">
        <v>41723</v>
      </c>
      <c r="I615" s="161">
        <v>961766087</v>
      </c>
      <c r="J615"/>
      <c r="K615" s="129"/>
    </row>
    <row r="616" spans="1:11" x14ac:dyDescent="0.25">
      <c r="A616" t="s">
        <v>646</v>
      </c>
      <c r="B616" s="117">
        <v>54925</v>
      </c>
      <c r="C616" s="117">
        <v>54607</v>
      </c>
      <c r="D616" s="141">
        <v>54466</v>
      </c>
      <c r="E616" s="117">
        <v>54972</v>
      </c>
      <c r="F616">
        <v>24.7</v>
      </c>
      <c r="G616" s="162">
        <v>3.34</v>
      </c>
      <c r="H616" s="164">
        <v>51367</v>
      </c>
      <c r="I616" s="161">
        <v>14247334002</v>
      </c>
      <c r="J616"/>
      <c r="K616" s="129"/>
    </row>
    <row r="617" spans="1:11" x14ac:dyDescent="0.25">
      <c r="A617" t="s">
        <v>647</v>
      </c>
      <c r="B617" s="117">
        <v>185</v>
      </c>
      <c r="C617" s="117">
        <v>244</v>
      </c>
      <c r="D617" s="141">
        <v>182</v>
      </c>
      <c r="E617" s="117">
        <v>195</v>
      </c>
      <c r="F617">
        <v>20.100000000000001</v>
      </c>
      <c r="G617" s="162">
        <v>3.31</v>
      </c>
      <c r="H617" s="164">
        <v>36042</v>
      </c>
      <c r="I617" s="161">
        <v>11502099</v>
      </c>
      <c r="J617"/>
      <c r="K617" s="129"/>
    </row>
    <row r="618" spans="1:11" x14ac:dyDescent="0.25">
      <c r="A618" t="s">
        <v>648</v>
      </c>
      <c r="B618" s="117">
        <v>15237</v>
      </c>
      <c r="C618" s="117">
        <v>21565</v>
      </c>
      <c r="D618" s="141">
        <v>19551</v>
      </c>
      <c r="E618" s="117">
        <v>23353</v>
      </c>
      <c r="F618">
        <v>4.3</v>
      </c>
      <c r="G618" s="162">
        <v>3.1</v>
      </c>
      <c r="H618" s="164">
        <v>128115</v>
      </c>
      <c r="I618" s="161">
        <v>3350241071</v>
      </c>
      <c r="J618"/>
      <c r="K618" s="129"/>
    </row>
    <row r="619" spans="1:11" x14ac:dyDescent="0.25">
      <c r="A619" t="s">
        <v>649</v>
      </c>
      <c r="B619" s="117">
        <v>123603</v>
      </c>
      <c r="C619" s="117">
        <v>117606</v>
      </c>
      <c r="D619" s="141">
        <v>117947</v>
      </c>
      <c r="E619" s="117">
        <v>117748</v>
      </c>
      <c r="F619">
        <v>16.899999999999999</v>
      </c>
      <c r="G619" s="162">
        <v>3.68</v>
      </c>
      <c r="H619" s="164">
        <v>58082</v>
      </c>
      <c r="I619" s="161">
        <v>9508140976</v>
      </c>
      <c r="J619"/>
      <c r="K619" s="129"/>
    </row>
    <row r="620" spans="1:11" x14ac:dyDescent="0.25">
      <c r="A620" t="s">
        <v>650</v>
      </c>
      <c r="B620" s="117">
        <v>9965</v>
      </c>
      <c r="C620" s="117">
        <v>10408</v>
      </c>
      <c r="D620" s="141">
        <v>10117</v>
      </c>
      <c r="E620" s="117">
        <v>10642</v>
      </c>
      <c r="F620">
        <v>15.3</v>
      </c>
      <c r="G620" s="162">
        <v>3.16</v>
      </c>
      <c r="H620" s="164">
        <v>50554</v>
      </c>
      <c r="I620" s="161">
        <v>1650197313</v>
      </c>
      <c r="J620"/>
      <c r="K620" s="129"/>
    </row>
    <row r="621" spans="1:11" x14ac:dyDescent="0.25">
      <c r="A621" t="s">
        <v>651</v>
      </c>
      <c r="B621" s="117">
        <v>3940</v>
      </c>
      <c r="C621" s="117">
        <v>4618</v>
      </c>
      <c r="D621" s="141">
        <v>4433</v>
      </c>
      <c r="E621" s="117">
        <v>4807</v>
      </c>
      <c r="F621">
        <v>5.6</v>
      </c>
      <c r="G621" s="162">
        <v>2.86</v>
      </c>
      <c r="H621" s="164">
        <v>90000</v>
      </c>
      <c r="I621" s="161">
        <v>1263255080</v>
      </c>
      <c r="J621"/>
      <c r="K621" s="129"/>
    </row>
    <row r="622" spans="1:11" x14ac:dyDescent="0.25">
      <c r="A622" t="s">
        <v>652</v>
      </c>
      <c r="B622" s="117">
        <v>362</v>
      </c>
      <c r="C622" s="117">
        <v>501</v>
      </c>
      <c r="D622" s="141">
        <v>371</v>
      </c>
      <c r="E622" s="117">
        <v>374</v>
      </c>
      <c r="F622">
        <v>28.8</v>
      </c>
      <c r="G622" s="162">
        <v>3.57</v>
      </c>
      <c r="H622" s="164">
        <v>54444</v>
      </c>
      <c r="I622" s="161">
        <v>57078744</v>
      </c>
      <c r="J622"/>
      <c r="K622" s="129"/>
    </row>
    <row r="623" spans="1:11" x14ac:dyDescent="0.25">
      <c r="A623" t="s">
        <v>653</v>
      </c>
      <c r="B623" s="117">
        <v>10794</v>
      </c>
      <c r="C623" s="117">
        <v>13468</v>
      </c>
      <c r="D623" s="141">
        <v>12758</v>
      </c>
      <c r="E623" s="117">
        <v>14267</v>
      </c>
      <c r="F623">
        <v>3.6</v>
      </c>
      <c r="G623" s="162">
        <v>3.31</v>
      </c>
      <c r="H623" s="164">
        <v>196159</v>
      </c>
      <c r="I623" s="161">
        <v>3484708276</v>
      </c>
      <c r="J623"/>
      <c r="K623" s="129"/>
    </row>
    <row r="624" spans="1:11" x14ac:dyDescent="0.25">
      <c r="A624" t="s">
        <v>654</v>
      </c>
      <c r="B624" s="117">
        <v>1715</v>
      </c>
      <c r="C624" s="117">
        <v>1522</v>
      </c>
      <c r="D624" s="141">
        <v>1462</v>
      </c>
      <c r="E624" s="117">
        <v>1386</v>
      </c>
      <c r="F624">
        <v>24.8</v>
      </c>
      <c r="G624" s="162">
        <v>5.35</v>
      </c>
      <c r="H624" s="164">
        <v>38725</v>
      </c>
      <c r="I624" s="161">
        <v>97062926</v>
      </c>
      <c r="J624"/>
      <c r="K624" s="129"/>
    </row>
    <row r="625" spans="1:11" x14ac:dyDescent="0.25">
      <c r="A625" t="s">
        <v>655</v>
      </c>
      <c r="B625" s="117">
        <v>7308</v>
      </c>
      <c r="C625" s="117">
        <v>11585</v>
      </c>
      <c r="D625" s="141">
        <v>9358</v>
      </c>
      <c r="E625" s="117">
        <v>12971</v>
      </c>
      <c r="F625">
        <v>4.2</v>
      </c>
      <c r="G625" s="162">
        <v>3</v>
      </c>
      <c r="H625" s="164">
        <v>93848</v>
      </c>
      <c r="I625" s="161">
        <v>1598347075</v>
      </c>
      <c r="J625"/>
      <c r="K625" s="129"/>
    </row>
    <row r="626" spans="1:11" x14ac:dyDescent="0.25">
      <c r="A626" t="s">
        <v>656</v>
      </c>
      <c r="B626" s="117">
        <v>2730</v>
      </c>
      <c r="C626" s="117">
        <v>2670</v>
      </c>
      <c r="D626" s="141">
        <v>2661</v>
      </c>
      <c r="E626" s="117">
        <v>2682</v>
      </c>
      <c r="F626">
        <v>20.100000000000001</v>
      </c>
      <c r="G626" s="162">
        <v>3.93</v>
      </c>
      <c r="H626" s="164">
        <v>67455</v>
      </c>
      <c r="I626" s="161"/>
      <c r="J626"/>
      <c r="K626" s="129"/>
    </row>
    <row r="627" spans="1:11" x14ac:dyDescent="0.25">
      <c r="A627" t="s">
        <v>657</v>
      </c>
      <c r="B627" s="117">
        <v>8974</v>
      </c>
      <c r="C627" s="117">
        <v>8923</v>
      </c>
      <c r="D627" s="141">
        <v>8519</v>
      </c>
      <c r="E627" s="117">
        <v>9263</v>
      </c>
      <c r="F627">
        <v>3.4</v>
      </c>
      <c r="G627" s="162">
        <v>3.1</v>
      </c>
      <c r="H627" s="164">
        <v>129962</v>
      </c>
      <c r="I627" s="161">
        <v>1630230542</v>
      </c>
      <c r="J627"/>
      <c r="K627" s="129"/>
    </row>
    <row r="628" spans="1:11" x14ac:dyDescent="0.25">
      <c r="A628" t="s">
        <v>658</v>
      </c>
      <c r="B628" s="117">
        <v>1539</v>
      </c>
      <c r="C628" s="117">
        <v>1567</v>
      </c>
      <c r="D628" s="141">
        <v>1285</v>
      </c>
      <c r="E628" s="117">
        <v>1427</v>
      </c>
      <c r="F628">
        <v>15.3</v>
      </c>
      <c r="G628" s="162">
        <v>3.11</v>
      </c>
      <c r="H628" s="164">
        <v>54306</v>
      </c>
      <c r="I628" s="161">
        <v>452877150</v>
      </c>
      <c r="J628"/>
      <c r="K628" s="129"/>
    </row>
    <row r="629" spans="1:11" x14ac:dyDescent="0.25">
      <c r="A629" t="s">
        <v>660</v>
      </c>
      <c r="B629" s="117">
        <v>3288</v>
      </c>
      <c r="C629" s="117">
        <v>5081</v>
      </c>
      <c r="D629" s="141">
        <v>4781</v>
      </c>
      <c r="E629" s="117">
        <v>5465</v>
      </c>
      <c r="F629">
        <v>5.8</v>
      </c>
      <c r="G629" s="162">
        <v>3.45</v>
      </c>
      <c r="H629" s="164">
        <v>112517</v>
      </c>
      <c r="I629" s="161">
        <v>1022760364</v>
      </c>
      <c r="J629"/>
      <c r="K629" s="129"/>
    </row>
    <row r="630" spans="1:11" x14ac:dyDescent="0.25">
      <c r="A630" t="s">
        <v>661</v>
      </c>
      <c r="B630" s="117">
        <v>649</v>
      </c>
      <c r="C630" s="117">
        <v>411</v>
      </c>
      <c r="D630" s="141">
        <v>634</v>
      </c>
      <c r="E630" s="117">
        <v>636</v>
      </c>
      <c r="F630">
        <v>13.6</v>
      </c>
      <c r="G630" s="162">
        <v>4.9800000000000004</v>
      </c>
      <c r="H630" s="164">
        <v>41875</v>
      </c>
      <c r="I630" s="161">
        <v>38769213</v>
      </c>
      <c r="J630"/>
      <c r="K630" s="129"/>
    </row>
    <row r="631" spans="1:11" x14ac:dyDescent="0.25">
      <c r="A631" t="s">
        <v>662</v>
      </c>
      <c r="B631" s="117">
        <v>1000</v>
      </c>
      <c r="C631" s="117">
        <v>961</v>
      </c>
      <c r="D631" s="141">
        <v>840</v>
      </c>
      <c r="E631" s="117">
        <v>837</v>
      </c>
      <c r="F631">
        <v>6.4</v>
      </c>
      <c r="G631" s="162">
        <v>4.71</v>
      </c>
      <c r="H631" s="164">
        <v>76667</v>
      </c>
      <c r="I631" s="161">
        <v>317954554</v>
      </c>
      <c r="J631"/>
      <c r="K631" s="129"/>
    </row>
    <row r="632" spans="1:11" x14ac:dyDescent="0.25">
      <c r="A632" t="s">
        <v>663</v>
      </c>
      <c r="B632" s="117">
        <v>5386</v>
      </c>
      <c r="C632" s="117">
        <v>4721</v>
      </c>
      <c r="D632" s="141">
        <v>4847</v>
      </c>
      <c r="E632" s="117">
        <v>4720</v>
      </c>
      <c r="F632">
        <v>16.2</v>
      </c>
      <c r="G632" s="162">
        <v>4.0599999999999996</v>
      </c>
      <c r="H632" s="164">
        <v>38004</v>
      </c>
      <c r="I632" s="161">
        <v>539764466</v>
      </c>
      <c r="J632"/>
      <c r="K632" s="129"/>
    </row>
    <row r="633" spans="1:11" x14ac:dyDescent="0.25">
      <c r="A633" t="s">
        <v>664</v>
      </c>
      <c r="B633" s="117">
        <v>732</v>
      </c>
      <c r="C633" s="117">
        <v>592</v>
      </c>
      <c r="D633" s="141">
        <v>587</v>
      </c>
      <c r="E633" s="117">
        <v>592</v>
      </c>
      <c r="F633">
        <v>3.2</v>
      </c>
      <c r="G633" s="162">
        <v>3.95</v>
      </c>
      <c r="H633" s="164">
        <v>66625</v>
      </c>
      <c r="I633" s="161">
        <v>79094505</v>
      </c>
      <c r="J633"/>
      <c r="K633" s="129"/>
    </row>
    <row r="634" spans="1:11" x14ac:dyDescent="0.25">
      <c r="A634" t="s">
        <v>666</v>
      </c>
      <c r="B634" s="117">
        <v>68469</v>
      </c>
      <c r="C634" s="117">
        <v>65983</v>
      </c>
      <c r="D634" s="141">
        <v>66189</v>
      </c>
      <c r="E634" s="117">
        <v>65987</v>
      </c>
      <c r="F634">
        <v>16.399999999999999</v>
      </c>
      <c r="G634" s="162">
        <v>3.67</v>
      </c>
      <c r="H634" s="164">
        <v>50438</v>
      </c>
      <c r="I634" s="161">
        <v>6344087650</v>
      </c>
      <c r="J634"/>
      <c r="K634" s="129"/>
    </row>
    <row r="635" spans="1:11" x14ac:dyDescent="0.25">
      <c r="A635" t="s">
        <v>667</v>
      </c>
      <c r="B635" s="117">
        <v>3495</v>
      </c>
      <c r="C635" s="117">
        <v>3664</v>
      </c>
      <c r="D635" s="141">
        <v>3623</v>
      </c>
      <c r="E635" s="117">
        <v>3693</v>
      </c>
      <c r="F635">
        <v>18.7</v>
      </c>
      <c r="G635" s="162">
        <v>3.67</v>
      </c>
      <c r="H635" s="164">
        <v>41175</v>
      </c>
      <c r="I635" s="161">
        <v>729862956</v>
      </c>
      <c r="J635"/>
      <c r="K635" s="129"/>
    </row>
    <row r="636" spans="1:11" x14ac:dyDescent="0.25">
      <c r="A636" t="s">
        <v>668</v>
      </c>
      <c r="B636" s="117">
        <v>5312</v>
      </c>
      <c r="C636" s="117">
        <v>5157</v>
      </c>
      <c r="D636" s="141">
        <v>5318</v>
      </c>
      <c r="E636" s="117">
        <v>5019</v>
      </c>
      <c r="F636">
        <v>30.6</v>
      </c>
      <c r="G636" s="162">
        <v>4.03</v>
      </c>
      <c r="H636" s="164">
        <v>40556</v>
      </c>
      <c r="I636" s="161">
        <v>450736575</v>
      </c>
      <c r="J636"/>
      <c r="K636" s="129"/>
    </row>
    <row r="637" spans="1:11" x14ac:dyDescent="0.25">
      <c r="A637" t="s">
        <v>669</v>
      </c>
      <c r="B637" s="117">
        <v>120194</v>
      </c>
      <c r="C637" s="117">
        <v>118578</v>
      </c>
      <c r="D637" s="141">
        <v>115083</v>
      </c>
      <c r="E637" s="117">
        <v>123756</v>
      </c>
      <c r="F637">
        <v>16.3</v>
      </c>
      <c r="G637" s="162">
        <v>3.38</v>
      </c>
      <c r="H637" s="164">
        <v>63900</v>
      </c>
      <c r="I637" s="161">
        <v>22584103122</v>
      </c>
      <c r="J637"/>
      <c r="K637" s="129"/>
    </row>
    <row r="638" spans="1:11" x14ac:dyDescent="0.25">
      <c r="A638" t="s">
        <v>670</v>
      </c>
      <c r="B638" s="117">
        <v>81435</v>
      </c>
      <c r="C638" s="117">
        <v>78648</v>
      </c>
      <c r="D638" s="141">
        <v>78991</v>
      </c>
      <c r="E638" s="117">
        <v>78792</v>
      </c>
      <c r="F638">
        <v>21</v>
      </c>
      <c r="G638" s="162">
        <v>4.6500000000000004</v>
      </c>
      <c r="H638" s="164">
        <v>51381</v>
      </c>
      <c r="I638" s="161">
        <v>8178602381</v>
      </c>
      <c r="J638"/>
      <c r="K638" s="129"/>
    </row>
    <row r="639" spans="1:11" x14ac:dyDescent="0.25">
      <c r="A639" t="s">
        <v>672</v>
      </c>
      <c r="B639" s="117">
        <v>2613</v>
      </c>
      <c r="C639" s="117">
        <v>2652</v>
      </c>
      <c r="D639" s="141">
        <v>2509</v>
      </c>
      <c r="E639" s="117">
        <v>2827</v>
      </c>
      <c r="F639">
        <v>33.6</v>
      </c>
      <c r="G639" s="162">
        <v>3.05</v>
      </c>
      <c r="H639" s="164">
        <v>61677</v>
      </c>
      <c r="I639" s="161">
        <v>357060794</v>
      </c>
      <c r="J639"/>
      <c r="K639" s="129"/>
    </row>
    <row r="640" spans="1:11" x14ac:dyDescent="0.25">
      <c r="A640" t="s">
        <v>671</v>
      </c>
      <c r="B640" s="117">
        <v>49272</v>
      </c>
      <c r="C640" s="117">
        <v>47740</v>
      </c>
      <c r="D640" s="141">
        <v>48015</v>
      </c>
      <c r="E640" s="117">
        <v>48098</v>
      </c>
      <c r="F640">
        <v>25.1</v>
      </c>
      <c r="G640" s="162">
        <v>4.6500000000000004</v>
      </c>
      <c r="H640" s="164">
        <v>47294</v>
      </c>
      <c r="I640" s="161">
        <v>4768834552</v>
      </c>
      <c r="J640"/>
      <c r="K640" s="129"/>
    </row>
    <row r="641" spans="1:11" x14ac:dyDescent="0.25">
      <c r="A641" t="s">
        <v>673</v>
      </c>
      <c r="B641" s="117">
        <v>3457</v>
      </c>
      <c r="C641" s="117">
        <v>3417</v>
      </c>
      <c r="D641" s="141">
        <v>3529</v>
      </c>
      <c r="E641" s="117">
        <v>3230</v>
      </c>
      <c r="F641">
        <v>25.4</v>
      </c>
      <c r="G641" s="162">
        <v>4.68</v>
      </c>
      <c r="H641" s="164">
        <v>38631</v>
      </c>
      <c r="I641" s="161">
        <v>156709068</v>
      </c>
      <c r="J641"/>
      <c r="K641" s="129"/>
    </row>
    <row r="642" spans="1:11" x14ac:dyDescent="0.25">
      <c r="A642" t="s">
        <v>674</v>
      </c>
      <c r="B642" s="117">
        <v>754</v>
      </c>
      <c r="C642" s="117">
        <v>749</v>
      </c>
      <c r="D642" s="141">
        <v>560</v>
      </c>
      <c r="E642" s="117">
        <v>575</v>
      </c>
      <c r="F642">
        <v>13.3</v>
      </c>
      <c r="G642" s="162">
        <v>3.6</v>
      </c>
      <c r="H642" s="164">
        <v>71875</v>
      </c>
      <c r="I642" s="161">
        <v>48794035</v>
      </c>
      <c r="J642"/>
      <c r="K642" s="129"/>
    </row>
    <row r="643" spans="1:11" x14ac:dyDescent="0.25">
      <c r="A643" t="s">
        <v>675</v>
      </c>
      <c r="B643" s="117">
        <v>4258</v>
      </c>
      <c r="C643" s="117">
        <v>4169</v>
      </c>
      <c r="D643" s="141">
        <v>4019</v>
      </c>
      <c r="E643" s="117">
        <v>4413</v>
      </c>
      <c r="F643">
        <v>17.7</v>
      </c>
      <c r="G643" s="162">
        <v>3.1</v>
      </c>
      <c r="H643" s="164">
        <v>65208</v>
      </c>
      <c r="I643" s="161">
        <v>193598025</v>
      </c>
      <c r="J643"/>
      <c r="K643" s="129"/>
    </row>
    <row r="644" spans="1:11" x14ac:dyDescent="0.25">
      <c r="A644" t="s">
        <v>676</v>
      </c>
      <c r="B644" s="117">
        <v>244115</v>
      </c>
      <c r="C644" s="117">
        <v>250887</v>
      </c>
      <c r="D644" s="141">
        <v>248455</v>
      </c>
      <c r="E644" s="117">
        <v>255417</v>
      </c>
      <c r="F644">
        <v>17.899999999999999</v>
      </c>
      <c r="G644" s="162">
        <v>3.67</v>
      </c>
      <c r="H644" s="164">
        <v>57673</v>
      </c>
      <c r="I644" s="161">
        <v>27685093433</v>
      </c>
      <c r="J644"/>
      <c r="K644" s="129"/>
    </row>
    <row r="645" spans="1:11" x14ac:dyDescent="0.25">
      <c r="A645" t="s">
        <v>677</v>
      </c>
      <c r="B645" s="117">
        <v>9645</v>
      </c>
      <c r="C645" s="117">
        <v>10624</v>
      </c>
      <c r="D645" s="141">
        <v>10287</v>
      </c>
      <c r="E645" s="117">
        <v>10883</v>
      </c>
      <c r="F645">
        <v>9.4</v>
      </c>
      <c r="G645" s="162">
        <v>4.07</v>
      </c>
      <c r="H645" s="164">
        <v>82783</v>
      </c>
      <c r="I645" s="161">
        <v>1039325481</v>
      </c>
      <c r="J645"/>
      <c r="K645" s="129"/>
    </row>
    <row r="646" spans="1:11" x14ac:dyDescent="0.25">
      <c r="A646" t="s">
        <v>678</v>
      </c>
      <c r="B646" s="117">
        <v>832</v>
      </c>
      <c r="C646" s="117">
        <v>606</v>
      </c>
      <c r="D646" s="141">
        <v>645</v>
      </c>
      <c r="E646" s="117">
        <v>425</v>
      </c>
      <c r="F646">
        <v>24.8</v>
      </c>
      <c r="G646" s="162">
        <v>4.16</v>
      </c>
      <c r="H646" s="164">
        <v>38750</v>
      </c>
      <c r="I646" s="161">
        <v>52556503</v>
      </c>
      <c r="J646"/>
      <c r="K646" s="129"/>
    </row>
    <row r="647" spans="1:11" x14ac:dyDescent="0.25">
      <c r="A647" t="s">
        <v>680</v>
      </c>
      <c r="B647" s="117">
        <v>6612</v>
      </c>
      <c r="C647" s="117">
        <v>7957</v>
      </c>
      <c r="D647" s="141">
        <v>7788</v>
      </c>
      <c r="E647" s="117">
        <v>8066</v>
      </c>
      <c r="F647">
        <v>13</v>
      </c>
      <c r="G647" s="162">
        <v>2.86</v>
      </c>
      <c r="H647" s="164">
        <v>62759</v>
      </c>
      <c r="I647" s="161">
        <v>1303800260</v>
      </c>
      <c r="J647"/>
      <c r="K647" s="129"/>
    </row>
    <row r="648" spans="1:11" x14ac:dyDescent="0.25">
      <c r="A648" t="s">
        <v>681</v>
      </c>
      <c r="B648" s="117">
        <v>785</v>
      </c>
      <c r="C648" s="117">
        <v>569</v>
      </c>
      <c r="D648" s="141">
        <v>580</v>
      </c>
      <c r="E648" s="117">
        <v>526</v>
      </c>
      <c r="F648">
        <v>27.6</v>
      </c>
      <c r="G648" s="162">
        <v>4.67</v>
      </c>
      <c r="H648" s="164">
        <v>28125</v>
      </c>
      <c r="I648" s="161">
        <v>31372379</v>
      </c>
      <c r="J648"/>
      <c r="K648" s="129"/>
    </row>
    <row r="649" spans="1:11" x14ac:dyDescent="0.25">
      <c r="A649" t="s">
        <v>682</v>
      </c>
      <c r="B649" s="117">
        <v>2565</v>
      </c>
      <c r="C649" s="117">
        <v>2679</v>
      </c>
      <c r="D649" s="141">
        <v>2494</v>
      </c>
      <c r="E649" s="117">
        <v>2485</v>
      </c>
      <c r="F649">
        <v>3.6</v>
      </c>
      <c r="G649" s="162">
        <v>3.38</v>
      </c>
      <c r="H649" s="164">
        <v>167273</v>
      </c>
      <c r="I649" s="161">
        <v>3847514171</v>
      </c>
      <c r="J649"/>
      <c r="K649" s="129"/>
    </row>
    <row r="650" spans="1:11" x14ac:dyDescent="0.25">
      <c r="A650" t="s">
        <v>683</v>
      </c>
      <c r="B650" s="117">
        <v>37602</v>
      </c>
      <c r="C650" s="117">
        <v>37419</v>
      </c>
      <c r="D650" s="141">
        <v>37247</v>
      </c>
      <c r="E650" s="117">
        <v>37722</v>
      </c>
      <c r="F650">
        <v>13.6</v>
      </c>
      <c r="G650" s="162">
        <v>3.19</v>
      </c>
      <c r="H650" s="164">
        <v>60321</v>
      </c>
      <c r="I650" s="161">
        <v>4045388858</v>
      </c>
      <c r="J650"/>
      <c r="K650" s="129"/>
    </row>
    <row r="651" spans="1:11" x14ac:dyDescent="0.25">
      <c r="A651" t="s">
        <v>685</v>
      </c>
      <c r="B651" s="117">
        <v>2888</v>
      </c>
      <c r="C651" s="117">
        <v>2986</v>
      </c>
      <c r="D651" s="141">
        <v>2985</v>
      </c>
      <c r="E651" s="117">
        <v>3026</v>
      </c>
      <c r="F651">
        <v>23</v>
      </c>
      <c r="G651" s="162">
        <v>3.19</v>
      </c>
      <c r="H651" s="164">
        <v>43577</v>
      </c>
      <c r="I651" s="161">
        <v>378748354</v>
      </c>
      <c r="J651"/>
      <c r="K651" s="129"/>
    </row>
    <row r="652" spans="1:11" x14ac:dyDescent="0.25">
      <c r="A652" t="s">
        <v>686</v>
      </c>
      <c r="B652" s="117">
        <v>17760</v>
      </c>
      <c r="C652" s="117">
        <v>18676</v>
      </c>
      <c r="D652" s="141">
        <v>18390</v>
      </c>
      <c r="E652" s="117">
        <v>18524</v>
      </c>
      <c r="F652">
        <v>14.9</v>
      </c>
      <c r="G652" s="162">
        <v>3.27</v>
      </c>
      <c r="H652" s="164">
        <v>54961</v>
      </c>
      <c r="I652" s="161">
        <v>2509760679</v>
      </c>
      <c r="J652"/>
      <c r="K652" s="129"/>
    </row>
    <row r="653" spans="1:11" x14ac:dyDescent="0.25">
      <c r="A653" t="s">
        <v>687</v>
      </c>
      <c r="B653" s="117">
        <v>2371</v>
      </c>
      <c r="C653" s="117">
        <v>2376</v>
      </c>
      <c r="D653" s="141">
        <v>1955</v>
      </c>
      <c r="E653" s="117">
        <v>1855</v>
      </c>
      <c r="F653">
        <v>34.299999999999997</v>
      </c>
      <c r="G653" s="162">
        <v>3.53</v>
      </c>
      <c r="H653" s="164">
        <v>28662</v>
      </c>
      <c r="I653" s="161">
        <v>105367913</v>
      </c>
      <c r="J653"/>
      <c r="K653" s="129"/>
    </row>
    <row r="654" spans="1:11" x14ac:dyDescent="0.25">
      <c r="A654" t="s">
        <v>688</v>
      </c>
      <c r="B654" s="117">
        <v>2003</v>
      </c>
      <c r="C654" s="117">
        <v>2581</v>
      </c>
      <c r="D654" s="141">
        <v>1752</v>
      </c>
      <c r="E654" s="117">
        <v>2940</v>
      </c>
      <c r="F654">
        <v>12.6</v>
      </c>
      <c r="G654" s="162">
        <v>3.31</v>
      </c>
      <c r="H654" s="164">
        <v>61813</v>
      </c>
      <c r="I654" s="161">
        <v>365876708</v>
      </c>
      <c r="J654"/>
      <c r="K654" s="129"/>
    </row>
    <row r="655" spans="1:11" x14ac:dyDescent="0.25">
      <c r="A655" t="s">
        <v>689</v>
      </c>
      <c r="B655" s="117">
        <v>5404</v>
      </c>
      <c r="C655" s="117">
        <v>7961</v>
      </c>
      <c r="D655" s="141">
        <v>6660</v>
      </c>
      <c r="E655" s="117">
        <v>8326</v>
      </c>
      <c r="F655">
        <v>12.2</v>
      </c>
      <c r="G655" s="162">
        <v>3</v>
      </c>
      <c r="H655" s="164">
        <v>58940</v>
      </c>
      <c r="I655" s="161">
        <v>1821002328</v>
      </c>
      <c r="J655"/>
      <c r="K655" s="129"/>
    </row>
  </sheetData>
  <sheetProtection algorithmName="SHA-512" hashValue="nxJMkqP0B13B061iKZ4EZMbMcom3jU3AsxOVms0Xr9iUi4xvHzTPkzL3L1wa/cX2j6rK83lRu85+8jzI/e6gwg==" saltValue="OuTiYHn68nLEJpV44kq4KA==" spinCount="100000" sheet="1" objects="1" scenarios="1" formatRows="0" insertHyperlinks="0"/>
  <mergeCells count="1">
    <mergeCell ref="A1:A2"/>
  </mergeCells>
  <phoneticPr fontId="35"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6 / v W i T s h 6 S k A A A A 9 g A A A B I A H A B D b 2 5 m a W c v U G F j a 2 F n Z S 5 4 b W w g o h g A K K A U A A A A A A A A A A A A A A A A A A A A A A A A A A A A h Y 9 N D o I w G E S v Q r q n f x p j S C k L t 5 K Y E I 3 b p l Z o h A 9 D i + V u L j y S V x C j q D u X 8 + Y t Z u 7 X m 8 i G p o 4 u p n O 2 h R Q x T F F k Q L c H C 2 W K e n + M l y i T Y q P 0 S Z U m G m V w y e A O K a q 8 P y e E h B B w m O G 2 K w m n l J F 9 v i 5 0 Z R q F P r L 9 L 8 c W n F e g D Z J i 9 x o j O W Z z h h e U Y y r I B E V u 4 S v w c e + z / Y F i 1 d e + 7 4 w 0 E G 8 L Q a Y o y P u D f A B Q S w M E F A A C A A g A V 6 / 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e v 7 1 o o i k e 4 D g A A A B E A A A A T A B w A R m 9 y b X V s Y X M v U 2 V j d G l v b j E u b S C i G A A o o B Q A A A A A A A A A A A A A A A A A A A A A A A A A A A A r T k 0 u y c z P U w i G 0 I b W A F B L A Q I t A B Q A A g A I A F e v 7 1 o k 7 I e k p A A A A P Y A A A A S A A A A A A A A A A A A A A A A A A A A A A B D b 2 5 m a W c v U G F j a 2 F n Z S 5 4 b W x Q S w E C L Q A U A A I A C A B X r + 9 a D 8 r p q 6 Q A A A D p A A A A E w A A A A A A A A A A A A A A A A D w A A A A W 0 N v b n R l b n R f V H l w Z X N d L n h t b F B L A Q I t A B Q A A g A I A F e v 7 1 o 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e q S L m l k a R b G 2 E N i C Y 6 5 E A A A A A A I A A A A A A A N m A A D A A A A A E A A A A A X q E d o c A X W j O n y e 0 x l o y R Q A A A A A B I A A A K A A A A A Q A A A A D 6 f y 7 b z Y / P Z F x Q 8 i Z B o F C F A A A A B y / + 3 O k t 1 n I 5 X H U q U g B e v c a / 4 X a G X u K f 7 P k T 4 S 7 U z V X K w r C Y B u c w G m E t h N b o m C S N o O L h k t p R N N I t j y G H H c O R G L L b h L h k 8 6 h s E I p T P M 9 b 3 y 3 x Q A A A A R p u y a o G S H F E 7 E 4 R k t + g 1 f 6 x 8 H H A = = < / D a t a M a s h u p > 
</file>

<file path=customXml/itemProps1.xml><?xml version="1.0" encoding="utf-8"?>
<ds:datastoreItem xmlns:ds="http://schemas.openxmlformats.org/officeDocument/2006/customXml" ds:itemID="{E15BAEEF-0935-4EA7-A263-94C95C2886C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68</vt:i4>
      </vt:variant>
    </vt:vector>
  </HeadingPairs>
  <TitlesOfParts>
    <vt:vector size="70" baseType="lpstr">
      <vt:lpstr>Affordability Calculator</vt:lpstr>
      <vt:lpstr>Units Data Tables</vt:lpstr>
      <vt:lpstr>AC_Connections</vt:lpstr>
      <vt:lpstr>AC_Grant_Eligibility</vt:lpstr>
      <vt:lpstr>AC_IWSB</vt:lpstr>
      <vt:lpstr>AC_Operating_Ratio_Future</vt:lpstr>
      <vt:lpstr>AC_PCPCPM</vt:lpstr>
      <vt:lpstr>AC_Step1_Completed</vt:lpstr>
      <vt:lpstr>AC_Step1_Passed</vt:lpstr>
      <vt:lpstr>AC_Step1_Running_Total_Passed</vt:lpstr>
      <vt:lpstr>AC_Step2_Completed</vt:lpstr>
      <vt:lpstr>AC_Step2_Passed</vt:lpstr>
      <vt:lpstr>AC_Step2_Running_Total_Passed</vt:lpstr>
      <vt:lpstr>AC_Step3_Completed</vt:lpstr>
      <vt:lpstr>AC_Step3_Passed</vt:lpstr>
      <vt:lpstr>AC_Step3_Running_Total_Passed</vt:lpstr>
      <vt:lpstr>AC_Step4_Completed</vt:lpstr>
      <vt:lpstr>AC_Step4_Passed</vt:lpstr>
      <vt:lpstr>AC_Step4_Running_Total_Passed</vt:lpstr>
      <vt:lpstr>AC_Step5_Completed</vt:lpstr>
      <vt:lpstr>AC_Step5_Passed</vt:lpstr>
      <vt:lpstr>AC_Step5_Running_Total_Passed</vt:lpstr>
      <vt:lpstr>AC_X</vt:lpstr>
      <vt:lpstr>AC_X_truncated</vt:lpstr>
      <vt:lpstr>AC_Xmax</vt:lpstr>
      <vt:lpstr>AC_Xmin</vt:lpstr>
      <vt:lpstr>AC_Y</vt:lpstr>
      <vt:lpstr>AC_Y_truncated</vt:lpstr>
      <vt:lpstr>AC_Ymax</vt:lpstr>
      <vt:lpstr>AC_Ymin</vt:lpstr>
      <vt:lpstr>AI_Applicant</vt:lpstr>
      <vt:lpstr>AI_Connections_NonRes.</vt:lpstr>
      <vt:lpstr>AI_Connections_Res.</vt:lpstr>
      <vt:lpstr>AI_Effective_Combined_Bill</vt:lpstr>
      <vt:lpstr>AI_Pop._Source</vt:lpstr>
      <vt:lpstr>AI_Project_Cost</vt:lpstr>
      <vt:lpstr>AI_Project_Type</vt:lpstr>
      <vt:lpstr>AI_Provider_Type</vt:lpstr>
      <vt:lpstr>AI_Rate_Sewer</vt:lpstr>
      <vt:lpstr>AI_Rate_Water</vt:lpstr>
      <vt:lpstr>Condition1</vt:lpstr>
      <vt:lpstr>Condition2</vt:lpstr>
      <vt:lpstr>Condition3</vt:lpstr>
      <vt:lpstr>Economic_Unit_Names</vt:lpstr>
      <vt:lpstr>EFC_50P</vt:lpstr>
      <vt:lpstr>EFC_70P</vt:lpstr>
      <vt:lpstr>EFC_85P</vt:lpstr>
      <vt:lpstr>EFC_95P</vt:lpstr>
      <vt:lpstr>EFC_99P</vt:lpstr>
      <vt:lpstr>FIF_Dept_Principal</vt:lpstr>
      <vt:lpstr>FIF_Interest</vt:lpstr>
      <vt:lpstr>FIF_Operating_Revenues</vt:lpstr>
      <vt:lpstr>FIF_Total_Expenditures</vt:lpstr>
      <vt:lpstr>Initial1</vt:lpstr>
      <vt:lpstr>Initial2</vt:lpstr>
      <vt:lpstr>Initial3</vt:lpstr>
      <vt:lpstr>'Affordability Calculator'!Print_Area</vt:lpstr>
      <vt:lpstr>SB_MHI</vt:lpstr>
      <vt:lpstr>SB_PCh_ACS</vt:lpstr>
      <vt:lpstr>SB_PCh_OSBM</vt:lpstr>
      <vt:lpstr>SB_PR</vt:lpstr>
      <vt:lpstr>SB_PVPC_ACS</vt:lpstr>
      <vt:lpstr>SB_PVPC_OSBM</vt:lpstr>
      <vt:lpstr>SB_UR</vt:lpstr>
      <vt:lpstr>Service_Population</vt:lpstr>
      <vt:lpstr>VU_D1</vt:lpstr>
      <vt:lpstr>VU_Distressed</vt:lpstr>
      <vt:lpstr>VU_Score</vt:lpstr>
      <vt:lpstr>VU_Unit_Names</vt:lpstr>
      <vt:lpstr>VU_Wholesale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Ajami, Ali</dc:creator>
  <cp:lastModifiedBy>Kubacki, Susan</cp:lastModifiedBy>
  <cp:lastPrinted>2025-07-24T18:57:05Z</cp:lastPrinted>
  <dcterms:created xsi:type="dcterms:W3CDTF">2022-08-10T10:20:26Z</dcterms:created>
  <dcterms:modified xsi:type="dcterms:W3CDTF">2025-08-01T18:27:31Z</dcterms:modified>
</cp:coreProperties>
</file>