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Affordability_Calculator" defaultThemeVersion="166925"/>
  <mc:AlternateContent xmlns:mc="http://schemas.openxmlformats.org/markup-compatibility/2006">
    <mc:Choice Requires="x15">
      <x15ac:absPath xmlns:x15ac="http://schemas.microsoft.com/office/spreadsheetml/2010/11/ac" url="https://ncconnect-my.sharepoint.com/personal/ali_ajami_deq_nc_gov/Documents/2 Side Projects/Application Process/2026-2 Fall/2 Affordability Calculator/"/>
    </mc:Choice>
  </mc:AlternateContent>
  <xr:revisionPtr revIDLastSave="147" documentId="13_ncr:1_{C33535D1-3F0C-43C1-808C-B5BE60C372A7}" xr6:coauthVersionLast="47" xr6:coauthVersionMax="47" xr10:uidLastSave="{4B935E28-2C07-4636-B76A-7A8A340E3F3A}"/>
  <workbookProtection workbookAlgorithmName="SHA-512" workbookHashValue="CiJdrHEX3KhjeI47XgfCiv+WGpiNGN6TSKgZFiJaQM8l1UxC8qAYBL+l7K0nEGamEhsQH3/Mt46Oe+K/wEkClQ==" workbookSaltValue="yKW5koMqkMxZCi9mALSwvA==" workbookSpinCount="100000" lockStructure="1"/>
  <bookViews>
    <workbookView xWindow="18168" yWindow="4980" windowWidth="42432" windowHeight="22740" xr2:uid="{A6DF553D-9762-465B-8A14-CAF3CA00213B}"/>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Calculator'!$C$51</definedName>
    <definedName name="AC_Grant_Eligibility">'Affordability Calculator'!$AE$33</definedName>
    <definedName name="AC_IWSB">'Affordability Calculator'!$I$31</definedName>
    <definedName name="AC_Operating_Ratio_Future">'Affordability Calculator'!$B$40</definedName>
    <definedName name="AC_PCPCPM">'Affordability Calculator'!$C$53</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Calculator'!$C$50</definedName>
    <definedName name="AI_Connections_Res.">'Affordability Calculator'!$E$15</definedName>
    <definedName name="AI_Effective_Combined_Bill">'Affordability Calculator'!$C$48</definedName>
    <definedName name="AI_Pop._Source">'Affordability Calculator'!$AA$26</definedName>
    <definedName name="AI_Project_Cost">'Affordability Calculator'!$B$39</definedName>
    <definedName name="AI_Project_Type">'Affordability Calculator'!$C$47</definedName>
    <definedName name="AI_Provider_Type">'Affordability Calculator'!$C$46</definedName>
    <definedName name="AI_Rate_Sewer">'Affordability Calculator'!$F$47</definedName>
    <definedName name="AI_Rate_Water">'Affordability Calculator'!$E$47</definedName>
    <definedName name="Economic_Unit_Names">DataTable_Economic[LGU]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Calculator'!$B$37</definedName>
    <definedName name="FIF_Interest">'Affordability Calculator'!$B$38</definedName>
    <definedName name="FIF_Operating_Revenues">'Affordability Calculator'!$B$35</definedName>
    <definedName name="FIF_Total_Expenditures">'Affordability Calculator'!$B$36</definedName>
    <definedName name="_xlnm.Print_Area" localSheetId="0">'Affordability Calculator'!$A$1:$I$81</definedName>
    <definedName name="SB_MHI">'Units Data Tables'!$F$2</definedName>
    <definedName name="SB_PCh_ACS">'Units Data Tables'!$B$2</definedName>
    <definedName name="SB_PCh_OSBM">'Units Data Tables'!$C$2</definedName>
    <definedName name="SB_PR">'Units Data Tables'!$D$2</definedName>
    <definedName name="SB_PVPC_ACS">'Units Data Tables'!$G$2</definedName>
    <definedName name="SB_PVPC_OSBM">'Units Data Tables'!$H$2</definedName>
    <definedName name="SB_UR">'Units Data Tables'!$E$2</definedName>
    <definedName name="VU_D1">'Affordability Calculator'!$B$11</definedName>
    <definedName name="VU_Distressed">'Affordability Calculator'!$B$8</definedName>
    <definedName name="VU_Score">'Affordability Calculator'!$B$9</definedName>
    <definedName name="VU_Unit_Names">DataTable_VUR[Aberdeen, Town of]</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4" i="3" l="1"/>
  <c r="A23" i="3"/>
  <c r="B7" i="3"/>
  <c r="B21" i="3"/>
  <c r="A25" i="3" l="1"/>
  <c r="G25" i="3" s="1"/>
  <c r="G30" i="3"/>
  <c r="C24" i="3" a="1"/>
  <c r="D24" i="3" a="1"/>
  <c r="E24" i="3" a="1"/>
  <c r="E24" i="3" l="1"/>
  <c r="D24" i="3"/>
  <c r="C24" i="3"/>
  <c r="A29" i="3" l="1"/>
  <c r="A28" i="3"/>
  <c r="G28" i="3" s="1"/>
  <c r="A27" i="3"/>
  <c r="G27" i="3" s="1"/>
  <c r="A26" i="3"/>
  <c r="G26" i="3" s="1"/>
  <c r="H30" i="3" l="1"/>
  <c r="H25" i="3"/>
  <c r="H28" i="3"/>
  <c r="H27" i="3"/>
  <c r="H2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AJ10" i="3" l="1"/>
  <c r="AM9" i="3"/>
  <c r="AK9" i="3"/>
  <c r="AN9" i="3"/>
  <c r="AK4" i="3"/>
  <c r="AM4" i="3"/>
  <c r="AL4" i="3"/>
  <c r="AN4" i="3"/>
  <c r="AN3" i="3"/>
  <c r="AK3" i="3"/>
  <c r="AM3" i="3"/>
  <c r="AL3" i="3"/>
  <c r="C27" i="3" a="1"/>
  <c r="C28" i="3" a="1"/>
  <c r="E26" i="3" a="1"/>
  <c r="D26" i="3" a="1"/>
  <c r="E28" i="3" a="1"/>
  <c r="E27" i="3" a="1"/>
  <c r="C26" i="3" a="1"/>
  <c r="D28" i="3" a="1"/>
  <c r="D27" i="3" a="1"/>
  <c r="AJ11" i="3" l="1"/>
  <c r="AL10" i="3"/>
  <c r="AM10" i="3"/>
  <c r="AN10" i="3"/>
  <c r="AK10" i="3"/>
  <c r="AL5" i="3"/>
  <c r="AN5" i="3"/>
  <c r="AK5" i="3"/>
  <c r="AM5" i="3"/>
  <c r="E27" i="3"/>
  <c r="E26" i="3"/>
  <c r="E28" i="3"/>
  <c r="D28" i="3"/>
  <c r="D27" i="3"/>
  <c r="D26" i="3"/>
  <c r="C27" i="3"/>
  <c r="C26" i="3"/>
  <c r="C28" i="3"/>
  <c r="E23" i="3" a="1"/>
  <c r="D23" i="3" a="1"/>
  <c r="C23" i="3" a="1"/>
  <c r="E29" i="3" a="1"/>
  <c r="D29" i="3" a="1"/>
  <c r="C29" i="3" a="1"/>
  <c r="AJ12" i="3" l="1"/>
  <c r="AK11" i="3"/>
  <c r="AL11" i="3"/>
  <c r="AM11" i="3"/>
  <c r="AN11" i="3"/>
  <c r="AK6" i="3"/>
  <c r="AL6" i="3"/>
  <c r="AN6" i="3"/>
  <c r="AM6" i="3"/>
  <c r="E23" i="3"/>
  <c r="E25" i="3" s="1"/>
  <c r="D23" i="3"/>
  <c r="D25" i="3" s="1"/>
  <c r="C23" i="3"/>
  <c r="C25" i="3" s="1"/>
  <c r="E29" i="3"/>
  <c r="E30" i="3" s="1"/>
  <c r="D29" i="3"/>
  <c r="D30" i="3" s="1"/>
  <c r="C29" i="3"/>
  <c r="C30" i="3" s="1"/>
  <c r="AJ13" i="3" l="1"/>
  <c r="AK12" i="3"/>
  <c r="AL12" i="3"/>
  <c r="AM12" i="3"/>
  <c r="AN12" i="3"/>
  <c r="AK7" i="3"/>
  <c r="AM7" i="3"/>
  <c r="AN7" i="3"/>
  <c r="AL7" i="3"/>
  <c r="B26" i="3" a="1"/>
  <c r="B27" i="3" a="1"/>
  <c r="B28" i="3" a="1"/>
  <c r="B29" i="3" a="1"/>
  <c r="B24" i="3" a="1"/>
  <c r="B23" i="3" a="1"/>
  <c r="B24" i="3" l="1"/>
  <c r="B11" i="3"/>
  <c r="B10" i="3"/>
  <c r="AJ14" i="3"/>
  <c r="AK13" i="3"/>
  <c r="AL13" i="3"/>
  <c r="AM13" i="3"/>
  <c r="AN13" i="3"/>
  <c r="AK8" i="3"/>
  <c r="AM8" i="3"/>
  <c r="AL8" i="3"/>
  <c r="AN8" i="3"/>
  <c r="B26" i="3"/>
  <c r="B28" i="3"/>
  <c r="B29" i="3"/>
  <c r="B27" i="3"/>
  <c r="B23" i="3"/>
  <c r="F15" i="3"/>
  <c r="AE6" i="3"/>
  <c r="AE4" i="3"/>
  <c r="B25" i="3" l="1"/>
  <c r="B30" i="3"/>
  <c r="AJ15" i="3"/>
  <c r="AK14" i="3"/>
  <c r="AL14" i="3"/>
  <c r="AM14" i="3"/>
  <c r="AN14" i="3"/>
  <c r="B8" i="3"/>
  <c r="B40" i="3"/>
  <c r="AJ16" i="3" l="1"/>
  <c r="AK15" i="3"/>
  <c r="AL15" i="3"/>
  <c r="AM15" i="3"/>
  <c r="AN15" i="3"/>
  <c r="AF6" i="3"/>
  <c r="AF4" i="3"/>
  <c r="B9" i="3"/>
  <c r="C51" i="3"/>
  <c r="AJ17" i="3" l="1"/>
  <c r="AK16" i="3"/>
  <c r="AL16" i="3"/>
  <c r="AN16" i="3"/>
  <c r="AM16" i="3"/>
  <c r="F22" i="3" a="1"/>
  <c r="F22" i="3" s="1"/>
  <c r="F25" i="3" s="1" a="1"/>
  <c r="F25" i="3" s="1"/>
  <c r="I25" i="3" l="1" a="1"/>
  <c r="I25" i="3" s="1"/>
  <c r="F26" i="3" a="1"/>
  <c r="F26" i="3" s="1"/>
  <c r="I26" i="3" s="1" a="1"/>
  <c r="I26" i="3" s="1"/>
  <c r="F28" i="3" a="1"/>
  <c r="F28" i="3" s="1"/>
  <c r="I28" i="3" s="1" a="1"/>
  <c r="I28" i="3" s="1"/>
  <c r="F27" i="3" a="1"/>
  <c r="F27" i="3" s="1"/>
  <c r="I27" i="3" s="1" a="1"/>
  <c r="I27" i="3" s="1"/>
  <c r="AJ18" i="3"/>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1" i="3"/>
  <c r="A50" i="3"/>
  <c r="D15" i="3"/>
  <c r="AJ21" i="3" l="1"/>
  <c r="AK20" i="3"/>
  <c r="AL20" i="3"/>
  <c r="AM20" i="3"/>
  <c r="AN20" i="3"/>
  <c r="AJ22" i="3" l="1"/>
  <c r="AK21" i="3"/>
  <c r="AL21" i="3"/>
  <c r="AM21" i="3"/>
  <c r="AN21" i="3"/>
  <c r="F30" i="3" a="1"/>
  <c r="F30" i="3" s="1"/>
  <c r="I30" i="3" s="1" a="1"/>
  <c r="I30" i="3" s="1"/>
  <c r="AJ23" i="3" l="1"/>
  <c r="AK22" i="3"/>
  <c r="AL22" i="3"/>
  <c r="AM22" i="3"/>
  <c r="AN22" i="3"/>
  <c r="I31" i="3" a="1"/>
  <c r="I31" i="3" s="1"/>
  <c r="AE3"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1" i="3"/>
  <c r="AG5" i="3"/>
  <c r="A41" i="3" s="1"/>
  <c r="AG6" i="3"/>
  <c r="C48" i="3" s="1"/>
  <c r="AE7" i="3" s="1"/>
  <c r="AF7" i="3" s="1"/>
  <c r="AG7" i="3" s="1"/>
  <c r="AB10" i="3" s="1"/>
  <c r="AJ28" i="3" l="1"/>
  <c r="AK27" i="3"/>
  <c r="AL27" i="3"/>
  <c r="AM27" i="3"/>
  <c r="AN27" i="3"/>
  <c r="AE9" i="3"/>
  <c r="AE32" i="3"/>
  <c r="C53" i="3"/>
  <c r="AE10" i="3" s="1"/>
  <c r="AJ29" i="3" l="1"/>
  <c r="AK28" i="3"/>
  <c r="AL28" i="3"/>
  <c r="AM28" i="3"/>
  <c r="AN28" i="3"/>
  <c r="AD12" i="3"/>
  <c r="AG32" i="3"/>
  <c r="AE33" i="3" s="1"/>
  <c r="A62" i="3" s="1" a="1"/>
  <c r="A62"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<sst xmlns="http://schemas.openxmlformats.org/spreadsheetml/2006/main" count="3279" uniqueCount="1240">
  <si>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</si>
  <si>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</si>
  <si>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</si>
  <si>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</si>
  <si>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</si>
  <si>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</si>
  <si>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</si>
  <si>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</si>
  <si>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</si>
  <si>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</si>
  <si>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</si>
  <si>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</si>
  <si>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</si>
  <si>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</si>
  <si>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</si>
  <si>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</si>
  <si>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</si>
  <si>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</si>
  <si>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</si>
  <si>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</si>
  <si>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</si>
  <si>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</si>
  <si>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</si>
  <si>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</si>
  <si>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</si>
  <si>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</si>
  <si>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</si>
  <si>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</si>
  <si>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</si>
  <si>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</si>
  <si>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</si>
  <si>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</si>
  <si>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</si>
  <si>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</si>
  <si>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</si>
  <si>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</si>
  <si>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</si>
  <si>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</si>
  <si>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</si>
  <si>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</si>
  <si>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</si>
  <si>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</si>
  <si>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</si>
  <si>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</si>
  <si>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</si>
  <si>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</si>
  <si>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</si>
  <si>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</si>
  <si>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</si>
  <si>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</si>
  <si>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</si>
  <si>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</si>
  <si>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</si>
  <si>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</si>
  <si>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</si>
  <si>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</si>
  <si>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</si>
  <si>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</si>
  <si>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</si>
  <si>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</si>
  <si>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</si>
  <si>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</si>
  <si>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</si>
  <si>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</si>
  <si>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</si>
  <si>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</si>
  <si>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</si>
  <si>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</si>
  <si>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</si>
  <si>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</si>
  <si>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</si>
  <si>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</si>
  <si>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</si>
  <si>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</si>
  <si>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</si>
  <si>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</si>
  <si>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</si>
  <si>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</si>
  <si>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</si>
  <si>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</si>
  <si>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</si>
  <si>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</si>
  <si>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</si>
  <si>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</si>
  <si>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</si>
  <si>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</si>
  <si>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</si>
  <si>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</si>
  <si>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</si>
  <si>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</si>
  <si>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</si>
  <si>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</si>
  <si>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</si>
  <si>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</si>
  <si>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</si>
  <si>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</si>
  <si>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</si>
  <si>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</si>
  <si>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</si>
  <si>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</si>
  <si>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</si>
  <si>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</si>
  <si>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</si>
  <si>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</si>
  <si>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</si>
  <si>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</si>
  <si>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</si>
  <si>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</si>
  <si>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</si>
  <si>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</si>
  <si>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</si>
  <si>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</si>
  <si>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</si>
  <si>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</si>
  <si>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</si>
  <si>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</si>
  <si>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</si>
  <si>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</si>
  <si>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</si>
  <si>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</si>
  <si>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</si>
  <si>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</si>
  <si>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</si>
  <si>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</si>
  <si>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</si>
  <si>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</si>
  <si>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</si>
  <si>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</si>
  <si>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</si>
  <si>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</si>
  <si>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</si>
  <si>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</si>
  <si>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</si>
  <si>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</si>
  <si>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</si>
  <si>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</si>
  <si>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</si>
  <si>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</si>
  <si>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</si>
  <si>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</si>
  <si>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</si>
  <si>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</si>
  <si>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</si>
  <si>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</si>
  <si>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</si>
  <si>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</si>
  <si>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</si>
  <si>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</si>
  <si>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</si>
  <si>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</si>
  <si>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</si>
  <si>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</si>
  <si>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</si>
  <si>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</si>
  <si>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</si>
  <si>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</si>
  <si>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</si>
  <si>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</si>
  <si>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</si>
  <si>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</si>
  <si>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</si>
  <si>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</si>
  <si>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</si>
  <si>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</si>
  <si>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</si>
  <si>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</si>
  <si>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</si>
  <si>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</si>
  <si>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</si>
  <si>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</si>
  <si>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</si>
  <si>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</si>
  <si>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</si>
  <si>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</si>
  <si>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</si>
  <si>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</si>
  <si>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</si>
  <si>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</si>
  <si>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</si>
  <si>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</si>
  <si>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</si>
  <si>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</si>
  <si>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</si>
  <si>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</si>
  <si>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</si>
  <si>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</si>
  <si>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</si>
  <si>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</si>
  <si>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</si>
  <si>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</si>
  <si>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</si>
  <si>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</si>
  <si>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</si>
  <si>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</si>
  <si>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</si>
  <si>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</si>
  <si>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</si>
  <si>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</si>
  <si>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</si>
  <si>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</si>
  <si>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</si>
  <si>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</si>
  <si>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</si>
  <si>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</si>
  <si>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</si>
  <si>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</si>
  <si>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</si>
  <si>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</si>
  <si>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</si>
  <si>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</si>
  <si>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</si>
  <si>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</si>
  <si>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</si>
  <si>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</si>
  <si>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</si>
  <si>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</si>
  <si>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</si>
  <si>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</si>
  <si>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</si>
  <si>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</si>
  <si>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</si>
  <si>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</si>
  <si>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</si>
  <si>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</si>
  <si>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</si>
  <si>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</si>
  <si>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</si>
  <si>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</si>
  <si>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</si>
  <si>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</si>
  <si>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</si>
  <si>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</si>
  <si>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</si>
  <si>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</si>
  <si>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</si>
  <si>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</si>
  <si>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</si>
  <si>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</si>
  <si>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</si>
  <si>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</si>
  <si>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</si>
  <si>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</si>
  <si>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</si>
  <si>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</si>
  <si>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</si>
  <si>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</si>
  <si>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</si>
  <si>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</si>
  <si>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</si>
  <si>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</si>
  <si>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</si>
  <si>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</si>
  <si>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</si>
  <si>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</si>
  <si>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</si>
  <si>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</si>
  <si>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</si>
  <si>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</si>
  <si>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</si>
  <si>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</si>
  <si>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</si>
  <si>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</si>
  <si>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</si>
  <si>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</si>
  <si>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</si>
  <si>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</si>
  <si>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</si>
  <si>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</si>
  <si>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</si>
  <si>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</si>
  <si>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</si>
  <si>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</si>
  <si>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</si>
  <si>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</si>
  <si>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</si>
  <si>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</si>
  <si>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</si>
  <si>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</si>
  <si>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</si>
  <si>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</si>
  <si>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</si>
  <si>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</si>
  <si>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</si>
  <si>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</si>
  <si>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</si>
  <si>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</si>
  <si>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</si>
  <si>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</si>
  <si>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</si>
  <si>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</si>
  <si>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</si>
  <si>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</si>
  <si>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</si>
  <si>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</si>
  <si>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</si>
  <si>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</si>
  <si>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</si>
  <si>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</si>
  <si>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</si>
  <si>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</si>
  <si>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</si>
  <si>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</si>
  <si>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</si>
  <si>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</si>
  <si>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</si>
  <si>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</si>
  <si>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</si>
  <si>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</si>
  <si>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</si>
  <si>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</si>
  <si>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</si>
  <si>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</si>
  <si>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</si>
  <si>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</si>
  <si>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</si>
  <si>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</si>
  <si>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</si>
  <si>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</si>
  <si>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</si>
  <si>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</si>
  <si>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</si>
  <si>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</si>
  <si>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</si>
  <si>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</si>
  <si>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</si>
  <si>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</si>
  <si>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</si>
  <si>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</si>
  <si>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</si>
  <si>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</si>
  <si>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</si>
  <si>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</si>
  <si>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</si>
  <si>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</si>
  <si>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</si>
  <si>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</si>
  <si>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</si>
  <si>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</si>
  <si>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</si>
  <si>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</si>
  <si>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</si>
  <si>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</si>
  <si>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</si>
  <si>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</si>
  <si>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</si>
  <si>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</si>
  <si>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</si>
  <si>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</si>
  <si>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</si>
  <si>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</si>
  <si>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</si>
  <si>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</si>
  <si>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</si>
  <si>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</si>
  <si>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</si>
  <si>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</si>
  <si>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</si>
  <si>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</si>
  <si>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</si>
  <si>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</si>
  <si>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</si>
  <si>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</si>
  <si>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</si>
  <si>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</si>
  <si>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</si>
  <si>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</si>
  <si>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</si>
  <si>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</si>
  <si>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</si>
  <si>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</si>
  <si>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</si>
  <si>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</si>
  <si>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</si>
  <si>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</si>
  <si>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</si>
  <si>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</si>
  <si>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</si>
  <si>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</si>
  <si>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</si>
  <si>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</si>
  <si>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</si>
  <si>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</si>
  <si>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</si>
  <si>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</si>
  <si>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</si>
  <si>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</si>
  <si>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</si>
  <si>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</si>
  <si>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</si>
  <si>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</si>
  <si>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</si>
  <si>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</si>
  <si>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</si>
  <si>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</si>
  <si>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</si>
  <si>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</si>
  <si>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</si>
  <si>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</si>
  <si>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</si>
  <si>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</si>
  <si>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</si>
  <si>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</si>
  <si>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</si>
  <si>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</si>
  <si>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</si>
  <si>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</si>
  <si>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</si>
  <si>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</si>
  <si>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</si>
  <si>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</si>
  <si>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</si>
  <si>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</si>
  <si>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</si>
  <si>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</si>
  <si>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</si>
  <si>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</si>
  <si>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</si>
  <si>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</si>
  <si>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</si>
  <si>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</si>
  <si>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</si>
  <si>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</si>
  <si>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</si>
  <si>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</si>
  <si>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</si>
  <si>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</si>
  <si>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</si>
  <si>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</si>
  <si>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</si>
  <si>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</si>
  <si>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</si>
  <si>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</si>
  <si>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</si>
  <si>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</si>
  <si>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</si>
  <si>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</si>
  <si>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</si>
  <si>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</si>
  <si>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</si>
  <si>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</si>
  <si>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</si>
  <si>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</si>
  <si>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</si>
  <si>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</si>
  <si>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</si>
  <si>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</si>
  <si>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</si>
  <si>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</si>
  <si>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</si>
  <si>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</si>
  <si>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</si>
  <si>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</si>
  <si>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</si>
  <si>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</si>
  <si>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</si>
  <si>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</si>
  <si>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</si>
  <si>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</si>
  <si>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</si>
  <si>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</si>
  <si>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</si>
  <si>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</si>
  <si>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</si>
  <si>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</si>
  <si>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</si>
  <si>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</si>
  <si>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</si>
  <si>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</si>
  <si>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</si>
  <si>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</si>
  <si>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</si>
  <si>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</si>
  <si>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</si>
  <si>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</si>
  <si>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</si>
  <si>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</si>
  <si>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</si>
  <si>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</si>
  <si>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</si>
  <si>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</si>
  <si>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</si>
  <si>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</si>
  <si>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</si>
  <si>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</si>
  <si>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</si>
  <si>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</si>
  <si>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</si>
  <si>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</si>
  <si>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</si>
  <si>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</si>
  <si>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</si>
  <si>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</si>
  <si>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</si>
  <si>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</si>
  <si>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</si>
  <si>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</si>
  <si>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</si>
  <si>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</si>
  <si>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</si>
  <si>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</si>
  <si>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</si>
  <si>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</si>
  <si>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</si>
  <si>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</si>
  <si>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</si>
  <si>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</si>
  <si>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</si>
  <si>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</si>
  <si>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</si>
  <si>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</si>
  <si>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</si>
  <si>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</si>
  <si>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</si>
  <si>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</si>
  <si>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</si>
  <si>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</si>
  <si>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</si>
  <si>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</si>
  <si>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</si>
  <si>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</si>
  <si>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</si>
  <si>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</si>
  <si>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</si>
  <si>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</si>
  <si>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</si>
  <si>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</si>
  <si>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</si>
  <si>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</si>
  <si>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</si>
  <si>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</si>
  <si>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</si>
  <si>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</si>
  <si>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</si>
  <si>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</si>
  <si>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</si>
  <si>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</si>
  <si>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</si>
  <si>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</si>
  <si>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</si>
  <si>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</si>
  <si>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</si>
  <si>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</si>
  <si>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</si>
  <si>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</si>
  <si>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</si>
  <si>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</si>
  <si>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</si>
  <si>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</si>
  <si>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</si>
  <si>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</si>
  <si>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</si>
  <si>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</si>
  <si>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</si>
  <si>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</si>
  <si>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</si>
  <si>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</si>
  <si>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</si>
  <si>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</si>
  <si>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</si>
  <si>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</si>
  <si>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</si>
  <si>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</si>
  <si>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</si>
  <si>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</si>
  <si>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</si>
  <si>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</si>
  <si>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</si>
  <si>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</si>
  <si>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</si>
  <si>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</si>
  <si>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</si>
  <si>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</si>
  <si>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</si>
  <si>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</si>
  <si>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</si>
  <si>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</si>
  <si>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</si>
  <si>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</si>
  <si>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</si>
  <si>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</si>
  <si>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</si>
  <si>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</si>
  <si>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</si>
  <si>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</si>
  <si>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</si>
  <si>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</si>
  <si>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</si>
  <si>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</si>
  <si>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</si>
  <si>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</si>
  <si>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</si>
  <si>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</si>
  <si>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</si>
  <si>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</si>
  <si>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</si>
  <si>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</si>
  <si>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</si>
  <si>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</si>
  <si>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</si>
  <si>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</si>
  <si>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</si>
  <si>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</si>
  <si>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</si>
  <si>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</si>
  <si>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</si>
  <si>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</si>
  <si>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</si>
  <si>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</si>
  <si>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</si>
  <si>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</si>
  <si>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</si>
  <si>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</si>
  <si>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</si>
  <si>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</si>
  <si>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</si>
  <si>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</si>
  <si>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</si>
  <si>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</si>
  <si>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</si>
  <si>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</si>
  <si>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</si>
  <si>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</si>
  <si>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</si>
  <si>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</si>
  <si>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</si>
  <si>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</si>
  <si>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</si>
  <si>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</si>
  <si>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</si>
  <si>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</si>
  <si>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</si>
  <si>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</si>
  <si>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</si>
  <si>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</si>
  <si>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</si>
  <si>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</si>
  <si>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</si>
  <si>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</si>
  <si>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</si>
  <si>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</si>
  <si>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</si>
  <si>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</si>
  <si>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</si>
  <si>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</si>
  <si>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</si>
  <si>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</si>
  <si>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</si>
  <si>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</si>
  <si>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</si>
  <si>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</si>
  <si>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</si>
  <si>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</si>
  <si>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</si>
  <si>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</si>
  <si>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</si>
  <si>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</si>
  <si>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</si>
  <si>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</si>
  <si>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</si>
  <si>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</si>
  <si>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</si>
  <si>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</si>
  <si>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</si>
  <si>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</si>
  <si>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</si>
  <si>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</si>
  <si>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</si>
  <si>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</si>
  <si>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</si>
  <si>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</si>
  <si>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</si>
  <si>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</si>
  <si>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</si>
  <si>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</si>
  <si>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</si>
  <si>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</si>
  <si>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</si>
  <si>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</si>
  <si>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</si>
  <si>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</si>
  <si>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</si>
  <si>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</si>
  <si>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</si>
  <si>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</si>
  <si>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</si>
  <si>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</si>
  <si>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</si>
  <si>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</si>
  <si>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</si>
  <si>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No</t>
  </si>
  <si>
    <t>Yes</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</si>
  <si>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</si>
  <si>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</si>
  <si>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</si>
  <si>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</si>
  <si>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</si>
  <si>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</si>
  <si>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</si>
  <si>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</si>
  <si>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</si>
  <si>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</si>
  <si>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</si>
  <si>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</si>
  <si>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</si>
  <si>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</si>
  <si>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</si>
  <si>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</si>
  <si>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</si>
  <si>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</si>
  <si>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</si>
  <si>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</si>
  <si>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</si>
  <si>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</si>
  <si>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</si>
  <si>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</si>
  <si>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</si>
  <si>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Designated as "Distressed" in accordance with NCGS 159G-45?</t>
  </si>
  <si>
    <t>Wholesale-only service provider?</t>
  </si>
  <si>
    <t>STEP 2:  Residential Connections</t>
  </si>
  <si>
    <t>STEP 3:  Local Government Unit (LGU) Economic Indicators</t>
  </si>
  <si>
    <t>Total:</t>
  </si>
  <si>
    <t>State Benchmarks are:</t>
  </si>
  <si>
    <t xml:space="preserve"> Worse than State Benchmark?</t>
  </si>
  <si>
    <t>LGU Coverage (% of service area)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</si>
  <si>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</si>
  <si>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</si>
  <si>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</si>
  <si>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</si>
  <si>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</si>
  <si>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</si>
  <si>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</si>
  <si>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</si>
  <si>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</si>
  <si>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</si>
  <si>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</si>
  <si>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</si>
  <si>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</si>
  <si>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</si>
  <si>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</si>
  <si>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</si>
  <si>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</si>
  <si>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</si>
  <si>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</si>
  <si>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</si>
  <si>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</si>
  <si>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</si>
  <si>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</si>
  <si>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</si>
  <si>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</si>
  <si>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</si>
  <si>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</si>
  <si>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</si>
  <si>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</si>
  <si>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</si>
  <si>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</si>
  <si>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</si>
  <si>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</si>
  <si>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</si>
  <si>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</si>
  <si>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</si>
  <si>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</si>
  <si>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</si>
  <si>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</si>
  <si>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</si>
  <si>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</si>
  <si>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</si>
  <si>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</si>
  <si>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</si>
  <si>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</si>
  <si>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</si>
  <si>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</si>
  <si>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</si>
  <si>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</si>
  <si>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</si>
  <si>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</si>
  <si>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</si>
  <si>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</si>
  <si>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</si>
  <si>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</si>
  <si>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</si>
  <si>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</si>
  <si>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</si>
  <si>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</si>
  <si>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</si>
  <si>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</si>
  <si>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</si>
  <si>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</si>
  <si>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</si>
  <si>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</si>
  <si>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</si>
  <si>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</si>
  <si>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</si>
  <si>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</si>
  <si>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</si>
  <si>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</si>
  <si>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</si>
  <si>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</si>
  <si>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</si>
  <si>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</si>
  <si>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</si>
  <si>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</si>
  <si>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</si>
  <si>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</si>
  <si>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</si>
  <si>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</si>
  <si>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</si>
  <si>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</si>
  <si>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</si>
  <si>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</si>
  <si>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</si>
  <si>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</si>
  <si>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</si>
  <si>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</si>
  <si>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</si>
  <si>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</si>
  <si>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</si>
  <si>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</si>
  <si>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</si>
  <si>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</si>
  <si>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</si>
  <si>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D1 Unit ?</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</si>
  <si>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</si>
  <si>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</si>
  <si>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</si>
  <si>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</si>
  <si>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</si>
  <si>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</si>
  <si>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</si>
  <si>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</si>
  <si>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</si>
  <si>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Property Value Per Capita-ACS</t>
  </si>
  <si>
    <t>Property Value Per Capita-OSBM</t>
  </si>
  <si>
    <t>Population source:</t>
  </si>
  <si>
    <t>Population data source:</t>
  </si>
  <si>
    <t>Calculated Prop. Value per Capita</t>
  </si>
  <si>
    <r>
      <t xml:space="preserve">From the drop-down menu, select LGU(s) in your service area [up to 4] and then enter the respective LGU coverage (% of service area per LGU) to populate economic indicators.
</t>
    </r>
    <r>
      <rPr>
        <b/>
        <sz val="11"/>
        <color rgb="FFFF0000"/>
        <rFont val="Calibri"/>
        <family val="2"/>
        <scheme val="minor"/>
      </rPr>
      <t xml:space="preserve">Pick the population data source (select either the OSBM or ACS button) with the </t>
    </r>
    <r>
      <rPr>
        <b/>
        <i/>
        <sz val="11"/>
        <color rgb="FFFF0000"/>
        <rFont val="Calibri"/>
        <family val="2"/>
        <scheme val="minor"/>
      </rPr>
      <t>highest number</t>
    </r>
    <r>
      <rPr>
        <b/>
        <sz val="11"/>
        <color rgb="FFFF0000"/>
        <rFont val="Calibri"/>
        <family val="2"/>
        <scheme val="minor"/>
      </rPr>
      <t xml:space="preserve"> of indicators worse than the state benchmark to maximize points</t>
    </r>
    <r>
      <rPr>
        <i/>
        <sz val="11"/>
        <color rgb="FFFF0000"/>
        <rFont val="Calibri"/>
        <family val="2"/>
        <scheme val="minor"/>
      </rPr>
      <t xml:space="preserve"> (i.e., most green "Yes" cells in column I).</t>
    </r>
    <r>
      <rPr>
        <sz val="11"/>
        <color rgb="FFFF0000"/>
        <rFont val="Calibri"/>
        <family val="2"/>
        <scheme val="minor"/>
      </rPr>
      <t xml:space="preserve"> </t>
    </r>
    <r>
      <rPr>
        <b/>
        <sz val="11"/>
        <color rgb="FFFF0000"/>
        <rFont val="Calibri"/>
        <family val="2"/>
        <scheme val="minor"/>
      </rPr>
      <t>Your selection is final and will be used in the application review.</t>
    </r>
  </si>
  <si>
    <t>Updated 2/16/2026. This tool can be used by Applicants to determine eligibility for grant/principal forgiveness funding and to complete the affordability calculations in the application for funding.</t>
  </si>
  <si>
    <r>
      <t xml:space="preserve">If applying for a </t>
    </r>
    <r>
      <rPr>
        <u/>
        <sz val="10"/>
        <color theme="1"/>
        <rFont val="Calibri"/>
        <family val="2"/>
        <scheme val="minor"/>
      </rPr>
      <t>regionalization</t>
    </r>
    <r>
      <rPr>
        <sz val="10"/>
        <color theme="1"/>
        <rFont val="Calibri"/>
        <family val="2"/>
        <scheme val="minor"/>
      </rPr>
      <t xml:space="preserve"> project with more than one local government unit, select the local government that is either designated as distressed or has the greatest VUR Assessment Criteria score.</t>
    </r>
  </si>
  <si>
    <t>Aberdeen</t>
  </si>
  <si>
    <t>Ahoskie</t>
  </si>
  <si>
    <t>Alamance</t>
  </si>
  <si>
    <t>Albemarle</t>
  </si>
  <si>
    <t>Andrews</t>
  </si>
  <si>
    <t>Angier</t>
  </si>
  <si>
    <t>Ansonville</t>
  </si>
  <si>
    <t>Apex</t>
  </si>
  <si>
    <t>Archdale</t>
  </si>
  <si>
    <t>Asheboro</t>
  </si>
  <si>
    <t>Asheville</t>
  </si>
  <si>
    <t>Askewville</t>
  </si>
  <si>
    <t>Atkinson</t>
  </si>
  <si>
    <t>Atlantic Beach</t>
  </si>
  <si>
    <t>Aulander</t>
  </si>
  <si>
    <t>Aurora</t>
  </si>
  <si>
    <t>Autryville</t>
  </si>
  <si>
    <t>Ayden</t>
  </si>
  <si>
    <t>Bailey</t>
  </si>
  <si>
    <t>Bakersville</t>
  </si>
  <si>
    <t>Bald Head Island</t>
  </si>
  <si>
    <t>Banner Elk</t>
  </si>
  <si>
    <t>Bath</t>
  </si>
  <si>
    <t>Beaufort</t>
  </si>
  <si>
    <t>Beech Mountain</t>
  </si>
  <si>
    <t>Belfast/Patetown Sanitary District</t>
  </si>
  <si>
    <t>Belhaven</t>
  </si>
  <si>
    <t>Belmont</t>
  </si>
  <si>
    <t>Benson</t>
  </si>
  <si>
    <t>Bermuda Run</t>
  </si>
  <si>
    <t>Bessemer City</t>
  </si>
  <si>
    <t>Beulaville</t>
  </si>
  <si>
    <t>Biltmore Forest</t>
  </si>
  <si>
    <t>Biscoe</t>
  </si>
  <si>
    <t>Black Creek</t>
  </si>
  <si>
    <t>Black Mountain</t>
  </si>
  <si>
    <t>Bladenboro</t>
  </si>
  <si>
    <t>Blowing Rock</t>
  </si>
  <si>
    <t>Boardman</t>
  </si>
  <si>
    <t>Boiling Springs</t>
  </si>
  <si>
    <t>Bolton</t>
  </si>
  <si>
    <t>Boone</t>
  </si>
  <si>
    <t>Boonville</t>
  </si>
  <si>
    <t>Bostic</t>
  </si>
  <si>
    <t>Brevard</t>
  </si>
  <si>
    <t>Bridgeton</t>
  </si>
  <si>
    <t>Broadway</t>
  </si>
  <si>
    <t>Brunswick</t>
  </si>
  <si>
    <t>Bryson City</t>
  </si>
  <si>
    <t>Bunn</t>
  </si>
  <si>
    <t>Burgaw</t>
  </si>
  <si>
    <t>Burlington</t>
  </si>
  <si>
    <t>Burnsville</t>
  </si>
  <si>
    <t>Cajah's Mountain</t>
  </si>
  <si>
    <t>Calypso</t>
  </si>
  <si>
    <t>Cameron</t>
  </si>
  <si>
    <t>Candor</t>
  </si>
  <si>
    <t>Canton</t>
  </si>
  <si>
    <t>Carolina Beach</t>
  </si>
  <si>
    <t>Carthage</t>
  </si>
  <si>
    <t>Cary</t>
  </si>
  <si>
    <t>Cerro Gordo</t>
  </si>
  <si>
    <t>Chadbourn</t>
  </si>
  <si>
    <t>Charlotte</t>
  </si>
  <si>
    <t>Cherryville</t>
  </si>
  <si>
    <t>Chimney Rock</t>
  </si>
  <si>
    <t>Chocowinity</t>
  </si>
  <si>
    <t>Claremont</t>
  </si>
  <si>
    <t>Clarkton</t>
  </si>
  <si>
    <t>Clayton</t>
  </si>
  <si>
    <t>Cleveland</t>
  </si>
  <si>
    <t>Clinton</t>
  </si>
  <si>
    <t>Clyde</t>
  </si>
  <si>
    <t>Coats</t>
  </si>
  <si>
    <t>Cofield</t>
  </si>
  <si>
    <t>Colerain</t>
  </si>
  <si>
    <t>Columbia</t>
  </si>
  <si>
    <t>Columbus</t>
  </si>
  <si>
    <t>Concord</t>
  </si>
  <si>
    <t>Connelly Springs</t>
  </si>
  <si>
    <t>Conover</t>
  </si>
  <si>
    <t>Conway</t>
  </si>
  <si>
    <t>Cove City</t>
  </si>
  <si>
    <t>Creswell</t>
  </si>
  <si>
    <t>Crossnore</t>
  </si>
  <si>
    <t>Dallas</t>
  </si>
  <si>
    <t>Denton</t>
  </si>
  <si>
    <t>Dobson</t>
  </si>
  <si>
    <t>Dover</t>
  </si>
  <si>
    <t>Drexel</t>
  </si>
  <si>
    <t>Dublin</t>
  </si>
  <si>
    <t>Dunn</t>
  </si>
  <si>
    <t>Durham</t>
  </si>
  <si>
    <t>East Arcadia</t>
  </si>
  <si>
    <t>East Bend</t>
  </si>
  <si>
    <t>East Spencer</t>
  </si>
  <si>
    <t>Eden</t>
  </si>
  <si>
    <t>Edenton</t>
  </si>
  <si>
    <t>Elizabeth City</t>
  </si>
  <si>
    <t>Elizabethtown</t>
  </si>
  <si>
    <t>Elk Park</t>
  </si>
  <si>
    <t>Elkin</t>
  </si>
  <si>
    <t>Ellenboro</t>
  </si>
  <si>
    <t>Ellerbe</t>
  </si>
  <si>
    <t>Elm City</t>
  </si>
  <si>
    <t>Elon</t>
  </si>
  <si>
    <t>Enfield</t>
  </si>
  <si>
    <t>Eureka</t>
  </si>
  <si>
    <t>Everetts</t>
  </si>
  <si>
    <t>Fair Bluff</t>
  </si>
  <si>
    <t>Fairmont</t>
  </si>
  <si>
    <t>Faison</t>
  </si>
  <si>
    <t>Faith</t>
  </si>
  <si>
    <t>Falcon</t>
  </si>
  <si>
    <t>Fallston</t>
  </si>
  <si>
    <t>Farmville</t>
  </si>
  <si>
    <t>Fontana Dam</t>
  </si>
  <si>
    <t>Forest City</t>
  </si>
  <si>
    <t>Fountain</t>
  </si>
  <si>
    <t>Four Oaks</t>
  </si>
  <si>
    <t>Foxfire Village</t>
  </si>
  <si>
    <t>Franklin</t>
  </si>
  <si>
    <t>Franklinville</t>
  </si>
  <si>
    <t>Fremont</t>
  </si>
  <si>
    <t>Fuquay-Varina</t>
  </si>
  <si>
    <t>Gamewell</t>
  </si>
  <si>
    <t>Garland</t>
  </si>
  <si>
    <t>Gastonia</t>
  </si>
  <si>
    <t>Gatesville</t>
  </si>
  <si>
    <t>Gibson</t>
  </si>
  <si>
    <t>Gibsonville</t>
  </si>
  <si>
    <t>Glen Alpine</t>
  </si>
  <si>
    <t>Godwin</t>
  </si>
  <si>
    <t>Goldsboro</t>
  </si>
  <si>
    <t>Goldston</t>
  </si>
  <si>
    <t>Graham</t>
  </si>
  <si>
    <t>Granite Falls</t>
  </si>
  <si>
    <t>Green Level</t>
  </si>
  <si>
    <t>Greenevers</t>
  </si>
  <si>
    <t>Greensboro</t>
  </si>
  <si>
    <t>Greenville</t>
  </si>
  <si>
    <t>Grifton</t>
  </si>
  <si>
    <t>Grimesland</t>
  </si>
  <si>
    <t>Grover</t>
  </si>
  <si>
    <t>Halifax</t>
  </si>
  <si>
    <t>Hamilton</t>
  </si>
  <si>
    <t>Hamlet</t>
  </si>
  <si>
    <t>Harmony</t>
  </si>
  <si>
    <t>Harrellsville</t>
  </si>
  <si>
    <t>Harrisburg</t>
  </si>
  <si>
    <t>Havelock</t>
  </si>
  <si>
    <t>Haw River</t>
  </si>
  <si>
    <t>Henderson</t>
  </si>
  <si>
    <t>Hendersonville</t>
  </si>
  <si>
    <t>Hertford</t>
  </si>
  <si>
    <t>Hickory</t>
  </si>
  <si>
    <t>High Point</t>
  </si>
  <si>
    <t>High Shoals</t>
  </si>
  <si>
    <t>Highlands</t>
  </si>
  <si>
    <t>Hillsborough</t>
  </si>
  <si>
    <t>Hobgood</t>
  </si>
  <si>
    <t>Hoffman</t>
  </si>
  <si>
    <t>Holden Beach</t>
  </si>
  <si>
    <t>Holly Springs</t>
  </si>
  <si>
    <t>Hookerton</t>
  </si>
  <si>
    <t>Hot Springs</t>
  </si>
  <si>
    <t>Jackson</t>
  </si>
  <si>
    <t>Jacksonville</t>
  </si>
  <si>
    <t>Jamestown</t>
  </si>
  <si>
    <t>Jamesville</t>
  </si>
  <si>
    <t>Jefferson</t>
  </si>
  <si>
    <t>Jonesville</t>
  </si>
  <si>
    <t>Kannapolis</t>
  </si>
  <si>
    <t>Kenansville</t>
  </si>
  <si>
    <t>Kenly</t>
  </si>
  <si>
    <t>Kill Devil Hills</t>
  </si>
  <si>
    <t>King</t>
  </si>
  <si>
    <t>Kings Mountain</t>
  </si>
  <si>
    <t>Kingstown</t>
  </si>
  <si>
    <t>Kinston</t>
  </si>
  <si>
    <t>Kure Beach</t>
  </si>
  <si>
    <t>La Grange</t>
  </si>
  <si>
    <t>Lake Lure</t>
  </si>
  <si>
    <t>Lake Santeetlah</t>
  </si>
  <si>
    <t>Lake Waccamaw</t>
  </si>
  <si>
    <t>Landis</t>
  </si>
  <si>
    <t>Lansing</t>
  </si>
  <si>
    <t>Laurinburg</t>
  </si>
  <si>
    <t>Lawndale</t>
  </si>
  <si>
    <t>Lenoir</t>
  </si>
  <si>
    <t>Lewiston-Woodville</t>
  </si>
  <si>
    <t>Lexington</t>
  </si>
  <si>
    <t>Liberty</t>
  </si>
  <si>
    <t>Lilesville</t>
  </si>
  <si>
    <t>Lillington</t>
  </si>
  <si>
    <t>Lincolnton</t>
  </si>
  <si>
    <t>Linden</t>
  </si>
  <si>
    <t>Littleton</t>
  </si>
  <si>
    <t>Locust</t>
  </si>
  <si>
    <t>Long View</t>
  </si>
  <si>
    <t>Louisburg</t>
  </si>
  <si>
    <t>Love Valley</t>
  </si>
  <si>
    <t>Lowell</t>
  </si>
  <si>
    <t>Lucama</t>
  </si>
  <si>
    <t>Lumberton</t>
  </si>
  <si>
    <t>Macclesfield</t>
  </si>
  <si>
    <t>Madison</t>
  </si>
  <si>
    <t>Maggie Valley</t>
  </si>
  <si>
    <t>Magnolia</t>
  </si>
  <si>
    <t>Maiden</t>
  </si>
  <si>
    <t>Manteo</t>
  </si>
  <si>
    <t>Marion</t>
  </si>
  <si>
    <t>Mars Hill</t>
  </si>
  <si>
    <t>Marshall</t>
  </si>
  <si>
    <t>Marshville</t>
  </si>
  <si>
    <t>Maxton</t>
  </si>
  <si>
    <t>Mayodan</t>
  </si>
  <si>
    <t>Maysville</t>
  </si>
  <si>
    <t>Mcadenville</t>
  </si>
  <si>
    <t>Mcdowell County</t>
  </si>
  <si>
    <t>Mebane</t>
  </si>
  <si>
    <t>Micro</t>
  </si>
  <si>
    <t>Middlesex</t>
  </si>
  <si>
    <t>Milton</t>
  </si>
  <si>
    <t>Mocksville</t>
  </si>
  <si>
    <t>Monroe</t>
  </si>
  <si>
    <t>Montreat</t>
  </si>
  <si>
    <t>Mooresville</t>
  </si>
  <si>
    <t>Morehead City</t>
  </si>
  <si>
    <t>Morganton</t>
  </si>
  <si>
    <t>Morven</t>
  </si>
  <si>
    <t>Mount Airy</t>
  </si>
  <si>
    <t>Mount Gilead</t>
  </si>
  <si>
    <t>Mount Holly</t>
  </si>
  <si>
    <t>Mount Olive</t>
  </si>
  <si>
    <t>Mount Pleasant</t>
  </si>
  <si>
    <t>Murfreesboro</t>
  </si>
  <si>
    <t>Murphy</t>
  </si>
  <si>
    <t>Nags Head</t>
  </si>
  <si>
    <t>Nashville</t>
  </si>
  <si>
    <t>New Bern</t>
  </si>
  <si>
    <t>New London</t>
  </si>
  <si>
    <t>Newland</t>
  </si>
  <si>
    <t>Newport</t>
  </si>
  <si>
    <t>Newton Grove</t>
  </si>
  <si>
    <t>Newton</t>
  </si>
  <si>
    <t>Norlina</t>
  </si>
  <si>
    <t>North Wilkesboro</t>
  </si>
  <si>
    <t>Norwood</t>
  </si>
  <si>
    <t>Oak Island</t>
  </si>
  <si>
    <t>Oakboro</t>
  </si>
  <si>
    <t>Ocean Isle Beach</t>
  </si>
  <si>
    <t>Old Fort</t>
  </si>
  <si>
    <t>Oriental</t>
  </si>
  <si>
    <t>Ossipee</t>
  </si>
  <si>
    <t>Oxford</t>
  </si>
  <si>
    <t>Parkton</t>
  </si>
  <si>
    <t>Parmele</t>
  </si>
  <si>
    <t>Peachland</t>
  </si>
  <si>
    <t>Pembroke</t>
  </si>
  <si>
    <t>Pikeville</t>
  </si>
  <si>
    <t>Pilot Mountain</t>
  </si>
  <si>
    <t>Pine Knoll Shores</t>
  </si>
  <si>
    <t>Pine Level</t>
  </si>
  <si>
    <t>Pinebluff</t>
  </si>
  <si>
    <t>Pinetops</t>
  </si>
  <si>
    <t>Pink Hill</t>
  </si>
  <si>
    <t>Plymouth</t>
  </si>
  <si>
    <t>Polkton</t>
  </si>
  <si>
    <t>Polkville</t>
  </si>
  <si>
    <t>Pollocksville</t>
  </si>
  <si>
    <t>Powellsville</t>
  </si>
  <si>
    <t>Princeton</t>
  </si>
  <si>
    <t>Proctorville</t>
  </si>
  <si>
    <t>Raeford</t>
  </si>
  <si>
    <t>Raleigh</t>
  </si>
  <si>
    <t>Ramseur</t>
  </si>
  <si>
    <t>Randleman</t>
  </si>
  <si>
    <t>Ranlo</t>
  </si>
  <si>
    <t>Red Springs</t>
  </si>
  <si>
    <t>Reidsville</t>
  </si>
  <si>
    <t>Rhodhiss</t>
  </si>
  <si>
    <t>Rich Square</t>
  </si>
  <si>
    <t>River Bend</t>
  </si>
  <si>
    <t>Robbins</t>
  </si>
  <si>
    <t>Robbinsville</t>
  </si>
  <si>
    <t>Robersonville</t>
  </si>
  <si>
    <t>Rockingham</t>
  </si>
  <si>
    <t>Rocky Mount</t>
  </si>
  <si>
    <t>Ronda</t>
  </si>
  <si>
    <t>Roper</t>
  </si>
  <si>
    <t>Rose Hill</t>
  </si>
  <si>
    <t>Roseboro</t>
  </si>
  <si>
    <t>Rosman</t>
  </si>
  <si>
    <t>Rowland</t>
  </si>
  <si>
    <t>Roxboro</t>
  </si>
  <si>
    <t>Rutherford College</t>
  </si>
  <si>
    <t>Rutherfordton</t>
  </si>
  <si>
    <t>St. Pauls</t>
  </si>
  <si>
    <t>Salemburg</t>
  </si>
  <si>
    <t>Salisbury</t>
  </si>
  <si>
    <t>Saluda</t>
  </si>
  <si>
    <t>Sandyfield</t>
  </si>
  <si>
    <t>Sanford</t>
  </si>
  <si>
    <t>Saratoga</t>
  </si>
  <si>
    <t>Sawmills</t>
  </si>
  <si>
    <t>Scotland Neck</t>
  </si>
  <si>
    <t>Seaboard</t>
  </si>
  <si>
    <t>Selma</t>
  </si>
  <si>
    <t>Seven Devils</t>
  </si>
  <si>
    <t>Seven Springs</t>
  </si>
  <si>
    <t>Severn</t>
  </si>
  <si>
    <t>Shallotte</t>
  </si>
  <si>
    <t>Sharpsburg</t>
  </si>
  <si>
    <t>Shelby</t>
  </si>
  <si>
    <t>Siler City</t>
  </si>
  <si>
    <t>Sims</t>
  </si>
  <si>
    <t>Smithfield</t>
  </si>
  <si>
    <t>Snow Hill</t>
  </si>
  <si>
    <t>Southern Pines</t>
  </si>
  <si>
    <t>Sparta</t>
  </si>
  <si>
    <t>Spindale</t>
  </si>
  <si>
    <t>Spring Hope</t>
  </si>
  <si>
    <t>Spring Lake</t>
  </si>
  <si>
    <t>Spruce Pine</t>
  </si>
  <si>
    <t>Stanfield</t>
  </si>
  <si>
    <t>Stanley</t>
  </si>
  <si>
    <t>Stantonsburg</t>
  </si>
  <si>
    <t>Star</t>
  </si>
  <si>
    <t>Statesville</t>
  </si>
  <si>
    <t>Stedman</t>
  </si>
  <si>
    <t>Stokesdale</t>
  </si>
  <si>
    <t>Stoneville</t>
  </si>
  <si>
    <t>Stovall</t>
  </si>
  <si>
    <t>Surf City</t>
  </si>
  <si>
    <t>Swepsonville</t>
  </si>
  <si>
    <t>Tabor City</t>
  </si>
  <si>
    <t>Tarboro</t>
  </si>
  <si>
    <t>Taylorsville</t>
  </si>
  <si>
    <t>Taylortown</t>
  </si>
  <si>
    <t>Teachey</t>
  </si>
  <si>
    <t>Thomasville</t>
  </si>
  <si>
    <t>Topsail Beach</t>
  </si>
  <si>
    <t>Trenton</t>
  </si>
  <si>
    <t>Trinity</t>
  </si>
  <si>
    <t>Troutman</t>
  </si>
  <si>
    <t>Troy</t>
  </si>
  <si>
    <t>Tryon</t>
  </si>
  <si>
    <t>Turkey</t>
  </si>
  <si>
    <t>Valdese</t>
  </si>
  <si>
    <t>Vanceboro</t>
  </si>
  <si>
    <t>Wade</t>
  </si>
  <si>
    <t>Wadesboro</t>
  </si>
  <si>
    <t>Wagram</t>
  </si>
  <si>
    <t>Wallace</t>
  </si>
  <si>
    <t>Walnut Cove</t>
  </si>
  <si>
    <t>Walnut Creek</t>
  </si>
  <si>
    <t>Walstonburg</t>
  </si>
  <si>
    <t>Warrenton</t>
  </si>
  <si>
    <t>Warsaw</t>
  </si>
  <si>
    <t>Washington</t>
  </si>
  <si>
    <t>Waynesville</t>
  </si>
  <si>
    <t>Weaverville</t>
  </si>
  <si>
    <t>Weldon</t>
  </si>
  <si>
    <t>West Jefferson</t>
  </si>
  <si>
    <t>Whitakers</t>
  </si>
  <si>
    <t>White Lake</t>
  </si>
  <si>
    <t>Whiteville</t>
  </si>
  <si>
    <t>Whitsett</t>
  </si>
  <si>
    <t>Wilkesboro</t>
  </si>
  <si>
    <t>Williamston</t>
  </si>
  <si>
    <t>Wilson</t>
  </si>
  <si>
    <t>Wilson's Mills</t>
  </si>
  <si>
    <t>Windsor</t>
  </si>
  <si>
    <t>Winfall</t>
  </si>
  <si>
    <t>Wingate</t>
  </si>
  <si>
    <t>Winston-Salem</t>
  </si>
  <si>
    <t>Winterville</t>
  </si>
  <si>
    <t>Winton</t>
  </si>
  <si>
    <t>Woodland</t>
  </si>
  <si>
    <t>Yadkinville</t>
  </si>
  <si>
    <t>Yanceyville</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</si>
  <si>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2026 Affordability Calculator</t>
    </r>
  </si>
  <si>
    <t>EFC 2026 rates analysis results</t>
  </si>
  <si>
    <t>Population (2020)-ACS</t>
  </si>
  <si>
    <t>Population (2024)-ACS</t>
  </si>
  <si>
    <t>Population (2020)-OSBM</t>
  </si>
  <si>
    <t>Population (2024)-OSBM</t>
  </si>
  <si>
    <t>Poverty Rate (%, 2024)</t>
  </si>
  <si>
    <t>Unemployment Rate(%, 2024)</t>
  </si>
  <si>
    <t>Median Household Income (2024)</t>
  </si>
  <si>
    <t>Total Appraised Value (2024)</t>
  </si>
  <si>
    <t>Dellview, Town of</t>
  </si>
  <si>
    <t>Spencer Mountain, Town of</t>
  </si>
  <si>
    <t>Poplulation Change (%, 2020-2024)-ACS</t>
  </si>
  <si>
    <t>Poplulation Change (%, 2020-2024)-OSBM</t>
  </si>
  <si>
    <t>3</t>
  </si>
  <si>
    <t>No2</t>
  </si>
  <si>
    <t>No3</t>
  </si>
  <si>
    <t>LGU</t>
  </si>
  <si>
    <t>Unemployment Rate (%, 2024)</t>
  </si>
  <si>
    <t>2026 State Benchmarks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</si>
</sst>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
      <sz val="11"/>
      <name val="Calibri"/>
      <family val="2"/>
    </font>
    <font>
      <sz val="10"/>
      <color rgb="FF000000"/>
      <name val="Arial"/>
      <family val="2"/>
    </font>
    <font>
      <sz val="11"/>
      <color rgb="FFFF0000"/>
      <name val="Calibri"/>
      <family val="2"/>
      <scheme val="minor"/>
    </font>
    <font>
      <sz val="8"/>
      <color rgb="FF000000"/>
      <name val="Segoe UI"/>
      <family val="2"/>
    </font>
    <font>
      <b/>
      <i/>
      <sz val="11"/>
      <color rgb="FFFF0000"/>
      <name val="Calibri"/>
      <family val="2"/>
      <scheme val="minor"/>
    </font>
    <font>
      <i/>
      <sz val="11"/>
      <color rgb="FFFF0000"/>
      <name val="Calibri"/>
      <family val="2"/>
      <scheme val="minor"/>
    </font>
    <font>
      <u/>
      <sz val="10"/>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s>
  <borders count="95">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9" tint="0.39997558519241921"/>
      </bottom>
      <diagonal/>
    </border>
    <border>
      <left style="thin">
        <color auto="1"/>
      </left>
      <right/>
      <top style="medium">
        <color auto="1"/>
      </top>
      <bottom/>
      <diagonal/>
    </border>
    <border>
      <left style="medium">
        <color auto="1"/>
      </left>
      <right style="thin">
        <color auto="1"/>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41" fontId="4" fillId="0" borderId="0" applyFont="0" applyFill="0" applyBorder="0" applyAlignment="0" applyProtection="0"/>
    <xf numFmtId="0" fontId="44" fillId="0" borderId="0"/>
    <xf numFmtId="0" fontId="44" fillId="0" borderId="0"/>
    <xf numFmtId="0" fontId="1" fillId="0" borderId="0"/>
    <xf numFmtId="0" fontId="45" fillId="0" borderId="0"/>
    <xf numFmtId="0" fontId="1" fillId="0" borderId="0"/>
    <xf numFmtId="0" fontId="1" fillId="0" borderId="0"/>
  </cellStyleXfs>
  <cellXfs count="267">
    <xf numFmtId="0" fontId="0" fillId="0" borderId="0" xfId="0"/>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8" xfId="0" applyNumberFormat="1" applyFill="1" applyBorder="1" applyAlignment="1" applyProtection="1">
      <alignment vertical="center"/>
      <protection locked="0" hidden="1"/>
    </xf>
    <xf numFmtId="164" fontId="0" fillId="3" borderId="48"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58"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2" xfId="0" applyFill="1" applyBorder="1" applyProtection="1">
      <protection hidden="1"/>
    </xf>
    <xf numFmtId="0" fontId="0" fillId="0" borderId="47" xfId="0"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0" xfId="0" applyFont="1" applyFill="1" applyBorder="1" applyAlignment="1" applyProtection="1">
      <alignment horizontal="center"/>
      <protection hidden="1"/>
    </xf>
    <xf numFmtId="0" fontId="0" fillId="5" borderId="51" xfId="0" applyFill="1" applyBorder="1" applyAlignment="1" applyProtection="1">
      <alignment horizontal="center"/>
      <protection hidden="1"/>
    </xf>
    <xf numFmtId="0" fontId="0" fillId="0" borderId="52" xfId="0" applyBorder="1" applyProtection="1">
      <protection hidden="1"/>
    </xf>
    <xf numFmtId="164" fontId="1" fillId="0" borderId="54" xfId="4" applyNumberFormat="1" applyFont="1" applyBorder="1" applyProtection="1">
      <protection hidden="1"/>
    </xf>
    <xf numFmtId="0" fontId="22" fillId="0" borderId="54" xfId="0" applyFont="1" applyBorder="1" applyAlignment="1" applyProtection="1">
      <alignment horizontal="center"/>
      <protection hidden="1"/>
    </xf>
    <xf numFmtId="164" fontId="0" fillId="0" borderId="54"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58"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7"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2" xfId="0" applyBorder="1" applyProtection="1">
      <protection hidden="1"/>
    </xf>
    <xf numFmtId="0" fontId="0" fillId="0" borderId="66"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4"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4" xfId="0" applyFont="1" applyBorder="1" applyAlignment="1" applyProtection="1">
      <alignment horizontal="left" vertical="center"/>
      <protection hidden="1"/>
    </xf>
    <xf numFmtId="0" fontId="5" fillId="0" borderId="70" xfId="0" applyFont="1" applyBorder="1" applyProtection="1">
      <protection hidden="1"/>
    </xf>
    <xf numFmtId="9" fontId="5" fillId="0" borderId="70" xfId="0" applyNumberFormat="1" applyFont="1" applyBorder="1" applyProtection="1">
      <protection hidden="1"/>
    </xf>
    <xf numFmtId="9" fontId="5" fillId="0" borderId="71" xfId="0" applyNumberFormat="1" applyFont="1" applyBorder="1" applyProtection="1">
      <protection hidden="1"/>
    </xf>
    <xf numFmtId="0" fontId="5" fillId="0" borderId="54" xfId="0" applyFont="1" applyBorder="1" applyAlignment="1" applyProtection="1">
      <alignment vertical="center" wrapText="1"/>
      <protection hidden="1"/>
    </xf>
    <xf numFmtId="165" fontId="5" fillId="0" borderId="54"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69"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7" xfId="0" applyNumberFormat="1" applyFill="1" applyBorder="1" applyProtection="1">
      <protection locked="0"/>
    </xf>
    <xf numFmtId="7" fontId="0" fillId="3" borderId="62" xfId="1" applyNumberFormat="1" applyFont="1" applyFill="1" applyBorder="1" applyAlignment="1" applyProtection="1">
      <alignment horizontal="center" vertical="center"/>
      <protection locked="0"/>
    </xf>
    <xf numFmtId="7" fontId="0" fillId="3" borderId="63"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67" fontId="0" fillId="0" borderId="1"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2" xfId="4" applyNumberFormat="1" applyFont="1" applyFill="1" applyBorder="1" applyAlignment="1" applyProtection="1">
      <alignment horizontal="center" vertical="center"/>
      <protection locked="0"/>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1" xfId="0" applyBorder="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4" xfId="0" applyNumberFormat="1" applyBorder="1" applyAlignment="1" applyProtection="1">
      <alignment horizontal="center" vertical="center"/>
      <protection hidden="1"/>
    </xf>
    <xf numFmtId="0" fontId="0" fillId="0" borderId="57" xfId="0" applyBorder="1" applyAlignment="1" applyProtection="1">
      <alignment horizontal="center"/>
      <protection hidden="1"/>
    </xf>
    <xf numFmtId="3" fontId="0" fillId="3" borderId="57" xfId="0" applyNumberFormat="1" applyFill="1" applyBorder="1" applyAlignment="1" applyProtection="1">
      <alignment horizontal="center"/>
      <protection locked="0"/>
    </xf>
    <xf numFmtId="3" fontId="0" fillId="0" borderId="57" xfId="0" applyNumberFormat="1" applyBorder="1" applyAlignment="1" applyProtection="1">
      <alignment horizontal="center"/>
      <protection hidden="1"/>
    </xf>
    <xf numFmtId="165" fontId="0" fillId="0" borderId="63" xfId="0" applyNumberFormat="1" applyBorder="1" applyAlignment="1" applyProtection="1">
      <alignment horizontal="center"/>
      <protection hidden="1"/>
    </xf>
    <xf numFmtId="0" fontId="0" fillId="0" borderId="46" xfId="0" applyBorder="1" applyProtection="1">
      <protection hidden="1"/>
    </xf>
    <xf numFmtId="168" fontId="0" fillId="3" borderId="48" xfId="0" applyNumberFormat="1" applyFill="1" applyBorder="1" applyAlignment="1" applyProtection="1">
      <alignment vertical="center"/>
      <protection locked="0" hidden="1"/>
    </xf>
    <xf numFmtId="0" fontId="0" fillId="0" borderId="0" xfId="2" applyNumberFormat="1" applyFont="1" applyFill="1" applyBorder="1" applyProtection="1"/>
    <xf numFmtId="0" fontId="0" fillId="0" borderId="0" xfId="2" applyNumberFormat="1" applyFont="1" applyFill="1" applyProtection="1"/>
    <xf numFmtId="168" fontId="0" fillId="0" borderId="46" xfId="0" applyNumberFormat="1" applyBorder="1" applyAlignment="1" applyProtection="1">
      <alignment vertical="center"/>
      <protection locked="0" hidden="1"/>
    </xf>
    <xf numFmtId="4" fontId="0" fillId="3" borderId="48" xfId="0" applyNumberFormat="1" applyFill="1" applyBorder="1" applyAlignment="1" applyProtection="1">
      <alignment vertical="center"/>
      <protection locked="0" hidden="1"/>
    </xf>
    <xf numFmtId="164" fontId="0" fillId="0" borderId="54"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164" fontId="5" fillId="0" borderId="54" xfId="0" applyNumberFormat="1" applyFont="1" applyBorder="1" applyAlignment="1" applyProtection="1">
      <alignment horizontal="center" vertical="center" wrapText="1"/>
      <protection hidden="1"/>
    </xf>
    <xf numFmtId="164" fontId="5" fillId="0" borderId="54"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4" xfId="2" applyNumberFormat="1" applyFont="1" applyFill="1" applyBorder="1" applyAlignment="1" applyProtection="1">
      <alignment horizontal="center" vertical="center"/>
      <protection hidden="1"/>
    </xf>
    <xf numFmtId="0" fontId="2" fillId="2" borderId="85" xfId="0" applyFont="1" applyFill="1" applyBorder="1" applyAlignment="1" applyProtection="1">
      <alignment horizontal="center" vertical="center"/>
      <protection hidden="1"/>
    </xf>
    <xf numFmtId="9" fontId="2" fillId="2" borderId="86" xfId="0" applyNumberFormat="1" applyFont="1" applyFill="1" applyBorder="1" applyAlignment="1" applyProtection="1">
      <alignment horizontal="center"/>
      <protection hidden="1"/>
    </xf>
    <xf numFmtId="9" fontId="2" fillId="2" borderId="87" xfId="0" applyNumberFormat="1" applyFont="1" applyFill="1" applyBorder="1" applyAlignment="1" applyProtection="1">
      <alignment horizontal="center"/>
      <protection hidden="1"/>
    </xf>
    <xf numFmtId="0" fontId="0" fillId="8" borderId="88" xfId="0" applyFill="1" applyBorder="1"/>
    <xf numFmtId="164" fontId="0" fillId="0" borderId="0" xfId="0" applyNumberFormat="1"/>
    <xf numFmtId="0" fontId="0" fillId="0" borderId="0" xfId="2" applyNumberFormat="1" applyFont="1" applyFill="1" applyAlignment="1" applyProtection="1">
      <alignment horizontal="right"/>
    </xf>
    <xf numFmtId="5" fontId="5" fillId="0" borderId="1" xfId="1" applyNumberFormat="1" applyFont="1" applyFill="1" applyBorder="1" applyAlignment="1" applyProtection="1">
      <alignment horizontal="right"/>
    </xf>
    <xf numFmtId="5" fontId="5" fillId="0" borderId="0" xfId="1" applyNumberFormat="1" applyFont="1" applyFill="1" applyAlignment="1" applyProtection="1">
      <alignment horizontal="right"/>
    </xf>
    <xf numFmtId="10" fontId="2" fillId="2" borderId="88" xfId="0" applyNumberFormat="1" applyFont="1" applyFill="1" applyBorder="1" applyAlignment="1">
      <alignment horizontal="center" wrapText="1"/>
    </xf>
    <xf numFmtId="0" fontId="2" fillId="2" borderId="88" xfId="0" applyFont="1" applyFill="1" applyBorder="1" applyAlignment="1">
      <alignment horizontal="center" wrapText="1"/>
    </xf>
    <xf numFmtId="0" fontId="2" fillId="2" borderId="89" xfId="0" applyFont="1" applyFill="1" applyBorder="1" applyAlignment="1">
      <alignment horizontal="center" wrapText="1"/>
    </xf>
    <xf numFmtId="164" fontId="0" fillId="0" borderId="83" xfId="0" applyNumberFormat="1" applyBorder="1" applyAlignment="1" applyProtection="1">
      <alignment vertical="center"/>
      <protection locked="0" hidden="1"/>
    </xf>
    <xf numFmtId="0" fontId="0" fillId="3" borderId="48" xfId="0" applyFill="1" applyBorder="1" applyAlignment="1" applyProtection="1">
      <alignment vertical="center"/>
      <protection locked="0" hidden="1"/>
    </xf>
    <xf numFmtId="0" fontId="2" fillId="2" borderId="90" xfId="0" applyFont="1" applyFill="1" applyBorder="1" applyAlignment="1">
      <alignment horizontal="center" wrapText="1"/>
    </xf>
    <xf numFmtId="0" fontId="2" fillId="2" borderId="1" xfId="0" applyFont="1" applyFill="1" applyBorder="1" applyAlignment="1">
      <alignment horizontal="center" wrapText="1"/>
    </xf>
    <xf numFmtId="0" fontId="2" fillId="2" borderId="91" xfId="0" applyFont="1" applyFill="1" applyBorder="1" applyAlignment="1">
      <alignment horizontal="center" wrapText="1"/>
    </xf>
    <xf numFmtId="2" fontId="0" fillId="8" borderId="88" xfId="0" applyNumberFormat="1" applyFill="1" applyBorder="1"/>
    <xf numFmtId="164" fontId="0" fillId="8" borderId="88" xfId="0" applyNumberFormat="1" applyFill="1" applyBorder="1"/>
    <xf numFmtId="164" fontId="0" fillId="8" borderId="89" xfId="0" applyNumberFormat="1" applyFill="1" applyBorder="1"/>
    <xf numFmtId="3" fontId="0" fillId="0" borderId="39" xfId="0" applyNumberFormat="1" applyBorder="1" applyAlignment="1" applyProtection="1">
      <alignment vertical="center"/>
      <protection locked="0" hidden="1"/>
    </xf>
    <xf numFmtId="3" fontId="0" fillId="0" borderId="47" xfId="0" applyNumberFormat="1" applyBorder="1" applyAlignment="1" applyProtection="1">
      <alignment vertical="center"/>
      <protection locked="0" hidden="1"/>
    </xf>
    <xf numFmtId="0" fontId="0" fillId="5" borderId="93" xfId="0" applyFill="1" applyBorder="1" applyProtection="1">
      <protection hidden="1"/>
    </xf>
    <xf numFmtId="0" fontId="0" fillId="5" borderId="49" xfId="0" applyFill="1" applyBorder="1" applyProtection="1">
      <protection hidden="1"/>
    </xf>
    <xf numFmtId="0" fontId="0" fillId="5" borderId="53" xfId="0" applyFill="1" applyBorder="1" applyProtection="1">
      <protection hidden="1"/>
    </xf>
    <xf numFmtId="0" fontId="0" fillId="5" borderId="29" xfId="0" applyFill="1" applyBorder="1" applyProtection="1">
      <protection hidden="1"/>
    </xf>
    <xf numFmtId="0" fontId="0" fillId="0" borderId="54" xfId="0" applyBorder="1" applyAlignment="1" applyProtection="1">
      <alignment horizontal="center" vertical="center"/>
      <protection hidden="1"/>
    </xf>
    <xf numFmtId="2" fontId="0" fillId="3" borderId="48" xfId="2" applyNumberFormat="1" applyFont="1" applyFill="1" applyBorder="1" applyAlignment="1" applyProtection="1">
      <alignment vertical="center"/>
      <protection locked="0" hidden="1"/>
    </xf>
    <xf numFmtId="4" fontId="0" fillId="0" borderId="84" xfId="0" applyNumberFormat="1" applyBorder="1" applyAlignment="1" applyProtection="1">
      <alignment vertical="center"/>
      <protection locked="0" hidden="1"/>
    </xf>
    <xf numFmtId="2" fontId="0" fillId="0" borderId="0" xfId="0" applyNumberFormat="1" applyProtection="1">
      <protection hidden="1"/>
    </xf>
    <xf numFmtId="4" fontId="0" fillId="3" borderId="94" xfId="0" applyNumberFormat="1" applyFill="1" applyBorder="1" applyAlignment="1" applyProtection="1">
      <alignment vertical="center"/>
      <protection hidden="1"/>
    </xf>
    <xf numFmtId="0" fontId="0" fillId="0" borderId="54" xfId="0" applyBorder="1" applyAlignment="1" applyProtection="1">
      <alignment horizontal="center" vertical="center"/>
      <protection locked="0" hidden="1"/>
    </xf>
    <xf numFmtId="2" fontId="0" fillId="0" borderId="46" xfId="0" applyNumberFormat="1" applyBorder="1" applyAlignment="1" applyProtection="1">
      <alignment vertical="center"/>
      <protection locked="0" hidden="1"/>
    </xf>
    <xf numFmtId="0" fontId="5" fillId="8" borderId="0" xfId="0" applyFont="1" applyFill="1" applyAlignment="1">
      <alignment horizontal="left"/>
    </xf>
    <xf numFmtId="3" fontId="0" fillId="3" borderId="39" xfId="0" applyNumberFormat="1" applyFill="1" applyBorder="1" applyAlignment="1" applyProtection="1">
      <alignment horizontal="center" vertical="center"/>
      <protection locked="0" hidden="1"/>
    </xf>
    <xf numFmtId="10" fontId="0" fillId="0" borderId="0" xfId="0" applyNumberFormat="1" applyProtection="1">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26" xfId="0" applyBorder="1" applyAlignment="1" applyProtection="1">
      <alignment horizontal="center" wrapText="1"/>
      <protection hidden="1"/>
    </xf>
    <xf numFmtId="0" fontId="0" fillId="0" borderId="35" xfId="0" applyBorder="1" applyAlignment="1" applyProtection="1">
      <alignment horizontal="center" wrapText="1"/>
      <protection hidden="1"/>
    </xf>
    <xf numFmtId="0" fontId="0" fillId="0" borderId="30" xfId="0" applyBorder="1" applyAlignment="1" applyProtection="1">
      <alignment horizontal="center" wrapText="1"/>
      <protection hidden="1"/>
    </xf>
    <xf numFmtId="0" fontId="0" fillId="0" borderId="27"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20" fillId="0" borderId="28" xfId="0" applyFont="1" applyBorder="1" applyAlignment="1" applyProtection="1">
      <alignment horizontal="right"/>
      <protection hidden="1"/>
    </xf>
    <xf numFmtId="0" fontId="20" fillId="0" borderId="61" xfId="0" applyFont="1" applyBorder="1" applyAlignment="1" applyProtection="1">
      <alignment horizontal="right"/>
      <protection hidden="1"/>
    </xf>
    <xf numFmtId="0" fontId="0" fillId="3" borderId="68"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5" fillId="0" borderId="73"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7"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20" fillId="0" borderId="27" xfId="0" applyFont="1" applyBorder="1" applyAlignment="1" applyProtection="1">
      <alignment horizontal="right"/>
      <protection hidden="1"/>
    </xf>
    <xf numFmtId="0" fontId="20" fillId="0" borderId="49" xfId="0" applyFont="1" applyBorder="1" applyAlignment="1" applyProtection="1">
      <alignment horizontal="right"/>
      <protection hidden="1"/>
    </xf>
    <xf numFmtId="0" fontId="0" fillId="3" borderId="59"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27" fillId="0" borderId="55" xfId="0" applyFont="1" applyBorder="1" applyAlignment="1" applyProtection="1">
      <alignment horizontal="left" wrapText="1"/>
      <protection hidden="1"/>
    </xf>
    <xf numFmtId="0" fontId="27" fillId="0" borderId="56" xfId="0" applyFont="1" applyBorder="1" applyAlignment="1" applyProtection="1">
      <alignment horizontal="left" wrapText="1"/>
      <protection hidden="1"/>
    </xf>
    <xf numFmtId="0" fontId="5" fillId="0" borderId="72"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56"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7"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5" xfId="0" applyBorder="1" applyAlignment="1" applyProtection="1">
      <alignment horizontal="center"/>
      <protection hidden="1"/>
    </xf>
    <xf numFmtId="0" fontId="2" fillId="2" borderId="1" xfId="0" applyFont="1" applyFill="1" applyBorder="1" applyAlignment="1">
      <alignment horizontal="center" wrapText="1"/>
    </xf>
    <xf numFmtId="0" fontId="2" fillId="2" borderId="92" xfId="0" applyFont="1" applyFill="1" applyBorder="1" applyAlignment="1">
      <alignment horizontal="center" wrapText="1"/>
    </xf>
  </cellXfs>
  <cellStyles count="20">
    <cellStyle name="Comma" xfId="5" builtinId="3"/>
    <cellStyle name="Comma 2" xfId="11" xr:uid="{B27E6D08-3C91-4907-8F08-9BCD5C11B6A6}"/>
    <cellStyle name="Comma 3" xfId="3" xr:uid="{8D28D001-04F2-48BD-B8DD-58A2D55EC56F}"/>
    <cellStyle name="Currency" xfId="1" builtinId="4"/>
    <cellStyle name="Currency 2" xfId="9" xr:uid="{7031C189-5431-4FAC-8F3B-CAD733261398}"/>
    <cellStyle name="Currency 3" xfId="8" xr:uid="{69BB7CC1-1158-4040-AFF7-FF19A84AA64A}"/>
    <cellStyle name="Normal" xfId="0" builtinId="0"/>
    <cellStyle name="Normal 2" xfId="6" xr:uid="{86D53728-3943-4F45-8B8D-8A74289D70B3}"/>
    <cellStyle name="Normal 2 2" xfId="12" xr:uid="{4391C206-0492-4677-9D3F-46B8C3945212}"/>
    <cellStyle name="Normal 3" xfId="4" xr:uid="{349AE79A-70A3-45F9-9B73-F67F57547D7D}"/>
    <cellStyle name="Normal 3 2" xfId="14" xr:uid="{F73F5FA8-88A1-48EE-9807-2B5ABB9F879E}"/>
    <cellStyle name="Normal 4" xfId="15" xr:uid="{47C4D1D2-19B7-43FB-B789-33C3AF925967}"/>
    <cellStyle name="Normal 5" xfId="16" xr:uid="{B718C5C4-4A31-401D-A71A-3CFDF37D0F36}"/>
    <cellStyle name="Normal 6" xfId="17" xr:uid="{A410A937-DD09-4568-BBBF-10BFEA10363F}"/>
    <cellStyle name="Normal 7" xfId="18" xr:uid="{FDC754DC-7837-49FE-95C8-6B6CC04D057A}"/>
    <cellStyle name="Normal 8" xfId="19" xr:uid="{376C488B-C37D-44F0-8C44-5EB92EC802CA}"/>
    <cellStyle name="Percent" xfId="2" builtinId="5"/>
    <cellStyle name="Percent 2" xfId="7" xr:uid="{936CEFCC-5405-4432-821E-E3A238E10F05}"/>
    <cellStyle name="Percent 2 3" xfId="10" xr:uid="{B11182D4-1641-41B9-9796-ECD0AEDCA04B}"/>
    <cellStyle name="Table 3 2" xfId="13" xr:uid="{F56878E6-9699-4963-A2B9-934FD3A6AD96}"/>
  </cellStyles>
  <dxfs count="60">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9" formatCode="&quot;$&quot;#,##0_);\(&quot;$&quot;#,##0\)"/>
      <fill>
        <patternFill patternType="none">
          <fgColor indexed="64"/>
          <bgColor indexed="65"/>
        </patternFill>
      </fill>
      <alignment horizontal="right" vertical="bottom" textRotation="0" wrapText="0" indent="0" justifyLastLine="0" shrinkToFit="0" readingOrder="0"/>
      <protection locked="1" hidden="0"/>
    </dxf>
    <dxf>
      <numFmt numFmtId="0" formatCode="General"/>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190</c:v>
                </c:pt>
                <c:pt idx="1">
                  <c:v>190</c:v>
                </c:pt>
                <c:pt idx="2">
                  <c:v>190</c:v>
                </c:pt>
                <c:pt idx="3">
                  <c:v>190</c:v>
                </c:pt>
                <c:pt idx="4">
                  <c:v>190</c:v>
                </c:pt>
                <c:pt idx="5">
                  <c:v>190</c:v>
                </c:pt>
                <c:pt idx="6">
                  <c:v>190</c:v>
                </c:pt>
                <c:pt idx="7">
                  <c:v>190</c:v>
                </c:pt>
                <c:pt idx="8">
                  <c:v>190</c:v>
                </c:pt>
                <c:pt idx="9">
                  <c:v>190</c:v>
                </c:pt>
                <c:pt idx="10">
                  <c:v>190</c:v>
                </c:pt>
                <c:pt idx="11">
                  <c:v>190</c:v>
                </c:pt>
                <c:pt idx="12">
                  <c:v>190</c:v>
                </c:pt>
                <c:pt idx="13">
                  <c:v>190</c:v>
                </c:pt>
                <c:pt idx="14">
                  <c:v>190</c:v>
                </c:pt>
                <c:pt idx="15">
                  <c:v>190</c:v>
                </c:pt>
                <c:pt idx="16">
                  <c:v>190</c:v>
                </c:pt>
                <c:pt idx="17">
                  <c:v>190</c:v>
                </c:pt>
                <c:pt idx="18">
                  <c:v>190</c:v>
                </c:pt>
                <c:pt idx="19">
                  <c:v>190</c:v>
                </c:pt>
                <c:pt idx="20">
                  <c:v>190</c:v>
                </c:pt>
                <c:pt idx="21">
                  <c:v>190</c:v>
                </c:pt>
                <c:pt idx="22">
                  <c:v>190</c:v>
                </c:pt>
                <c:pt idx="23">
                  <c:v>190</c:v>
                </c:pt>
                <c:pt idx="24">
                  <c:v>190</c:v>
                </c:pt>
                <c:pt idx="25">
                  <c:v>190</c:v>
                </c:pt>
                <c:pt idx="26">
                  <c:v>190</c:v>
                </c:pt>
                <c:pt idx="27">
                  <c:v>190</c:v>
                </c:pt>
                <c:pt idx="28">
                  <c:v>190</c:v>
                </c:pt>
                <c:pt idx="29">
                  <c:v>190</c:v>
                </c:pt>
                <c:pt idx="30">
                  <c:v>190</c:v>
                </c:pt>
                <c:pt idx="31">
                  <c:v>190</c:v>
                </c:pt>
                <c:pt idx="32">
                  <c:v>190</c:v>
                </c:pt>
                <c:pt idx="33">
                  <c:v>190</c:v>
                </c:pt>
                <c:pt idx="34">
                  <c:v>190</c:v>
                </c:pt>
                <c:pt idx="35">
                  <c:v>190</c:v>
                </c:pt>
                <c:pt idx="36">
                  <c:v>190</c:v>
                </c:pt>
                <c:pt idx="37">
                  <c:v>190</c:v>
                </c:pt>
                <c:pt idx="38">
                  <c:v>190</c:v>
                </c:pt>
                <c:pt idx="39">
                  <c:v>190</c:v>
                </c:pt>
                <c:pt idx="40">
                  <c:v>190</c:v>
                </c:pt>
                <c:pt idx="41">
                  <c:v>190</c:v>
                </c:pt>
                <c:pt idx="42">
                  <c:v>190</c:v>
                </c:pt>
                <c:pt idx="43">
                  <c:v>190</c:v>
                </c:pt>
                <c:pt idx="44">
                  <c:v>190</c:v>
                </c:pt>
                <c:pt idx="45">
                  <c:v>190</c:v>
                </c:pt>
                <c:pt idx="46">
                  <c:v>190</c:v>
                </c:pt>
                <c:pt idx="47">
                  <c:v>190</c:v>
                </c:pt>
                <c:pt idx="48">
                  <c:v>190</c:v>
                </c:pt>
                <c:pt idx="49">
                  <c:v>190</c:v>
                </c:pt>
                <c:pt idx="50">
                  <c:v>190</c:v>
                </c:pt>
                <c:pt idx="51">
                  <c:v>190</c:v>
                </c:pt>
                <c:pt idx="52">
                  <c:v>190</c:v>
                </c:pt>
                <c:pt idx="53">
                  <c:v>190</c:v>
                </c:pt>
                <c:pt idx="54">
                  <c:v>190</c:v>
                </c:pt>
                <c:pt idx="55">
                  <c:v>190</c:v>
                </c:pt>
                <c:pt idx="56">
                  <c:v>190</c:v>
                </c:pt>
                <c:pt idx="57">
                  <c:v>190</c:v>
                </c:pt>
                <c:pt idx="58">
                  <c:v>190</c:v>
                </c:pt>
                <c:pt idx="59">
                  <c:v>190</c:v>
                </c:pt>
                <c:pt idx="60">
                  <c:v>190</c:v>
                </c:pt>
                <c:pt idx="61">
                  <c:v>190</c:v>
                </c:pt>
                <c:pt idx="62">
                  <c:v>190</c:v>
                </c:pt>
                <c:pt idx="63">
                  <c:v>190</c:v>
                </c:pt>
                <c:pt idx="64">
                  <c:v>190</c:v>
                </c:pt>
                <c:pt idx="65">
                  <c:v>190</c:v>
                </c:pt>
                <c:pt idx="66">
                  <c:v>190</c:v>
                </c:pt>
                <c:pt idx="67">
                  <c:v>190</c:v>
                </c:pt>
                <c:pt idx="68">
                  <c:v>190</c:v>
                </c:pt>
                <c:pt idx="69">
                  <c:v>190</c:v>
                </c:pt>
                <c:pt idx="70">
                  <c:v>190</c:v>
                </c:pt>
                <c:pt idx="71">
                  <c:v>190</c:v>
                </c:pt>
                <c:pt idx="72">
                  <c:v>190</c:v>
                </c:pt>
                <c:pt idx="73">
                  <c:v>190</c:v>
                </c:pt>
                <c:pt idx="74">
                  <c:v>190</c:v>
                </c:pt>
                <c:pt idx="75">
                  <c:v>190</c:v>
                </c:pt>
                <c:pt idx="76">
                  <c:v>190</c:v>
                </c:pt>
                <c:pt idx="77">
                  <c:v>190</c:v>
                </c:pt>
                <c:pt idx="78">
                  <c:v>190</c:v>
                </c:pt>
                <c:pt idx="79">
                  <c:v>190</c:v>
                </c:pt>
                <c:pt idx="80">
                  <c:v>190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161</c:v>
                </c:pt>
                <c:pt idx="1">
                  <c:v>161</c:v>
                </c:pt>
                <c:pt idx="2">
                  <c:v>161</c:v>
                </c:pt>
                <c:pt idx="3">
                  <c:v>161</c:v>
                </c:pt>
                <c:pt idx="4">
                  <c:v>161</c:v>
                </c:pt>
                <c:pt idx="5">
                  <c:v>161</c:v>
                </c:pt>
                <c:pt idx="6">
                  <c:v>161</c:v>
                </c:pt>
                <c:pt idx="7">
                  <c:v>161</c:v>
                </c:pt>
                <c:pt idx="8">
                  <c:v>161</c:v>
                </c:pt>
                <c:pt idx="9">
                  <c:v>161</c:v>
                </c:pt>
                <c:pt idx="10">
                  <c:v>161</c:v>
                </c:pt>
                <c:pt idx="11">
                  <c:v>161</c:v>
                </c:pt>
                <c:pt idx="12">
                  <c:v>161</c:v>
                </c:pt>
                <c:pt idx="13">
                  <c:v>161</c:v>
                </c:pt>
                <c:pt idx="14">
                  <c:v>161</c:v>
                </c:pt>
                <c:pt idx="15">
                  <c:v>161</c:v>
                </c:pt>
                <c:pt idx="16">
                  <c:v>161</c:v>
                </c:pt>
                <c:pt idx="17">
                  <c:v>161</c:v>
                </c:pt>
                <c:pt idx="18">
                  <c:v>161</c:v>
                </c:pt>
                <c:pt idx="19">
                  <c:v>161</c:v>
                </c:pt>
                <c:pt idx="20">
                  <c:v>161</c:v>
                </c:pt>
                <c:pt idx="21">
                  <c:v>161</c:v>
                </c:pt>
                <c:pt idx="22">
                  <c:v>161</c:v>
                </c:pt>
                <c:pt idx="23">
                  <c:v>161</c:v>
                </c:pt>
                <c:pt idx="24">
                  <c:v>161</c:v>
                </c:pt>
                <c:pt idx="25">
                  <c:v>161</c:v>
                </c:pt>
                <c:pt idx="26">
                  <c:v>161</c:v>
                </c:pt>
                <c:pt idx="27">
                  <c:v>161</c:v>
                </c:pt>
                <c:pt idx="28">
                  <c:v>161</c:v>
                </c:pt>
                <c:pt idx="29">
                  <c:v>161</c:v>
                </c:pt>
                <c:pt idx="30">
                  <c:v>160</c:v>
                </c:pt>
                <c:pt idx="31">
                  <c:v>159</c:v>
                </c:pt>
                <c:pt idx="32">
                  <c:v>158</c:v>
                </c:pt>
                <c:pt idx="33">
                  <c:v>157</c:v>
                </c:pt>
                <c:pt idx="34">
                  <c:v>156</c:v>
                </c:pt>
                <c:pt idx="35">
                  <c:v>155</c:v>
                </c:pt>
                <c:pt idx="36">
                  <c:v>154</c:v>
                </c:pt>
                <c:pt idx="37">
                  <c:v>153</c:v>
                </c:pt>
                <c:pt idx="38">
                  <c:v>152</c:v>
                </c:pt>
                <c:pt idx="39">
                  <c:v>151</c:v>
                </c:pt>
                <c:pt idx="40">
                  <c:v>150</c:v>
                </c:pt>
                <c:pt idx="41">
                  <c:v>149</c:v>
                </c:pt>
                <c:pt idx="42">
                  <c:v>148</c:v>
                </c:pt>
                <c:pt idx="43">
                  <c:v>147</c:v>
                </c:pt>
                <c:pt idx="44">
                  <c:v>146</c:v>
                </c:pt>
                <c:pt idx="45">
                  <c:v>145</c:v>
                </c:pt>
                <c:pt idx="46">
                  <c:v>144</c:v>
                </c:pt>
                <c:pt idx="47">
                  <c:v>143</c:v>
                </c:pt>
                <c:pt idx="48">
                  <c:v>142</c:v>
                </c:pt>
                <c:pt idx="49">
                  <c:v>141</c:v>
                </c:pt>
                <c:pt idx="50">
                  <c:v>140</c:v>
                </c:pt>
                <c:pt idx="51">
                  <c:v>139</c:v>
                </c:pt>
                <c:pt idx="52">
                  <c:v>138</c:v>
                </c:pt>
                <c:pt idx="53">
                  <c:v>137</c:v>
                </c:pt>
                <c:pt idx="54">
                  <c:v>136</c:v>
                </c:pt>
                <c:pt idx="55">
                  <c:v>135</c:v>
                </c:pt>
                <c:pt idx="56">
                  <c:v>134</c:v>
                </c:pt>
                <c:pt idx="57">
                  <c:v>133</c:v>
                </c:pt>
                <c:pt idx="58">
                  <c:v>132</c:v>
                </c:pt>
                <c:pt idx="59">
                  <c:v>131</c:v>
                </c:pt>
                <c:pt idx="60">
                  <c:v>130</c:v>
                </c:pt>
                <c:pt idx="61">
                  <c:v>129</c:v>
                </c:pt>
                <c:pt idx="62">
                  <c:v>128</c:v>
                </c:pt>
                <c:pt idx="63">
                  <c:v>127</c:v>
                </c:pt>
                <c:pt idx="64">
                  <c:v>126</c:v>
                </c:pt>
                <c:pt idx="65">
                  <c:v>125</c:v>
                </c:pt>
                <c:pt idx="66">
                  <c:v>124</c:v>
                </c:pt>
                <c:pt idx="67">
                  <c:v>123</c:v>
                </c:pt>
                <c:pt idx="68">
                  <c:v>122</c:v>
                </c:pt>
                <c:pt idx="69">
                  <c:v>121</c:v>
                </c:pt>
                <c:pt idx="70">
                  <c:v>120</c:v>
                </c:pt>
                <c:pt idx="71">
                  <c:v>119</c:v>
                </c:pt>
                <c:pt idx="72">
                  <c:v>118</c:v>
                </c:pt>
                <c:pt idx="73">
                  <c:v>117</c:v>
                </c:pt>
                <c:pt idx="74">
                  <c:v>116</c:v>
                </c:pt>
                <c:pt idx="75">
                  <c:v>115</c:v>
                </c:pt>
                <c:pt idx="76">
                  <c:v>114</c:v>
                </c:pt>
                <c:pt idx="77">
                  <c:v>113</c:v>
                </c:pt>
                <c:pt idx="78">
                  <c:v>112</c:v>
                </c:pt>
                <c:pt idx="79">
                  <c:v>111</c:v>
                </c:pt>
                <c:pt idx="80">
                  <c:v>110</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134</c:v>
                </c:pt>
                <c:pt idx="1">
                  <c:v>134</c:v>
                </c:pt>
                <c:pt idx="2">
                  <c:v>134</c:v>
                </c:pt>
                <c:pt idx="3">
                  <c:v>134</c:v>
                </c:pt>
                <c:pt idx="4">
                  <c:v>134</c:v>
                </c:pt>
                <c:pt idx="5">
                  <c:v>134</c:v>
                </c:pt>
                <c:pt idx="6">
                  <c:v>134</c:v>
                </c:pt>
                <c:pt idx="7">
                  <c:v>134</c:v>
                </c:pt>
                <c:pt idx="8">
                  <c:v>134</c:v>
                </c:pt>
                <c:pt idx="9">
                  <c:v>134</c:v>
                </c:pt>
                <c:pt idx="10">
                  <c:v>134</c:v>
                </c:pt>
                <c:pt idx="11">
                  <c:v>134</c:v>
                </c:pt>
                <c:pt idx="12">
                  <c:v>134</c:v>
                </c:pt>
                <c:pt idx="13">
                  <c:v>134</c:v>
                </c:pt>
                <c:pt idx="14">
                  <c:v>134</c:v>
                </c:pt>
                <c:pt idx="15">
                  <c:v>134</c:v>
                </c:pt>
                <c:pt idx="16">
                  <c:v>134</c:v>
                </c:pt>
                <c:pt idx="17">
                  <c:v>134</c:v>
                </c:pt>
                <c:pt idx="18">
                  <c:v>134</c:v>
                </c:pt>
                <c:pt idx="19">
                  <c:v>134</c:v>
                </c:pt>
                <c:pt idx="20">
                  <c:v>134</c:v>
                </c:pt>
                <c:pt idx="21">
                  <c:v>134</c:v>
                </c:pt>
                <c:pt idx="22">
                  <c:v>134</c:v>
                </c:pt>
                <c:pt idx="23">
                  <c:v>134</c:v>
                </c:pt>
                <c:pt idx="24">
                  <c:v>134</c:v>
                </c:pt>
                <c:pt idx="25">
                  <c:v>134</c:v>
                </c:pt>
                <c:pt idx="26">
                  <c:v>134</c:v>
                </c:pt>
                <c:pt idx="27">
                  <c:v>134</c:v>
                </c:pt>
                <c:pt idx="28">
                  <c:v>133</c:v>
                </c:pt>
                <c:pt idx="29">
                  <c:v>132</c:v>
                </c:pt>
                <c:pt idx="30">
                  <c:v>131</c:v>
                </c:pt>
                <c:pt idx="31">
                  <c:v>130</c:v>
                </c:pt>
                <c:pt idx="32">
                  <c:v>129</c:v>
                </c:pt>
                <c:pt idx="33">
                  <c:v>128</c:v>
                </c:pt>
                <c:pt idx="34">
                  <c:v>127</c:v>
                </c:pt>
                <c:pt idx="35">
                  <c:v>126</c:v>
                </c:pt>
                <c:pt idx="36">
                  <c:v>125</c:v>
                </c:pt>
                <c:pt idx="37">
                  <c:v>124</c:v>
                </c:pt>
                <c:pt idx="38">
                  <c:v>123</c:v>
                </c:pt>
                <c:pt idx="39">
                  <c:v>122</c:v>
                </c:pt>
                <c:pt idx="40">
                  <c:v>121</c:v>
                </c:pt>
                <c:pt idx="41">
                  <c:v>120</c:v>
                </c:pt>
                <c:pt idx="42">
                  <c:v>119</c:v>
                </c:pt>
                <c:pt idx="43">
                  <c:v>118</c:v>
                </c:pt>
                <c:pt idx="44">
                  <c:v>117</c:v>
                </c:pt>
                <c:pt idx="45">
                  <c:v>116</c:v>
                </c:pt>
                <c:pt idx="46">
                  <c:v>115</c:v>
                </c:pt>
                <c:pt idx="47">
                  <c:v>114</c:v>
                </c:pt>
                <c:pt idx="48">
                  <c:v>113</c:v>
                </c:pt>
                <c:pt idx="49">
                  <c:v>112</c:v>
                </c:pt>
                <c:pt idx="50">
                  <c:v>111</c:v>
                </c:pt>
                <c:pt idx="51">
                  <c:v>110</c:v>
                </c:pt>
                <c:pt idx="52">
                  <c:v>109</c:v>
                </c:pt>
                <c:pt idx="53">
                  <c:v>108</c:v>
                </c:pt>
                <c:pt idx="54">
                  <c:v>107</c:v>
                </c:pt>
                <c:pt idx="55">
                  <c:v>106</c:v>
                </c:pt>
                <c:pt idx="56">
                  <c:v>105</c:v>
                </c:pt>
                <c:pt idx="57">
                  <c:v>104</c:v>
                </c:pt>
                <c:pt idx="58">
                  <c:v>103</c:v>
                </c:pt>
                <c:pt idx="59">
                  <c:v>102</c:v>
                </c:pt>
                <c:pt idx="60">
                  <c:v>101</c:v>
                </c:pt>
                <c:pt idx="61">
                  <c:v>100</c:v>
                </c:pt>
                <c:pt idx="62">
                  <c:v>99</c:v>
                </c:pt>
                <c:pt idx="63">
                  <c:v>98</c:v>
                </c:pt>
                <c:pt idx="64">
                  <c:v>97</c:v>
                </c:pt>
                <c:pt idx="65">
                  <c:v>96</c:v>
                </c:pt>
                <c:pt idx="66">
                  <c:v>95</c:v>
                </c:pt>
                <c:pt idx="67">
                  <c:v>94</c:v>
                </c:pt>
                <c:pt idx="68">
                  <c:v>93</c:v>
                </c:pt>
                <c:pt idx="69">
                  <c:v>92</c:v>
                </c:pt>
                <c:pt idx="70">
                  <c:v>91</c:v>
                </c:pt>
                <c:pt idx="71">
                  <c:v>90</c:v>
                </c:pt>
                <c:pt idx="72">
                  <c:v>89</c:v>
                </c:pt>
                <c:pt idx="73">
                  <c:v>88</c:v>
                </c:pt>
                <c:pt idx="74">
                  <c:v>87</c:v>
                </c:pt>
                <c:pt idx="75">
                  <c:v>86</c:v>
                </c:pt>
                <c:pt idx="76">
                  <c:v>85</c:v>
                </c:pt>
                <c:pt idx="77">
                  <c:v>84</c:v>
                </c:pt>
                <c:pt idx="78">
                  <c:v>83</c:v>
                </c:pt>
                <c:pt idx="79">
                  <c:v>82</c:v>
                </c:pt>
                <c:pt idx="80">
                  <c:v>81</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117</c:v>
                </c:pt>
                <c:pt idx="1">
                  <c:v>117</c:v>
                </c:pt>
                <c:pt idx="2">
                  <c:v>117</c:v>
                </c:pt>
                <c:pt idx="3">
                  <c:v>117</c:v>
                </c:pt>
                <c:pt idx="4">
                  <c:v>117</c:v>
                </c:pt>
                <c:pt idx="5">
                  <c:v>117</c:v>
                </c:pt>
                <c:pt idx="6">
                  <c:v>117</c:v>
                </c:pt>
                <c:pt idx="7">
                  <c:v>117</c:v>
                </c:pt>
                <c:pt idx="8">
                  <c:v>117</c:v>
                </c:pt>
                <c:pt idx="9">
                  <c:v>117</c:v>
                </c:pt>
                <c:pt idx="10">
                  <c:v>117</c:v>
                </c:pt>
                <c:pt idx="11">
                  <c:v>117</c:v>
                </c:pt>
                <c:pt idx="12">
                  <c:v>117</c:v>
                </c:pt>
                <c:pt idx="13">
                  <c:v>117</c:v>
                </c:pt>
                <c:pt idx="14">
                  <c:v>117</c:v>
                </c:pt>
                <c:pt idx="15">
                  <c:v>117</c:v>
                </c:pt>
                <c:pt idx="16">
                  <c:v>117</c:v>
                </c:pt>
                <c:pt idx="17">
                  <c:v>117</c:v>
                </c:pt>
                <c:pt idx="18">
                  <c:v>116</c:v>
                </c:pt>
                <c:pt idx="19">
                  <c:v>115</c:v>
                </c:pt>
                <c:pt idx="20">
                  <c:v>114</c:v>
                </c:pt>
                <c:pt idx="21">
                  <c:v>113</c:v>
                </c:pt>
                <c:pt idx="22">
                  <c:v>112</c:v>
                </c:pt>
                <c:pt idx="23">
                  <c:v>111</c:v>
                </c:pt>
                <c:pt idx="24">
                  <c:v>110</c:v>
                </c:pt>
                <c:pt idx="25">
                  <c:v>109</c:v>
                </c:pt>
                <c:pt idx="26">
                  <c:v>108</c:v>
                </c:pt>
                <c:pt idx="27">
                  <c:v>107</c:v>
                </c:pt>
                <c:pt idx="28">
                  <c:v>106</c:v>
                </c:pt>
                <c:pt idx="29">
                  <c:v>105</c:v>
                </c:pt>
                <c:pt idx="30">
                  <c:v>104</c:v>
                </c:pt>
                <c:pt idx="31">
                  <c:v>103</c:v>
                </c:pt>
                <c:pt idx="32">
                  <c:v>102</c:v>
                </c:pt>
                <c:pt idx="33">
                  <c:v>101</c:v>
                </c:pt>
                <c:pt idx="34">
                  <c:v>100</c:v>
                </c:pt>
                <c:pt idx="35">
                  <c:v>99</c:v>
                </c:pt>
                <c:pt idx="36">
                  <c:v>98</c:v>
                </c:pt>
                <c:pt idx="37">
                  <c:v>97</c:v>
                </c:pt>
                <c:pt idx="38">
                  <c:v>96</c:v>
                </c:pt>
                <c:pt idx="39">
                  <c:v>95</c:v>
                </c:pt>
                <c:pt idx="40">
                  <c:v>94</c:v>
                </c:pt>
                <c:pt idx="41">
                  <c:v>93</c:v>
                </c:pt>
                <c:pt idx="42">
                  <c:v>92</c:v>
                </c:pt>
                <c:pt idx="43">
                  <c:v>91</c:v>
                </c:pt>
                <c:pt idx="44">
                  <c:v>90</c:v>
                </c:pt>
                <c:pt idx="45">
                  <c:v>89</c:v>
                </c:pt>
                <c:pt idx="46">
                  <c:v>88</c:v>
                </c:pt>
                <c:pt idx="47">
                  <c:v>87</c:v>
                </c:pt>
                <c:pt idx="48">
                  <c:v>86</c:v>
                </c:pt>
                <c:pt idx="49">
                  <c:v>85</c:v>
                </c:pt>
                <c:pt idx="50">
                  <c:v>84</c:v>
                </c:pt>
                <c:pt idx="51">
                  <c:v>83</c:v>
                </c:pt>
                <c:pt idx="52">
                  <c:v>82</c:v>
                </c:pt>
                <c:pt idx="53">
                  <c:v>81</c:v>
                </c:pt>
                <c:pt idx="54">
                  <c:v>80</c:v>
                </c:pt>
                <c:pt idx="55">
                  <c:v>79</c:v>
                </c:pt>
                <c:pt idx="56">
                  <c:v>78</c:v>
                </c:pt>
                <c:pt idx="57">
                  <c:v>77</c:v>
                </c:pt>
                <c:pt idx="58">
                  <c:v>76</c:v>
                </c:pt>
                <c:pt idx="59">
                  <c:v>75</c:v>
                </c:pt>
                <c:pt idx="60">
                  <c:v>74</c:v>
                </c:pt>
                <c:pt idx="61">
                  <c:v>73</c:v>
                </c:pt>
                <c:pt idx="62">
                  <c:v>72</c:v>
                </c:pt>
                <c:pt idx="63">
                  <c:v>71</c:v>
                </c:pt>
                <c:pt idx="64">
                  <c:v>70</c:v>
                </c:pt>
                <c:pt idx="65">
                  <c:v>69</c:v>
                </c:pt>
                <c:pt idx="66">
                  <c:v>68</c:v>
                </c:pt>
                <c:pt idx="67">
                  <c:v>67</c:v>
                </c:pt>
                <c:pt idx="68">
                  <c:v>66</c:v>
                </c:pt>
                <c:pt idx="69">
                  <c:v>65</c:v>
                </c:pt>
                <c:pt idx="70">
                  <c:v>64</c:v>
                </c:pt>
                <c:pt idx="71">
                  <c:v>63</c:v>
                </c:pt>
                <c:pt idx="72">
                  <c:v>62</c:v>
                </c:pt>
                <c:pt idx="73">
                  <c:v>61</c:v>
                </c:pt>
                <c:pt idx="74">
                  <c:v>60</c:v>
                </c:pt>
                <c:pt idx="75">
                  <c:v>59</c:v>
                </c:pt>
                <c:pt idx="76">
                  <c:v>58</c:v>
                </c:pt>
                <c:pt idx="77">
                  <c:v>57</c:v>
                </c:pt>
                <c:pt idx="78">
                  <c:v>56</c:v>
                </c:pt>
                <c:pt idx="79">
                  <c:v>55</c:v>
                </c:pt>
                <c:pt idx="80">
                  <c:v>54</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97</c:v>
                </c:pt>
                <c:pt idx="1">
                  <c:v>97</c:v>
                </c:pt>
                <c:pt idx="2">
                  <c:v>97</c:v>
                </c:pt>
                <c:pt idx="3">
                  <c:v>97</c:v>
                </c:pt>
                <c:pt idx="4">
                  <c:v>97</c:v>
                </c:pt>
                <c:pt idx="5">
                  <c:v>97</c:v>
                </c:pt>
                <c:pt idx="6">
                  <c:v>97</c:v>
                </c:pt>
                <c:pt idx="7">
                  <c:v>97</c:v>
                </c:pt>
                <c:pt idx="8">
                  <c:v>97</c:v>
                </c:pt>
                <c:pt idx="9">
                  <c:v>97</c:v>
                </c:pt>
                <c:pt idx="10">
                  <c:v>97</c:v>
                </c:pt>
                <c:pt idx="11">
                  <c:v>97</c:v>
                </c:pt>
                <c:pt idx="12">
                  <c:v>97</c:v>
                </c:pt>
                <c:pt idx="13">
                  <c:v>97</c:v>
                </c:pt>
                <c:pt idx="14">
                  <c:v>97</c:v>
                </c:pt>
                <c:pt idx="15">
                  <c:v>97</c:v>
                </c:pt>
                <c:pt idx="16">
                  <c:v>97</c:v>
                </c:pt>
                <c:pt idx="17">
                  <c:v>97</c:v>
                </c:pt>
                <c:pt idx="18">
                  <c:v>97</c:v>
                </c:pt>
                <c:pt idx="19">
                  <c:v>97</c:v>
                </c:pt>
                <c:pt idx="20">
                  <c:v>97</c:v>
                </c:pt>
                <c:pt idx="21">
                  <c:v>96</c:v>
                </c:pt>
                <c:pt idx="22">
                  <c:v>95</c:v>
                </c:pt>
                <c:pt idx="23">
                  <c:v>94</c:v>
                </c:pt>
                <c:pt idx="24">
                  <c:v>93</c:v>
                </c:pt>
                <c:pt idx="25">
                  <c:v>92</c:v>
                </c:pt>
                <c:pt idx="26">
                  <c:v>91</c:v>
                </c:pt>
                <c:pt idx="27">
                  <c:v>90</c:v>
                </c:pt>
                <c:pt idx="28">
                  <c:v>89</c:v>
                </c:pt>
                <c:pt idx="29">
                  <c:v>88</c:v>
                </c:pt>
                <c:pt idx="30">
                  <c:v>87</c:v>
                </c:pt>
                <c:pt idx="31">
                  <c:v>86</c:v>
                </c:pt>
                <c:pt idx="32">
                  <c:v>85</c:v>
                </c:pt>
                <c:pt idx="33">
                  <c:v>84</c:v>
                </c:pt>
                <c:pt idx="34">
                  <c:v>83</c:v>
                </c:pt>
                <c:pt idx="35">
                  <c:v>82</c:v>
                </c:pt>
                <c:pt idx="36">
                  <c:v>81</c:v>
                </c:pt>
                <c:pt idx="37">
                  <c:v>80</c:v>
                </c:pt>
                <c:pt idx="38">
                  <c:v>79</c:v>
                </c:pt>
                <c:pt idx="39">
                  <c:v>78</c:v>
                </c:pt>
                <c:pt idx="40">
                  <c:v>77</c:v>
                </c:pt>
                <c:pt idx="41">
                  <c:v>76</c:v>
                </c:pt>
                <c:pt idx="42">
                  <c:v>75</c:v>
                </c:pt>
                <c:pt idx="43">
                  <c:v>74</c:v>
                </c:pt>
                <c:pt idx="44">
                  <c:v>73</c:v>
                </c:pt>
                <c:pt idx="45">
                  <c:v>72</c:v>
                </c:pt>
                <c:pt idx="46">
                  <c:v>71</c:v>
                </c:pt>
                <c:pt idx="47">
                  <c:v>70</c:v>
                </c:pt>
                <c:pt idx="48">
                  <c:v>69</c:v>
                </c:pt>
                <c:pt idx="49">
                  <c:v>68</c:v>
                </c:pt>
                <c:pt idx="50">
                  <c:v>67</c:v>
                </c:pt>
                <c:pt idx="51">
                  <c:v>66</c:v>
                </c:pt>
                <c:pt idx="52">
                  <c:v>65</c:v>
                </c:pt>
                <c:pt idx="53">
                  <c:v>64</c:v>
                </c:pt>
                <c:pt idx="54">
                  <c:v>63</c:v>
                </c:pt>
                <c:pt idx="55">
                  <c:v>62</c:v>
                </c:pt>
                <c:pt idx="56">
                  <c:v>61</c:v>
                </c:pt>
                <c:pt idx="57">
                  <c:v>60</c:v>
                </c:pt>
                <c:pt idx="58">
                  <c:v>59</c:v>
                </c:pt>
                <c:pt idx="59">
                  <c:v>58</c:v>
                </c:pt>
                <c:pt idx="60">
                  <c:v>57</c:v>
                </c:pt>
                <c:pt idx="61">
                  <c:v>56</c:v>
                </c:pt>
                <c:pt idx="62">
                  <c:v>55</c:v>
                </c:pt>
                <c:pt idx="63">
                  <c:v>54</c:v>
                </c:pt>
                <c:pt idx="64">
                  <c:v>53</c:v>
                </c:pt>
                <c:pt idx="65">
                  <c:v>52</c:v>
                </c:pt>
                <c:pt idx="66">
                  <c:v>51</c:v>
                </c:pt>
                <c:pt idx="67">
                  <c:v>50</c:v>
                </c:pt>
                <c:pt idx="68">
                  <c:v>49</c:v>
                </c:pt>
                <c:pt idx="69">
                  <c:v>48</c:v>
                </c:pt>
                <c:pt idx="70">
                  <c:v>47</c:v>
                </c:pt>
                <c:pt idx="71">
                  <c:v>46</c:v>
                </c:pt>
                <c:pt idx="72">
                  <c:v>45</c:v>
                </c:pt>
                <c:pt idx="73">
                  <c:v>44</c:v>
                </c:pt>
                <c:pt idx="74">
                  <c:v>43</c:v>
                </c:pt>
                <c:pt idx="75">
                  <c:v>42</c:v>
                </c:pt>
                <c:pt idx="76">
                  <c:v>41</c:v>
                </c:pt>
                <c:pt idx="77">
                  <c:v>40</c:v>
                </c:pt>
                <c:pt idx="78">
                  <c:v>39</c:v>
                </c:pt>
                <c:pt idx="79">
                  <c:v>38</c:v>
                </c:pt>
                <c:pt idx="80">
                  <c:v>37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90"/>
          <c:min val="4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90"/>
          <c:min val="4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AA$26"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59</xdr:row>
      <xdr:rowOff>15756</xdr:rowOff>
    </xdr:from>
    <xdr:to>
      <xdr:col>7</xdr:col>
      <xdr:colOff>337131</xdr:colOff>
      <xdr:row>74</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1454431</xdr:colOff>
      <xdr:row>57</xdr:row>
      <xdr:rowOff>152400</xdr:rowOff>
    </xdr:from>
    <xdr:to>
      <xdr:col>7</xdr:col>
      <xdr:colOff>443947</xdr:colOff>
      <xdr:row>77</xdr:row>
      <xdr:rowOff>6215</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534602</xdr:colOff>
      <xdr:row>71</xdr:row>
      <xdr:rowOff>174000</xdr:rowOff>
    </xdr:from>
    <xdr:to>
      <xdr:col>5</xdr:col>
      <xdr:colOff>856815</xdr:colOff>
      <xdr:row>73</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04587">
          <a:off x="7220324" y="16315148"/>
          <a:ext cx="1508282" cy="221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260317</xdr:colOff>
      <xdr:row>71</xdr:row>
      <xdr:rowOff>61537</xdr:rowOff>
    </xdr:from>
    <xdr:to>
      <xdr:col>7</xdr:col>
      <xdr:colOff>264370</xdr:colOff>
      <xdr:row>72</xdr:row>
      <xdr:rowOff>149249</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8132108" y="16202685"/>
          <a:ext cx="1640697" cy="27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293548</xdr:colOff>
      <xdr:row>66</xdr:row>
      <xdr:rowOff>189124</xdr:rowOff>
    </xdr:from>
    <xdr:to>
      <xdr:col>7</xdr:col>
      <xdr:colOff>222030</xdr:colOff>
      <xdr:row>68</xdr:row>
      <xdr:rowOff>70955</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8165339" y="15336359"/>
          <a:ext cx="1565126" cy="292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198281</xdr:colOff>
      <xdr:row>64</xdr:row>
      <xdr:rowOff>127488</xdr:rowOff>
    </xdr:from>
    <xdr:to>
      <xdr:col>7</xdr:col>
      <xdr:colOff>323781</xdr:colOff>
      <xdr:row>65</xdr:row>
      <xdr:rowOff>179593</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881670">
          <a:off x="8070072" y="14890410"/>
          <a:ext cx="1762144" cy="244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218034</xdr:colOff>
      <xdr:row>69</xdr:row>
      <xdr:rowOff>110391</xdr:rowOff>
    </xdr:from>
    <xdr:to>
      <xdr:col>7</xdr:col>
      <xdr:colOff>344846</xdr:colOff>
      <xdr:row>70</xdr:row>
      <xdr:rowOff>157283</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8089825" y="15860600"/>
          <a:ext cx="1763456" cy="245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mc:AlternateContent xmlns:mc="http://schemas.openxmlformats.org/markup-compatibility/2006">
    <mc:Choice xmlns:a14="http://schemas.microsoft.com/office/drawing/2010/main" Requires="a14">
      <xdr:twoCellAnchor editAs="oneCell">
        <xdr:from>
          <xdr:col>0</xdr:col>
          <xdr:colOff>1135380</xdr:colOff>
          <xdr:row>18</xdr:row>
          <xdr:rowOff>579120</xdr:rowOff>
        </xdr:from>
        <xdr:to>
          <xdr:col>0</xdr:col>
          <xdr:colOff>1699260</xdr:colOff>
          <xdr:row>20</xdr:row>
          <xdr:rowOff>30480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OSBM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1623060</xdr:colOff>
          <xdr:row>18</xdr:row>
          <xdr:rowOff>579120</xdr:rowOff>
        </xdr:from>
        <xdr:to>
          <xdr:col>0</xdr:col>
          <xdr:colOff>2087880</xdr:colOff>
          <xdr:row>20</xdr:row>
          <xdr:rowOff>30480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ACS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9">
  <autoFilter ref="AX2:AZ89" xr:uid="{48DE95FC-6206-40F2-8F3E-B87126AD82B0}"/>
  <tableColumns count="3">
    <tableColumn id="2" xr3:uid="{2672F7B6-9A9C-49C8-9F90-6EF92F896B79}" name="Y: Effective Combined Bill ($/5,000 gal.)" dataDxfId="58" dataCellStyle="Percent"/>
    <tableColumn id="3" xr3:uid="{4E756FE3-8F53-4C12-BA7E-2753516D2ABE}" name="Water Connections" dataDxfId="57" dataCellStyle="Percent"/>
    <tableColumn id="4" xr3:uid="{837580B0-9EAB-4FA8-B4B4-8E8BFAE89201}" name="X: Project Cost Per conn. per Month" dataDxfId="56">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5">
  <autoFilter ref="BB2:BD73" xr:uid="{4BDF7B43-7FFD-435C-8AF1-046B0F8051EE}"/>
  <tableColumns count="3">
    <tableColumn id="2" xr3:uid="{B8731DC4-D009-4806-A862-BE985635132D}" name="Y: Effective Combined Bill ($/5,000 gal.)" dataDxfId="54" dataCellStyle="Percent"/>
    <tableColumn id="3" xr3:uid="{4269DE7C-A936-4019-9A51-A609202FC406}" name="Sewer Connections" dataDxfId="53" dataCellStyle="Percent"/>
    <tableColumn id="4" xr3:uid="{A0DD88E2-2E93-40AF-9BEF-07DC857D3C21}" name="X: Project Cost Per conn. per Month" dataDxfId="52"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51" dataDxfId="49" headerRowBorderDxfId="50" tableBorderDxfId="48">
  <autoFilter ref="AJ2:AO303" xr:uid="{6CF1F643-8275-4F8F-AE95-55485D068C7B}"/>
  <tableColumns count="6">
    <tableColumn id="1" xr3:uid="{B970BCAB-7725-413F-ABE2-34544C6C3789}" name="X" dataDxfId="47"/>
    <tableColumn id="2" xr3:uid="{5CAF3221-371F-415E-B7D4-934151FC6127}" name="0%" dataDxfId="46">
      <calculatedColumnFormula>IF(AC_Chart_Background_Data[[#This Row],[X]] &lt; EFC_70P-EFC_50P, EFC_50P, MAX(EFC_70P-AC_Chart_Background_Data[[#This Row],[X]],0))</calculatedColumnFormula>
    </tableColumn>
    <tableColumn id="3" xr3:uid="{379D3296-B4C9-493D-9A4B-600639A2808A}" name="25%" dataDxfId="45">
      <calculatedColumnFormula>IF(AC_Chart_Background_Data[[#This Row],[X]] &lt; EFC_85P-EFC_70P, EFC_70P, MAX(EFC_85P-AC_Chart_Background_Data[[#This Row],[X]],0))</calculatedColumnFormula>
    </tableColumn>
    <tableColumn id="4" xr3:uid="{3DCFD344-84E9-437A-A3FF-E147A3DB8F4D}" name="50%" dataDxfId="44">
      <calculatedColumnFormula>IF(AC_Chart_Background_Data[[#This Row],[X]] &lt; EFC_95P-EFC_85P, EFC_85P, MAX(EFC_95P-AC_Chart_Background_Data[[#This Row],[X]],0))</calculatedColumnFormula>
    </tableColumn>
    <tableColumn id="5" xr3:uid="{7455DBAE-7F3F-4C55-A811-0E7EDA77425C}" name="75%" dataDxfId="43">
      <calculatedColumnFormula>IF(AC_Chart_Background_Data[[#This Row],[X]] &lt; EFC_99P-EFC_95P, EFC_95P, MAX(EFC_99P-AC_Chart_Background_Data[[#This Row],[X]],0))</calculatedColumnFormula>
    </tableColumn>
    <tableColumn id="6" xr3:uid="{9771337D-8BCB-4E4E-B517-3D3608696EBD}" name="100%" dataDxfId="42">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4:I656" headerRowDxfId="41" dataDxfId="40" totalsRowDxfId="38" tableBorderDxfId="39">
  <autoFilter ref="A4:I656" xr:uid="{381D429D-B412-4C76-9EE0-5E40E62C723B}"/>
  <tableColumns count="9">
    <tableColumn id="1" xr3:uid="{206B1B5F-733A-40D9-9CC4-4C261BE53F8C}" name="LGU" totalsRowLabel="Total" dataDxfId="37" totalsRowDxfId="36"/>
    <tableColumn id="2" xr3:uid="{8B7CF924-DEC9-4820-BBC7-2C2D672B95E3}" name="Population (2020)-ACS" dataDxfId="35" totalsRowDxfId="34" dataCellStyle="Comma"/>
    <tableColumn id="3" xr3:uid="{386E5398-DE29-40B1-B5A2-FCCF091DE24A}" name="Population (2024)-ACS" dataDxfId="33" totalsRowDxfId="32" dataCellStyle="Comma"/>
    <tableColumn id="9" xr3:uid="{64254244-6462-406F-8AC5-49676658EFF2}" name="Population (2020)-OSBM" dataDxfId="31" totalsRowDxfId="30" dataCellStyle="Percent"/>
    <tableColumn id="4" xr3:uid="{1E277898-777A-429A-915B-505479A1DFC7}" name="Population (2024)-OSBM" dataDxfId="29" totalsRowDxfId="28" dataCellStyle="Comma"/>
    <tableColumn id="5" xr3:uid="{CED353D8-310B-4251-8F02-4A7AF2BC7183}" name="Poverty Rate (%, 2024)" dataDxfId="27" totalsRowDxfId="26"/>
    <tableColumn id="6" xr3:uid="{16D8AEB3-9BB4-4FAC-94C9-68669740C88F}" name="Unemployment Rate (%, 2024)" dataDxfId="25" dataCellStyle="Percent"/>
    <tableColumn id="7" xr3:uid="{8239B56D-8946-4A3A-BEEE-53B27B738678}" name="Median Household Income (2024)" totalsRowFunction="average" dataDxfId="24" dataCellStyle="Currency"/>
    <tableColumn id="8" xr3:uid="{5BC3EFB3-7DDC-4FE4-9D3B-8699C0A97D37}" name="Total Appraised Value (2024)" totalsRowFunction="count" dataDxfId="2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K4:P494" headerRowDxfId="22" dataDxfId="21" totalsRowDxfId="19" tableBorderDxfId="20">
  <autoFilter ref="K4:P494" xr:uid="{89028E53-DAB8-4CB5-9A56-D2F69869DF7B}"/>
  <tableColumns count="6">
    <tableColumn id="1" xr3:uid="{C0D4A221-F9BA-4AF4-B36A-1C9B9CC8F8EB}" name="Aberdeen, Town of" dataDxfId="18" totalsRowDxfId="17"/>
    <tableColumn id="2" xr3:uid="{58D85C3F-58BB-4A59-8B57-4A5EEF12F462}" name="No" dataDxfId="16" totalsRowDxfId="15"/>
    <tableColumn id="3" xr3:uid="{CDB1EF64-51FF-4ABA-8869-6C2112C77635}" name="3" dataDxfId="14" totalsRowDxfId="13"/>
    <tableColumn id="4" xr3:uid="{A01EE4CE-8379-426E-8603-939FBB0ECC8F}" name="No2" dataDxfId="12" totalsRowDxfId="11"/>
    <tableColumn id="5" xr3:uid="{90A03815-1439-41A7-81FD-B0DDF02690CF}" name="No3" dataDxfId="10" totalsRowDxfId="9"/>
    <tableColumn id="6" xr3:uid="{281A0BE3-2250-4FFA-B590-C189B5B438A1}" name="Aberdeen" dataDxfId="8" totalsRow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zoomScale="115" zoomScaleNormal="115" workbookViewId="0">
      <selection activeCell="I11" sqref="I11"/>
    </sheetView>
  </sheetViews>
  <sheetFormatPr defaultColWidth="9.109375" defaultRowHeight="14.4" x14ac:dyDescent="0.3"/>
  <cols>
    <col min="1" max="1" width="31.33203125" style="6" customWidth="1"/>
    <col min="2" max="2" width="21.33203125" style="6" customWidth="1"/>
    <col min="3" max="3" width="23.33203125" style="6" customWidth="1"/>
    <col min="4" max="4" width="21.44140625" style="6" customWidth="1"/>
    <col min="5" max="6" width="17.33203125" style="6" customWidth="1"/>
    <col min="7" max="7" width="6.5546875" style="6" customWidth="1"/>
    <col min="8" max="8" width="15" style="6" customWidth="1"/>
    <col min="9" max="9" width="11.5546875" style="6" customWidth="1"/>
    <col min="10" max="26" width="9.109375" style="6"/>
    <col min="27" max="27" width="35.33203125" style="79" hidden="1" customWidth="1"/>
    <col min="28" max="28" width="9.33203125" style="6" hidden="1" customWidth="1"/>
    <col min="29" max="29" width="7" style="6" hidden="1" customWidth="1"/>
    <col min="30" max="30" width="55" style="6" hidden="1" customWidth="1"/>
    <col min="31" max="31" width="14" style="6" hidden="1" customWidth="1"/>
    <col min="32" max="32" width="13.109375" style="6" hidden="1" customWidth="1"/>
    <col min="33" max="33" width="14.44140625" style="6" hidden="1" customWidth="1"/>
    <col min="34" max="48" width="12.44140625" style="6" hidden="1" customWidth="1"/>
    <col min="49" max="49" width="9.109375" style="6" hidden="1" customWidth="1"/>
    <col min="50" max="50" width="54.5546875" style="6" hidden="1" customWidth="1"/>
    <col min="51" max="51" width="24.88671875" style="6" hidden="1" customWidth="1"/>
    <col min="52" max="52" width="40.88671875" style="6" hidden="1" customWidth="1"/>
    <col min="53" max="53" width="9.109375" style="6" hidden="1" customWidth="1"/>
    <col min="54" max="54" width="54.5546875" style="6" hidden="1" customWidth="1"/>
    <col min="55" max="55" width="25.33203125" style="6" hidden="1" customWidth="1"/>
    <col min="56" max="56" width="50" style="6" hidden="1" customWidth="1"/>
    <col min="57" max="78" width="9.109375" style="6" hidden="1" customWidth="1"/>
    <col min="79" max="139" width="9.109375" style="6" customWidth="1"/>
    <col min="140" max="16384" width="9.109375" style="6"/>
  </cols>
  <sheetData>
    <row r="1" spans="1:56" ht="21" customHeight="1" x14ac:dyDescent="0.4">
      <c r="A1" s="5" t="s">
        <v>1220</v>
      </c>
      <c r="E1" s="74" t="s">
        <v>713</v>
      </c>
      <c r="F1" s="7" t="s">
        <v>711</v>
      </c>
      <c r="AA1" s="78" t="s">
        <v>736</v>
      </c>
      <c r="AC1" s="242" t="s">
        <v>808</v>
      </c>
      <c r="AD1" s="242"/>
      <c r="AE1" s="242"/>
      <c r="AF1" s="242"/>
      <c r="AG1" s="242"/>
      <c r="AJ1" s="246" t="s">
        <v>821</v>
      </c>
      <c r="AK1" s="246"/>
      <c r="AL1" s="246"/>
      <c r="AM1" s="246"/>
      <c r="AN1" s="246"/>
      <c r="AO1" s="246"/>
      <c r="AP1" s="8"/>
      <c r="AQ1" s="246" t="s">
        <v>822</v>
      </c>
      <c r="AR1" s="246"/>
      <c r="AS1" s="246"/>
      <c r="AT1" s="246"/>
      <c r="AU1" s="246"/>
      <c r="AV1" s="246"/>
      <c r="AW1" s="8"/>
      <c r="AX1" s="231" t="s">
        <v>765</v>
      </c>
      <c r="AY1" s="231"/>
      <c r="AZ1" s="231"/>
      <c r="BA1" s="101"/>
      <c r="BB1" s="231" t="s">
        <v>764</v>
      </c>
      <c r="BC1" s="231"/>
      <c r="BD1" s="231"/>
    </row>
    <row r="2" spans="1:56" ht="15" customHeight="1" x14ac:dyDescent="0.3">
      <c r="A2" s="9" t="s">
        <v>836</v>
      </c>
      <c r="AA2" s="78"/>
      <c r="AC2" s="8"/>
      <c r="AD2" s="8"/>
      <c r="AE2" s="76" t="s">
        <v>748</v>
      </c>
      <c r="AF2" s="76" t="s">
        <v>749</v>
      </c>
      <c r="AG2" s="76" t="s">
        <v>735</v>
      </c>
      <c r="AJ2" s="157" t="s">
        <v>823</v>
      </c>
      <c r="AK2" s="158" t="s">
        <v>824</v>
      </c>
      <c r="AL2" s="158" t="s">
        <v>825</v>
      </c>
      <c r="AM2" s="158" t="s">
        <v>826</v>
      </c>
      <c r="AN2" s="158" t="s">
        <v>827</v>
      </c>
      <c r="AO2" s="159" t="s">
        <v>828</v>
      </c>
      <c r="AQ2" s="152" t="s">
        <v>823</v>
      </c>
      <c r="AR2" s="152" t="s">
        <v>824</v>
      </c>
      <c r="AS2" s="152" t="s">
        <v>825</v>
      </c>
      <c r="AT2" s="152" t="s">
        <v>826</v>
      </c>
      <c r="AU2" s="152" t="s">
        <v>827</v>
      </c>
      <c r="AV2" s="152" t="s">
        <v>828</v>
      </c>
      <c r="AW2" s="8"/>
      <c r="AX2" s="14" t="s">
        <v>762</v>
      </c>
      <c r="AY2" s="14" t="s">
        <v>709</v>
      </c>
      <c r="AZ2" s="14" t="s">
        <v>763</v>
      </c>
      <c r="BA2" s="8"/>
      <c r="BB2" s="14" t="s">
        <v>762</v>
      </c>
      <c r="BC2" s="14" t="s">
        <v>710</v>
      </c>
      <c r="BD2" s="14" t="s">
        <v>763</v>
      </c>
    </row>
    <row r="3" spans="1:56" ht="16.5" customHeight="1" thickBot="1" x14ac:dyDescent="0.35">
      <c r="A3" s="9" t="s">
        <v>807</v>
      </c>
      <c r="AA3" s="78" t="s">
        <v>689</v>
      </c>
      <c r="AC3" s="76" t="s">
        <v>738</v>
      </c>
      <c r="AD3" s="80" t="s">
        <v>743</v>
      </c>
      <c r="AE3" s="76" t="b">
        <f>IF(AND(VU_Distressed&lt;&gt;"",VU_Score&lt;&gt;""),TRUE,FALSE)</f>
        <v>0</v>
      </c>
      <c r="AF3" s="76" t="b">
        <f>AC_Step1_Completed</f>
        <v>0</v>
      </c>
      <c r="AG3" s="76" t="b">
        <f>IF(AND(AC_Step1_Passed),TRUE,FALSE)</f>
        <v>0</v>
      </c>
      <c r="AJ3" s="150">
        <v>0</v>
      </c>
      <c r="AK3" s="150">
        <f>IF(AC_Chart_Background_Data[[#This Row],[X]] &lt; EFC_70P-EFC_50P, EFC_50P, MAX(EFC_70P-AC_Chart_Background_Data[[#This Row],[X]],0))</f>
        <v>97</v>
      </c>
      <c r="AL3" s="150">
        <f>IF(AC_Chart_Background_Data[[#This Row],[X]] &lt; EFC_85P-EFC_70P, EFC_70P, MAX(EFC_85P-AC_Chart_Background_Data[[#This Row],[X]],0))</f>
        <v>117</v>
      </c>
      <c r="AM3" s="150">
        <f>IF(AC_Chart_Background_Data[[#This Row],[X]] &lt; EFC_95P-EFC_85P, EFC_85P, MAX(EFC_95P-AC_Chart_Background_Data[[#This Row],[X]],0))</f>
        <v>134</v>
      </c>
      <c r="AN3" s="150">
        <f>IF(AC_Chart_Background_Data[[#This Row],[X]] &lt; EFC_99P-EFC_95P, EFC_95P, MAX(EFC_99P-AC_Chart_Background_Data[[#This Row],[X]],0))</f>
        <v>161</v>
      </c>
      <c r="AO3" s="150">
        <f t="shared" ref="AO3:AO66" si="0">AC_Ymax</f>
        <v>190</v>
      </c>
      <c r="AQ3" s="144" cm="1">
        <f t="array" ref="AQ3:AQ83">_xlfn.LET(_xlpm.X,AC_Chart_Background_Data[X],
           _xlfn._xlws.FILTER(_xlpm.X, (_xlpm.X&lt;=AC_Xmax),"")
            )</f>
        <v>0</v>
      </c>
      <c r="AR3" s="144" cm="1">
        <f t="array" ref="AR3:AR83">_xlfn.LET(_xlpm.Y,AC_Chart_Background_Data[0%],
           _xlpm.X, AC_Chart_Background_Data[X],
            _xlfn._xlws.FILTER(_xlpm.Y, (_xlpm.X&lt;=AC_Xmax),"")
            )</f>
        <v>97</v>
      </c>
      <c r="AS3" s="144" cm="1">
        <f t="array" ref="AS3:AS83">_xlfn.LET(_xlpm.Y,AC_Chart_Background_Data[25%],
           _xlpm.X, AC_Chart_Background_Data[X],
            _xlfn._xlws.FILTER(_xlpm.Y, (_xlpm.X&lt;=AC_Xmax),"")
            )</f>
        <v>117</v>
      </c>
      <c r="AT3" s="144" cm="1">
        <f t="array" ref="AT3:AT83">_xlfn.LET(_xlpm.Y,AC_Chart_Background_Data[50%],
           _xlpm.X, AC_Chart_Background_Data[X],
            _xlfn._xlws.FILTER(_xlpm.Y, (_xlpm.X&lt;=AC_Xmax),"")
            )</f>
        <v>134</v>
      </c>
      <c r="AU3" s="144" cm="1">
        <f t="array" ref="AU3:AU83">_xlfn.LET(_xlpm.Y,AC_Chart_Background_Data[75%],
           _xlpm.X, AC_Chart_Background_Data[X],
            _xlfn._xlws.FILTER(_xlpm.Y, (_xlpm.X&lt;=AC_Xmax),"")
            )</f>
        <v>161</v>
      </c>
      <c r="AV3" s="144" cm="1">
        <f t="array" ref="AV3:AV83">_xlfn.LET(_xlpm.Y,AC_Chart_Background_Data[100%],
           _xlpm.X, AC_Chart_Background_Data[X],
            _xlfn._xlws.FILTER(_xlpm.Y, (_xlpm.X&lt;=AC_Xmax),"")
            )</f>
        <v>190</v>
      </c>
      <c r="AW3" s="8"/>
      <c r="AX3" s="102">
        <v>131.5</v>
      </c>
      <c r="AY3" s="103">
        <v>12626</v>
      </c>
      <c r="AZ3" s="104">
        <f t="shared" ref="AZ3:AZ66" si="1" xml:space="preserve"> AI_Project_Cost/AY3/20/12</f>
        <v>0</v>
      </c>
      <c r="BA3" s="8"/>
      <c r="BB3" s="102">
        <v>102.51</v>
      </c>
      <c r="BC3" s="103">
        <v>2046</v>
      </c>
      <c r="BD3" s="105">
        <f t="shared" ref="BD3:BD63" si="2" xml:space="preserve"> AI_Project_Cost/BC3/20/12</f>
        <v>0</v>
      </c>
    </row>
    <row r="4" spans="1:56" ht="19.5" customHeight="1" thickBot="1" x14ac:dyDescent="0.4">
      <c r="A4" s="10" t="s">
        <v>712</v>
      </c>
      <c r="B4" s="232"/>
      <c r="C4" s="233"/>
      <c r="D4" s="11"/>
      <c r="AA4" s="78" t="s">
        <v>690</v>
      </c>
      <c r="AC4" s="76" t="s">
        <v>739</v>
      </c>
      <c r="AD4" s="80" t="s">
        <v>744</v>
      </c>
      <c r="AE4" s="76" t="b">
        <f>IF(AI_Connections_Res.&lt;&gt;"", TRUE, FALSE)</f>
        <v>0</v>
      </c>
      <c r="AF4" s="76" t="b">
        <f xml:space="preserve"> IF(AC_Step2_Completed,
              IF(OR(VU_Distressed="Yes",VU_D1="Yes",AND(AI_Connections_Res.&lt; 20000,AI_Connections_Res.&gt;0)),TRUE,FALSE),
              FALSE
        )</f>
        <v>0</v>
      </c>
      <c r="AG4" s="76" t="b">
        <f>IF(AND(AC_Step1_Passed,AC_Step2_Passed),TRUE,FALSE)</f>
        <v>0</v>
      </c>
      <c r="AJ4" s="150">
        <f>AJ3+1</f>
        <v>1</v>
      </c>
      <c r="AK4" s="150">
        <f>IF(AC_Chart_Background_Data[[#This Row],[X]] &lt; EFC_70P-EFC_50P, EFC_50P, MAX(EFC_70P-AC_Chart_Background_Data[[#This Row],[X]],0))</f>
        <v>97</v>
      </c>
      <c r="AL4" s="150">
        <f>IF(AC_Chart_Background_Data[[#This Row],[X]] &lt; EFC_85P-EFC_70P, EFC_70P, MAX(EFC_85P-AC_Chart_Background_Data[[#This Row],[X]],0))</f>
        <v>117</v>
      </c>
      <c r="AM4" s="150">
        <f>IF(AC_Chart_Background_Data[[#This Row],[X]] &lt; EFC_95P-EFC_85P, EFC_85P, MAX(EFC_95P-AC_Chart_Background_Data[[#This Row],[X]],0))</f>
        <v>134</v>
      </c>
      <c r="AN4" s="150">
        <f>IF(AC_Chart_Background_Data[[#This Row],[X]] &lt; EFC_99P-EFC_95P, EFC_95P, MAX(EFC_99P-AC_Chart_Background_Data[[#This Row],[X]],0))</f>
        <v>161</v>
      </c>
      <c r="AO4" s="150">
        <f t="shared" si="0"/>
        <v>190</v>
      </c>
      <c r="AQ4" s="144">
        <v>1</v>
      </c>
      <c r="AR4" s="144">
        <v>97</v>
      </c>
      <c r="AS4" s="144">
        <v>117</v>
      </c>
      <c r="AT4" s="144">
        <v>134</v>
      </c>
      <c r="AU4" s="144">
        <v>161</v>
      </c>
      <c r="AV4" s="144">
        <v>190</v>
      </c>
      <c r="AW4" s="8"/>
      <c r="AX4" s="102">
        <v>78.72</v>
      </c>
      <c r="AY4" s="103">
        <v>13880</v>
      </c>
      <c r="AZ4" s="104">
        <f t="shared" si="1"/>
        <v>0</v>
      </c>
      <c r="BA4" s="8"/>
      <c r="BB4" s="102">
        <v>56.44</v>
      </c>
      <c r="BC4" s="103">
        <v>7294</v>
      </c>
      <c r="BD4" s="105">
        <f t="shared" si="2"/>
        <v>0</v>
      </c>
    </row>
    <row r="5" spans="1:56" ht="15.75" customHeight="1" thickBot="1" x14ac:dyDescent="0.35">
      <c r="E5" s="6" t="s">
        <v>713</v>
      </c>
      <c r="AA5" s="75"/>
      <c r="AB5" s="8"/>
      <c r="AC5" s="76" t="s">
        <v>740</v>
      </c>
      <c r="AD5" s="80" t="s">
        <v>745</v>
      </c>
      <c r="AE5" s="76" t="b">
        <f ca="1">IFERROR(IF(AC_IWSB &lt;&gt;"",TRUE,FALSE),FALSE)</f>
        <v>0</v>
      </c>
      <c r="AF5" s="76" t="b">
        <f ca="1">IF(AC_Step3_Completed,
           IF(OR(VU_Distressed="Yes",VU_D1="Yes",AC_IWSB&gt;=3),TRUE,FALSE),
           FALSE
        )</f>
        <v>0</v>
      </c>
      <c r="AG5" s="76" t="b">
        <f ca="1">IF(AND(AC_Step1_Passed,AC_Step2_Passed,AC_Step3_Passed),TRUE,FALSE)</f>
        <v>0</v>
      </c>
      <c r="AJ5" s="150">
        <f>AJ4+1</f>
        <v>2</v>
      </c>
      <c r="AK5" s="150">
        <f>IF(AC_Chart_Background_Data[[#This Row],[X]] &lt; EFC_70P-EFC_50P, EFC_50P, MAX(EFC_70P-AC_Chart_Background_Data[[#This Row],[X]],0))</f>
        <v>97</v>
      </c>
      <c r="AL5" s="150">
        <f>IF(AC_Chart_Background_Data[[#This Row],[X]] &lt; EFC_85P-EFC_70P, EFC_70P, MAX(EFC_85P-AC_Chart_Background_Data[[#This Row],[X]],0))</f>
        <v>117</v>
      </c>
      <c r="AM5" s="150">
        <f>IF(AC_Chart_Background_Data[[#This Row],[X]] &lt; EFC_95P-EFC_85P, EFC_85P, MAX(EFC_95P-AC_Chart_Background_Data[[#This Row],[X]],0))</f>
        <v>134</v>
      </c>
      <c r="AN5" s="150">
        <f>IF(AC_Chart_Background_Data[[#This Row],[X]] &lt; EFC_99P-EFC_95P, EFC_95P, MAX(EFC_99P-AC_Chart_Background_Data[[#This Row],[X]],0))</f>
        <v>161</v>
      </c>
      <c r="AO5" s="150">
        <f t="shared" si="0"/>
        <v>190</v>
      </c>
      <c r="AQ5" s="144">
        <v>2</v>
      </c>
      <c r="AR5" s="144">
        <v>97</v>
      </c>
      <c r="AS5" s="144">
        <v>117</v>
      </c>
      <c r="AT5" s="144">
        <v>134</v>
      </c>
      <c r="AU5" s="144">
        <v>161</v>
      </c>
      <c r="AV5" s="144">
        <v>190</v>
      </c>
      <c r="AW5" s="8"/>
      <c r="AX5" s="102">
        <v>142.82</v>
      </c>
      <c r="AY5" s="103">
        <v>2480</v>
      </c>
      <c r="AZ5" s="104">
        <f t="shared" si="1"/>
        <v>0</v>
      </c>
      <c r="BA5" s="8"/>
      <c r="BB5" s="102">
        <v>82.78</v>
      </c>
      <c r="BC5" s="103">
        <v>235</v>
      </c>
      <c r="BD5" s="105">
        <f t="shared" si="2"/>
        <v>0</v>
      </c>
    </row>
    <row r="6" spans="1:56" ht="18.75" customHeight="1" x14ac:dyDescent="0.3">
      <c r="A6" s="234" t="s">
        <v>714</v>
      </c>
      <c r="B6" s="235"/>
      <c r="C6" s="236"/>
      <c r="G6" s="12"/>
      <c r="H6" s="12"/>
      <c r="AA6" s="75"/>
      <c r="AC6" s="76" t="s">
        <v>741</v>
      </c>
      <c r="AD6" s="80" t="s">
        <v>746</v>
      </c>
      <c r="AE6" s="76" t="b">
        <f>IF(AND(SIGN(FIF_Operating_Revenues)=1,SIGN(FIF_Total_Expenditures)=1,SIGN(AI_Project_Cost)=1),TRUE,FALSE)</f>
        <v>0</v>
      </c>
      <c r="AF6" s="76" t="b">
        <f xml:space="preserve"> IF(AC_Step4_Completed,
              IF(OR(VU_Distressed="Yes",VU_D1="Yes",AC_Operating_Ratio_Future &lt; 1.3),TRUE,FALSE),
              FALSE
         )</f>
        <v>0</v>
      </c>
      <c r="AG6" s="76" t="b">
        <f ca="1">IF(AND(AC_Step1_Passed,AC_Step2_Passed,AC_Step3_Passed,AC_Step4_Passed), TRUE, FALSE)</f>
        <v>0</v>
      </c>
      <c r="AJ6" s="150">
        <f t="shared" ref="AJ6:AJ69" si="3">AJ5+1</f>
        <v>3</v>
      </c>
      <c r="AK6" s="150">
        <f>IF(AC_Chart_Background_Data[[#This Row],[X]] &lt; EFC_70P-EFC_50P, EFC_50P, MAX(EFC_70P-AC_Chart_Background_Data[[#This Row],[X]],0))</f>
        <v>97</v>
      </c>
      <c r="AL6" s="150">
        <f>IF(AC_Chart_Background_Data[[#This Row],[X]] &lt; EFC_85P-EFC_70P, EFC_70P, MAX(EFC_85P-AC_Chart_Background_Data[[#This Row],[X]],0))</f>
        <v>117</v>
      </c>
      <c r="AM6" s="150">
        <f>IF(AC_Chart_Background_Data[[#This Row],[X]] &lt; EFC_95P-EFC_85P, EFC_85P, MAX(EFC_95P-AC_Chart_Background_Data[[#This Row],[X]],0))</f>
        <v>134</v>
      </c>
      <c r="AN6" s="150">
        <f>IF(AC_Chart_Background_Data[[#This Row],[X]] &lt; EFC_99P-EFC_95P, EFC_95P, MAX(EFC_99P-AC_Chart_Background_Data[[#This Row],[X]],0))</f>
        <v>161</v>
      </c>
      <c r="AO6" s="150">
        <f t="shared" si="0"/>
        <v>190</v>
      </c>
      <c r="AQ6" s="144">
        <v>3</v>
      </c>
      <c r="AR6" s="144">
        <v>97</v>
      </c>
      <c r="AS6" s="144">
        <v>117</v>
      </c>
      <c r="AT6" s="144">
        <v>134</v>
      </c>
      <c r="AU6" s="144">
        <v>161</v>
      </c>
      <c r="AV6" s="144">
        <v>190</v>
      </c>
      <c r="AW6" s="8"/>
      <c r="AX6" s="102">
        <v>137.80000000000001</v>
      </c>
      <c r="AY6" s="103">
        <v>2178</v>
      </c>
      <c r="AZ6" s="104">
        <f t="shared" si="1"/>
        <v>0</v>
      </c>
      <c r="BA6" s="8"/>
      <c r="BB6" s="102">
        <v>142.82</v>
      </c>
      <c r="BC6" s="103">
        <v>2179</v>
      </c>
      <c r="BD6" s="105">
        <f t="shared" si="2"/>
        <v>0</v>
      </c>
    </row>
    <row r="7" spans="1:56" ht="19.5" customHeight="1" x14ac:dyDescent="0.3">
      <c r="A7" s="13" t="s">
        <v>715</v>
      </c>
      <c r="B7" s="192" t="str">
        <f>IFERROR(VLOOKUP(AI_Applicant,VU_Unit_Names,1,FALSE),
                     IF(AI_Applicant&lt;&gt;"","Not listed","")
)</f>
        <v/>
      </c>
      <c r="C7" s="193"/>
      <c r="D7" s="248" t="s">
        <v>837</v>
      </c>
      <c r="E7" s="248"/>
      <c r="F7" s="248"/>
      <c r="G7" s="248"/>
      <c r="H7" s="248"/>
      <c r="I7" s="248"/>
      <c r="AA7" s="75"/>
      <c r="AC7" s="76" t="s">
        <v>742</v>
      </c>
      <c r="AD7" s="80" t="s">
        <v>747</v>
      </c>
      <c r="AE7" s="76" t="b">
        <f ca="1">IFERROR(IF(AND(SIGN(AI_Effective_Combined_Bill)=1,SIGN(AC_Connections)=1),TRUE,FALSE),FALSE)</f>
        <v>0</v>
      </c>
      <c r="AF7" s="76" t="b">
        <f ca="1">AC_Step5_Completed</f>
        <v>0</v>
      </c>
      <c r="AG7" s="76" t="b">
        <f ca="1">IF(AND(AC_Step1_Passed,AC_Step2_Passed,AC_Step3_Passed,AC_Step4_Passed,AC_Step5_Passed), TRUE,FALSE)</f>
        <v>0</v>
      </c>
      <c r="AJ7" s="150">
        <f t="shared" si="3"/>
        <v>4</v>
      </c>
      <c r="AK7" s="150">
        <f>IF(AC_Chart_Background_Data[[#This Row],[X]] &lt; EFC_70P-EFC_50P, EFC_50P, MAX(EFC_70P-AC_Chart_Background_Data[[#This Row],[X]],0))</f>
        <v>97</v>
      </c>
      <c r="AL7" s="150">
        <f>IF(AC_Chart_Background_Data[[#This Row],[X]] &lt; EFC_85P-EFC_70P, EFC_70P, MAX(EFC_85P-AC_Chart_Background_Data[[#This Row],[X]],0))</f>
        <v>117</v>
      </c>
      <c r="AM7" s="150">
        <f>IF(AC_Chart_Background_Data[[#This Row],[X]] &lt; EFC_95P-EFC_85P, EFC_85P, MAX(EFC_95P-AC_Chart_Background_Data[[#This Row],[X]],0))</f>
        <v>134</v>
      </c>
      <c r="AN7" s="150">
        <f>IF(AC_Chart_Background_Data[[#This Row],[X]] &lt; EFC_99P-EFC_95P, EFC_95P, MAX(EFC_99P-AC_Chart_Background_Data[[#This Row],[X]],0))</f>
        <v>161</v>
      </c>
      <c r="AO7" s="150">
        <f t="shared" si="0"/>
        <v>190</v>
      </c>
      <c r="AQ7" s="144">
        <v>4</v>
      </c>
      <c r="AR7" s="144">
        <v>97</v>
      </c>
      <c r="AS7" s="144">
        <v>117</v>
      </c>
      <c r="AT7" s="144">
        <v>134</v>
      </c>
      <c r="AU7" s="144">
        <v>161</v>
      </c>
      <c r="AV7" s="144">
        <v>190</v>
      </c>
      <c r="AW7" s="8"/>
      <c r="AX7" s="102">
        <v>50.6</v>
      </c>
      <c r="AY7" s="103">
        <v>25772</v>
      </c>
      <c r="AZ7" s="104">
        <f t="shared" si="1"/>
        <v>0</v>
      </c>
      <c r="BA7" s="8"/>
      <c r="BB7" s="102">
        <v>134.13</v>
      </c>
      <c r="BC7" s="103">
        <v>1248</v>
      </c>
      <c r="BD7" s="105">
        <f t="shared" si="2"/>
        <v>0</v>
      </c>
    </row>
    <row r="8" spans="1:56" ht="30" customHeight="1" thickBot="1" x14ac:dyDescent="0.35">
      <c r="A8" s="15" t="s">
        <v>716</v>
      </c>
      <c r="B8" s="192" t="str">
        <f>IFERROR(VLOOKUP(B7,DataTable_VUR[],2,FALSE),
                      IF(B7&lt;&gt;"", 0,"")
)</f>
        <v/>
      </c>
      <c r="C8" s="193"/>
      <c r="D8" s="248"/>
      <c r="E8" s="248"/>
      <c r="F8" s="248"/>
      <c r="G8" s="248"/>
      <c r="H8" s="248"/>
      <c r="I8" s="248"/>
      <c r="AA8" s="75"/>
      <c r="AD8" s="86" t="s">
        <v>691</v>
      </c>
      <c r="AE8" s="86"/>
      <c r="AJ8" s="150">
        <f t="shared" si="3"/>
        <v>5</v>
      </c>
      <c r="AK8" s="150">
        <f>IF(AC_Chart_Background_Data[[#This Row],[X]] &lt; EFC_70P-EFC_50P, EFC_50P, MAX(EFC_70P-AC_Chart_Background_Data[[#This Row],[X]],0))</f>
        <v>97</v>
      </c>
      <c r="AL8" s="150">
        <f>IF(AC_Chart_Background_Data[[#This Row],[X]] &lt; EFC_85P-EFC_70P, EFC_70P, MAX(EFC_85P-AC_Chart_Background_Data[[#This Row],[X]],0))</f>
        <v>117</v>
      </c>
      <c r="AM8" s="150">
        <f>IF(AC_Chart_Background_Data[[#This Row],[X]] &lt; EFC_95P-EFC_85P, EFC_85P, MAX(EFC_95P-AC_Chart_Background_Data[[#This Row],[X]],0))</f>
        <v>134</v>
      </c>
      <c r="AN8" s="150">
        <f>IF(AC_Chart_Background_Data[[#This Row],[X]] &lt; EFC_99P-EFC_95P, EFC_95P, MAX(EFC_99P-AC_Chart_Background_Data[[#This Row],[X]],0))</f>
        <v>161</v>
      </c>
      <c r="AO8" s="150">
        <f t="shared" si="0"/>
        <v>190</v>
      </c>
      <c r="AQ8" s="144">
        <v>5</v>
      </c>
      <c r="AR8" s="144">
        <v>97</v>
      </c>
      <c r="AS8" s="144">
        <v>117</v>
      </c>
      <c r="AT8" s="144">
        <v>134</v>
      </c>
      <c r="AU8" s="144">
        <v>161</v>
      </c>
      <c r="AV8" s="144">
        <v>190</v>
      </c>
      <c r="AW8" s="8"/>
      <c r="AX8" s="102">
        <v>87.5</v>
      </c>
      <c r="AY8" s="103">
        <v>4581</v>
      </c>
      <c r="AZ8" s="104">
        <f t="shared" si="1"/>
        <v>0</v>
      </c>
      <c r="BA8" s="8"/>
      <c r="BB8" s="102">
        <v>96.88</v>
      </c>
      <c r="BC8" s="103">
        <v>3000</v>
      </c>
      <c r="BD8" s="105">
        <f t="shared" si="2"/>
        <v>0</v>
      </c>
    </row>
    <row r="9" spans="1:56" ht="18.75" customHeight="1" thickBot="1" x14ac:dyDescent="0.35">
      <c r="A9" s="95" t="s">
        <v>758</v>
      </c>
      <c r="B9" s="192" t="str">
        <f>IFERROR(VLOOKUP(B7,DataTable_VUR[],3,FALSE),
                      IF(B7&lt;&gt;"", 0,"")
)</f>
        <v/>
      </c>
      <c r="C9" s="193"/>
      <c r="F9" s="12"/>
      <c r="G9" s="12"/>
      <c r="H9" s="12"/>
      <c r="AB9" s="93">
        <v>190</v>
      </c>
      <c r="AD9" s="84" t="s">
        <v>753</v>
      </c>
      <c r="AE9" s="85" t="e">
        <f ca="1">IF(AC_Step5_Running_Total_Passed,AI_Effective_Combined_Bill,NA())</f>
        <v>#N/A</v>
      </c>
      <c r="AJ9" s="150">
        <f t="shared" si="3"/>
        <v>6</v>
      </c>
      <c r="AK9" s="150">
        <f>IF(AC_Chart_Background_Data[[#This Row],[X]] &lt; EFC_70P-EFC_50P, EFC_50P, MAX(EFC_70P-AC_Chart_Background_Data[[#This Row],[X]],0))</f>
        <v>97</v>
      </c>
      <c r="AL9" s="150">
        <f>IF(AC_Chart_Background_Data[[#This Row],[X]] &lt; EFC_85P-EFC_70P, EFC_70P, MAX(EFC_85P-AC_Chart_Background_Data[[#This Row],[X]],0))</f>
        <v>117</v>
      </c>
      <c r="AM9" s="150">
        <f>IF(AC_Chart_Background_Data[[#This Row],[X]] &lt; EFC_95P-EFC_85P, EFC_85P, MAX(EFC_95P-AC_Chart_Background_Data[[#This Row],[X]],0))</f>
        <v>134</v>
      </c>
      <c r="AN9" s="150">
        <f>IF(AC_Chart_Background_Data[[#This Row],[X]] &lt; EFC_99P-EFC_95P, EFC_95P, MAX(EFC_99P-AC_Chart_Background_Data[[#This Row],[X]],0))</f>
        <v>161</v>
      </c>
      <c r="AO9" s="150">
        <f t="shared" si="0"/>
        <v>190</v>
      </c>
      <c r="AQ9" s="144">
        <v>6</v>
      </c>
      <c r="AR9" s="144">
        <v>97</v>
      </c>
      <c r="AS9" s="144">
        <v>117</v>
      </c>
      <c r="AT9" s="144">
        <v>134</v>
      </c>
      <c r="AU9" s="144">
        <v>161</v>
      </c>
      <c r="AV9" s="144">
        <v>190</v>
      </c>
      <c r="AW9" s="8"/>
      <c r="AX9" s="102">
        <v>57.73</v>
      </c>
      <c r="AY9" s="103">
        <v>24215</v>
      </c>
      <c r="AZ9" s="104">
        <f t="shared" si="1"/>
        <v>0</v>
      </c>
      <c r="BA9" s="8"/>
      <c r="BB9" s="102">
        <v>99.31</v>
      </c>
      <c r="BC9" s="103">
        <v>524</v>
      </c>
      <c r="BD9" s="105">
        <f t="shared" si="2"/>
        <v>0</v>
      </c>
    </row>
    <row r="10" spans="1:56" ht="18.75" customHeight="1" thickBot="1" x14ac:dyDescent="0.35">
      <c r="A10" s="13" t="s">
        <v>717</v>
      </c>
      <c r="B10" s="192" t="str">
        <f>IFERROR(VLOOKUP(B7,DataTable_VUR[],4,FALSE),"")</f>
        <v/>
      </c>
      <c r="C10" s="193"/>
      <c r="F10" s="12"/>
      <c r="G10" s="12"/>
      <c r="H10" s="12"/>
      <c r="AB10" s="94" t="e">
        <f ca="1">IF(AC_Step5_Running_Total_Passed,
            IF(AI_Effective_Combined_Bill&lt;AC_Ymin,
                  AC_Ymin,
                  IF(AI_Effective_Combined_Bill&gt;AC_Ymax,
                           AC_Ymax,
                           AI_Effective_Combined_Bill
                       )
               ),
           NA()
      )</f>
        <v>#N/A</v>
      </c>
      <c r="AD10" s="84" t="s">
        <v>750</v>
      </c>
      <c r="AE10" s="85" t="str">
        <f ca="1">AC_PCPCPM</f>
        <v/>
      </c>
      <c r="AJ10" s="150">
        <f t="shared" si="3"/>
        <v>7</v>
      </c>
      <c r="AK10" s="150">
        <f>IF(AC_Chart_Background_Data[[#This Row],[X]] &lt; EFC_70P-EFC_50P, EFC_50P, MAX(EFC_70P-AC_Chart_Background_Data[[#This Row],[X]],0))</f>
        <v>97</v>
      </c>
      <c r="AL10" s="150">
        <f>IF(AC_Chart_Background_Data[[#This Row],[X]] &lt; EFC_85P-EFC_70P, EFC_70P, MAX(EFC_85P-AC_Chart_Background_Data[[#This Row],[X]],0))</f>
        <v>117</v>
      </c>
      <c r="AM10" s="150">
        <f>IF(AC_Chart_Background_Data[[#This Row],[X]] &lt; EFC_95P-EFC_85P, EFC_85P, MAX(EFC_95P-AC_Chart_Background_Data[[#This Row],[X]],0))</f>
        <v>134</v>
      </c>
      <c r="AN10" s="150">
        <f>IF(AC_Chart_Background_Data[[#This Row],[X]] &lt; EFC_99P-EFC_95P, EFC_95P, MAX(EFC_99P-AC_Chart_Background_Data[[#This Row],[X]],0))</f>
        <v>161</v>
      </c>
      <c r="AO10" s="150">
        <f t="shared" si="0"/>
        <v>190</v>
      </c>
      <c r="AQ10" s="144">
        <v>7</v>
      </c>
      <c r="AR10" s="144">
        <v>97</v>
      </c>
      <c r="AS10" s="144">
        <v>117</v>
      </c>
      <c r="AT10" s="144">
        <v>134</v>
      </c>
      <c r="AU10" s="144">
        <v>161</v>
      </c>
      <c r="AV10" s="144">
        <v>190</v>
      </c>
      <c r="AW10" s="8"/>
      <c r="AX10" s="102">
        <v>144</v>
      </c>
      <c r="AY10" s="103">
        <v>5295</v>
      </c>
      <c r="AZ10" s="104">
        <f t="shared" si="1"/>
        <v>0</v>
      </c>
      <c r="BA10" s="8"/>
      <c r="BB10" s="102">
        <v>48.15</v>
      </c>
      <c r="BC10" s="103">
        <v>24322</v>
      </c>
      <c r="BD10" s="105">
        <f t="shared" si="2"/>
        <v>0</v>
      </c>
    </row>
    <row r="11" spans="1:56" ht="19.5" customHeight="1" thickBot="1" x14ac:dyDescent="0.35">
      <c r="A11" s="13" t="s">
        <v>820</v>
      </c>
      <c r="B11" s="192" t="str">
        <f>IFERROR(VLOOKUP(B7,DataTable_VUR[],5,FALSE),"")</f>
        <v/>
      </c>
      <c r="C11" s="193"/>
      <c r="F11" s="12"/>
      <c r="G11" s="113"/>
      <c r="H11" s="12"/>
      <c r="AB11" s="93">
        <v>40</v>
      </c>
      <c r="AJ11" s="150">
        <f t="shared" si="3"/>
        <v>8</v>
      </c>
      <c r="AK11" s="150">
        <f>IF(AC_Chart_Background_Data[[#This Row],[X]] &lt; EFC_70P-EFC_50P, EFC_50P, MAX(EFC_70P-AC_Chart_Background_Data[[#This Row],[X]],0))</f>
        <v>97</v>
      </c>
      <c r="AL11" s="150">
        <f>IF(AC_Chart_Background_Data[[#This Row],[X]] &lt; EFC_85P-EFC_70P, EFC_70P, MAX(EFC_85P-AC_Chart_Background_Data[[#This Row],[X]],0))</f>
        <v>117</v>
      </c>
      <c r="AM11" s="150">
        <f>IF(AC_Chart_Background_Data[[#This Row],[X]] &lt; EFC_95P-EFC_85P, EFC_85P, MAX(EFC_95P-AC_Chart_Background_Data[[#This Row],[X]],0))</f>
        <v>134</v>
      </c>
      <c r="AN11" s="150">
        <f>IF(AC_Chart_Background_Data[[#This Row],[X]] &lt; EFC_99P-EFC_95P, EFC_95P, MAX(EFC_99P-AC_Chart_Background_Data[[#This Row],[X]],0))</f>
        <v>161</v>
      </c>
      <c r="AO11" s="150">
        <f t="shared" si="0"/>
        <v>190</v>
      </c>
      <c r="AQ11" s="144">
        <v>8</v>
      </c>
      <c r="AR11" s="144">
        <v>97</v>
      </c>
      <c r="AS11" s="144">
        <v>117</v>
      </c>
      <c r="AT11" s="144">
        <v>134</v>
      </c>
      <c r="AU11" s="144">
        <v>161</v>
      </c>
      <c r="AV11" s="144">
        <v>190</v>
      </c>
      <c r="AW11" s="8"/>
      <c r="AX11" s="102">
        <v>84.45</v>
      </c>
      <c r="AY11" s="103">
        <v>14709</v>
      </c>
      <c r="AZ11" s="104">
        <f t="shared" si="1"/>
        <v>0</v>
      </c>
      <c r="BA11" s="8"/>
      <c r="BB11" s="102">
        <v>80.97</v>
      </c>
      <c r="BC11" s="103">
        <v>72388</v>
      </c>
      <c r="BD11" s="105">
        <f t="shared" si="2"/>
        <v>0</v>
      </c>
    </row>
    <row r="12" spans="1:56" ht="28.5" customHeight="1" thickBot="1" x14ac:dyDescent="0.35">
      <c r="A12" s="211"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212"/>
      <c r="C12" s="213"/>
      <c r="F12" s="12"/>
      <c r="G12" s="113"/>
      <c r="H12" s="12"/>
      <c r="AB12" s="60" t="s">
        <v>756</v>
      </c>
      <c r="AC12" s="91">
        <v>0</v>
      </c>
      <c r="AD12" s="92" t="e">
        <f ca="1">IF(AC_Step5_Running_Total_Passed,
             IF(AC_PCPCPM&lt;AC_Xmin,
                      AC_Xmin,
                      IF(AC_PCPCPM&gt;AC_Xmax,
                              AC_Xmax,
                             AC_PCPCPM
                           )
                   ),
              NA()
       )</f>
        <v>#N/A</v>
      </c>
      <c r="AE12" s="93">
        <v>80</v>
      </c>
      <c r="AJ12" s="150">
        <f t="shared" si="3"/>
        <v>9</v>
      </c>
      <c r="AK12" s="150">
        <f>IF(AC_Chart_Background_Data[[#This Row],[X]] &lt; EFC_70P-EFC_50P, EFC_50P, MAX(EFC_70P-AC_Chart_Background_Data[[#This Row],[X]],0))</f>
        <v>97</v>
      </c>
      <c r="AL12" s="150">
        <f>IF(AC_Chart_Background_Data[[#This Row],[X]] &lt; EFC_85P-EFC_70P, EFC_70P, MAX(EFC_85P-AC_Chart_Background_Data[[#This Row],[X]],0))</f>
        <v>117</v>
      </c>
      <c r="AM12" s="150">
        <f>IF(AC_Chart_Background_Data[[#This Row],[X]] &lt; EFC_95P-EFC_85P, EFC_85P, MAX(EFC_95P-AC_Chart_Background_Data[[#This Row],[X]],0))</f>
        <v>134</v>
      </c>
      <c r="AN12" s="150">
        <f>IF(AC_Chart_Background_Data[[#This Row],[X]] &lt; EFC_99P-EFC_95P, EFC_95P, MAX(EFC_99P-AC_Chart_Background_Data[[#This Row],[X]],0))</f>
        <v>161</v>
      </c>
      <c r="AO12" s="150">
        <f t="shared" si="0"/>
        <v>190</v>
      </c>
      <c r="AQ12" s="144">
        <v>9</v>
      </c>
      <c r="AR12" s="144">
        <v>97</v>
      </c>
      <c r="AS12" s="144">
        <v>117</v>
      </c>
      <c r="AT12" s="144">
        <v>134</v>
      </c>
      <c r="AU12" s="144">
        <v>161</v>
      </c>
      <c r="AV12" s="144">
        <v>190</v>
      </c>
      <c r="AW12" s="8"/>
      <c r="AX12" s="102">
        <v>132</v>
      </c>
      <c r="AY12" s="103">
        <v>1002</v>
      </c>
      <c r="AZ12" s="104">
        <f t="shared" si="1"/>
        <v>0</v>
      </c>
      <c r="BA12" s="8"/>
      <c r="BB12" s="102">
        <v>130</v>
      </c>
      <c r="BC12" s="103">
        <v>458</v>
      </c>
      <c r="BD12" s="105">
        <f t="shared" si="2"/>
        <v>0</v>
      </c>
    </row>
    <row r="13" spans="1:56" ht="15.75" customHeight="1" thickBot="1" x14ac:dyDescent="0.35">
      <c r="M13"/>
      <c r="AJ13" s="150">
        <f t="shared" si="3"/>
        <v>10</v>
      </c>
      <c r="AK13" s="150">
        <f>IF(AC_Chart_Background_Data[[#This Row],[X]] &lt; EFC_70P-EFC_50P, EFC_50P, MAX(EFC_70P-AC_Chart_Background_Data[[#This Row],[X]],0))</f>
        <v>97</v>
      </c>
      <c r="AL13" s="150">
        <f>IF(AC_Chart_Background_Data[[#This Row],[X]] &lt; EFC_85P-EFC_70P, EFC_70P, MAX(EFC_85P-AC_Chart_Background_Data[[#This Row],[X]],0))</f>
        <v>117</v>
      </c>
      <c r="AM13" s="150">
        <f>IF(AC_Chart_Background_Data[[#This Row],[X]] &lt; EFC_95P-EFC_85P, EFC_85P, MAX(EFC_95P-AC_Chart_Background_Data[[#This Row],[X]],0))</f>
        <v>134</v>
      </c>
      <c r="AN13" s="150">
        <f>IF(AC_Chart_Background_Data[[#This Row],[X]] &lt; EFC_99P-EFC_95P, EFC_95P, MAX(EFC_99P-AC_Chart_Background_Data[[#This Row],[X]],0))</f>
        <v>161</v>
      </c>
      <c r="AO13" s="150">
        <f t="shared" si="0"/>
        <v>190</v>
      </c>
      <c r="AQ13" s="144">
        <v>10</v>
      </c>
      <c r="AR13" s="144">
        <v>97</v>
      </c>
      <c r="AS13" s="144">
        <v>117</v>
      </c>
      <c r="AT13" s="144">
        <v>134</v>
      </c>
      <c r="AU13" s="144">
        <v>161</v>
      </c>
      <c r="AV13" s="144">
        <v>190</v>
      </c>
      <c r="AW13" s="8"/>
      <c r="AX13" s="102">
        <v>116.18</v>
      </c>
      <c r="AY13" s="103">
        <v>2013</v>
      </c>
      <c r="AZ13" s="104">
        <f t="shared" si="1"/>
        <v>0</v>
      </c>
      <c r="BA13" s="8"/>
      <c r="BB13" s="102">
        <v>136.13999999999999</v>
      </c>
      <c r="BC13" s="103">
        <v>9002</v>
      </c>
      <c r="BD13" s="105">
        <f t="shared" si="2"/>
        <v>0</v>
      </c>
    </row>
    <row r="14" spans="1:56" ht="19.5" customHeight="1" thickBot="1" x14ac:dyDescent="0.4">
      <c r="A14" s="16" t="s">
        <v>718</v>
      </c>
      <c r="B14" s="17"/>
      <c r="C14" s="17"/>
      <c r="D14" s="17"/>
      <c r="E14" s="43"/>
      <c r="L14" s="191"/>
      <c r="AD14" s="87" t="s">
        <v>1221</v>
      </c>
      <c r="AE14" s="87"/>
      <c r="AJ14" s="150">
        <f t="shared" si="3"/>
        <v>11</v>
      </c>
      <c r="AK14" s="150">
        <f>IF(AC_Chart_Background_Data[[#This Row],[X]] &lt; EFC_70P-EFC_50P, EFC_50P, MAX(EFC_70P-AC_Chart_Background_Data[[#This Row],[X]],0))</f>
        <v>97</v>
      </c>
      <c r="AL14" s="150">
        <f>IF(AC_Chart_Background_Data[[#This Row],[X]] &lt; EFC_85P-EFC_70P, EFC_70P, MAX(EFC_85P-AC_Chart_Background_Data[[#This Row],[X]],0))</f>
        <v>117</v>
      </c>
      <c r="AM14" s="150">
        <f>IF(AC_Chart_Background_Data[[#This Row],[X]] &lt; EFC_95P-EFC_85P, EFC_85P, MAX(EFC_95P-AC_Chart_Background_Data[[#This Row],[X]],0))</f>
        <v>134</v>
      </c>
      <c r="AN14" s="150">
        <f>IF(AC_Chart_Background_Data[[#This Row],[X]] &lt; EFC_99P-EFC_95P, EFC_95P, MAX(EFC_99P-AC_Chart_Background_Data[[#This Row],[X]],0))</f>
        <v>161</v>
      </c>
      <c r="AO14" s="150">
        <f t="shared" si="0"/>
        <v>190</v>
      </c>
      <c r="AQ14" s="144">
        <v>11</v>
      </c>
      <c r="AR14" s="144">
        <v>97</v>
      </c>
      <c r="AS14" s="144">
        <v>117</v>
      </c>
      <c r="AT14" s="144">
        <v>134</v>
      </c>
      <c r="AU14" s="144">
        <v>161</v>
      </c>
      <c r="AV14" s="144">
        <v>190</v>
      </c>
      <c r="AW14" s="8"/>
      <c r="AX14" s="102">
        <v>108.75</v>
      </c>
      <c r="AY14" s="103">
        <v>506</v>
      </c>
      <c r="AZ14" s="104">
        <f t="shared" si="1"/>
        <v>0</v>
      </c>
      <c r="BA14" s="8"/>
      <c r="BB14" s="102">
        <v>63.4</v>
      </c>
      <c r="BC14" s="103">
        <v>3974</v>
      </c>
      <c r="BD14" s="105">
        <f t="shared" si="2"/>
        <v>0</v>
      </c>
    </row>
    <row r="15" spans="1:56" ht="15.75" customHeight="1" thickBot="1" x14ac:dyDescent="0.35">
      <c r="A15" s="18"/>
      <c r="D15" s="19" t="str">
        <f>"How many "&amp;IF(AI_Project_Type="","",LOWER(AI_Project_Type))&amp;" residential connections does your system contain?"</f>
        <v>How many  residential connections does your system contain?</v>
      </c>
      <c r="E15" s="106"/>
      <c r="F15" s="194" t="str">
        <f>IF(AI_Project_Type="","Enter number for the applicable water / wastewater system, depending on your application's project (DW or WW).","")</f>
        <v>Enter number for the applicable water / wastewater system, depending on your application's project (DW or WW).</v>
      </c>
      <c r="G15" s="194"/>
      <c r="H15" s="194"/>
      <c r="I15" s="194"/>
      <c r="AA15" s="78" t="s">
        <v>757</v>
      </c>
      <c r="AD15" s="58" t="s">
        <v>692</v>
      </c>
      <c r="AE15" s="59">
        <v>97</v>
      </c>
      <c r="AJ15" s="150">
        <f t="shared" si="3"/>
        <v>12</v>
      </c>
      <c r="AK15" s="150">
        <f>IF(AC_Chart_Background_Data[[#This Row],[X]] &lt; EFC_70P-EFC_50P, EFC_50P, MAX(EFC_70P-AC_Chart_Background_Data[[#This Row],[X]],0))</f>
        <v>97</v>
      </c>
      <c r="AL15" s="150">
        <f>IF(AC_Chart_Background_Data[[#This Row],[X]] &lt; EFC_85P-EFC_70P, EFC_70P, MAX(EFC_85P-AC_Chart_Background_Data[[#This Row],[X]],0))</f>
        <v>117</v>
      </c>
      <c r="AM15" s="150">
        <f>IF(AC_Chart_Background_Data[[#This Row],[X]] &lt; EFC_95P-EFC_85P, EFC_85P, MAX(EFC_95P-AC_Chart_Background_Data[[#This Row],[X]],0))</f>
        <v>134</v>
      </c>
      <c r="AN15" s="150">
        <f>IF(AC_Chart_Background_Data[[#This Row],[X]] &lt; EFC_99P-EFC_95P, EFC_95P, MAX(EFC_99P-AC_Chart_Background_Data[[#This Row],[X]],0))</f>
        <v>161</v>
      </c>
      <c r="AO15" s="150">
        <f t="shared" si="0"/>
        <v>190</v>
      </c>
      <c r="AQ15" s="144">
        <v>12</v>
      </c>
      <c r="AR15" s="144">
        <v>97</v>
      </c>
      <c r="AS15" s="144">
        <v>117</v>
      </c>
      <c r="AT15" s="144">
        <v>134</v>
      </c>
      <c r="AU15" s="144">
        <v>161</v>
      </c>
      <c r="AV15" s="144">
        <v>190</v>
      </c>
      <c r="AW15" s="8"/>
      <c r="AX15" s="102">
        <v>142.82</v>
      </c>
      <c r="AY15" s="103">
        <v>41691</v>
      </c>
      <c r="AZ15" s="104">
        <f t="shared" si="1"/>
        <v>0</v>
      </c>
      <c r="BA15" s="8"/>
      <c r="BB15" s="102">
        <v>93.13</v>
      </c>
      <c r="BC15" s="103">
        <v>7242</v>
      </c>
      <c r="BD15" s="105">
        <f t="shared" si="2"/>
        <v>0</v>
      </c>
    </row>
    <row r="16" spans="1:56" ht="15.75" customHeight="1" thickBot="1" x14ac:dyDescent="0.35">
      <c r="A16" s="195" t="str">
        <f>IF(AC_Step1_Running_Total_Passed,
          IF(AC_Step2_Completed,
                IF(AC_Step2_Passed,"","You are only eligible for SRF Principal Forgiveness/SRP grant if you receive 4.C.4 points or BIL EC funding. You are eligible for loans."),
                "Complete Step 2"),
          ""
       )</f>
        <v/>
      </c>
      <c r="B16" s="196"/>
      <c r="C16" s="196"/>
      <c r="D16" s="196"/>
      <c r="E16" s="197"/>
      <c r="F16" s="194"/>
      <c r="G16" s="194"/>
      <c r="H16" s="194"/>
      <c r="I16" s="194"/>
      <c r="AA16" s="78"/>
      <c r="AB16" s="8"/>
      <c r="AC16" s="8"/>
      <c r="AD16" s="61" t="s">
        <v>693</v>
      </c>
      <c r="AE16" s="62">
        <v>117</v>
      </c>
      <c r="AJ16" s="150">
        <f t="shared" si="3"/>
        <v>13</v>
      </c>
      <c r="AK16" s="150">
        <f>IF(AC_Chart_Background_Data[[#This Row],[X]] &lt; EFC_70P-EFC_50P, EFC_50P, MAX(EFC_70P-AC_Chart_Background_Data[[#This Row],[X]],0))</f>
        <v>97</v>
      </c>
      <c r="AL16" s="150">
        <f>IF(AC_Chart_Background_Data[[#This Row],[X]] &lt; EFC_85P-EFC_70P, EFC_70P, MAX(EFC_85P-AC_Chart_Background_Data[[#This Row],[X]],0))</f>
        <v>117</v>
      </c>
      <c r="AM16" s="150">
        <f>IF(AC_Chart_Background_Data[[#This Row],[X]] &lt; EFC_95P-EFC_85P, EFC_85P, MAX(EFC_95P-AC_Chart_Background_Data[[#This Row],[X]],0))</f>
        <v>134</v>
      </c>
      <c r="AN16" s="150">
        <f>IF(AC_Chart_Background_Data[[#This Row],[X]] &lt; EFC_99P-EFC_95P, EFC_95P, MAX(EFC_99P-AC_Chart_Background_Data[[#This Row],[X]],0))</f>
        <v>161</v>
      </c>
      <c r="AO16" s="150">
        <f t="shared" si="0"/>
        <v>190</v>
      </c>
      <c r="AQ16" s="144">
        <v>13</v>
      </c>
      <c r="AR16" s="144">
        <v>97</v>
      </c>
      <c r="AS16" s="144">
        <v>117</v>
      </c>
      <c r="AT16" s="144">
        <v>134</v>
      </c>
      <c r="AU16" s="144">
        <v>161</v>
      </c>
      <c r="AV16" s="144">
        <v>190</v>
      </c>
      <c r="AW16" s="8"/>
      <c r="AX16" s="102">
        <v>163.75</v>
      </c>
      <c r="AY16" s="103">
        <v>6159</v>
      </c>
      <c r="AZ16" s="104">
        <f t="shared" si="1"/>
        <v>0</v>
      </c>
      <c r="BA16" s="8"/>
      <c r="BB16" s="102">
        <v>64.25</v>
      </c>
      <c r="BC16" s="103">
        <v>330</v>
      </c>
      <c r="BD16" s="105">
        <f t="shared" si="2"/>
        <v>0</v>
      </c>
    </row>
    <row r="17" spans="1:56" ht="19.5" customHeight="1" thickBot="1" x14ac:dyDescent="0.4">
      <c r="A17" s="10"/>
      <c r="AA17" s="78" t="s">
        <v>701</v>
      </c>
      <c r="AB17" s="8"/>
      <c r="AC17" s="14"/>
      <c r="AD17" s="61" t="s">
        <v>694</v>
      </c>
      <c r="AE17" s="62">
        <v>134</v>
      </c>
      <c r="AJ17" s="150">
        <f t="shared" si="3"/>
        <v>14</v>
      </c>
      <c r="AK17" s="150">
        <f>IF(AC_Chart_Background_Data[[#This Row],[X]] &lt; EFC_70P-EFC_50P, EFC_50P, MAX(EFC_70P-AC_Chart_Background_Data[[#This Row],[X]],0))</f>
        <v>97</v>
      </c>
      <c r="AL17" s="150">
        <f>IF(AC_Chart_Background_Data[[#This Row],[X]] &lt; EFC_85P-EFC_70P, EFC_70P, MAX(EFC_85P-AC_Chart_Background_Data[[#This Row],[X]],0))</f>
        <v>117</v>
      </c>
      <c r="AM17" s="150">
        <f>IF(AC_Chart_Background_Data[[#This Row],[X]] &lt; EFC_95P-EFC_85P, EFC_85P, MAX(EFC_95P-AC_Chart_Background_Data[[#This Row],[X]],0))</f>
        <v>134</v>
      </c>
      <c r="AN17" s="150">
        <f>IF(AC_Chart_Background_Data[[#This Row],[X]] &lt; EFC_99P-EFC_95P, EFC_95P, MAX(EFC_99P-AC_Chart_Background_Data[[#This Row],[X]],0))</f>
        <v>161</v>
      </c>
      <c r="AO17" s="150">
        <f t="shared" si="0"/>
        <v>190</v>
      </c>
      <c r="AQ17" s="144">
        <v>14</v>
      </c>
      <c r="AR17" s="144">
        <v>97</v>
      </c>
      <c r="AS17" s="144">
        <v>117</v>
      </c>
      <c r="AT17" s="144">
        <v>134</v>
      </c>
      <c r="AU17" s="144">
        <v>161</v>
      </c>
      <c r="AV17" s="144">
        <v>190</v>
      </c>
      <c r="AW17" s="8"/>
      <c r="AX17" s="102">
        <v>113.39</v>
      </c>
      <c r="AY17" s="103">
        <v>21438</v>
      </c>
      <c r="AZ17" s="104">
        <f t="shared" si="1"/>
        <v>0</v>
      </c>
      <c r="BA17" s="8"/>
      <c r="BB17" s="102">
        <v>53.5</v>
      </c>
      <c r="BC17" s="103">
        <v>602</v>
      </c>
      <c r="BD17" s="105">
        <f t="shared" si="2"/>
        <v>0</v>
      </c>
    </row>
    <row r="18" spans="1:56" ht="18.75" customHeight="1" x14ac:dyDescent="0.35">
      <c r="A18" s="16" t="s">
        <v>719</v>
      </c>
      <c r="B18" s="17"/>
      <c r="C18" s="17"/>
      <c r="D18" s="21"/>
      <c r="E18" s="21"/>
      <c r="F18" s="17"/>
      <c r="G18" s="17"/>
      <c r="H18" s="17"/>
      <c r="I18" s="22"/>
      <c r="AA18" s="78" t="s">
        <v>703</v>
      </c>
      <c r="AB18" s="20"/>
      <c r="AC18" s="14"/>
      <c r="AD18" s="61" t="s">
        <v>695</v>
      </c>
      <c r="AE18" s="62">
        <v>161</v>
      </c>
      <c r="AJ18" s="150">
        <f t="shared" si="3"/>
        <v>15</v>
      </c>
      <c r="AK18" s="150">
        <f>IF(AC_Chart_Background_Data[[#This Row],[X]] &lt; EFC_70P-EFC_50P, EFC_50P, MAX(EFC_70P-AC_Chart_Background_Data[[#This Row],[X]],0))</f>
        <v>97</v>
      </c>
      <c r="AL18" s="150">
        <f>IF(AC_Chart_Background_Data[[#This Row],[X]] &lt; EFC_85P-EFC_70P, EFC_70P, MAX(EFC_85P-AC_Chart_Background_Data[[#This Row],[X]],0))</f>
        <v>117</v>
      </c>
      <c r="AM18" s="150">
        <f>IF(AC_Chart_Background_Data[[#This Row],[X]] &lt; EFC_95P-EFC_85P, EFC_85P, MAX(EFC_95P-AC_Chart_Background_Data[[#This Row],[X]],0))</f>
        <v>134</v>
      </c>
      <c r="AN18" s="150">
        <f>IF(AC_Chart_Background_Data[[#This Row],[X]] &lt; EFC_99P-EFC_95P, EFC_95P, MAX(EFC_99P-AC_Chart_Background_Data[[#This Row],[X]],0))</f>
        <v>161</v>
      </c>
      <c r="AO18" s="150">
        <f t="shared" si="0"/>
        <v>190</v>
      </c>
      <c r="AQ18" s="144">
        <v>15</v>
      </c>
      <c r="AR18" s="144">
        <v>97</v>
      </c>
      <c r="AS18" s="144">
        <v>117</v>
      </c>
      <c r="AT18" s="144">
        <v>134</v>
      </c>
      <c r="AU18" s="144">
        <v>161</v>
      </c>
      <c r="AV18" s="144">
        <v>190</v>
      </c>
      <c r="AW18" s="8"/>
      <c r="AX18" s="102">
        <v>103.8</v>
      </c>
      <c r="AY18" s="103">
        <v>146</v>
      </c>
      <c r="AZ18" s="104">
        <f t="shared" si="1"/>
        <v>0</v>
      </c>
      <c r="BA18" s="8"/>
      <c r="BB18" s="102">
        <v>78.400000000000006</v>
      </c>
      <c r="BC18" s="103">
        <v>16439</v>
      </c>
      <c r="BD18" s="105">
        <f t="shared" si="2"/>
        <v>0</v>
      </c>
    </row>
    <row r="19" spans="1:56" ht="48" customHeight="1" thickBot="1" x14ac:dyDescent="0.35">
      <c r="A19" s="204" t="s">
        <v>835</v>
      </c>
      <c r="B19" s="205"/>
      <c r="C19" s="205"/>
      <c r="D19" s="205"/>
      <c r="E19" s="205"/>
      <c r="F19" s="205"/>
      <c r="G19" s="205"/>
      <c r="H19" s="205"/>
      <c r="I19" s="206"/>
      <c r="AD19" s="64" t="s">
        <v>697</v>
      </c>
      <c r="AE19" s="65">
        <v>190</v>
      </c>
      <c r="AJ19" s="150">
        <f t="shared" si="3"/>
        <v>16</v>
      </c>
      <c r="AK19" s="150">
        <f>IF(AC_Chart_Background_Data[[#This Row],[X]] &lt; EFC_70P-EFC_50P, EFC_50P, MAX(EFC_70P-AC_Chart_Background_Data[[#This Row],[X]],0))</f>
        <v>97</v>
      </c>
      <c r="AL19" s="150">
        <f>IF(AC_Chart_Background_Data[[#This Row],[X]] &lt; EFC_85P-EFC_70P, EFC_70P, MAX(EFC_85P-AC_Chart_Background_Data[[#This Row],[X]],0))</f>
        <v>117</v>
      </c>
      <c r="AM19" s="150">
        <f>IF(AC_Chart_Background_Data[[#This Row],[X]] &lt; EFC_95P-EFC_85P, EFC_85P, MAX(EFC_95P-AC_Chart_Background_Data[[#This Row],[X]],0))</f>
        <v>134</v>
      </c>
      <c r="AN19" s="150">
        <f>IF(AC_Chart_Background_Data[[#This Row],[X]] &lt; EFC_99P-EFC_95P, EFC_95P, MAX(EFC_99P-AC_Chart_Background_Data[[#This Row],[X]],0))</f>
        <v>161</v>
      </c>
      <c r="AO19" s="150">
        <f t="shared" si="0"/>
        <v>190</v>
      </c>
      <c r="AQ19" s="144">
        <v>16</v>
      </c>
      <c r="AR19" s="144">
        <v>97</v>
      </c>
      <c r="AS19" s="144">
        <v>117</v>
      </c>
      <c r="AT19" s="144">
        <v>134</v>
      </c>
      <c r="AU19" s="144">
        <v>161</v>
      </c>
      <c r="AV19" s="144">
        <v>190</v>
      </c>
      <c r="AW19" s="8"/>
      <c r="AX19" s="102">
        <v>130</v>
      </c>
      <c r="AY19" s="103">
        <v>12398</v>
      </c>
      <c r="AZ19" s="104">
        <f t="shared" si="1"/>
        <v>0</v>
      </c>
      <c r="BA19" s="8"/>
      <c r="BB19" s="102">
        <v>88.02</v>
      </c>
      <c r="BC19" s="103">
        <v>6761</v>
      </c>
      <c r="BD19" s="105">
        <f t="shared" si="2"/>
        <v>0</v>
      </c>
    </row>
    <row r="20" spans="1:56" ht="15.75" customHeight="1" thickBot="1" x14ac:dyDescent="0.35">
      <c r="A20" s="186" t="s">
        <v>832</v>
      </c>
      <c r="B20" s="24" t="s">
        <v>767</v>
      </c>
      <c r="C20" s="24" t="s">
        <v>768</v>
      </c>
      <c r="D20" s="24" t="s">
        <v>769</v>
      </c>
      <c r="E20" s="24" t="s">
        <v>770</v>
      </c>
      <c r="F20" s="25"/>
      <c r="G20" s="25"/>
      <c r="H20" s="25"/>
      <c r="I20" s="23"/>
      <c r="AA20" s="78" t="s">
        <v>757</v>
      </c>
      <c r="AJ20" s="150">
        <f t="shared" si="3"/>
        <v>17</v>
      </c>
      <c r="AK20" s="150">
        <f>IF(AC_Chart_Background_Data[[#This Row],[X]] &lt; EFC_70P-EFC_50P, EFC_50P, MAX(EFC_70P-AC_Chart_Background_Data[[#This Row],[X]],0))</f>
        <v>97</v>
      </c>
      <c r="AL20" s="150">
        <f>IF(AC_Chart_Background_Data[[#This Row],[X]] &lt; EFC_85P-EFC_70P, EFC_70P, MAX(EFC_85P-AC_Chart_Background_Data[[#This Row],[X]],0))</f>
        <v>117</v>
      </c>
      <c r="AM20" s="150">
        <f>IF(AC_Chart_Background_Data[[#This Row],[X]] &lt; EFC_95P-EFC_85P, EFC_85P, MAX(EFC_95P-AC_Chart_Background_Data[[#This Row],[X]],0))</f>
        <v>134</v>
      </c>
      <c r="AN20" s="150">
        <f>IF(AC_Chart_Background_Data[[#This Row],[X]] &lt; EFC_99P-EFC_95P, EFC_95P, MAX(EFC_99P-AC_Chart_Background_Data[[#This Row],[X]],0))</f>
        <v>161</v>
      </c>
      <c r="AO20" s="150">
        <f t="shared" si="0"/>
        <v>190</v>
      </c>
      <c r="AQ20" s="144">
        <v>17</v>
      </c>
      <c r="AR20" s="144">
        <v>97</v>
      </c>
      <c r="AS20" s="144">
        <v>117</v>
      </c>
      <c r="AT20" s="144">
        <v>134</v>
      </c>
      <c r="AU20" s="144">
        <v>161</v>
      </c>
      <c r="AV20" s="144">
        <v>190</v>
      </c>
      <c r="AW20" s="8"/>
      <c r="AX20" s="102">
        <v>133.75</v>
      </c>
      <c r="AY20" s="103">
        <v>5600</v>
      </c>
      <c r="AZ20" s="104">
        <f t="shared" si="1"/>
        <v>0</v>
      </c>
      <c r="BA20" s="8"/>
      <c r="BB20" s="102">
        <v>102.81</v>
      </c>
      <c r="BC20" s="103">
        <v>7978</v>
      </c>
      <c r="BD20" s="105">
        <f t="shared" si="2"/>
        <v>0</v>
      </c>
    </row>
    <row r="21" spans="1:56" ht="20.25" customHeight="1" thickBot="1" x14ac:dyDescent="0.35">
      <c r="A21" s="26" t="s">
        <v>737</v>
      </c>
      <c r="B21" s="190" t="str">
        <f>IFERROR(VLOOKUP(AI_Applicant,Economic_Unit_Names,1,FALSE),"")</f>
        <v/>
      </c>
      <c r="C21" s="1"/>
      <c r="D21" s="1"/>
      <c r="E21" s="2"/>
      <c r="F21" s="27" t="s">
        <v>720</v>
      </c>
      <c r="G21" s="28"/>
      <c r="H21" s="198" t="s">
        <v>721</v>
      </c>
      <c r="I21" s="201" t="s">
        <v>722</v>
      </c>
      <c r="AA21" s="78"/>
      <c r="AD21" s="239" t="s">
        <v>699</v>
      </c>
      <c r="AE21" s="214" t="s">
        <v>751</v>
      </c>
      <c r="AF21" s="214" t="s">
        <v>700</v>
      </c>
      <c r="AG21" s="214" t="s">
        <v>752</v>
      </c>
      <c r="AH21" s="243" t="s">
        <v>700</v>
      </c>
      <c r="AI21" s="146"/>
      <c r="AJ21" s="150">
        <f t="shared" si="3"/>
        <v>18</v>
      </c>
      <c r="AK21" s="151">
        <f>IF(AC_Chart_Background_Data[[#This Row],[X]] &lt; EFC_70P-EFC_50P, EFC_50P, MAX(EFC_70P-AC_Chart_Background_Data[[#This Row],[X]],0))</f>
        <v>97</v>
      </c>
      <c r="AL21" s="151">
        <f>IF(AC_Chart_Background_Data[[#This Row],[X]] &lt; EFC_85P-EFC_70P, EFC_70P, MAX(EFC_85P-AC_Chart_Background_Data[[#This Row],[X]],0))</f>
        <v>116</v>
      </c>
      <c r="AM21" s="151">
        <f>IF(AC_Chart_Background_Data[[#This Row],[X]] &lt; EFC_95P-EFC_85P, EFC_85P, MAX(EFC_95P-AC_Chart_Background_Data[[#This Row],[X]],0))</f>
        <v>134</v>
      </c>
      <c r="AN21" s="151">
        <f>IF(AC_Chart_Background_Data[[#This Row],[X]] &lt; EFC_99P-EFC_95P, EFC_95P, MAX(EFC_99P-AC_Chart_Background_Data[[#This Row],[X]],0))</f>
        <v>161</v>
      </c>
      <c r="AO21" s="151">
        <f t="shared" si="0"/>
        <v>190</v>
      </c>
      <c r="AP21" s="146"/>
      <c r="AQ21" s="153">
        <v>18</v>
      </c>
      <c r="AR21" s="153">
        <v>97</v>
      </c>
      <c r="AS21" s="153">
        <v>116</v>
      </c>
      <c r="AT21" s="153">
        <v>134</v>
      </c>
      <c r="AU21" s="153">
        <v>161</v>
      </c>
      <c r="AV21" s="153">
        <v>190</v>
      </c>
      <c r="AW21" s="8"/>
      <c r="AX21" s="102">
        <v>107.3</v>
      </c>
      <c r="AY21" s="103">
        <v>1497</v>
      </c>
      <c r="AZ21" s="104">
        <f t="shared" si="1"/>
        <v>0</v>
      </c>
      <c r="BA21" s="8"/>
      <c r="BB21" s="102">
        <v>117.1</v>
      </c>
      <c r="BC21" s="103">
        <v>948</v>
      </c>
      <c r="BD21" s="105">
        <f t="shared" si="2"/>
        <v>0</v>
      </c>
    </row>
    <row r="22" spans="1:56" ht="21.75" customHeight="1" thickBot="1" x14ac:dyDescent="0.35">
      <c r="A22" s="29" t="s">
        <v>723</v>
      </c>
      <c r="B22" s="107">
        <v>1</v>
      </c>
      <c r="C22" s="107"/>
      <c r="D22" s="120"/>
      <c r="E22" s="108"/>
      <c r="F22" s="30" cm="1">
        <f t="array" ref="F22">IF((AND(B22:E22="")), "", (IF(SUM(B22:E22) &lt;&gt;1, "Error: Total must equal 100%.", 1)))</f>
        <v>1</v>
      </c>
      <c r="G22" s="31"/>
      <c r="H22" s="199"/>
      <c r="I22" s="202"/>
      <c r="AA22" s="78" t="s">
        <v>696</v>
      </c>
      <c r="AD22" s="240"/>
      <c r="AE22" s="215"/>
      <c r="AF22" s="215"/>
      <c r="AG22" s="215"/>
      <c r="AH22" s="244"/>
      <c r="AI22" s="146"/>
      <c r="AJ22" s="150">
        <f t="shared" si="3"/>
        <v>19</v>
      </c>
      <c r="AK22" s="151">
        <f>IF(AC_Chart_Background_Data[[#This Row],[X]] &lt; EFC_70P-EFC_50P, EFC_50P, MAX(EFC_70P-AC_Chart_Background_Data[[#This Row],[X]],0))</f>
        <v>97</v>
      </c>
      <c r="AL22" s="151">
        <f>IF(AC_Chart_Background_Data[[#This Row],[X]] &lt; EFC_85P-EFC_70P, EFC_70P, MAX(EFC_85P-AC_Chart_Background_Data[[#This Row],[X]],0))</f>
        <v>115</v>
      </c>
      <c r="AM22" s="151">
        <f>IF(AC_Chart_Background_Data[[#This Row],[X]] &lt; EFC_95P-EFC_85P, EFC_85P, MAX(EFC_95P-AC_Chart_Background_Data[[#This Row],[X]],0))</f>
        <v>134</v>
      </c>
      <c r="AN22" s="151">
        <f>IF(AC_Chart_Background_Data[[#This Row],[X]] &lt; EFC_99P-EFC_95P, EFC_95P, MAX(EFC_99P-AC_Chart_Background_Data[[#This Row],[X]],0))</f>
        <v>161</v>
      </c>
      <c r="AO22" s="151">
        <f t="shared" si="0"/>
        <v>190</v>
      </c>
      <c r="AP22" s="146"/>
      <c r="AQ22" s="153">
        <v>19</v>
      </c>
      <c r="AR22" s="153">
        <v>97</v>
      </c>
      <c r="AS22" s="153">
        <v>115</v>
      </c>
      <c r="AT22" s="153">
        <v>134</v>
      </c>
      <c r="AU22" s="153">
        <v>161</v>
      </c>
      <c r="AV22" s="153">
        <v>190</v>
      </c>
      <c r="AW22" s="8"/>
      <c r="AX22" s="102">
        <v>58.75</v>
      </c>
      <c r="AY22" s="103">
        <v>9185</v>
      </c>
      <c r="AZ22" s="104">
        <f t="shared" si="1"/>
        <v>0</v>
      </c>
      <c r="BA22" s="8"/>
      <c r="BB22" s="102">
        <v>182.5</v>
      </c>
      <c r="BC22" s="103">
        <v>112</v>
      </c>
      <c r="BD22" s="105">
        <f t="shared" si="2"/>
        <v>0</v>
      </c>
    </row>
    <row r="23" spans="1:56" ht="18" customHeight="1" x14ac:dyDescent="0.3">
      <c r="A23" s="176" t="str">
        <f>IF(AI_Pop._Source=1,INDEX(DataTable_Economic[#Headers], 1, 4),
 IF(AI_Pop._Source=2,INDEX(DataTable_Economic[#Headers], 1, 2),"")
   )</f>
        <v>Population (2020)-OSBM</v>
      </c>
      <c r="B23" s="3" t="str" cm="1">
        <f t="array" aca="1" ref="B23" ca="1">IFERROR(_xlfn.XLOOKUP(B$21,DataTable_Economic[LGU],INDIRECT("DataTable_Economic[" &amp; $A23 &amp; "]"),"",0,1),"")</f>
        <v/>
      </c>
      <c r="C23" s="3" t="str" cm="1">
        <f t="array" aca="1" ref="C23" ca="1">IFERROR(_xlfn.XLOOKUP(C$21,DataTable_Economic[LGU],INDIRECT("DataTable_Economic[" &amp; $A23 &amp; "]"),"",0,1),"")</f>
        <v/>
      </c>
      <c r="D23" s="3" t="str" cm="1">
        <f t="array" aca="1" ref="D23" ca="1">IFERROR(_xlfn.XLOOKUP(D$21,DataTable_Economic[LGU],INDIRECT("DataTable_Economic[" &amp; $A23 &amp; "]"),"",0,1),"")</f>
        <v/>
      </c>
      <c r="E23" s="3" t="str" cm="1">
        <f t="array" aca="1" ref="E23" ca="1">IFERROR(_xlfn.XLOOKUP(E$21,DataTable_Economic[LGU],INDIRECT("DataTable_Economic[" &amp; $A23 &amp; "]"),"",0,1),"")</f>
        <v/>
      </c>
      <c r="F23" s="178"/>
      <c r="G23" s="179"/>
      <c r="H23" s="199"/>
      <c r="I23" s="202"/>
      <c r="AA23" s="78" t="s">
        <v>698</v>
      </c>
      <c r="AD23" s="240"/>
      <c r="AE23" s="215"/>
      <c r="AF23" s="215"/>
      <c r="AG23" s="215"/>
      <c r="AH23" s="244"/>
      <c r="AI23" s="146"/>
      <c r="AJ23" s="150">
        <f t="shared" si="3"/>
        <v>20</v>
      </c>
      <c r="AK23" s="151">
        <f>IF(AC_Chart_Background_Data[[#This Row],[X]] &lt; EFC_70P-EFC_50P, EFC_50P, MAX(EFC_70P-AC_Chart_Background_Data[[#This Row],[X]],0))</f>
        <v>97</v>
      </c>
      <c r="AL23" s="151">
        <f>IF(AC_Chart_Background_Data[[#This Row],[X]] &lt; EFC_85P-EFC_70P, EFC_70P, MAX(EFC_85P-AC_Chart_Background_Data[[#This Row],[X]],0))</f>
        <v>114</v>
      </c>
      <c r="AM23" s="151">
        <f>IF(AC_Chart_Background_Data[[#This Row],[X]] &lt; EFC_95P-EFC_85P, EFC_85P, MAX(EFC_95P-AC_Chart_Background_Data[[#This Row],[X]],0))</f>
        <v>134</v>
      </c>
      <c r="AN23" s="151">
        <f>IF(AC_Chart_Background_Data[[#This Row],[X]] &lt; EFC_99P-EFC_95P, EFC_95P, MAX(EFC_99P-AC_Chart_Background_Data[[#This Row],[X]],0))</f>
        <v>161</v>
      </c>
      <c r="AO23" s="151">
        <f t="shared" si="0"/>
        <v>190</v>
      </c>
      <c r="AP23" s="146"/>
      <c r="AQ23" s="153">
        <v>20</v>
      </c>
      <c r="AR23" s="153">
        <v>97</v>
      </c>
      <c r="AS23" s="153">
        <v>114</v>
      </c>
      <c r="AT23" s="153">
        <v>134</v>
      </c>
      <c r="AU23" s="153">
        <v>161</v>
      </c>
      <c r="AV23" s="153">
        <v>190</v>
      </c>
      <c r="AW23" s="8"/>
      <c r="AX23" s="102">
        <v>130</v>
      </c>
      <c r="AY23" s="103">
        <v>12398</v>
      </c>
      <c r="AZ23" s="104">
        <f t="shared" si="1"/>
        <v>0</v>
      </c>
      <c r="BA23" s="8"/>
      <c r="BB23" s="102">
        <v>94.7</v>
      </c>
      <c r="BC23" s="103">
        <v>1193</v>
      </c>
      <c r="BD23" s="105">
        <f t="shared" si="2"/>
        <v>0</v>
      </c>
    </row>
    <row r="24" spans="1:56" ht="18" customHeight="1" thickBot="1" x14ac:dyDescent="0.35">
      <c r="A24" s="177" t="str">
        <f>IF(AI_Pop._Source=1,INDEX(DataTable_Economic[#Headers], 1, 5),
 IF(AI_Pop._Source=2,INDEX(DataTable_Economic[#Headers], 1, 3),"")
   )</f>
        <v>Population (2024)-OSBM</v>
      </c>
      <c r="B24" s="3" t="str" cm="1">
        <f t="array" aca="1" ref="B24" ca="1">IFERROR(_xlfn.XLOOKUP(B$21,DataTable_Economic[LGU],INDIRECT("DataTable_Economic[" &amp; $A24 &amp; "]"),"",0,1),"")</f>
        <v/>
      </c>
      <c r="C24" s="3" t="str" cm="1">
        <f t="array" aca="1" ref="C24" ca="1">IFERROR(_xlfn.XLOOKUP(C$21,DataTable_Economic[LGU],INDIRECT("DataTable_Economic[" &amp; $A24 &amp; "]"),"",0,1),"")</f>
        <v/>
      </c>
      <c r="D24" s="3" t="str" cm="1">
        <f t="array" aca="1" ref="D24" ca="1">IFERROR(_xlfn.XLOOKUP(D$21,DataTable_Economic[LGU],INDIRECT("DataTable_Economic[" &amp; $A24 &amp; "]"),"",0,1),"")</f>
        <v/>
      </c>
      <c r="E24" s="3" t="str" cm="1">
        <f t="array" aca="1" ref="E24" ca="1">IFERROR(_xlfn.XLOOKUP(E$21,DataTable_Economic[LGU],INDIRECT("DataTable_Economic[" &amp; $A24 &amp; "]"),"",0,1),"")</f>
        <v/>
      </c>
      <c r="F24" s="180"/>
      <c r="G24" s="181"/>
      <c r="H24" s="200"/>
      <c r="I24" s="203"/>
      <c r="AD24" s="240"/>
      <c r="AE24" s="215"/>
      <c r="AF24" s="215"/>
      <c r="AG24" s="215"/>
      <c r="AH24" s="244"/>
      <c r="AI24" s="146"/>
      <c r="AJ24" s="150">
        <f t="shared" si="3"/>
        <v>21</v>
      </c>
      <c r="AK24" s="151">
        <f>IF(AC_Chart_Background_Data[[#This Row],[X]] &lt; EFC_70P-EFC_50P, EFC_50P, MAX(EFC_70P-AC_Chart_Background_Data[[#This Row],[X]],0))</f>
        <v>96</v>
      </c>
      <c r="AL24" s="151">
        <f>IF(AC_Chart_Background_Data[[#This Row],[X]] &lt; EFC_85P-EFC_70P, EFC_70P, MAX(EFC_85P-AC_Chart_Background_Data[[#This Row],[X]],0))</f>
        <v>113</v>
      </c>
      <c r="AM24" s="151">
        <f>IF(AC_Chart_Background_Data[[#This Row],[X]] &lt; EFC_95P-EFC_85P, EFC_85P, MAX(EFC_95P-AC_Chart_Background_Data[[#This Row],[X]],0))</f>
        <v>134</v>
      </c>
      <c r="AN24" s="151">
        <f>IF(AC_Chart_Background_Data[[#This Row],[X]] &lt; EFC_99P-EFC_95P, EFC_95P, MAX(EFC_99P-AC_Chart_Background_Data[[#This Row],[X]],0))</f>
        <v>161</v>
      </c>
      <c r="AO24" s="151">
        <f t="shared" si="0"/>
        <v>190</v>
      </c>
      <c r="AP24" s="146"/>
      <c r="AQ24" s="153">
        <v>21</v>
      </c>
      <c r="AR24" s="153">
        <v>96</v>
      </c>
      <c r="AS24" s="153">
        <v>113</v>
      </c>
      <c r="AT24" s="153">
        <v>134</v>
      </c>
      <c r="AU24" s="153">
        <v>161</v>
      </c>
      <c r="AV24" s="153">
        <v>190</v>
      </c>
      <c r="AW24" s="8"/>
      <c r="AX24" s="102">
        <v>93.5</v>
      </c>
      <c r="AY24" s="103">
        <v>214</v>
      </c>
      <c r="AZ24" s="104">
        <f t="shared" si="1"/>
        <v>0</v>
      </c>
      <c r="BA24" s="8"/>
      <c r="BB24" s="102">
        <v>90.41</v>
      </c>
      <c r="BC24" s="103">
        <v>90782</v>
      </c>
      <c r="BD24" s="105">
        <f t="shared" si="2"/>
        <v>0</v>
      </c>
    </row>
    <row r="25" spans="1:56" ht="18" customHeight="1" thickBot="1" x14ac:dyDescent="0.35">
      <c r="A25" s="32" t="str">
        <f>IF(AI_Pop._Source=1,"Pop. Change (%, 2019-2023)-OSBM",IF(AI_Pop._Source=2,"Pop. Change (%, 2019-2023)-ACS",""))</f>
        <v>Pop. Change (%, 2019-2023)-OSBM</v>
      </c>
      <c r="B25" s="183" t="str">
        <f ca="1">IF(OR(B23="",B24=""),"",(B24-B23)/B23*100)</f>
        <v/>
      </c>
      <c r="C25" s="183" t="str">
        <f ca="1">IF(OR(C23="",C24=""),"",(C24-C23)/C23*100)</f>
        <v/>
      </c>
      <c r="D25" s="183" t="str">
        <f ca="1">IF(OR(D23="",D24=""),"",(D24-D23)/D23*100)</f>
        <v/>
      </c>
      <c r="E25" s="183" t="str">
        <f ca="1">IF(OR(E23="",E24=""),"",(E24-E23)/E23*100)</f>
        <v/>
      </c>
      <c r="F25" s="184" t="str" cm="1">
        <f t="array" aca="1" ref="F25" ca="1" xml:space="preserve"> IF((AND(B23:E24="")),"",
       _xlfn.LET(_xlpm.Pop_old,IF($F$22=1, SUMPRODUCT(--ISNUMBER(B23:E23),$B$22:$E$22,B23:E23), ""),
           _xlpm.Pop_new,IF($F$22=1, SUMPRODUCT(--ISNUMBER(B24:E24),$B$22:$E$22,B24:E24), ""),
           (_xlpm.Pop_new-_xlpm.Pop_old)/_xlpm.Pop_old*100)
     )</f>
        <v/>
      </c>
      <c r="G25" s="33" t="str">
        <f>IF(ISNUMBER(SEARCH("change",A25,1)),"&lt;",
    IF(ISNUMBER(SEARCH("poverty",A25,1)),"&gt;",
       IF(ISNUMBER(SEARCH("unemployment",A25,1)),"&gt;",
          IF(ISNUMBER(SEARCH("income",A25,1)),"&lt;",
             IF(ISNUMBER(SEARCH("prop.",A25,1)),"&lt;","" )))))</f>
        <v>&lt;</v>
      </c>
      <c r="H25" s="138">
        <f>IF(RIGHT(A23,3)="ACS",SB_PCh_ACS,
     IF(RIGHT(A23,3)="SBM",SB_PCh_OSBM,""))</f>
        <v>5.73</v>
      </c>
      <c r="I25" s="145" t="str" cm="1">
        <f t="array" aca="1" ref="I25" ca="1">IF(F25="", "",
           _xlfn.IFS(G25="&lt;",IF(F25&lt;H25, "Yes", "No"),
               G25="&gt;",IF(F25&gt;H25, "Yes", "No")))</f>
        <v/>
      </c>
      <c r="M25" s="185"/>
      <c r="AA25" s="182" t="s">
        <v>833</v>
      </c>
      <c r="AD25" s="241"/>
      <c r="AE25" s="216"/>
      <c r="AF25" s="216"/>
      <c r="AG25" s="216"/>
      <c r="AH25" s="245"/>
      <c r="AI25" s="146"/>
      <c r="AJ25" s="150">
        <f t="shared" si="3"/>
        <v>22</v>
      </c>
      <c r="AK25" s="151">
        <f>IF(AC_Chart_Background_Data[[#This Row],[X]] &lt; EFC_70P-EFC_50P, EFC_50P, MAX(EFC_70P-AC_Chart_Background_Data[[#This Row],[X]],0))</f>
        <v>95</v>
      </c>
      <c r="AL25" s="151">
        <f>IF(AC_Chart_Background_Data[[#This Row],[X]] &lt; EFC_85P-EFC_70P, EFC_70P, MAX(EFC_85P-AC_Chart_Background_Data[[#This Row],[X]],0))</f>
        <v>112</v>
      </c>
      <c r="AM25" s="151">
        <f>IF(AC_Chart_Background_Data[[#This Row],[X]] &lt; EFC_95P-EFC_85P, EFC_85P, MAX(EFC_95P-AC_Chart_Background_Data[[#This Row],[X]],0))</f>
        <v>134</v>
      </c>
      <c r="AN25" s="151">
        <f>IF(AC_Chart_Background_Data[[#This Row],[X]] &lt; EFC_99P-EFC_95P, EFC_95P, MAX(EFC_99P-AC_Chart_Background_Data[[#This Row],[X]],0))</f>
        <v>161</v>
      </c>
      <c r="AO25" s="151">
        <f t="shared" si="0"/>
        <v>190</v>
      </c>
      <c r="AP25" s="146"/>
      <c r="AQ25" s="153">
        <v>22</v>
      </c>
      <c r="AR25" s="153">
        <v>95</v>
      </c>
      <c r="AS25" s="153">
        <v>112</v>
      </c>
      <c r="AT25" s="153">
        <v>134</v>
      </c>
      <c r="AU25" s="153">
        <v>161</v>
      </c>
      <c r="AV25" s="153">
        <v>190</v>
      </c>
      <c r="AW25" s="8"/>
      <c r="AX25" s="102">
        <v>107.5</v>
      </c>
      <c r="AY25" s="103">
        <v>304</v>
      </c>
      <c r="AZ25" s="104">
        <f t="shared" si="1"/>
        <v>0</v>
      </c>
      <c r="BA25" s="8"/>
      <c r="BB25" s="102">
        <v>108</v>
      </c>
      <c r="BC25" s="103">
        <v>306</v>
      </c>
      <c r="BD25" s="105">
        <f t="shared" si="2"/>
        <v>0</v>
      </c>
    </row>
    <row r="26" spans="1:56" ht="18" customHeight="1" x14ac:dyDescent="0.3">
      <c r="A26" s="32" t="str">
        <f>INDEX(DataTable_Economic[#Headers],1,6)</f>
        <v>Poverty Rate (%, 2024)</v>
      </c>
      <c r="B26" s="139" t="str" cm="1">
        <f t="array" aca="1" ref="B26" ca="1">IFERROR(_xlfn.XLOOKUP(B$21,DataTable_Economic[LGU],INDIRECT("DataTable_Economic[" &amp; $A26 &amp; "]"),"",0,1),"")</f>
        <v/>
      </c>
      <c r="C26" s="143" t="str" cm="1">
        <f t="array" aca="1" ref="C26" ca="1">IFERROR(_xlfn.XLOOKUP(C$21,DataTable_Economic[LGU],INDIRECT("DataTable_Economic[" &amp; $A26 &amp; "]"),"",0,1),"")</f>
        <v/>
      </c>
      <c r="D26" s="143" t="str" cm="1">
        <f t="array" aca="1" ref="D26" ca="1">IFERROR(_xlfn.XLOOKUP(D$21,DataTable_Economic[LGU],INDIRECT("DataTable_Economic[" &amp; $A26 &amp; "]"),"",0,1),"")</f>
        <v/>
      </c>
      <c r="E26" s="143" t="str" cm="1">
        <f t="array" aca="1" ref="E26" ca="1">IFERROR(_xlfn.XLOOKUP(E$21,DataTable_Economic[LGU],INDIRECT("DataTable_Economic[" &amp; $A26 &amp; "]"),"",0,1),"")</f>
        <v/>
      </c>
      <c r="F26" s="142" t="str" cm="1">
        <f t="array" aca="1" ref="F26" ca="1">IF((AND(B26:E26="")),"",(IF($F$22=1, SUMPRODUCT(--ISNUMBER(B26:E26),$B$22:$E$22,B26:E26), "")))</f>
        <v/>
      </c>
      <c r="G26" s="33" t="str">
        <f>IF(ISNUMBER(SEARCH("change",A26,1)),"&lt;",
    IF(ISNUMBER(SEARCH("poverty",A26,1)),"&gt;",
       IF(ISNUMBER(SEARCH("unemployment",A26,1)),"&gt;",
          IF(ISNUMBER(SEARCH("income",A26,1)),"&lt;",
             IF(ISNUMBER(SEARCH("prop.",A26,1)),"&lt;","" )))))</f>
        <v>&gt;</v>
      </c>
      <c r="H26" s="138">
        <f>SB_PR</f>
        <v>13</v>
      </c>
      <c r="I26" s="145" t="str" cm="1">
        <f t="array" aca="1" ref="I26" ca="1">IF(F26="", "",
           _xlfn.IFS(G26="&lt;",IF(F26&lt;H26, "Yes", "No"),
               G26="&gt;",IF(F26&gt;H26, "Yes", "No")))</f>
        <v/>
      </c>
      <c r="AA26" s="187">
        <v>1</v>
      </c>
      <c r="AD26" s="88" t="s">
        <v>702</v>
      </c>
      <c r="AE26" s="81" t="str">
        <f>"&gt; $"&amp;EFC_99P</f>
        <v>&gt; $190</v>
      </c>
      <c r="AF26" s="82">
        <v>1</v>
      </c>
      <c r="AG26" s="81" t="str">
        <f>"&gt; $"&amp;EFC_99P</f>
        <v>&gt; $190</v>
      </c>
      <c r="AH26" s="83">
        <v>1</v>
      </c>
      <c r="AI26" s="147"/>
      <c r="AJ26" s="150">
        <f t="shared" si="3"/>
        <v>23</v>
      </c>
      <c r="AK26" s="151">
        <f>IF(AC_Chart_Background_Data[[#This Row],[X]] &lt; EFC_70P-EFC_50P, EFC_50P, MAX(EFC_70P-AC_Chart_Background_Data[[#This Row],[X]],0))</f>
        <v>94</v>
      </c>
      <c r="AL26" s="151">
        <f>IF(AC_Chart_Background_Data[[#This Row],[X]] &lt; EFC_85P-EFC_70P, EFC_70P, MAX(EFC_85P-AC_Chart_Background_Data[[#This Row],[X]],0))</f>
        <v>111</v>
      </c>
      <c r="AM26" s="151">
        <f>IF(AC_Chart_Background_Data[[#This Row],[X]] &lt; EFC_95P-EFC_85P, EFC_85P, MAX(EFC_95P-AC_Chart_Background_Data[[#This Row],[X]],0))</f>
        <v>134</v>
      </c>
      <c r="AN26" s="151">
        <f>IF(AC_Chart_Background_Data[[#This Row],[X]] &lt; EFC_99P-EFC_95P, EFC_95P, MAX(EFC_99P-AC_Chart_Background_Data[[#This Row],[X]],0))</f>
        <v>161</v>
      </c>
      <c r="AO26" s="151">
        <f t="shared" si="0"/>
        <v>190</v>
      </c>
      <c r="AP26" s="147"/>
      <c r="AQ26" s="154">
        <v>23</v>
      </c>
      <c r="AR26" s="154">
        <v>94</v>
      </c>
      <c r="AS26" s="154">
        <v>111</v>
      </c>
      <c r="AT26" s="154">
        <v>134</v>
      </c>
      <c r="AU26" s="154">
        <v>161</v>
      </c>
      <c r="AV26" s="154">
        <v>190</v>
      </c>
      <c r="AW26" s="8"/>
      <c r="AX26" s="102">
        <v>34.96</v>
      </c>
      <c r="AY26" s="103">
        <v>1859</v>
      </c>
      <c r="AZ26" s="104">
        <f t="shared" si="1"/>
        <v>0</v>
      </c>
      <c r="BA26" s="8"/>
      <c r="BB26" s="102">
        <v>106.42</v>
      </c>
      <c r="BC26" s="103">
        <v>15395</v>
      </c>
      <c r="BD26" s="105">
        <f t="shared" si="2"/>
        <v>0</v>
      </c>
    </row>
    <row r="27" spans="1:56" ht="18" customHeight="1" x14ac:dyDescent="0.3">
      <c r="A27" s="32" t="str">
        <f>INDEX(DataTable_Economic[#Headers],1,7)</f>
        <v>Unemployment Rate (%, 2024)</v>
      </c>
      <c r="B27" s="169" t="str" cm="1">
        <f t="array" aca="1" ref="B27" ca="1">IFERROR(_xlfn.XLOOKUP(B$21,DataTable_Economic[LGU],INDIRECT("DataTable_Economic[" &amp; $A27 &amp; "]"),"",0,1),"")</f>
        <v/>
      </c>
      <c r="C27" s="169" t="str" cm="1">
        <f t="array" aca="1" ref="C27" ca="1">IFERROR(_xlfn.XLOOKUP(C$21,DataTable_Economic[LGU],INDIRECT("DataTable_Economic[" &amp; $A27 &amp; "]"),"",0,1),"")</f>
        <v/>
      </c>
      <c r="D27" s="169" t="str" cm="1">
        <f t="array" aca="1" ref="D27" ca="1">IFERROR(_xlfn.XLOOKUP(D$21,DataTable_Economic[LGU],INDIRECT("DataTable_Economic[" &amp; $A27 &amp; "]"),"",0,1),"")</f>
        <v/>
      </c>
      <c r="E27" s="169" t="str" cm="1">
        <f t="array" aca="1" ref="E27" ca="1">IFERROR(_xlfn.XLOOKUP(E$21,DataTable_Economic[LGU],INDIRECT("DataTable_Economic[" &amp; $A27 &amp; "]"),"",0,1),"")</f>
        <v/>
      </c>
      <c r="F27" s="188" t="str" cm="1">
        <f t="array" aca="1" ref="F27" ca="1">IF((AND(B27:E27="")),"",(IF($F$22=1, SUMPRODUCT(--ISNUMBER(B27:E27),$B$22:$E$22,B27:E27), "")))</f>
        <v/>
      </c>
      <c r="G27" s="33" t="str">
        <f>IF(ISNUMBER(SEARCH("change",A27,1)),"&lt;",
    IF(ISNUMBER(SEARCH("poverty",A27,1)),"&gt;",
       IF(ISNUMBER(SEARCH("unemployment",A27,1)),"&gt;",
          IF(ISNUMBER(SEARCH("income",A27,1)),"&lt;",
             IF(ISNUMBER(SEARCH("prop.",A27,1)),"&lt;","" )))))</f>
        <v>&gt;</v>
      </c>
      <c r="H27" s="138">
        <f>SB_UR</f>
        <v>3.66</v>
      </c>
      <c r="I27" s="145" t="str" cm="1">
        <f t="array" aca="1" ref="I27" ca="1">IF(F27="", "",
           _xlfn.IFS(G27="&lt;",IF(F27&lt;H27, "Yes", "No"),
               G27="&gt;",IF(F27&gt;H27, "Yes", "No")))</f>
        <v/>
      </c>
      <c r="AD27" s="89" t="s">
        <v>704</v>
      </c>
      <c r="AE27" s="68" t="str">
        <f>"$"&amp;EFC_95P&amp;" - $"&amp;EFC_99P</f>
        <v>$161 - $190</v>
      </c>
      <c r="AF27" s="69">
        <v>1</v>
      </c>
      <c r="AG27" s="68" t="str">
        <f>"$"&amp;EFC_95P&amp;" - $"&amp;EFC_99P</f>
        <v>$161 - $190</v>
      </c>
      <c r="AH27" s="70">
        <v>0.75</v>
      </c>
      <c r="AI27" s="147"/>
      <c r="AJ27" s="150">
        <f t="shared" si="3"/>
        <v>24</v>
      </c>
      <c r="AK27" s="151">
        <f>IF(AC_Chart_Background_Data[[#This Row],[X]] &lt; EFC_70P-EFC_50P, EFC_50P, MAX(EFC_70P-AC_Chart_Background_Data[[#This Row],[X]],0))</f>
        <v>93</v>
      </c>
      <c r="AL27" s="151">
        <f>IF(AC_Chart_Background_Data[[#This Row],[X]] &lt; EFC_85P-EFC_70P, EFC_70P, MAX(EFC_85P-AC_Chart_Background_Data[[#This Row],[X]],0))</f>
        <v>110</v>
      </c>
      <c r="AM27" s="151">
        <f>IF(AC_Chart_Background_Data[[#This Row],[X]] &lt; EFC_95P-EFC_85P, EFC_85P, MAX(EFC_95P-AC_Chart_Background_Data[[#This Row],[X]],0))</f>
        <v>134</v>
      </c>
      <c r="AN27" s="151">
        <f>IF(AC_Chart_Background_Data[[#This Row],[X]] &lt; EFC_99P-EFC_95P, EFC_95P, MAX(EFC_99P-AC_Chart_Background_Data[[#This Row],[X]],0))</f>
        <v>161</v>
      </c>
      <c r="AO27" s="151">
        <f t="shared" si="0"/>
        <v>190</v>
      </c>
      <c r="AP27" s="147"/>
      <c r="AQ27" s="154">
        <v>24</v>
      </c>
      <c r="AR27" s="154">
        <v>93</v>
      </c>
      <c r="AS27" s="154">
        <v>110</v>
      </c>
      <c r="AT27" s="154">
        <v>134</v>
      </c>
      <c r="AU27" s="154">
        <v>161</v>
      </c>
      <c r="AV27" s="154">
        <v>190</v>
      </c>
      <c r="AW27" s="8"/>
      <c r="AX27" s="102">
        <v>56.44</v>
      </c>
      <c r="AY27" s="103">
        <v>7836</v>
      </c>
      <c r="AZ27" s="104">
        <f t="shared" si="1"/>
        <v>0</v>
      </c>
      <c r="BA27" s="8"/>
      <c r="BB27" s="102">
        <v>70.83</v>
      </c>
      <c r="BC27" s="103">
        <v>183</v>
      </c>
      <c r="BD27" s="105">
        <f t="shared" si="2"/>
        <v>0</v>
      </c>
    </row>
    <row r="28" spans="1:56" ht="18" customHeight="1" x14ac:dyDescent="0.3">
      <c r="A28" s="32" t="str">
        <f>INDEX(DataTable_Economic[#Headers],1,8)</f>
        <v>Median Household Income (2024)</v>
      </c>
      <c r="B28" s="4" t="str" cm="1">
        <f t="array" aca="1" ref="B28" ca="1">IFERROR(_xlfn.XLOOKUP(B$21,DataTable_Economic[LGU],INDIRECT("DataTable_Economic[" &amp; $A28 &amp; "]"),"",0,1),"")</f>
        <v/>
      </c>
      <c r="C28" s="4" t="str" cm="1">
        <f t="array" aca="1" ref="C28" ca="1">IFERROR(_xlfn.XLOOKUP(C$21,DataTable_Economic[LGU],INDIRECT("DataTable_Economic[" &amp; $A28 &amp; "]"),"",0,1),"")</f>
        <v/>
      </c>
      <c r="D28" s="4" t="str" cm="1">
        <f t="array" aca="1" ref="D28" ca="1">IFERROR(_xlfn.XLOOKUP(D$21,DataTable_Economic[LGU],INDIRECT("DataTable_Economic[" &amp; $A28 &amp; "]"),"",0,1),"")</f>
        <v/>
      </c>
      <c r="E28" s="4" t="str" cm="1">
        <f t="array" aca="1" ref="E28" ca="1">IFERROR(_xlfn.XLOOKUP(E$21,DataTable_Economic[LGU],INDIRECT("DataTable_Economic[" &amp; $A28 &amp; "]"),"",0,1),"")</f>
        <v/>
      </c>
      <c r="F28" s="168" t="str" cm="1">
        <f t="array" aca="1" ref="F28" ca="1">IF((AND(B28:E28="")),"",(IF($F$22=1, SUMPRODUCT(--ISNUMBER(B28:E28),$B$22:$E$22,B28:E28), "")))</f>
        <v/>
      </c>
      <c r="G28" s="34" t="str">
        <f>IF(ISNUMBER(SEARCH("change",A28,1)),"&lt;",
    IF(ISNUMBER(SEARCH("poverty",A28,1)),"&gt;",
       IF(ISNUMBER(SEARCH("unemployment",A28,1)),"&gt;",
          IF(ISNUMBER(SEARCH("income",A28,1)),"&lt;",
             IF(ISNUMBER(SEARCH("prop.",A28,1)),"&lt;","" )))))</f>
        <v>&lt;</v>
      </c>
      <c r="H28" s="35">
        <f>SB_MHI</f>
        <v>72388</v>
      </c>
      <c r="I28" s="145" t="str" cm="1">
        <f t="array" aca="1" ref="I28" ca="1">IF(F28="", "",
           _xlfn.IFS(G28="&lt;",IF(F28&lt;H28, "Yes", "No"),
               G28="&gt;",IF(F28&gt;H28, "Yes", "No")))</f>
        <v/>
      </c>
      <c r="AD28" s="89" t="s">
        <v>705</v>
      </c>
      <c r="AE28" s="68" t="str">
        <f>"$"&amp;EFC_85P&amp;" - $"&amp;EFC_95P</f>
        <v>$134 - $161</v>
      </c>
      <c r="AF28" s="69">
        <v>0.75</v>
      </c>
      <c r="AG28" s="68" t="str">
        <f>"$"&amp;EFC_85P&amp;" - $"&amp;EFC_95P</f>
        <v>$134 - $161</v>
      </c>
      <c r="AH28" s="70">
        <v>0.5</v>
      </c>
      <c r="AI28" s="147"/>
      <c r="AJ28" s="150">
        <f t="shared" si="3"/>
        <v>25</v>
      </c>
      <c r="AK28" s="151">
        <f>IF(AC_Chart_Background_Data[[#This Row],[X]] &lt; EFC_70P-EFC_50P, EFC_50P, MAX(EFC_70P-AC_Chart_Background_Data[[#This Row],[X]],0))</f>
        <v>92</v>
      </c>
      <c r="AL28" s="151">
        <f>IF(AC_Chart_Background_Data[[#This Row],[X]] &lt; EFC_85P-EFC_70P, EFC_70P, MAX(EFC_85P-AC_Chart_Background_Data[[#This Row],[X]],0))</f>
        <v>109</v>
      </c>
      <c r="AM28" s="151">
        <f>IF(AC_Chart_Background_Data[[#This Row],[X]] &lt; EFC_95P-EFC_85P, EFC_85P, MAX(EFC_95P-AC_Chart_Background_Data[[#This Row],[X]],0))</f>
        <v>134</v>
      </c>
      <c r="AN28" s="151">
        <f>IF(AC_Chart_Background_Data[[#This Row],[X]] &lt; EFC_99P-EFC_95P, EFC_95P, MAX(EFC_99P-AC_Chart_Background_Data[[#This Row],[X]],0))</f>
        <v>161</v>
      </c>
      <c r="AO28" s="151">
        <f t="shared" si="0"/>
        <v>190</v>
      </c>
      <c r="AP28" s="147"/>
      <c r="AQ28" s="154">
        <v>25</v>
      </c>
      <c r="AR28" s="154">
        <v>92</v>
      </c>
      <c r="AS28" s="154">
        <v>109</v>
      </c>
      <c r="AT28" s="154">
        <v>134</v>
      </c>
      <c r="AU28" s="154">
        <v>161</v>
      </c>
      <c r="AV28" s="154">
        <v>190</v>
      </c>
      <c r="AW28" s="8"/>
      <c r="AX28" s="102">
        <v>82.78</v>
      </c>
      <c r="AY28" s="103">
        <v>473</v>
      </c>
      <c r="AZ28" s="104">
        <f t="shared" si="1"/>
        <v>0</v>
      </c>
      <c r="BA28" s="8"/>
      <c r="BB28" s="102">
        <v>34.549999999999997</v>
      </c>
      <c r="BC28" s="103">
        <v>77</v>
      </c>
      <c r="BD28" s="105">
        <f t="shared" si="2"/>
        <v>0</v>
      </c>
    </row>
    <row r="29" spans="1:56" ht="18" customHeight="1" x14ac:dyDescent="0.35">
      <c r="A29" s="32" t="str">
        <f>INDEX(DataTable_Economic[#Headers],1,9)</f>
        <v>Total Appraised Value (2024)</v>
      </c>
      <c r="B29" s="4" t="str" cm="1">
        <f t="array" aca="1" ref="B29" ca="1">IFERROR(_xlfn.XLOOKUP(B$21,DataTable_Economic[LGU],INDIRECT("DataTable_Economic[" &amp; $A29 &amp; "]"),"",0,1),"")</f>
        <v/>
      </c>
      <c r="C29" s="4" t="str" cm="1">
        <f t="array" aca="1" ref="C29" ca="1">IFERROR(_xlfn.XLOOKUP(C$21,DataTable_Economic[LGU],INDIRECT("DataTable_Economic[" &amp; $A29 &amp; "]"),"",0,1),"")</f>
        <v/>
      </c>
      <c r="D29" s="4" t="str" cm="1">
        <f t="array" aca="1" ref="D29" ca="1">IFERROR(_xlfn.XLOOKUP(D$21,DataTable_Economic[LGU],INDIRECT("DataTable_Economic[" &amp; $A29 &amp; "]"),"",0,1),"")</f>
        <v/>
      </c>
      <c r="E29" s="4" t="str" cm="1">
        <f t="array" aca="1" ref="E29" ca="1">IFERROR(_xlfn.XLOOKUP(E$21,DataTable_Economic[LGU],INDIRECT("DataTable_Economic[" &amp; $A29 &amp; "]"),"",0,1),"")</f>
        <v/>
      </c>
      <c r="F29" s="36"/>
      <c r="G29" s="37"/>
      <c r="H29" s="38"/>
      <c r="I29" s="121" t="s">
        <v>713</v>
      </c>
      <c r="AD29" s="89" t="s">
        <v>706</v>
      </c>
      <c r="AE29" s="68" t="str">
        <f>"$"&amp;EFC_70P&amp;" - $"&amp;EFC_85P</f>
        <v>$117 - $134</v>
      </c>
      <c r="AF29" s="69">
        <v>0.5</v>
      </c>
      <c r="AG29" s="68" t="str">
        <f>"$"&amp;EFC_70P&amp;" - $"&amp;EFC_85P</f>
        <v>$117 - $134</v>
      </c>
      <c r="AH29" s="70">
        <v>0.25</v>
      </c>
      <c r="AI29" s="147"/>
      <c r="AJ29" s="150">
        <f t="shared" si="3"/>
        <v>26</v>
      </c>
      <c r="AK29" s="151">
        <f>IF(AC_Chart_Background_Data[[#This Row],[X]] &lt; EFC_70P-EFC_50P, EFC_50P, MAX(EFC_70P-AC_Chart_Background_Data[[#This Row],[X]],0))</f>
        <v>91</v>
      </c>
      <c r="AL29" s="151">
        <f>IF(AC_Chart_Background_Data[[#This Row],[X]] &lt; EFC_85P-EFC_70P, EFC_70P, MAX(EFC_85P-AC_Chart_Background_Data[[#This Row],[X]],0))</f>
        <v>108</v>
      </c>
      <c r="AM29" s="151">
        <f>IF(AC_Chart_Background_Data[[#This Row],[X]] &lt; EFC_95P-EFC_85P, EFC_85P, MAX(EFC_95P-AC_Chart_Background_Data[[#This Row],[X]],0))</f>
        <v>134</v>
      </c>
      <c r="AN29" s="151">
        <f>IF(AC_Chart_Background_Data[[#This Row],[X]] &lt; EFC_99P-EFC_95P, EFC_95P, MAX(EFC_99P-AC_Chart_Background_Data[[#This Row],[X]],0))</f>
        <v>161</v>
      </c>
      <c r="AO29" s="151">
        <f t="shared" si="0"/>
        <v>190</v>
      </c>
      <c r="AP29" s="147"/>
      <c r="AQ29" s="154">
        <v>26</v>
      </c>
      <c r="AR29" s="154">
        <v>91</v>
      </c>
      <c r="AS29" s="154">
        <v>108</v>
      </c>
      <c r="AT29" s="154">
        <v>134</v>
      </c>
      <c r="AU29" s="154">
        <v>161</v>
      </c>
      <c r="AV29" s="154">
        <v>190</v>
      </c>
      <c r="AW29" s="20"/>
      <c r="AX29" s="102">
        <v>108.65</v>
      </c>
      <c r="AY29" s="103">
        <v>323</v>
      </c>
      <c r="AZ29" s="104">
        <f t="shared" si="1"/>
        <v>0</v>
      </c>
      <c r="BA29" s="8"/>
      <c r="BB29" s="102">
        <v>84.45</v>
      </c>
      <c r="BC29" s="103">
        <v>12723</v>
      </c>
      <c r="BD29" s="105">
        <f t="shared" si="2"/>
        <v>0</v>
      </c>
    </row>
    <row r="30" spans="1:56" ht="18" customHeight="1" x14ac:dyDescent="0.3">
      <c r="A30" s="39" t="s">
        <v>834</v>
      </c>
      <c r="B30" s="35" t="str">
        <f ca="1">IF(OR(B24="",B29=""),"", (B29/B24))</f>
        <v/>
      </c>
      <c r="C30" s="35" t="str">
        <f ca="1">IF(OR(C24="",C29=""),"", (C29/C24))</f>
        <v/>
      </c>
      <c r="D30" s="35" t="str">
        <f ca="1">IF(OR(D24="",D29=""),"", (D29/D24))</f>
        <v/>
      </c>
      <c r="E30" s="35" t="str">
        <f ca="1">IF(OR(E24="",E29=""),"", (E29/E24))</f>
        <v/>
      </c>
      <c r="F30" s="40" t="str" cm="1">
        <f t="array" aca="1" ref="F30" ca="1">IF((AND(B30:E30="")),"",(IF($F$22=1, SUMPRODUCT(--ISNUMBER(B30:E30),$B$22:$E$22,B30:E30), "")))</f>
        <v/>
      </c>
      <c r="G30" s="41" t="str">
        <f>IF(ISNUMBER(SEARCH("change",A30,1)),"&lt;",
    IF(ISNUMBER(SEARCH("poverty",A30,1)),"&gt;",
       IF(ISNUMBER(SEARCH("unemployment",A30,1)),"&gt;",
          IF(ISNUMBER(SEARCH("income",A30,1)),"&lt;",
             IF(ISNUMBER(SEARCH("prop.",A30,1)),"&lt;","" )))))</f>
        <v>&lt;</v>
      </c>
      <c r="H30" s="42">
        <f>IF(RIGHT(A23,3)="ACS",SB_PVPC_ACS,
     IF(RIGHT(A23,3)="SBM",SB_PVPC_OSBM,""))</f>
        <v>170366</v>
      </c>
      <c r="I30" s="144" t="str" cm="1">
        <f t="array" aca="1" ref="I30" ca="1">IF(F30="", "",
           _xlfn.IFS(G30="&lt;",IF(F30&lt;H30, "Yes", "No"),
               G30="&gt;",IF(F30&gt;H30, "Yes", "No")))</f>
        <v/>
      </c>
      <c r="AD30" s="89" t="s">
        <v>707</v>
      </c>
      <c r="AE30" s="68" t="str">
        <f>"$"&amp;EFC_50P&amp;" - $"&amp;EFC_70P</f>
        <v>$97 - $117</v>
      </c>
      <c r="AF30" s="69">
        <v>0.25</v>
      </c>
      <c r="AG30" s="68" t="str">
        <f>"$"&amp;EFC_50P&amp;" - $"&amp;EFC_70P</f>
        <v>$97 - $117</v>
      </c>
      <c r="AH30" s="70">
        <v>0</v>
      </c>
      <c r="AI30" s="147"/>
      <c r="AJ30" s="150">
        <f t="shared" si="3"/>
        <v>27</v>
      </c>
      <c r="AK30" s="151">
        <f>IF(AC_Chart_Background_Data[[#This Row],[X]] &lt; EFC_70P-EFC_50P, EFC_50P, MAX(EFC_70P-AC_Chart_Background_Data[[#This Row],[X]],0))</f>
        <v>90</v>
      </c>
      <c r="AL30" s="151">
        <f>IF(AC_Chart_Background_Data[[#This Row],[X]] &lt; EFC_85P-EFC_70P, EFC_70P, MAX(EFC_85P-AC_Chart_Background_Data[[#This Row],[X]],0))</f>
        <v>107</v>
      </c>
      <c r="AM30" s="151">
        <f>IF(AC_Chart_Background_Data[[#This Row],[X]] &lt; EFC_95P-EFC_85P, EFC_85P, MAX(EFC_95P-AC_Chart_Background_Data[[#This Row],[X]],0))</f>
        <v>134</v>
      </c>
      <c r="AN30" s="151">
        <f>IF(AC_Chart_Background_Data[[#This Row],[X]] &lt; EFC_99P-EFC_95P, EFC_95P, MAX(EFC_99P-AC_Chart_Background_Data[[#This Row],[X]],0))</f>
        <v>161</v>
      </c>
      <c r="AO30" s="151">
        <f t="shared" si="0"/>
        <v>190</v>
      </c>
      <c r="AP30" s="147"/>
      <c r="AQ30" s="154">
        <v>27</v>
      </c>
      <c r="AR30" s="154">
        <v>90</v>
      </c>
      <c r="AS30" s="154">
        <v>107</v>
      </c>
      <c r="AT30" s="154">
        <v>134</v>
      </c>
      <c r="AU30" s="154">
        <v>161</v>
      </c>
      <c r="AV30" s="154">
        <v>190</v>
      </c>
      <c r="AW30" s="8"/>
      <c r="AX30" s="102">
        <v>134.13</v>
      </c>
      <c r="AY30" s="103">
        <v>1344</v>
      </c>
      <c r="AZ30" s="104">
        <f t="shared" si="1"/>
        <v>0</v>
      </c>
      <c r="BA30" s="8"/>
      <c r="BB30" s="102">
        <v>116.83</v>
      </c>
      <c r="BC30" s="103">
        <v>5880</v>
      </c>
      <c r="BD30" s="105">
        <f t="shared" si="2"/>
        <v>0</v>
      </c>
    </row>
    <row r="31" spans="1:56" ht="31.5" customHeight="1" thickBot="1" x14ac:dyDescent="0.35">
      <c r="A31" s="237"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1" s="238"/>
      <c r="C31" s="238"/>
      <c r="D31" s="238"/>
      <c r="E31" s="238"/>
      <c r="F31" s="247" t="s">
        <v>724</v>
      </c>
      <c r="G31" s="247"/>
      <c r="H31" s="247"/>
      <c r="I31" s="119" t="str" cm="1">
        <f t="array" aca="1" ref="I31" ca="1">IF(AND(I25:I30&lt;&gt;"",AC_Step2_Completed),COUNTIF(I25:I30,"=Yes"),"")</f>
        <v/>
      </c>
      <c r="AD31" s="90" t="s">
        <v>708</v>
      </c>
      <c r="AE31" s="71" t="str">
        <f>"$0 - $"&amp;EFC_50P</f>
        <v>$0 - $97</v>
      </c>
      <c r="AF31" s="72">
        <v>0</v>
      </c>
      <c r="AG31" s="71" t="str">
        <f>"$0 - $"&amp;EFC_50P</f>
        <v>$0 - $97</v>
      </c>
      <c r="AH31" s="73">
        <v>0</v>
      </c>
      <c r="AI31" s="147"/>
      <c r="AJ31" s="150">
        <f t="shared" si="3"/>
        <v>28</v>
      </c>
      <c r="AK31" s="151">
        <f>IF(AC_Chart_Background_Data[[#This Row],[X]] &lt; EFC_70P-EFC_50P, EFC_50P, MAX(EFC_70P-AC_Chart_Background_Data[[#This Row],[X]],0))</f>
        <v>89</v>
      </c>
      <c r="AL31" s="151">
        <f>IF(AC_Chart_Background_Data[[#This Row],[X]] &lt; EFC_85P-EFC_70P, EFC_70P, MAX(EFC_85P-AC_Chart_Background_Data[[#This Row],[X]],0))</f>
        <v>106</v>
      </c>
      <c r="AM31" s="151">
        <f>IF(AC_Chart_Background_Data[[#This Row],[X]] &lt; EFC_95P-EFC_85P, EFC_85P, MAX(EFC_95P-AC_Chart_Background_Data[[#This Row],[X]],0))</f>
        <v>133</v>
      </c>
      <c r="AN31" s="151">
        <f>IF(AC_Chart_Background_Data[[#This Row],[X]] &lt; EFC_99P-EFC_95P, EFC_95P, MAX(EFC_99P-AC_Chart_Background_Data[[#This Row],[X]],0))</f>
        <v>161</v>
      </c>
      <c r="AO31" s="151">
        <f t="shared" si="0"/>
        <v>190</v>
      </c>
      <c r="AP31" s="147"/>
      <c r="AQ31" s="154">
        <v>28</v>
      </c>
      <c r="AR31" s="154">
        <v>89</v>
      </c>
      <c r="AS31" s="154">
        <v>106</v>
      </c>
      <c r="AT31" s="154">
        <v>133</v>
      </c>
      <c r="AU31" s="154">
        <v>161</v>
      </c>
      <c r="AV31" s="154">
        <v>190</v>
      </c>
      <c r="AW31" s="8"/>
      <c r="AX31" s="102">
        <v>85</v>
      </c>
      <c r="AY31" s="103">
        <v>4977</v>
      </c>
      <c r="AZ31" s="104">
        <f t="shared" si="1"/>
        <v>0</v>
      </c>
      <c r="BA31" s="8"/>
      <c r="BB31" s="102">
        <v>112.45</v>
      </c>
      <c r="BC31" s="103">
        <v>911</v>
      </c>
      <c r="BD31" s="105">
        <f t="shared" si="2"/>
        <v>0</v>
      </c>
    </row>
    <row r="32" spans="1:56" ht="18" customHeight="1" thickBot="1" x14ac:dyDescent="0.35">
      <c r="F32" s="118"/>
      <c r="G32" s="118"/>
      <c r="H32" s="118"/>
      <c r="AA32" s="63"/>
      <c r="AD32" s="63" t="s">
        <v>754</v>
      </c>
      <c r="AE32" s="221" t="e">
        <f ca="1">IF(AC_Step5_Running_Total_Passed,
         IF(AI_Effective_Combined_Bill&lt;=EFC_50P,
               0,
              IF(AI_Effective_Combined_Bill&lt;=EFC_70P,
                   0.25,
                   IF(AI_Effective_Combined_Bill&lt;=EFC_85P,
                         0.5,
                         IF(AI_Effective_Combined_Bill&lt;=EFC_95P,0.75,1)
                        )
                    )
              ),
            NA()
          )</f>
        <v>#N/A</v>
      </c>
      <c r="AF32" s="222"/>
      <c r="AG32" s="221" t="e">
        <f ca="1">IF(AC_Step5_Running_Total_Passed,
        IF(AC_PCPCPM+AI_Effective_Combined_Bill&lt;=EFC_70P,
             0,
             IF(AC_PCPCPM+AI_Effective_Combined_Bill&lt;=EFC_85P,
                  0.25,
                  IF(AC_PCPCPM+AI_Effective_Combined_Bill&lt;=EFC_95P,
                       0.5,
                       IF(AC_PCPCPM+AI_Effective_Combined_Bill&lt;=EFC_99P,0.75,1)
                       )
                 )
             ),
            NA()
         )</f>
        <v>#N/A</v>
      </c>
      <c r="AH32" s="222"/>
      <c r="AI32" s="148"/>
      <c r="AJ32" s="150">
        <f t="shared" si="3"/>
        <v>29</v>
      </c>
      <c r="AK32" s="151">
        <f>IF(AC_Chart_Background_Data[[#This Row],[X]] &lt; EFC_70P-EFC_50P, EFC_50P, MAX(EFC_70P-AC_Chart_Background_Data[[#This Row],[X]],0))</f>
        <v>88</v>
      </c>
      <c r="AL32" s="151">
        <f>IF(AC_Chart_Background_Data[[#This Row],[X]] &lt; EFC_85P-EFC_70P, EFC_70P, MAX(EFC_85P-AC_Chart_Background_Data[[#This Row],[X]],0))</f>
        <v>105</v>
      </c>
      <c r="AM32" s="151">
        <f>IF(AC_Chart_Background_Data[[#This Row],[X]] &lt; EFC_95P-EFC_85P, EFC_85P, MAX(EFC_95P-AC_Chart_Background_Data[[#This Row],[X]],0))</f>
        <v>132</v>
      </c>
      <c r="AN32" s="151">
        <f>IF(AC_Chart_Background_Data[[#This Row],[X]] &lt; EFC_99P-EFC_95P, EFC_95P, MAX(EFC_99P-AC_Chart_Background_Data[[#This Row],[X]],0))</f>
        <v>161</v>
      </c>
      <c r="AO32" s="151">
        <f t="shared" si="0"/>
        <v>190</v>
      </c>
      <c r="AP32" s="148"/>
      <c r="AQ32" s="156">
        <v>29</v>
      </c>
      <c r="AR32" s="156">
        <v>88</v>
      </c>
      <c r="AS32" s="156">
        <v>105</v>
      </c>
      <c r="AT32" s="156">
        <v>132</v>
      </c>
      <c r="AU32" s="156">
        <v>161</v>
      </c>
      <c r="AV32" s="156">
        <v>190</v>
      </c>
      <c r="AW32" s="60"/>
      <c r="AX32" s="102">
        <v>80.25</v>
      </c>
      <c r="AY32" s="103">
        <v>3301</v>
      </c>
      <c r="AZ32" s="104">
        <f t="shared" si="1"/>
        <v>0</v>
      </c>
      <c r="BA32" s="8"/>
      <c r="BB32" s="102">
        <v>71.290000000000006</v>
      </c>
      <c r="BC32" s="103">
        <v>10219</v>
      </c>
      <c r="BD32" s="105">
        <f t="shared" si="2"/>
        <v>0</v>
      </c>
    </row>
    <row r="33" spans="1:56" ht="18.75" customHeight="1" thickBot="1" x14ac:dyDescent="0.4">
      <c r="A33" s="16" t="s">
        <v>811</v>
      </c>
      <c r="B33" s="43"/>
      <c r="AD33" s="63" t="s">
        <v>755</v>
      </c>
      <c r="AE33" s="218" t="str">
        <f ca="1">IF(AC_Step5_Running_Total_Passed,MAX(AE32:AH32),"Complete the steps above to determine.")</f>
        <v>Complete the steps above to determine.</v>
      </c>
      <c r="AF33" s="219"/>
      <c r="AG33" s="219"/>
      <c r="AH33" s="220"/>
      <c r="AI33" s="155"/>
      <c r="AJ33" s="150">
        <f t="shared" si="3"/>
        <v>30</v>
      </c>
      <c r="AK33" s="151">
        <f>IF(AC_Chart_Background_Data[[#This Row],[X]] &lt; EFC_70P-EFC_50P, EFC_50P, MAX(EFC_70P-AC_Chart_Background_Data[[#This Row],[X]],0))</f>
        <v>87</v>
      </c>
      <c r="AL33" s="151">
        <f>IF(AC_Chart_Background_Data[[#This Row],[X]] &lt; EFC_85P-EFC_70P, EFC_70P, MAX(EFC_85P-AC_Chart_Background_Data[[#This Row],[X]],0))</f>
        <v>104</v>
      </c>
      <c r="AM33" s="151">
        <f>IF(AC_Chart_Background_Data[[#This Row],[X]] &lt; EFC_95P-EFC_85P, EFC_85P, MAX(EFC_95P-AC_Chart_Background_Data[[#This Row],[X]],0))</f>
        <v>131</v>
      </c>
      <c r="AN33" s="151">
        <f>IF(AC_Chart_Background_Data[[#This Row],[X]] &lt; EFC_99P-EFC_95P, EFC_95P, MAX(EFC_99P-AC_Chart_Background_Data[[#This Row],[X]],0))</f>
        <v>160</v>
      </c>
      <c r="AO33" s="151">
        <f t="shared" si="0"/>
        <v>190</v>
      </c>
      <c r="AP33" s="155"/>
      <c r="AQ33" s="154">
        <v>30</v>
      </c>
      <c r="AR33" s="154">
        <v>87</v>
      </c>
      <c r="AS33" s="154">
        <v>104</v>
      </c>
      <c r="AT33" s="154">
        <v>131</v>
      </c>
      <c r="AU33" s="154">
        <v>160</v>
      </c>
      <c r="AV33" s="154">
        <v>190</v>
      </c>
      <c r="AX33" s="102">
        <v>216.46</v>
      </c>
      <c r="AY33" s="103">
        <v>32031</v>
      </c>
      <c r="AZ33" s="104">
        <f t="shared" si="1"/>
        <v>0</v>
      </c>
      <c r="BA33" s="8"/>
      <c r="BB33" s="102">
        <v>177.31</v>
      </c>
      <c r="BC33" s="103">
        <v>1009</v>
      </c>
      <c r="BD33" s="105">
        <f t="shared" si="2"/>
        <v>0</v>
      </c>
    </row>
    <row r="34" spans="1:56" ht="15" customHeight="1" x14ac:dyDescent="0.3">
      <c r="A34" s="18" t="s">
        <v>812</v>
      </c>
      <c r="B34" s="44"/>
      <c r="AH34" s="8"/>
      <c r="AI34" s="8"/>
      <c r="AJ34" s="150">
        <f t="shared" si="3"/>
        <v>31</v>
      </c>
      <c r="AK34" s="151">
        <f>IF(AC_Chart_Background_Data[[#This Row],[X]] &lt; EFC_70P-EFC_50P, EFC_50P, MAX(EFC_70P-AC_Chart_Background_Data[[#This Row],[X]],0))</f>
        <v>86</v>
      </c>
      <c r="AL34" s="151">
        <f>IF(AC_Chart_Background_Data[[#This Row],[X]] &lt; EFC_85P-EFC_70P, EFC_70P, MAX(EFC_85P-AC_Chart_Background_Data[[#This Row],[X]],0))</f>
        <v>103</v>
      </c>
      <c r="AM34" s="151">
        <f>IF(AC_Chart_Background_Data[[#This Row],[X]] &lt; EFC_95P-EFC_85P, EFC_85P, MAX(EFC_95P-AC_Chart_Background_Data[[#This Row],[X]],0))</f>
        <v>130</v>
      </c>
      <c r="AN34" s="151">
        <f>IF(AC_Chart_Background_Data[[#This Row],[X]] &lt; EFC_99P-EFC_95P, EFC_95P, MAX(EFC_99P-AC_Chart_Background_Data[[#This Row],[X]],0))</f>
        <v>159</v>
      </c>
      <c r="AO34" s="151">
        <f t="shared" si="0"/>
        <v>190</v>
      </c>
      <c r="AP34" s="8"/>
      <c r="AQ34" s="154">
        <v>31</v>
      </c>
      <c r="AR34" s="154">
        <v>86</v>
      </c>
      <c r="AS34" s="154">
        <v>103</v>
      </c>
      <c r="AT34" s="154">
        <v>130</v>
      </c>
      <c r="AU34" s="154">
        <v>159</v>
      </c>
      <c r="AV34" s="154">
        <v>190</v>
      </c>
      <c r="AW34" s="8"/>
      <c r="AX34" s="102">
        <v>83.39</v>
      </c>
      <c r="AY34" s="103">
        <v>93</v>
      </c>
      <c r="AZ34" s="104">
        <f t="shared" si="1"/>
        <v>0</v>
      </c>
      <c r="BA34" s="8"/>
      <c r="BB34" s="102">
        <v>110.85</v>
      </c>
      <c r="BC34" s="103">
        <v>157</v>
      </c>
      <c r="BD34" s="105">
        <f t="shared" si="2"/>
        <v>0</v>
      </c>
    </row>
    <row r="35" spans="1:56" ht="18" customHeight="1" x14ac:dyDescent="0.35">
      <c r="A35" s="45" t="s">
        <v>725</v>
      </c>
      <c r="B35" s="109"/>
      <c r="D35" s="46"/>
      <c r="AF35" s="217" t="s">
        <v>771</v>
      </c>
      <c r="AG35" s="217"/>
      <c r="AH35" s="8"/>
      <c r="AI35" s="8"/>
      <c r="AJ35" s="150">
        <f t="shared" si="3"/>
        <v>32</v>
      </c>
      <c r="AK35" s="151">
        <f>IF(AC_Chart_Background_Data[[#This Row],[X]] &lt; EFC_70P-EFC_50P, EFC_50P, MAX(EFC_70P-AC_Chart_Background_Data[[#This Row],[X]],0))</f>
        <v>85</v>
      </c>
      <c r="AL35" s="151">
        <f>IF(AC_Chart_Background_Data[[#This Row],[X]] &lt; EFC_85P-EFC_70P, EFC_70P, MAX(EFC_85P-AC_Chart_Background_Data[[#This Row],[X]],0))</f>
        <v>102</v>
      </c>
      <c r="AM35" s="151">
        <f>IF(AC_Chart_Background_Data[[#This Row],[X]] &lt; EFC_95P-EFC_85P, EFC_85P, MAX(EFC_95P-AC_Chart_Background_Data[[#This Row],[X]],0))</f>
        <v>129</v>
      </c>
      <c r="AN35" s="151">
        <f>IF(AC_Chart_Background_Data[[#This Row],[X]] &lt; EFC_99P-EFC_95P, EFC_95P, MAX(EFC_99P-AC_Chart_Background_Data[[#This Row],[X]],0))</f>
        <v>158</v>
      </c>
      <c r="AO35" s="151">
        <f t="shared" si="0"/>
        <v>190</v>
      </c>
      <c r="AP35" s="8"/>
      <c r="AQ35" s="154">
        <v>32</v>
      </c>
      <c r="AR35" s="154">
        <v>85</v>
      </c>
      <c r="AS35" s="154">
        <v>102</v>
      </c>
      <c r="AT35" s="154">
        <v>129</v>
      </c>
      <c r="AU35" s="154">
        <v>158</v>
      </c>
      <c r="AV35" s="154">
        <v>190</v>
      </c>
      <c r="AW35" s="8"/>
      <c r="AX35" s="102">
        <v>80.97</v>
      </c>
      <c r="AY35" s="103">
        <v>74283</v>
      </c>
      <c r="AZ35" s="104">
        <f t="shared" si="1"/>
        <v>0</v>
      </c>
      <c r="BA35" s="8"/>
      <c r="BB35" s="102">
        <v>87.57</v>
      </c>
      <c r="BC35" s="103">
        <v>15747</v>
      </c>
      <c r="BD35" s="105">
        <f t="shared" si="2"/>
        <v>0</v>
      </c>
    </row>
    <row r="36" spans="1:56" ht="18" customHeight="1" x14ac:dyDescent="0.35">
      <c r="A36" s="45" t="s">
        <v>726</v>
      </c>
      <c r="B36" s="109"/>
      <c r="AF36" s="114" t="s">
        <v>772</v>
      </c>
      <c r="AG36" s="115" t="s">
        <v>773</v>
      </c>
      <c r="AH36" s="8"/>
      <c r="AI36" s="8"/>
      <c r="AJ36" s="150">
        <f t="shared" si="3"/>
        <v>33</v>
      </c>
      <c r="AK36" s="151">
        <f>IF(AC_Chart_Background_Data[[#This Row],[X]] &lt; EFC_70P-EFC_50P, EFC_50P, MAX(EFC_70P-AC_Chart_Background_Data[[#This Row],[X]],0))</f>
        <v>84</v>
      </c>
      <c r="AL36" s="151">
        <f>IF(AC_Chart_Background_Data[[#This Row],[X]] &lt; EFC_85P-EFC_70P, EFC_70P, MAX(EFC_85P-AC_Chart_Background_Data[[#This Row],[X]],0))</f>
        <v>101</v>
      </c>
      <c r="AM36" s="151">
        <f>IF(AC_Chart_Background_Data[[#This Row],[X]] &lt; EFC_95P-EFC_85P, EFC_85P, MAX(EFC_95P-AC_Chart_Background_Data[[#This Row],[X]],0))</f>
        <v>128</v>
      </c>
      <c r="AN36" s="151">
        <f>IF(AC_Chart_Background_Data[[#This Row],[X]] &lt; EFC_99P-EFC_95P, EFC_95P, MAX(EFC_99P-AC_Chart_Background_Data[[#This Row],[X]],0))</f>
        <v>157</v>
      </c>
      <c r="AO36" s="151">
        <f t="shared" si="0"/>
        <v>190</v>
      </c>
      <c r="AP36" s="8"/>
      <c r="AQ36" s="154">
        <v>33</v>
      </c>
      <c r="AR36" s="154">
        <v>84</v>
      </c>
      <c r="AS36" s="154">
        <v>101</v>
      </c>
      <c r="AT36" s="154">
        <v>128</v>
      </c>
      <c r="AU36" s="154">
        <v>157</v>
      </c>
      <c r="AV36" s="154">
        <v>190</v>
      </c>
      <c r="AW36" s="8"/>
      <c r="AX36" s="102">
        <v>127.5</v>
      </c>
      <c r="AY36" s="103">
        <v>1140</v>
      </c>
      <c r="AZ36" s="104">
        <f t="shared" si="1"/>
        <v>0</v>
      </c>
      <c r="BA36" s="8"/>
      <c r="BB36" s="102">
        <v>82.02</v>
      </c>
      <c r="BC36" s="103">
        <v>199</v>
      </c>
      <c r="BD36" s="105">
        <f t="shared" si="2"/>
        <v>0</v>
      </c>
    </row>
    <row r="37" spans="1:56" ht="18" customHeight="1" x14ac:dyDescent="0.35">
      <c r="A37" s="45" t="s">
        <v>809</v>
      </c>
      <c r="B37" s="109"/>
      <c r="AF37" s="114" t="s">
        <v>774</v>
      </c>
      <c r="AG37" s="115" t="s">
        <v>775</v>
      </c>
      <c r="AH37" s="8"/>
      <c r="AI37" s="8"/>
      <c r="AJ37" s="150">
        <f t="shared" si="3"/>
        <v>34</v>
      </c>
      <c r="AK37" s="151">
        <f>IF(AC_Chart_Background_Data[[#This Row],[X]] &lt; EFC_70P-EFC_50P, EFC_50P, MAX(EFC_70P-AC_Chart_Background_Data[[#This Row],[X]],0))</f>
        <v>83</v>
      </c>
      <c r="AL37" s="151">
        <f>IF(AC_Chart_Background_Data[[#This Row],[X]] &lt; EFC_85P-EFC_70P, EFC_70P, MAX(EFC_85P-AC_Chart_Background_Data[[#This Row],[X]],0))</f>
        <v>100</v>
      </c>
      <c r="AM37" s="151">
        <f>IF(AC_Chart_Background_Data[[#This Row],[X]] &lt; EFC_95P-EFC_85P, EFC_85P, MAX(EFC_95P-AC_Chart_Background_Data[[#This Row],[X]],0))</f>
        <v>127</v>
      </c>
      <c r="AN37" s="151">
        <f>IF(AC_Chart_Background_Data[[#This Row],[X]] &lt; EFC_99P-EFC_95P, EFC_95P, MAX(EFC_99P-AC_Chart_Background_Data[[#This Row],[X]],0))</f>
        <v>156</v>
      </c>
      <c r="AO37" s="151">
        <f t="shared" si="0"/>
        <v>190</v>
      </c>
      <c r="AP37" s="8"/>
      <c r="AQ37" s="154">
        <v>34</v>
      </c>
      <c r="AR37" s="154">
        <v>83</v>
      </c>
      <c r="AS37" s="154">
        <v>100</v>
      </c>
      <c r="AT37" s="154">
        <v>127</v>
      </c>
      <c r="AU37" s="154">
        <v>156</v>
      </c>
      <c r="AV37" s="154">
        <v>190</v>
      </c>
      <c r="AW37" s="8"/>
      <c r="AX37" s="102">
        <v>90</v>
      </c>
      <c r="AY37" s="103">
        <v>251</v>
      </c>
      <c r="AZ37" s="104">
        <f t="shared" si="1"/>
        <v>0</v>
      </c>
      <c r="BA37" s="8"/>
      <c r="BB37" s="102">
        <v>117.3</v>
      </c>
      <c r="BC37" s="103">
        <v>19808</v>
      </c>
      <c r="BD37" s="105">
        <f t="shared" si="2"/>
        <v>0</v>
      </c>
    </row>
    <row r="38" spans="1:56" ht="18" customHeight="1" x14ac:dyDescent="0.35">
      <c r="A38" s="45" t="s">
        <v>810</v>
      </c>
      <c r="B38" s="109"/>
      <c r="AF38" s="114" t="s">
        <v>776</v>
      </c>
      <c r="AG38" s="115" t="s">
        <v>777</v>
      </c>
      <c r="AH38" s="8"/>
      <c r="AI38" s="8"/>
      <c r="AJ38" s="150">
        <f t="shared" si="3"/>
        <v>35</v>
      </c>
      <c r="AK38" s="151">
        <f>IF(AC_Chart_Background_Data[[#This Row],[X]] &lt; EFC_70P-EFC_50P, EFC_50P, MAX(EFC_70P-AC_Chart_Background_Data[[#This Row],[X]],0))</f>
        <v>82</v>
      </c>
      <c r="AL38" s="151">
        <f>IF(AC_Chart_Background_Data[[#This Row],[X]] &lt; EFC_85P-EFC_70P, EFC_70P, MAX(EFC_85P-AC_Chart_Background_Data[[#This Row],[X]],0))</f>
        <v>99</v>
      </c>
      <c r="AM38" s="151">
        <f>IF(AC_Chart_Background_Data[[#This Row],[X]] &lt; EFC_95P-EFC_85P, EFC_85P, MAX(EFC_95P-AC_Chart_Background_Data[[#This Row],[X]],0))</f>
        <v>126</v>
      </c>
      <c r="AN38" s="151">
        <f>IF(AC_Chart_Background_Data[[#This Row],[X]] &lt; EFC_99P-EFC_95P, EFC_95P, MAX(EFC_99P-AC_Chart_Background_Data[[#This Row],[X]],0))</f>
        <v>155</v>
      </c>
      <c r="AO38" s="151">
        <f t="shared" si="0"/>
        <v>190</v>
      </c>
      <c r="AP38" s="8"/>
      <c r="AQ38" s="154">
        <v>35</v>
      </c>
      <c r="AR38" s="154">
        <v>82</v>
      </c>
      <c r="AS38" s="154">
        <v>99</v>
      </c>
      <c r="AT38" s="154">
        <v>126</v>
      </c>
      <c r="AU38" s="154">
        <v>155</v>
      </c>
      <c r="AV38" s="154">
        <v>190</v>
      </c>
      <c r="AW38" s="77"/>
      <c r="AX38" s="102">
        <v>94.7</v>
      </c>
      <c r="AY38" s="103">
        <v>1155</v>
      </c>
      <c r="AZ38" s="104">
        <f t="shared" si="1"/>
        <v>0</v>
      </c>
      <c r="BA38" s="8"/>
      <c r="BB38" s="102">
        <v>116.18</v>
      </c>
      <c r="BC38" s="103">
        <v>1332</v>
      </c>
      <c r="BD38" s="105">
        <f t="shared" si="2"/>
        <v>0</v>
      </c>
    </row>
    <row r="39" spans="1:56" ht="15" customHeight="1" x14ac:dyDescent="0.3">
      <c r="A39" s="45" t="s">
        <v>813</v>
      </c>
      <c r="B39" s="109"/>
      <c r="AF39" s="114" t="s">
        <v>778</v>
      </c>
      <c r="AG39" s="115" t="s">
        <v>779</v>
      </c>
      <c r="AH39" s="8"/>
      <c r="AI39" s="8"/>
      <c r="AJ39" s="150">
        <f t="shared" si="3"/>
        <v>36</v>
      </c>
      <c r="AK39" s="151">
        <f>IF(AC_Chart_Background_Data[[#This Row],[X]] &lt; EFC_70P-EFC_50P, EFC_50P, MAX(EFC_70P-AC_Chart_Background_Data[[#This Row],[X]],0))</f>
        <v>81</v>
      </c>
      <c r="AL39" s="151">
        <f>IF(AC_Chart_Background_Data[[#This Row],[X]] &lt; EFC_85P-EFC_70P, EFC_70P, MAX(EFC_85P-AC_Chart_Background_Data[[#This Row],[X]],0))</f>
        <v>98</v>
      </c>
      <c r="AM39" s="151">
        <f>IF(AC_Chart_Background_Data[[#This Row],[X]] &lt; EFC_95P-EFC_85P, EFC_85P, MAX(EFC_95P-AC_Chart_Background_Data[[#This Row],[X]],0))</f>
        <v>125</v>
      </c>
      <c r="AN39" s="151">
        <f>IF(AC_Chart_Background_Data[[#This Row],[X]] &lt; EFC_99P-EFC_95P, EFC_95P, MAX(EFC_99P-AC_Chart_Background_Data[[#This Row],[X]],0))</f>
        <v>154</v>
      </c>
      <c r="AO39" s="151">
        <f t="shared" si="0"/>
        <v>190</v>
      </c>
      <c r="AP39" s="8"/>
      <c r="AQ39" s="154">
        <v>36</v>
      </c>
      <c r="AR39" s="154">
        <v>81</v>
      </c>
      <c r="AS39" s="154">
        <v>98</v>
      </c>
      <c r="AT39" s="154">
        <v>125</v>
      </c>
      <c r="AU39" s="154">
        <v>154</v>
      </c>
      <c r="AV39" s="154">
        <v>190</v>
      </c>
      <c r="AW39" s="77"/>
      <c r="AX39" s="102">
        <v>90.41</v>
      </c>
      <c r="AY39" s="103">
        <v>92327</v>
      </c>
      <c r="AZ39" s="104">
        <f t="shared" si="1"/>
        <v>0</v>
      </c>
      <c r="BA39" s="8"/>
      <c r="BB39" s="102">
        <v>111.67</v>
      </c>
      <c r="BC39" s="103">
        <v>213</v>
      </c>
      <c r="BD39" s="105">
        <f t="shared" si="2"/>
        <v>0</v>
      </c>
    </row>
    <row r="40" spans="1:56" ht="18" customHeight="1" x14ac:dyDescent="0.35">
      <c r="A40" s="47" t="s">
        <v>727</v>
      </c>
      <c r="B40" s="48" t="str">
        <f>IF(AC_Step4_Completed,
             (FIF_Operating_Revenues/
                  (FIF_Total_Expenditures + FIF_Dept_Principal + FIF_Interest + (AI_Project_Cost/20))
               ),
              ""
        )</f>
        <v/>
      </c>
      <c r="AF40" s="114" t="s">
        <v>780</v>
      </c>
      <c r="AG40" s="115" t="s">
        <v>781</v>
      </c>
      <c r="AH40" s="8"/>
      <c r="AI40" s="8"/>
      <c r="AJ40" s="150">
        <f t="shared" si="3"/>
        <v>37</v>
      </c>
      <c r="AK40" s="151">
        <f>IF(AC_Chart_Background_Data[[#This Row],[X]] &lt; EFC_70P-EFC_50P, EFC_50P, MAX(EFC_70P-AC_Chart_Background_Data[[#This Row],[X]],0))</f>
        <v>80</v>
      </c>
      <c r="AL40" s="151">
        <f>IF(AC_Chart_Background_Data[[#This Row],[X]] &lt; EFC_85P-EFC_70P, EFC_70P, MAX(EFC_85P-AC_Chart_Background_Data[[#This Row],[X]],0))</f>
        <v>97</v>
      </c>
      <c r="AM40" s="151">
        <f>IF(AC_Chart_Background_Data[[#This Row],[X]] &lt; EFC_95P-EFC_85P, EFC_85P, MAX(EFC_95P-AC_Chart_Background_Data[[#This Row],[X]],0))</f>
        <v>124</v>
      </c>
      <c r="AN40" s="151">
        <f>IF(AC_Chart_Background_Data[[#This Row],[X]] &lt; EFC_99P-EFC_95P, EFC_95P, MAX(EFC_99P-AC_Chart_Background_Data[[#This Row],[X]],0))</f>
        <v>153</v>
      </c>
      <c r="AO40" s="151">
        <f t="shared" si="0"/>
        <v>190</v>
      </c>
      <c r="AP40" s="8"/>
      <c r="AQ40" s="154">
        <v>37</v>
      </c>
      <c r="AR40" s="154">
        <v>80</v>
      </c>
      <c r="AS40" s="154">
        <v>97</v>
      </c>
      <c r="AT40" s="154">
        <v>124</v>
      </c>
      <c r="AU40" s="154">
        <v>153</v>
      </c>
      <c r="AV40" s="154">
        <v>190</v>
      </c>
      <c r="AW40" s="77"/>
      <c r="AX40" s="102">
        <v>106.42</v>
      </c>
      <c r="AY40" s="103">
        <v>16796</v>
      </c>
      <c r="AZ40" s="104">
        <f t="shared" si="1"/>
        <v>0</v>
      </c>
      <c r="BA40" s="8"/>
      <c r="BB40" s="102">
        <v>88.21</v>
      </c>
      <c r="BC40" s="103">
        <v>8636</v>
      </c>
      <c r="BD40" s="105">
        <f t="shared" si="2"/>
        <v>0</v>
      </c>
    </row>
    <row r="41" spans="1:56" ht="15.75" customHeight="1" x14ac:dyDescent="0.3">
      <c r="A41" s="223"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1" s="224"/>
      <c r="C41" s="100"/>
      <c r="D41" s="100"/>
      <c r="E41" s="100"/>
      <c r="F41" s="100"/>
      <c r="AF41" s="114" t="s">
        <v>782</v>
      </c>
      <c r="AG41" s="115" t="s">
        <v>783</v>
      </c>
      <c r="AH41" s="8"/>
      <c r="AI41" s="8"/>
      <c r="AJ41" s="150">
        <f t="shared" si="3"/>
        <v>38</v>
      </c>
      <c r="AK41" s="151">
        <f>IF(AC_Chart_Background_Data[[#This Row],[X]] &lt; EFC_70P-EFC_50P, EFC_50P, MAX(EFC_70P-AC_Chart_Background_Data[[#This Row],[X]],0))</f>
        <v>79</v>
      </c>
      <c r="AL41" s="151">
        <f>IF(AC_Chart_Background_Data[[#This Row],[X]] &lt; EFC_85P-EFC_70P, EFC_70P, MAX(EFC_85P-AC_Chart_Background_Data[[#This Row],[X]],0))</f>
        <v>96</v>
      </c>
      <c r="AM41" s="151">
        <f>IF(AC_Chart_Background_Data[[#This Row],[X]] &lt; EFC_95P-EFC_85P, EFC_85P, MAX(EFC_95P-AC_Chart_Background_Data[[#This Row],[X]],0))</f>
        <v>123</v>
      </c>
      <c r="AN41" s="151">
        <f>IF(AC_Chart_Background_Data[[#This Row],[X]] &lt; EFC_99P-EFC_95P, EFC_95P, MAX(EFC_99P-AC_Chart_Background_Data[[#This Row],[X]],0))</f>
        <v>152</v>
      </c>
      <c r="AO41" s="151">
        <f t="shared" si="0"/>
        <v>190</v>
      </c>
      <c r="AP41" s="8"/>
      <c r="AQ41" s="154">
        <v>38</v>
      </c>
      <c r="AR41" s="154">
        <v>79</v>
      </c>
      <c r="AS41" s="154">
        <v>96</v>
      </c>
      <c r="AT41" s="154">
        <v>123</v>
      </c>
      <c r="AU41" s="154">
        <v>152</v>
      </c>
      <c r="AV41" s="154">
        <v>190</v>
      </c>
      <c r="AW41" s="77"/>
      <c r="AX41" s="102">
        <v>82.55</v>
      </c>
      <c r="AY41" s="103">
        <v>4638</v>
      </c>
      <c r="AZ41" s="104">
        <f t="shared" si="1"/>
        <v>0</v>
      </c>
      <c r="BA41" s="8"/>
      <c r="BB41" s="102">
        <v>61.53</v>
      </c>
      <c r="BC41" s="103">
        <v>5314</v>
      </c>
      <c r="BD41" s="105">
        <f t="shared" si="2"/>
        <v>0</v>
      </c>
    </row>
    <row r="42" spans="1:56" ht="15" customHeight="1" x14ac:dyDescent="0.3">
      <c r="A42" s="223"/>
      <c r="B42" s="224"/>
      <c r="C42" s="98"/>
      <c r="D42" s="98"/>
      <c r="E42" s="98"/>
      <c r="F42" s="98"/>
      <c r="AF42" s="114" t="s">
        <v>784</v>
      </c>
      <c r="AG42" s="115" t="s">
        <v>785</v>
      </c>
      <c r="AH42" s="8"/>
      <c r="AI42" s="8"/>
      <c r="AJ42" s="150">
        <f t="shared" si="3"/>
        <v>39</v>
      </c>
      <c r="AK42" s="151">
        <f>IF(AC_Chart_Background_Data[[#This Row],[X]] &lt; EFC_70P-EFC_50P, EFC_50P, MAX(EFC_70P-AC_Chart_Background_Data[[#This Row],[X]],0))</f>
        <v>78</v>
      </c>
      <c r="AL42" s="151">
        <f>IF(AC_Chart_Background_Data[[#This Row],[X]] &lt; EFC_85P-EFC_70P, EFC_70P, MAX(EFC_85P-AC_Chart_Background_Data[[#This Row],[X]],0))</f>
        <v>95</v>
      </c>
      <c r="AM42" s="151">
        <f>IF(AC_Chart_Background_Data[[#This Row],[X]] &lt; EFC_95P-EFC_85P, EFC_85P, MAX(EFC_95P-AC_Chart_Background_Data[[#This Row],[X]],0))</f>
        <v>122</v>
      </c>
      <c r="AN42" s="151">
        <f>IF(AC_Chart_Background_Data[[#This Row],[X]] &lt; EFC_99P-EFC_95P, EFC_95P, MAX(EFC_99P-AC_Chart_Background_Data[[#This Row],[X]],0))</f>
        <v>151</v>
      </c>
      <c r="AO42" s="151">
        <f t="shared" si="0"/>
        <v>190</v>
      </c>
      <c r="AP42" s="8"/>
      <c r="AQ42" s="154">
        <v>39</v>
      </c>
      <c r="AR42" s="154">
        <v>78</v>
      </c>
      <c r="AS42" s="154">
        <v>95</v>
      </c>
      <c r="AT42" s="154">
        <v>122</v>
      </c>
      <c r="AU42" s="154">
        <v>151</v>
      </c>
      <c r="AV42" s="154">
        <v>190</v>
      </c>
      <c r="AW42" s="8"/>
      <c r="AX42" s="102">
        <v>61.53</v>
      </c>
      <c r="AY42" s="103">
        <v>108971</v>
      </c>
      <c r="AZ42" s="104">
        <f t="shared" si="1"/>
        <v>0</v>
      </c>
      <c r="BA42" s="8"/>
      <c r="BB42" s="102">
        <v>107.02</v>
      </c>
      <c r="BC42" s="103">
        <v>1465</v>
      </c>
      <c r="BD42" s="105">
        <f t="shared" si="2"/>
        <v>0</v>
      </c>
    </row>
    <row r="43" spans="1:56" ht="15.75" customHeight="1" thickBot="1" x14ac:dyDescent="0.35">
      <c r="A43" s="225"/>
      <c r="B43" s="226"/>
      <c r="C43" s="98"/>
      <c r="D43" s="98"/>
      <c r="E43" s="98"/>
      <c r="F43" s="98"/>
      <c r="AF43" s="114" t="s">
        <v>786</v>
      </c>
      <c r="AG43" s="115" t="s">
        <v>787</v>
      </c>
      <c r="AH43" s="8"/>
      <c r="AI43" s="8"/>
      <c r="AJ43" s="150">
        <f t="shared" si="3"/>
        <v>40</v>
      </c>
      <c r="AK43" s="151">
        <f>IF(AC_Chart_Background_Data[[#This Row],[X]] &lt; EFC_70P-EFC_50P, EFC_50P, MAX(EFC_70P-AC_Chart_Background_Data[[#This Row],[X]],0))</f>
        <v>77</v>
      </c>
      <c r="AL43" s="151">
        <f>IF(AC_Chart_Background_Data[[#This Row],[X]] &lt; EFC_85P-EFC_70P, EFC_70P, MAX(EFC_85P-AC_Chart_Background_Data[[#This Row],[X]],0))</f>
        <v>94</v>
      </c>
      <c r="AM43" s="151">
        <f>IF(AC_Chart_Background_Data[[#This Row],[X]] &lt; EFC_95P-EFC_85P, EFC_85P, MAX(EFC_95P-AC_Chart_Background_Data[[#This Row],[X]],0))</f>
        <v>121</v>
      </c>
      <c r="AN43" s="151">
        <f>IF(AC_Chart_Background_Data[[#This Row],[X]] &lt; EFC_99P-EFC_95P, EFC_95P, MAX(EFC_99P-AC_Chart_Background_Data[[#This Row],[X]],0))</f>
        <v>150</v>
      </c>
      <c r="AO43" s="151">
        <f t="shared" si="0"/>
        <v>190</v>
      </c>
      <c r="AP43" s="8"/>
      <c r="AQ43" s="154">
        <v>40</v>
      </c>
      <c r="AR43" s="154">
        <v>77</v>
      </c>
      <c r="AS43" s="154">
        <v>94</v>
      </c>
      <c r="AT43" s="154">
        <v>121</v>
      </c>
      <c r="AU43" s="154">
        <v>150</v>
      </c>
      <c r="AV43" s="154">
        <v>190</v>
      </c>
      <c r="AW43" s="77"/>
      <c r="AX43" s="102">
        <v>73.45</v>
      </c>
      <c r="AY43" s="103">
        <v>39166</v>
      </c>
      <c r="AZ43" s="104">
        <f t="shared" si="1"/>
        <v>0</v>
      </c>
      <c r="BA43" s="8"/>
      <c r="BB43" s="102">
        <v>64.599999999999994</v>
      </c>
      <c r="BC43" s="103">
        <v>9547</v>
      </c>
      <c r="BD43" s="105">
        <f t="shared" si="2"/>
        <v>0</v>
      </c>
    </row>
    <row r="44" spans="1:56" ht="15.75" customHeight="1" thickBot="1" x14ac:dyDescent="0.35">
      <c r="A44" s="99"/>
      <c r="B44" s="99"/>
      <c r="C44" s="98"/>
      <c r="D44" s="98"/>
      <c r="E44" s="98"/>
      <c r="F44" s="98"/>
      <c r="AB44" s="8"/>
      <c r="AF44" s="114" t="s">
        <v>788</v>
      </c>
      <c r="AG44" s="115" t="s">
        <v>789</v>
      </c>
      <c r="AH44" s="8"/>
      <c r="AI44" s="8"/>
      <c r="AJ44" s="150">
        <f t="shared" si="3"/>
        <v>41</v>
      </c>
      <c r="AK44" s="151">
        <f>IF(AC_Chart_Background_Data[[#This Row],[X]] &lt; EFC_70P-EFC_50P, EFC_50P, MAX(EFC_70P-AC_Chart_Background_Data[[#This Row],[X]],0))</f>
        <v>76</v>
      </c>
      <c r="AL44" s="151">
        <f>IF(AC_Chart_Background_Data[[#This Row],[X]] &lt; EFC_85P-EFC_70P, EFC_70P, MAX(EFC_85P-AC_Chart_Background_Data[[#This Row],[X]],0))</f>
        <v>93</v>
      </c>
      <c r="AM44" s="151">
        <f>IF(AC_Chart_Background_Data[[#This Row],[X]] &lt; EFC_95P-EFC_85P, EFC_85P, MAX(EFC_95P-AC_Chart_Background_Data[[#This Row],[X]],0))</f>
        <v>120</v>
      </c>
      <c r="AN44" s="151">
        <f>IF(AC_Chart_Background_Data[[#This Row],[X]] &lt; EFC_99P-EFC_95P, EFC_95P, MAX(EFC_99P-AC_Chart_Background_Data[[#This Row],[X]],0))</f>
        <v>149</v>
      </c>
      <c r="AO44" s="151">
        <f t="shared" si="0"/>
        <v>190</v>
      </c>
      <c r="AP44" s="8"/>
      <c r="AQ44" s="154">
        <v>41</v>
      </c>
      <c r="AR44" s="154">
        <v>76</v>
      </c>
      <c r="AS44" s="154">
        <v>93</v>
      </c>
      <c r="AT44" s="154">
        <v>120</v>
      </c>
      <c r="AU44" s="154">
        <v>149</v>
      </c>
      <c r="AV44" s="154">
        <v>190</v>
      </c>
      <c r="AW44" s="77"/>
      <c r="AX44" s="102">
        <v>112.45</v>
      </c>
      <c r="AY44" s="103">
        <v>1000</v>
      </c>
      <c r="AZ44" s="104">
        <f t="shared" si="1"/>
        <v>0</v>
      </c>
      <c r="BA44" s="8"/>
      <c r="BB44" s="102">
        <v>107.75</v>
      </c>
      <c r="BC44" s="103">
        <v>356</v>
      </c>
      <c r="BD44" s="105">
        <f t="shared" si="2"/>
        <v>0</v>
      </c>
    </row>
    <row r="45" spans="1:56" ht="18.75" customHeight="1" x14ac:dyDescent="0.35">
      <c r="A45" s="16" t="s">
        <v>728</v>
      </c>
      <c r="B45" s="17"/>
      <c r="C45" s="17"/>
      <c r="D45" s="43"/>
      <c r="E45" s="49" t="s">
        <v>729</v>
      </c>
      <c r="F45" s="50"/>
      <c r="AB45" s="8"/>
      <c r="AF45" s="114" t="s">
        <v>790</v>
      </c>
      <c r="AG45" s="115" t="s">
        <v>791</v>
      </c>
      <c r="AJ45" s="150">
        <f t="shared" si="3"/>
        <v>42</v>
      </c>
      <c r="AK45" s="151">
        <f>IF(AC_Chart_Background_Data[[#This Row],[X]] &lt; EFC_70P-EFC_50P, EFC_50P, MAX(EFC_70P-AC_Chart_Background_Data[[#This Row],[X]],0))</f>
        <v>75</v>
      </c>
      <c r="AL45" s="151">
        <f>IF(AC_Chart_Background_Data[[#This Row],[X]] &lt; EFC_85P-EFC_70P, EFC_70P, MAX(EFC_85P-AC_Chart_Background_Data[[#This Row],[X]],0))</f>
        <v>92</v>
      </c>
      <c r="AM45" s="151">
        <f>IF(AC_Chart_Background_Data[[#This Row],[X]] &lt; EFC_95P-EFC_85P, EFC_85P, MAX(EFC_95P-AC_Chart_Background_Data[[#This Row],[X]],0))</f>
        <v>119</v>
      </c>
      <c r="AN45" s="151">
        <f>IF(AC_Chart_Background_Data[[#This Row],[X]] &lt; EFC_99P-EFC_95P, EFC_95P, MAX(EFC_99P-AC_Chart_Background_Data[[#This Row],[X]],0))</f>
        <v>148</v>
      </c>
      <c r="AO45" s="151">
        <f t="shared" si="0"/>
        <v>190</v>
      </c>
      <c r="AQ45" s="144">
        <v>42</v>
      </c>
      <c r="AR45" s="144">
        <v>75</v>
      </c>
      <c r="AS45" s="144">
        <v>92</v>
      </c>
      <c r="AT45" s="144">
        <v>119</v>
      </c>
      <c r="AU45" s="144">
        <v>148</v>
      </c>
      <c r="AV45" s="144">
        <v>190</v>
      </c>
      <c r="AW45" s="77"/>
      <c r="AX45" s="102">
        <v>66.45</v>
      </c>
      <c r="AY45" s="103">
        <v>9555</v>
      </c>
      <c r="AZ45" s="104">
        <f t="shared" si="1"/>
        <v>0</v>
      </c>
      <c r="BA45" s="8"/>
      <c r="BB45" s="102">
        <v>130.34</v>
      </c>
      <c r="BC45" s="103">
        <v>566</v>
      </c>
      <c r="BD45" s="105">
        <f t="shared" si="2"/>
        <v>0</v>
      </c>
    </row>
    <row r="46" spans="1:56" ht="17.25" customHeight="1" x14ac:dyDescent="0.3">
      <c r="A46" s="227" t="s">
        <v>760</v>
      </c>
      <c r="B46" s="228"/>
      <c r="C46" s="229"/>
      <c r="D46" s="230"/>
      <c r="E46" s="51" t="s">
        <v>730</v>
      </c>
      <c r="F46" s="52" t="s">
        <v>731</v>
      </c>
      <c r="AF46" s="114" t="s">
        <v>792</v>
      </c>
      <c r="AG46" s="115" t="s">
        <v>793</v>
      </c>
      <c r="AJ46" s="150">
        <f t="shared" si="3"/>
        <v>43</v>
      </c>
      <c r="AK46" s="151">
        <f>IF(AC_Chart_Background_Data[[#This Row],[X]] &lt; EFC_70P-EFC_50P, EFC_50P, MAX(EFC_70P-AC_Chart_Background_Data[[#This Row],[X]],0))</f>
        <v>74</v>
      </c>
      <c r="AL46" s="151">
        <f>IF(AC_Chart_Background_Data[[#This Row],[X]] &lt; EFC_85P-EFC_70P, EFC_70P, MAX(EFC_85P-AC_Chart_Background_Data[[#This Row],[X]],0))</f>
        <v>91</v>
      </c>
      <c r="AM46" s="151">
        <f>IF(AC_Chart_Background_Data[[#This Row],[X]] &lt; EFC_95P-EFC_85P, EFC_85P, MAX(EFC_95P-AC_Chart_Background_Data[[#This Row],[X]],0))</f>
        <v>118</v>
      </c>
      <c r="AN46" s="151">
        <f>IF(AC_Chart_Background_Data[[#This Row],[X]] &lt; EFC_99P-EFC_95P, EFC_95P, MAX(EFC_99P-AC_Chart_Background_Data[[#This Row],[X]],0))</f>
        <v>147</v>
      </c>
      <c r="AO46" s="151">
        <f t="shared" si="0"/>
        <v>190</v>
      </c>
      <c r="AQ46" s="144">
        <v>43</v>
      </c>
      <c r="AR46" s="144">
        <v>74</v>
      </c>
      <c r="AS46" s="144">
        <v>91</v>
      </c>
      <c r="AT46" s="144">
        <v>118</v>
      </c>
      <c r="AU46" s="144">
        <v>147</v>
      </c>
      <c r="AV46" s="144">
        <v>190</v>
      </c>
      <c r="AW46" s="77"/>
      <c r="AX46" s="102">
        <v>92.5</v>
      </c>
      <c r="AY46" s="103">
        <v>952</v>
      </c>
      <c r="AZ46" s="104">
        <f t="shared" si="1"/>
        <v>0</v>
      </c>
      <c r="BA46" s="8"/>
      <c r="BB46" s="102">
        <v>78.400000000000006</v>
      </c>
      <c r="BC46" s="103">
        <v>6392</v>
      </c>
      <c r="BD46" s="105">
        <f t="shared" si="2"/>
        <v>0</v>
      </c>
    </row>
    <row r="47" spans="1:56" ht="16.5" customHeight="1" thickBot="1" x14ac:dyDescent="0.35">
      <c r="A47" s="207" t="s">
        <v>759</v>
      </c>
      <c r="B47" s="208"/>
      <c r="C47" s="209"/>
      <c r="D47" s="210"/>
      <c r="E47" s="110"/>
      <c r="F47" s="111"/>
      <c r="AF47" s="114" t="s">
        <v>794</v>
      </c>
      <c r="AG47" s="115" t="s">
        <v>795</v>
      </c>
      <c r="AJ47" s="150">
        <f t="shared" si="3"/>
        <v>44</v>
      </c>
      <c r="AK47" s="151">
        <f>IF(AC_Chart_Background_Data[[#This Row],[X]] &lt; EFC_70P-EFC_50P, EFC_50P, MAX(EFC_70P-AC_Chart_Background_Data[[#This Row],[X]],0))</f>
        <v>73</v>
      </c>
      <c r="AL47" s="151">
        <f>IF(AC_Chart_Background_Data[[#This Row],[X]] &lt; EFC_85P-EFC_70P, EFC_70P, MAX(EFC_85P-AC_Chart_Background_Data[[#This Row],[X]],0))</f>
        <v>90</v>
      </c>
      <c r="AM47" s="151">
        <f>IF(AC_Chart_Background_Data[[#This Row],[X]] &lt; EFC_95P-EFC_85P, EFC_85P, MAX(EFC_95P-AC_Chart_Background_Data[[#This Row],[X]],0))</f>
        <v>117</v>
      </c>
      <c r="AN47" s="151">
        <f>IF(AC_Chart_Background_Data[[#This Row],[X]] &lt; EFC_99P-EFC_95P, EFC_95P, MAX(EFC_99P-AC_Chart_Background_Data[[#This Row],[X]],0))</f>
        <v>146</v>
      </c>
      <c r="AO47" s="151">
        <f t="shared" si="0"/>
        <v>190</v>
      </c>
      <c r="AQ47" s="144">
        <v>44</v>
      </c>
      <c r="AR47" s="144">
        <v>73</v>
      </c>
      <c r="AS47" s="144">
        <v>90</v>
      </c>
      <c r="AT47" s="144">
        <v>117</v>
      </c>
      <c r="AU47" s="144">
        <v>146</v>
      </c>
      <c r="AV47" s="144">
        <v>190</v>
      </c>
      <c r="AW47" s="8"/>
      <c r="AX47" s="102">
        <v>96</v>
      </c>
      <c r="AY47" s="103">
        <v>2327</v>
      </c>
      <c r="AZ47" s="104">
        <f t="shared" si="1"/>
        <v>0</v>
      </c>
      <c r="BA47" s="8"/>
      <c r="BB47" s="102">
        <v>104.75</v>
      </c>
      <c r="BC47" s="103">
        <v>1032</v>
      </c>
      <c r="BD47" s="105">
        <f t="shared" si="2"/>
        <v>0</v>
      </c>
    </row>
    <row r="48" spans="1:56" ht="15" customHeight="1" x14ac:dyDescent="0.3">
      <c r="A48" s="249" t="s">
        <v>732</v>
      </c>
      <c r="B48" s="250"/>
      <c r="C48" s="133"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8" s="114" t="s">
        <v>796</v>
      </c>
      <c r="AG48" s="115" t="s">
        <v>797</v>
      </c>
      <c r="AJ48" s="150">
        <f t="shared" si="3"/>
        <v>45</v>
      </c>
      <c r="AK48" s="151">
        <f>IF(AC_Chart_Background_Data[[#This Row],[X]] &lt; EFC_70P-EFC_50P, EFC_50P, MAX(EFC_70P-AC_Chart_Background_Data[[#This Row],[X]],0))</f>
        <v>72</v>
      </c>
      <c r="AL48" s="151">
        <f>IF(AC_Chart_Background_Data[[#This Row],[X]] &lt; EFC_85P-EFC_70P, EFC_70P, MAX(EFC_85P-AC_Chart_Background_Data[[#This Row],[X]],0))</f>
        <v>89</v>
      </c>
      <c r="AM48" s="151">
        <f>IF(AC_Chart_Background_Data[[#This Row],[X]] &lt; EFC_95P-EFC_85P, EFC_85P, MAX(EFC_95P-AC_Chart_Background_Data[[#This Row],[X]],0))</f>
        <v>116</v>
      </c>
      <c r="AN48" s="151">
        <f>IF(AC_Chart_Background_Data[[#This Row],[X]] &lt; EFC_99P-EFC_95P, EFC_95P, MAX(EFC_99P-AC_Chart_Background_Data[[#This Row],[X]],0))</f>
        <v>145</v>
      </c>
      <c r="AO48" s="151">
        <f t="shared" si="0"/>
        <v>190</v>
      </c>
      <c r="AQ48" s="144">
        <v>45</v>
      </c>
      <c r="AR48" s="144">
        <v>72</v>
      </c>
      <c r="AS48" s="144">
        <v>89</v>
      </c>
      <c r="AT48" s="144">
        <v>116</v>
      </c>
      <c r="AU48" s="144">
        <v>145</v>
      </c>
      <c r="AV48" s="144">
        <v>190</v>
      </c>
      <c r="AW48" s="8"/>
      <c r="AX48" s="102">
        <v>79.62</v>
      </c>
      <c r="AY48" s="103">
        <v>44281</v>
      </c>
      <c r="AZ48" s="104">
        <f t="shared" si="1"/>
        <v>0</v>
      </c>
      <c r="BA48" s="8"/>
      <c r="BB48" s="102">
        <v>135.5</v>
      </c>
      <c r="BC48" s="103">
        <v>2473</v>
      </c>
      <c r="BD48" s="105">
        <f t="shared" si="2"/>
        <v>0</v>
      </c>
    </row>
    <row r="49" spans="1:56" ht="15" customHeight="1" x14ac:dyDescent="0.3">
      <c r="A49" s="261"/>
      <c r="B49" s="262"/>
      <c r="C49" s="134"/>
      <c r="AF49" s="114" t="s">
        <v>798</v>
      </c>
      <c r="AG49" s="115" t="s">
        <v>799</v>
      </c>
      <c r="AJ49" s="150">
        <f t="shared" si="3"/>
        <v>46</v>
      </c>
      <c r="AK49" s="151">
        <f>IF(AC_Chart_Background_Data[[#This Row],[X]] &lt; EFC_70P-EFC_50P, EFC_50P, MAX(EFC_70P-AC_Chart_Background_Data[[#This Row],[X]],0))</f>
        <v>71</v>
      </c>
      <c r="AL49" s="151">
        <f>IF(AC_Chart_Background_Data[[#This Row],[X]] &lt; EFC_85P-EFC_70P, EFC_70P, MAX(EFC_85P-AC_Chart_Background_Data[[#This Row],[X]],0))</f>
        <v>88</v>
      </c>
      <c r="AM49" s="151">
        <f>IF(AC_Chart_Background_Data[[#This Row],[X]] &lt; EFC_95P-EFC_85P, EFC_85P, MAX(EFC_95P-AC_Chart_Background_Data[[#This Row],[X]],0))</f>
        <v>115</v>
      </c>
      <c r="AN49" s="151">
        <f>IF(AC_Chart_Background_Data[[#This Row],[X]] &lt; EFC_99P-EFC_95P, EFC_95P, MAX(EFC_99P-AC_Chart_Background_Data[[#This Row],[X]],0))</f>
        <v>144</v>
      </c>
      <c r="AO49" s="151">
        <f t="shared" si="0"/>
        <v>190</v>
      </c>
      <c r="AQ49" s="144">
        <v>46</v>
      </c>
      <c r="AR49" s="144">
        <v>71</v>
      </c>
      <c r="AS49" s="144">
        <v>88</v>
      </c>
      <c r="AT49" s="144">
        <v>115</v>
      </c>
      <c r="AU49" s="144">
        <v>144</v>
      </c>
      <c r="AV49" s="144">
        <v>190</v>
      </c>
      <c r="AW49" s="8"/>
      <c r="AX49" s="102">
        <v>87.57</v>
      </c>
      <c r="AY49" s="103">
        <v>17223</v>
      </c>
      <c r="AZ49" s="104">
        <f t="shared" si="1"/>
        <v>0</v>
      </c>
      <c r="BA49" s="8"/>
      <c r="BB49" s="102">
        <v>90.92</v>
      </c>
      <c r="BC49" s="103">
        <v>6056</v>
      </c>
      <c r="BD49" s="105">
        <f t="shared" si="2"/>
        <v>0</v>
      </c>
    </row>
    <row r="50" spans="1:56" ht="15" customHeight="1" x14ac:dyDescent="0.3">
      <c r="A50" s="261" t="str">
        <f>"Number of "&amp;LOWER(AI_Project_Type)&amp;" non-residential connections:"</f>
        <v>Number of  non-residential connections:</v>
      </c>
      <c r="B50" s="262"/>
      <c r="C50" s="135"/>
      <c r="F50" s="53"/>
      <c r="AJ50" s="150">
        <f t="shared" si="3"/>
        <v>47</v>
      </c>
      <c r="AK50" s="151">
        <f>IF(AC_Chart_Background_Data[[#This Row],[X]] &lt; EFC_70P-EFC_50P, EFC_50P, MAX(EFC_70P-AC_Chart_Background_Data[[#This Row],[X]],0))</f>
        <v>70</v>
      </c>
      <c r="AL50" s="151">
        <f>IF(AC_Chart_Background_Data[[#This Row],[X]] &lt; EFC_85P-EFC_70P, EFC_70P, MAX(EFC_85P-AC_Chart_Background_Data[[#This Row],[X]],0))</f>
        <v>87</v>
      </c>
      <c r="AM50" s="151">
        <f>IF(AC_Chart_Background_Data[[#This Row],[X]] &lt; EFC_95P-EFC_85P, EFC_85P, MAX(EFC_95P-AC_Chart_Background_Data[[#This Row],[X]],0))</f>
        <v>114</v>
      </c>
      <c r="AN50" s="151">
        <f>IF(AC_Chart_Background_Data[[#This Row],[X]] &lt; EFC_99P-EFC_95P, EFC_95P, MAX(EFC_99P-AC_Chart_Background_Data[[#This Row],[X]],0))</f>
        <v>143</v>
      </c>
      <c r="AO50" s="151">
        <f t="shared" si="0"/>
        <v>190</v>
      </c>
      <c r="AQ50" s="144">
        <v>47</v>
      </c>
      <c r="AR50" s="144">
        <v>70</v>
      </c>
      <c r="AS50" s="144">
        <v>87</v>
      </c>
      <c r="AT50" s="144">
        <v>114</v>
      </c>
      <c r="AU50" s="144">
        <v>143</v>
      </c>
      <c r="AV50" s="144">
        <v>190</v>
      </c>
      <c r="AW50" s="8"/>
      <c r="AX50" s="102">
        <v>82.02</v>
      </c>
      <c r="AY50" s="103">
        <v>279</v>
      </c>
      <c r="AZ50" s="104">
        <f t="shared" si="1"/>
        <v>0</v>
      </c>
      <c r="BA50" s="8"/>
      <c r="BB50" s="102">
        <v>141.34</v>
      </c>
      <c r="BC50" s="103">
        <v>1042</v>
      </c>
      <c r="BD50" s="105">
        <f t="shared" si="2"/>
        <v>0</v>
      </c>
    </row>
    <row r="51" spans="1:56" ht="15" customHeight="1" x14ac:dyDescent="0.3">
      <c r="A51" s="261" t="str">
        <f>"Calculated total number of "&amp;LOWER(AI_Project_Type)&amp;" connections:"</f>
        <v>Calculated total number of  connections:</v>
      </c>
      <c r="B51" s="262"/>
      <c r="C51" s="136" t="str">
        <f>IF(AND(ISNUMBER(AI_Connections_Res.),ISNUMBER(C50)),AI_Connections_Res.+C50,"")</f>
        <v/>
      </c>
      <c r="AJ51" s="150">
        <f t="shared" si="3"/>
        <v>48</v>
      </c>
      <c r="AK51" s="151">
        <f>IF(AC_Chart_Background_Data[[#This Row],[X]] &lt; EFC_70P-EFC_50P, EFC_50P, MAX(EFC_70P-AC_Chart_Background_Data[[#This Row],[X]],0))</f>
        <v>69</v>
      </c>
      <c r="AL51" s="151">
        <f>IF(AC_Chart_Background_Data[[#This Row],[X]] &lt; EFC_85P-EFC_70P, EFC_70P, MAX(EFC_85P-AC_Chart_Background_Data[[#This Row],[X]],0))</f>
        <v>86</v>
      </c>
      <c r="AM51" s="151">
        <f>IF(AC_Chart_Background_Data[[#This Row],[X]] &lt; EFC_95P-EFC_85P, EFC_85P, MAX(EFC_95P-AC_Chart_Background_Data[[#This Row],[X]],0))</f>
        <v>113</v>
      </c>
      <c r="AN51" s="151">
        <f>IF(AC_Chart_Background_Data[[#This Row],[X]] &lt; EFC_99P-EFC_95P, EFC_95P, MAX(EFC_99P-AC_Chart_Background_Data[[#This Row],[X]],0))</f>
        <v>142</v>
      </c>
      <c r="AO51" s="151">
        <f t="shared" si="0"/>
        <v>190</v>
      </c>
      <c r="AQ51" s="144">
        <v>48</v>
      </c>
      <c r="AR51" s="144">
        <v>69</v>
      </c>
      <c r="AS51" s="144">
        <v>86</v>
      </c>
      <c r="AT51" s="144">
        <v>113</v>
      </c>
      <c r="AU51" s="144">
        <v>142</v>
      </c>
      <c r="AV51" s="144">
        <v>190</v>
      </c>
      <c r="AX51" s="102">
        <v>118.25</v>
      </c>
      <c r="AY51" s="103">
        <v>85329</v>
      </c>
      <c r="AZ51" s="104">
        <f t="shared" si="1"/>
        <v>0</v>
      </c>
      <c r="BA51" s="8"/>
      <c r="BB51" s="102">
        <v>97.49</v>
      </c>
      <c r="BC51" s="103">
        <v>1038</v>
      </c>
      <c r="BD51" s="105">
        <f t="shared" si="2"/>
        <v>0</v>
      </c>
    </row>
    <row r="52" spans="1:56" ht="15" customHeight="1" x14ac:dyDescent="0.3">
      <c r="A52" s="263"/>
      <c r="B52" s="264"/>
      <c r="C52" s="134"/>
      <c r="AJ52" s="150">
        <f t="shared" si="3"/>
        <v>49</v>
      </c>
      <c r="AK52" s="151">
        <f>IF(AC_Chart_Background_Data[[#This Row],[X]] &lt; EFC_70P-EFC_50P, EFC_50P, MAX(EFC_70P-AC_Chart_Background_Data[[#This Row],[X]],0))</f>
        <v>68</v>
      </c>
      <c r="AL52" s="151">
        <f>IF(AC_Chart_Background_Data[[#This Row],[X]] &lt; EFC_85P-EFC_70P, EFC_70P, MAX(EFC_85P-AC_Chart_Background_Data[[#This Row],[X]],0))</f>
        <v>85</v>
      </c>
      <c r="AM52" s="151">
        <f>IF(AC_Chart_Background_Data[[#This Row],[X]] &lt; EFC_95P-EFC_85P, EFC_85P, MAX(EFC_95P-AC_Chart_Background_Data[[#This Row],[X]],0))</f>
        <v>112</v>
      </c>
      <c r="AN52" s="151">
        <f>IF(AC_Chart_Background_Data[[#This Row],[X]] &lt; EFC_99P-EFC_95P, EFC_95P, MAX(EFC_99P-AC_Chart_Background_Data[[#This Row],[X]],0))</f>
        <v>141</v>
      </c>
      <c r="AO52" s="151">
        <f t="shared" si="0"/>
        <v>190</v>
      </c>
      <c r="AQ52" s="144">
        <v>49</v>
      </c>
      <c r="AR52" s="144">
        <v>68</v>
      </c>
      <c r="AS52" s="144">
        <v>85</v>
      </c>
      <c r="AT52" s="144">
        <v>112</v>
      </c>
      <c r="AU52" s="144">
        <v>141</v>
      </c>
      <c r="AV52" s="144">
        <v>190</v>
      </c>
      <c r="AX52" s="102">
        <v>117.45</v>
      </c>
      <c r="AY52" s="103">
        <v>1293</v>
      </c>
      <c r="AZ52" s="104">
        <f t="shared" si="1"/>
        <v>0</v>
      </c>
      <c r="BA52" s="8"/>
      <c r="BB52" s="102">
        <v>95.14</v>
      </c>
      <c r="BC52" s="103">
        <v>773</v>
      </c>
      <c r="BD52" s="105">
        <f t="shared" si="2"/>
        <v>0</v>
      </c>
    </row>
    <row r="53" spans="1:56" ht="15.75" customHeight="1" thickBot="1" x14ac:dyDescent="0.35">
      <c r="A53" s="54"/>
      <c r="B53" s="55" t="s">
        <v>733</v>
      </c>
      <c r="C53" s="137" t="str">
        <f ca="1">IF(AC_Step5_Running_Total_Passed,(AI_Project_Cost/AC_Connections/20/12),"")</f>
        <v/>
      </c>
      <c r="E53" s="56"/>
      <c r="AJ53" s="150">
        <f t="shared" si="3"/>
        <v>50</v>
      </c>
      <c r="AK53" s="151">
        <f>IF(AC_Chart_Background_Data[[#This Row],[X]] &lt; EFC_70P-EFC_50P, EFC_50P, MAX(EFC_70P-AC_Chart_Background_Data[[#This Row],[X]],0))</f>
        <v>67</v>
      </c>
      <c r="AL53" s="151">
        <f>IF(AC_Chart_Background_Data[[#This Row],[X]] &lt; EFC_85P-EFC_70P, EFC_70P, MAX(EFC_85P-AC_Chart_Background_Data[[#This Row],[X]],0))</f>
        <v>84</v>
      </c>
      <c r="AM53" s="151">
        <f>IF(AC_Chart_Background_Data[[#This Row],[X]] &lt; EFC_95P-EFC_85P, EFC_85P, MAX(EFC_95P-AC_Chart_Background_Data[[#This Row],[X]],0))</f>
        <v>111</v>
      </c>
      <c r="AN53" s="151">
        <f>IF(AC_Chart_Background_Data[[#This Row],[X]] &lt; EFC_99P-EFC_95P, EFC_95P, MAX(EFC_99P-AC_Chart_Background_Data[[#This Row],[X]],0))</f>
        <v>140</v>
      </c>
      <c r="AO53" s="151">
        <f t="shared" si="0"/>
        <v>190</v>
      </c>
      <c r="AQ53" s="144">
        <v>50</v>
      </c>
      <c r="AR53" s="144">
        <v>67</v>
      </c>
      <c r="AS53" s="144">
        <v>84</v>
      </c>
      <c r="AT53" s="144">
        <v>111</v>
      </c>
      <c r="AU53" s="144">
        <v>140</v>
      </c>
      <c r="AV53" s="144">
        <v>190</v>
      </c>
      <c r="AX53" s="102">
        <v>130.34</v>
      </c>
      <c r="AY53" s="103">
        <v>566</v>
      </c>
      <c r="AZ53" s="104">
        <f t="shared" si="1"/>
        <v>0</v>
      </c>
      <c r="BA53" s="8"/>
      <c r="BB53" s="102">
        <v>122.73</v>
      </c>
      <c r="BC53" s="103">
        <v>595</v>
      </c>
      <c r="BD53" s="105">
        <f t="shared" si="2"/>
        <v>0</v>
      </c>
    </row>
    <row r="54" spans="1:56" ht="15" customHeight="1" x14ac:dyDescent="0.3">
      <c r="B54" s="57"/>
      <c r="C54" s="56"/>
      <c r="E54" s="56"/>
      <c r="AJ54" s="150">
        <f t="shared" si="3"/>
        <v>51</v>
      </c>
      <c r="AK54" s="151">
        <f>IF(AC_Chart_Background_Data[[#This Row],[X]] &lt; EFC_70P-EFC_50P, EFC_50P, MAX(EFC_70P-AC_Chart_Background_Data[[#This Row],[X]],0))</f>
        <v>66</v>
      </c>
      <c r="AL54" s="151">
        <f>IF(AC_Chart_Background_Data[[#This Row],[X]] &lt; EFC_85P-EFC_70P, EFC_70P, MAX(EFC_85P-AC_Chart_Background_Data[[#This Row],[X]],0))</f>
        <v>83</v>
      </c>
      <c r="AM54" s="151">
        <f>IF(AC_Chart_Background_Data[[#This Row],[X]] &lt; EFC_95P-EFC_85P, EFC_85P, MAX(EFC_95P-AC_Chart_Background_Data[[#This Row],[X]],0))</f>
        <v>110</v>
      </c>
      <c r="AN54" s="151">
        <f>IF(AC_Chart_Background_Data[[#This Row],[X]] &lt; EFC_99P-EFC_95P, EFC_95P, MAX(EFC_99P-AC_Chart_Background_Data[[#This Row],[X]],0))</f>
        <v>139</v>
      </c>
      <c r="AO54" s="151">
        <f t="shared" si="0"/>
        <v>190</v>
      </c>
      <c r="AQ54" s="144">
        <v>51</v>
      </c>
      <c r="AR54" s="144">
        <v>66</v>
      </c>
      <c r="AS54" s="144">
        <v>83</v>
      </c>
      <c r="AT54" s="144">
        <v>110</v>
      </c>
      <c r="AU54" s="144">
        <v>139</v>
      </c>
      <c r="AV54" s="144">
        <v>190</v>
      </c>
      <c r="AX54" s="102">
        <v>100.98</v>
      </c>
      <c r="AY54" s="103">
        <v>1300</v>
      </c>
      <c r="AZ54" s="104">
        <f t="shared" si="1"/>
        <v>0</v>
      </c>
      <c r="BA54" s="8"/>
      <c r="BB54" s="102">
        <v>75.180000000000007</v>
      </c>
      <c r="BC54" s="103">
        <v>2033</v>
      </c>
      <c r="BD54" s="105">
        <f t="shared" si="2"/>
        <v>0</v>
      </c>
    </row>
    <row r="55" spans="1:56" ht="18.75" customHeight="1" x14ac:dyDescent="0.35">
      <c r="A55" s="96" t="s">
        <v>814</v>
      </c>
      <c r="B55" s="57"/>
      <c r="C55" s="56"/>
      <c r="E55" s="56"/>
      <c r="AJ55" s="150">
        <f t="shared" si="3"/>
        <v>52</v>
      </c>
      <c r="AK55" s="151">
        <f>IF(AC_Chart_Background_Data[[#This Row],[X]] &lt; EFC_70P-EFC_50P, EFC_50P, MAX(EFC_70P-AC_Chart_Background_Data[[#This Row],[X]],0))</f>
        <v>65</v>
      </c>
      <c r="AL55" s="151">
        <f>IF(AC_Chart_Background_Data[[#This Row],[X]] &lt; EFC_85P-EFC_70P, EFC_70P, MAX(EFC_85P-AC_Chart_Background_Data[[#This Row],[X]],0))</f>
        <v>82</v>
      </c>
      <c r="AM55" s="151">
        <f>IF(AC_Chart_Background_Data[[#This Row],[X]] &lt; EFC_95P-EFC_85P, EFC_85P, MAX(EFC_95P-AC_Chart_Background_Data[[#This Row],[X]],0))</f>
        <v>109</v>
      </c>
      <c r="AN55" s="151">
        <f>IF(AC_Chart_Background_Data[[#This Row],[X]] &lt; EFC_99P-EFC_95P, EFC_95P, MAX(EFC_99P-AC_Chart_Background_Data[[#This Row],[X]],0))</f>
        <v>138</v>
      </c>
      <c r="AO55" s="151">
        <f t="shared" si="0"/>
        <v>190</v>
      </c>
      <c r="AQ55" s="144">
        <v>52</v>
      </c>
      <c r="AR55" s="144">
        <v>65</v>
      </c>
      <c r="AS55" s="144">
        <v>82</v>
      </c>
      <c r="AT55" s="144">
        <v>109</v>
      </c>
      <c r="AU55" s="144">
        <v>138</v>
      </c>
      <c r="AV55" s="144">
        <v>190</v>
      </c>
      <c r="AX55" s="102">
        <v>74.2</v>
      </c>
      <c r="AY55" s="103">
        <v>486</v>
      </c>
      <c r="AZ55" s="104">
        <f t="shared" si="1"/>
        <v>0</v>
      </c>
      <c r="BA55" s="8"/>
      <c r="BB55" s="102">
        <v>123.27</v>
      </c>
      <c r="BC55" s="103">
        <v>306</v>
      </c>
      <c r="BD55" s="105">
        <f t="shared" si="2"/>
        <v>0</v>
      </c>
    </row>
    <row r="56" spans="1:56" ht="15" customHeight="1" x14ac:dyDescent="0.3">
      <c r="A56" s="97" t="s">
        <v>734</v>
      </c>
      <c r="B56" s="57"/>
      <c r="C56" s="56"/>
      <c r="E56" s="56"/>
      <c r="AJ56" s="150">
        <f t="shared" si="3"/>
        <v>53</v>
      </c>
      <c r="AK56" s="151">
        <f>IF(AC_Chart_Background_Data[[#This Row],[X]] &lt; EFC_70P-EFC_50P, EFC_50P, MAX(EFC_70P-AC_Chart_Background_Data[[#This Row],[X]],0))</f>
        <v>64</v>
      </c>
      <c r="AL56" s="151">
        <f>IF(AC_Chart_Background_Data[[#This Row],[X]] &lt; EFC_85P-EFC_70P, EFC_70P, MAX(EFC_85P-AC_Chart_Background_Data[[#This Row],[X]],0))</f>
        <v>81</v>
      </c>
      <c r="AM56" s="151">
        <f>IF(AC_Chart_Background_Data[[#This Row],[X]] &lt; EFC_95P-EFC_85P, EFC_85P, MAX(EFC_95P-AC_Chart_Background_Data[[#This Row],[X]],0))</f>
        <v>108</v>
      </c>
      <c r="AN56" s="151">
        <f>IF(AC_Chart_Background_Data[[#This Row],[X]] &lt; EFC_99P-EFC_95P, EFC_95P, MAX(EFC_99P-AC_Chart_Background_Data[[#This Row],[X]],0))</f>
        <v>137</v>
      </c>
      <c r="AO56" s="151">
        <f t="shared" si="0"/>
        <v>190</v>
      </c>
      <c r="AQ56" s="144">
        <v>53</v>
      </c>
      <c r="AR56" s="144">
        <v>64</v>
      </c>
      <c r="AS56" s="144">
        <v>81</v>
      </c>
      <c r="AT56" s="144">
        <v>108</v>
      </c>
      <c r="AU56" s="144">
        <v>137</v>
      </c>
      <c r="AV56" s="144">
        <v>190</v>
      </c>
      <c r="AX56" s="102">
        <v>95.42</v>
      </c>
      <c r="AY56" s="103">
        <v>1363</v>
      </c>
      <c r="AZ56" s="104">
        <f t="shared" si="1"/>
        <v>0</v>
      </c>
      <c r="BA56" s="8"/>
      <c r="BB56" s="102">
        <v>58.75</v>
      </c>
      <c r="BC56" s="103">
        <v>9046</v>
      </c>
      <c r="BD56" s="105">
        <f t="shared" si="2"/>
        <v>0</v>
      </c>
    </row>
    <row r="57" spans="1:56" ht="17.25" customHeight="1" x14ac:dyDescent="0.3">
      <c r="A57" s="11" t="s">
        <v>815</v>
      </c>
      <c r="B57" s="57"/>
      <c r="C57" s="56"/>
      <c r="E57" s="56"/>
      <c r="AJ57" s="150">
        <f t="shared" si="3"/>
        <v>54</v>
      </c>
      <c r="AK57" s="151">
        <f>IF(AC_Chart_Background_Data[[#This Row],[X]] &lt; EFC_70P-EFC_50P, EFC_50P, MAX(EFC_70P-AC_Chart_Background_Data[[#This Row],[X]],0))</f>
        <v>63</v>
      </c>
      <c r="AL57" s="151">
        <f>IF(AC_Chart_Background_Data[[#This Row],[X]] &lt; EFC_85P-EFC_70P, EFC_70P, MAX(EFC_85P-AC_Chart_Background_Data[[#This Row],[X]],0))</f>
        <v>80</v>
      </c>
      <c r="AM57" s="151">
        <f>IF(AC_Chart_Background_Data[[#This Row],[X]] &lt; EFC_95P-EFC_85P, EFC_85P, MAX(EFC_95P-AC_Chart_Background_Data[[#This Row],[X]],0))</f>
        <v>107</v>
      </c>
      <c r="AN57" s="151">
        <f>IF(AC_Chart_Background_Data[[#This Row],[X]] &lt; EFC_99P-EFC_95P, EFC_95P, MAX(EFC_99P-AC_Chart_Background_Data[[#This Row],[X]],0))</f>
        <v>136</v>
      </c>
      <c r="AO57" s="151">
        <f t="shared" si="0"/>
        <v>190</v>
      </c>
      <c r="AQ57" s="144">
        <v>54</v>
      </c>
      <c r="AR57" s="144">
        <v>63</v>
      </c>
      <c r="AS57" s="144">
        <v>80</v>
      </c>
      <c r="AT57" s="144">
        <v>107</v>
      </c>
      <c r="AU57" s="144">
        <v>136</v>
      </c>
      <c r="AV57" s="144">
        <v>190</v>
      </c>
      <c r="AX57" s="102">
        <v>116.25</v>
      </c>
      <c r="AY57" s="103">
        <v>823</v>
      </c>
      <c r="AZ57" s="104">
        <f t="shared" si="1"/>
        <v>0</v>
      </c>
      <c r="BA57" s="8"/>
      <c r="BB57" s="102">
        <v>87.22</v>
      </c>
      <c r="BC57" s="103">
        <v>10872</v>
      </c>
      <c r="BD57" s="105">
        <f t="shared" si="2"/>
        <v>0</v>
      </c>
    </row>
    <row r="58" spans="1:56" ht="15" customHeight="1" x14ac:dyDescent="0.3">
      <c r="B58" s="57"/>
      <c r="C58" s="56"/>
      <c r="E58" s="56"/>
      <c r="AH58" s="77"/>
      <c r="AI58" s="77"/>
      <c r="AJ58" s="150">
        <f t="shared" si="3"/>
        <v>55</v>
      </c>
      <c r="AK58" s="151">
        <f>IF(AC_Chart_Background_Data[[#This Row],[X]] &lt; EFC_70P-EFC_50P, EFC_50P, MAX(EFC_70P-AC_Chart_Background_Data[[#This Row],[X]],0))</f>
        <v>62</v>
      </c>
      <c r="AL58" s="151">
        <f>IF(AC_Chart_Background_Data[[#This Row],[X]] &lt; EFC_85P-EFC_70P, EFC_70P, MAX(EFC_85P-AC_Chart_Background_Data[[#This Row],[X]],0))</f>
        <v>79</v>
      </c>
      <c r="AM58" s="151">
        <f>IF(AC_Chart_Background_Data[[#This Row],[X]] &lt; EFC_95P-EFC_85P, EFC_85P, MAX(EFC_95P-AC_Chart_Background_Data[[#This Row],[X]],0))</f>
        <v>106</v>
      </c>
      <c r="AN58" s="151">
        <f>IF(AC_Chart_Background_Data[[#This Row],[X]] &lt; EFC_99P-EFC_95P, EFC_95P, MAX(EFC_99P-AC_Chart_Background_Data[[#This Row],[X]],0))</f>
        <v>135</v>
      </c>
      <c r="AO58" s="151">
        <f t="shared" si="0"/>
        <v>190</v>
      </c>
      <c r="AP58" s="77"/>
      <c r="AQ58" s="153">
        <v>55</v>
      </c>
      <c r="AR58" s="153">
        <v>62</v>
      </c>
      <c r="AS58" s="153">
        <v>79</v>
      </c>
      <c r="AT58" s="153">
        <v>106</v>
      </c>
      <c r="AU58" s="153">
        <v>135</v>
      </c>
      <c r="AV58" s="153">
        <v>190</v>
      </c>
      <c r="AX58" s="102">
        <v>87.22</v>
      </c>
      <c r="AY58" s="103">
        <v>21438</v>
      </c>
      <c r="AZ58" s="104">
        <f t="shared" si="1"/>
        <v>0</v>
      </c>
      <c r="BA58" s="8"/>
      <c r="BB58" s="102">
        <v>60</v>
      </c>
      <c r="BC58" s="103">
        <v>136</v>
      </c>
      <c r="BD58" s="105">
        <f t="shared" si="2"/>
        <v>0</v>
      </c>
    </row>
    <row r="59" spans="1:56" ht="15" customHeight="1" x14ac:dyDescent="0.3">
      <c r="A59" s="256" t="s">
        <v>816</v>
      </c>
      <c r="B59" s="57"/>
      <c r="C59" s="56"/>
      <c r="E59" s="56"/>
      <c r="AB59" s="14"/>
      <c r="AC59" s="8"/>
      <c r="AD59" s="8"/>
      <c r="AE59" s="8"/>
      <c r="AF59" s="8"/>
      <c r="AG59" s="8"/>
      <c r="AH59" s="8"/>
      <c r="AI59" s="8"/>
      <c r="AJ59" s="150">
        <f t="shared" si="3"/>
        <v>56</v>
      </c>
      <c r="AK59" s="151">
        <f>IF(AC_Chart_Background_Data[[#This Row],[X]] &lt; EFC_70P-EFC_50P, EFC_50P, MAX(EFC_70P-AC_Chart_Background_Data[[#This Row],[X]],0))</f>
        <v>61</v>
      </c>
      <c r="AL59" s="151">
        <f>IF(AC_Chart_Background_Data[[#This Row],[X]] &lt; EFC_85P-EFC_70P, EFC_70P, MAX(EFC_85P-AC_Chart_Background_Data[[#This Row],[X]],0))</f>
        <v>78</v>
      </c>
      <c r="AM59" s="151">
        <f>IF(AC_Chart_Background_Data[[#This Row],[X]] &lt; EFC_95P-EFC_85P, EFC_85P, MAX(EFC_95P-AC_Chart_Background_Data[[#This Row],[X]],0))</f>
        <v>105</v>
      </c>
      <c r="AN59" s="151">
        <f>IF(AC_Chart_Background_Data[[#This Row],[X]] &lt; EFC_99P-EFC_95P, EFC_95P, MAX(EFC_99P-AC_Chart_Background_Data[[#This Row],[X]],0))</f>
        <v>134</v>
      </c>
      <c r="AO59" s="151">
        <f t="shared" si="0"/>
        <v>190</v>
      </c>
      <c r="AP59" s="8"/>
      <c r="AQ59" s="154">
        <v>56</v>
      </c>
      <c r="AR59" s="154">
        <v>61</v>
      </c>
      <c r="AS59" s="154">
        <v>78</v>
      </c>
      <c r="AT59" s="154">
        <v>105</v>
      </c>
      <c r="AU59" s="154">
        <v>134</v>
      </c>
      <c r="AV59" s="154">
        <v>190</v>
      </c>
      <c r="AX59" s="102">
        <v>100.76</v>
      </c>
      <c r="AY59" s="103">
        <v>634</v>
      </c>
      <c r="AZ59" s="104">
        <f t="shared" si="1"/>
        <v>0</v>
      </c>
      <c r="BA59" s="8"/>
      <c r="BB59" s="102">
        <v>137.72999999999999</v>
      </c>
      <c r="BC59" s="103">
        <v>1144</v>
      </c>
      <c r="BD59" s="105">
        <f t="shared" si="2"/>
        <v>0</v>
      </c>
    </row>
    <row r="60" spans="1:56" ht="15" customHeight="1" x14ac:dyDescent="0.3">
      <c r="A60" s="256"/>
      <c r="B60" s="57"/>
      <c r="C60" s="56"/>
      <c r="E60" s="56"/>
      <c r="AB60" s="14"/>
      <c r="AC60" s="77"/>
      <c r="AD60" s="77"/>
      <c r="AE60" s="77"/>
      <c r="AF60" s="77"/>
      <c r="AG60" s="77"/>
      <c r="AH60" s="77"/>
      <c r="AI60" s="77"/>
      <c r="AJ60" s="150">
        <f t="shared" si="3"/>
        <v>57</v>
      </c>
      <c r="AK60" s="151">
        <f>IF(AC_Chart_Background_Data[[#This Row],[X]] &lt; EFC_70P-EFC_50P, EFC_50P, MAX(EFC_70P-AC_Chart_Background_Data[[#This Row],[X]],0))</f>
        <v>60</v>
      </c>
      <c r="AL60" s="151">
        <f>IF(AC_Chart_Background_Data[[#This Row],[X]] &lt; EFC_85P-EFC_70P, EFC_70P, MAX(EFC_85P-AC_Chart_Background_Data[[#This Row],[X]],0))</f>
        <v>77</v>
      </c>
      <c r="AM60" s="151">
        <f>IF(AC_Chart_Background_Data[[#This Row],[X]] &lt; EFC_95P-EFC_85P, EFC_85P, MAX(EFC_95P-AC_Chart_Background_Data[[#This Row],[X]],0))</f>
        <v>104</v>
      </c>
      <c r="AN60" s="151">
        <f>IF(AC_Chart_Background_Data[[#This Row],[X]] &lt; EFC_99P-EFC_95P, EFC_95P, MAX(EFC_99P-AC_Chart_Background_Data[[#This Row],[X]],0))</f>
        <v>133</v>
      </c>
      <c r="AO60" s="151">
        <f t="shared" si="0"/>
        <v>190</v>
      </c>
      <c r="AP60" s="77"/>
      <c r="AQ60" s="153">
        <v>57</v>
      </c>
      <c r="AR60" s="153">
        <v>60</v>
      </c>
      <c r="AS60" s="153">
        <v>77</v>
      </c>
      <c r="AT60" s="153">
        <v>104</v>
      </c>
      <c r="AU60" s="153">
        <v>133</v>
      </c>
      <c r="AV60" s="153">
        <v>190</v>
      </c>
      <c r="AX60" s="102">
        <v>90.04</v>
      </c>
      <c r="AY60" s="103">
        <v>2512</v>
      </c>
      <c r="AZ60" s="104">
        <f t="shared" si="1"/>
        <v>0</v>
      </c>
      <c r="BA60" s="8"/>
      <c r="BB60" s="102">
        <v>105.5</v>
      </c>
      <c r="BC60" s="103">
        <v>956</v>
      </c>
      <c r="BD60" s="105">
        <f t="shared" si="2"/>
        <v>0</v>
      </c>
    </row>
    <row r="61" spans="1:56" ht="15" customHeight="1" thickBot="1" x14ac:dyDescent="0.35">
      <c r="A61" s="256"/>
      <c r="B61" s="57"/>
      <c r="C61" s="56"/>
      <c r="E61" s="56"/>
      <c r="AB61" s="14"/>
      <c r="AC61" s="77"/>
      <c r="AD61" s="77"/>
      <c r="AE61" s="77"/>
      <c r="AF61" s="77"/>
      <c r="AG61" s="77"/>
      <c r="AH61" s="77"/>
      <c r="AI61" s="77"/>
      <c r="AJ61" s="150">
        <f t="shared" si="3"/>
        <v>58</v>
      </c>
      <c r="AK61" s="151">
        <f>IF(AC_Chart_Background_Data[[#This Row],[X]] &lt; EFC_70P-EFC_50P, EFC_50P, MAX(EFC_70P-AC_Chart_Background_Data[[#This Row],[X]],0))</f>
        <v>59</v>
      </c>
      <c r="AL61" s="151">
        <f>IF(AC_Chart_Background_Data[[#This Row],[X]] &lt; EFC_85P-EFC_70P, EFC_70P, MAX(EFC_85P-AC_Chart_Background_Data[[#This Row],[X]],0))</f>
        <v>76</v>
      </c>
      <c r="AM61" s="151">
        <f>IF(AC_Chart_Background_Data[[#This Row],[X]] &lt; EFC_95P-EFC_85P, EFC_85P, MAX(EFC_95P-AC_Chart_Background_Data[[#This Row],[X]],0))</f>
        <v>103</v>
      </c>
      <c r="AN61" s="151">
        <f>IF(AC_Chart_Background_Data[[#This Row],[X]] &lt; EFC_99P-EFC_95P, EFC_95P, MAX(EFC_99P-AC_Chart_Background_Data[[#This Row],[X]],0))</f>
        <v>132</v>
      </c>
      <c r="AO61" s="151">
        <f t="shared" si="0"/>
        <v>190</v>
      </c>
      <c r="AP61" s="77"/>
      <c r="AQ61" s="153">
        <v>58</v>
      </c>
      <c r="AR61" s="153">
        <v>59</v>
      </c>
      <c r="AS61" s="153">
        <v>76</v>
      </c>
      <c r="AT61" s="153">
        <v>103</v>
      </c>
      <c r="AU61" s="153">
        <v>132</v>
      </c>
      <c r="AV61" s="153">
        <v>190</v>
      </c>
      <c r="AX61" s="102">
        <v>60.72</v>
      </c>
      <c r="AY61" s="103">
        <v>623</v>
      </c>
      <c r="AZ61" s="104">
        <f t="shared" si="1"/>
        <v>0</v>
      </c>
      <c r="BA61" s="8"/>
      <c r="BB61" s="102">
        <v>101.33</v>
      </c>
      <c r="BC61" s="103">
        <v>1824</v>
      </c>
      <c r="BD61" s="105">
        <f t="shared" si="2"/>
        <v>0</v>
      </c>
    </row>
    <row r="62" spans="1:56" ht="15" customHeight="1" x14ac:dyDescent="0.3">
      <c r="A62" s="258" t="str" cm="1">
        <f t="array" aca="1" ref="A62" ca="1">_xlfn.IFS(AI_Applicant&lt;&gt;"",
             IF(VU_D1="Yes","100% (Igonre chart)
 D1 Unit",
                 IF(AC_Step5_Running_Total_Passed,
                        AC_Grant_Eligibility,
                        "You are only eligible for SRF Principal Forgiveness/SRP grant if you receive 4.C.4 points or BIL EC funding. You are eligible for loans."
                      )
                  ),
     AI_Applicant="",""
           )</f>
        <v/>
      </c>
      <c r="B62" s="57"/>
      <c r="C62" s="56"/>
      <c r="E62" s="56"/>
      <c r="AB62" s="14"/>
      <c r="AC62" s="77"/>
      <c r="AD62" s="77"/>
      <c r="AE62" s="77"/>
      <c r="AF62" s="77"/>
      <c r="AG62" s="77"/>
      <c r="AH62" s="77"/>
      <c r="AI62" s="77"/>
      <c r="AJ62" s="150">
        <f t="shared" si="3"/>
        <v>59</v>
      </c>
      <c r="AK62" s="151">
        <f>IF(AC_Chart_Background_Data[[#This Row],[X]] &lt; EFC_70P-EFC_50P, EFC_50P, MAX(EFC_70P-AC_Chart_Background_Data[[#This Row],[X]],0))</f>
        <v>58</v>
      </c>
      <c r="AL62" s="151">
        <f>IF(AC_Chart_Background_Data[[#This Row],[X]] &lt; EFC_85P-EFC_70P, EFC_70P, MAX(EFC_85P-AC_Chart_Background_Data[[#This Row],[X]],0))</f>
        <v>75</v>
      </c>
      <c r="AM62" s="151">
        <f>IF(AC_Chart_Background_Data[[#This Row],[X]] &lt; EFC_95P-EFC_85P, EFC_85P, MAX(EFC_95P-AC_Chart_Background_Data[[#This Row],[X]],0))</f>
        <v>102</v>
      </c>
      <c r="AN62" s="151">
        <f>IF(AC_Chart_Background_Data[[#This Row],[X]] &lt; EFC_99P-EFC_95P, EFC_95P, MAX(EFC_99P-AC_Chart_Background_Data[[#This Row],[X]],0))</f>
        <v>131</v>
      </c>
      <c r="AO62" s="151">
        <f t="shared" si="0"/>
        <v>190</v>
      </c>
      <c r="AP62" s="77"/>
      <c r="AQ62" s="153">
        <v>59</v>
      </c>
      <c r="AR62" s="153">
        <v>58</v>
      </c>
      <c r="AS62" s="153">
        <v>75</v>
      </c>
      <c r="AT62" s="153">
        <v>102</v>
      </c>
      <c r="AU62" s="153">
        <v>131</v>
      </c>
      <c r="AV62" s="153">
        <v>190</v>
      </c>
      <c r="AX62" s="102">
        <v>136.01</v>
      </c>
      <c r="AY62" s="103">
        <v>335</v>
      </c>
      <c r="AZ62" s="104">
        <f t="shared" si="1"/>
        <v>0</v>
      </c>
      <c r="BA62" s="8"/>
      <c r="BB62" s="102">
        <v>114.65</v>
      </c>
      <c r="BC62" s="103">
        <v>522</v>
      </c>
      <c r="BD62" s="105">
        <f t="shared" si="2"/>
        <v>0</v>
      </c>
    </row>
    <row r="63" spans="1:56" ht="15" customHeight="1" x14ac:dyDescent="0.3">
      <c r="A63" s="259"/>
      <c r="B63" s="57"/>
      <c r="C63" s="56"/>
      <c r="E63" s="56"/>
      <c r="AB63" s="8"/>
      <c r="AC63" s="77"/>
      <c r="AD63" s="77"/>
      <c r="AE63" s="77"/>
      <c r="AF63" s="77"/>
      <c r="AG63" s="77"/>
      <c r="AH63" s="77"/>
      <c r="AI63" s="77"/>
      <c r="AJ63" s="150">
        <f t="shared" si="3"/>
        <v>60</v>
      </c>
      <c r="AK63" s="151">
        <f>IF(AC_Chart_Background_Data[[#This Row],[X]] &lt; EFC_70P-EFC_50P, EFC_50P, MAX(EFC_70P-AC_Chart_Background_Data[[#This Row],[X]],0))</f>
        <v>57</v>
      </c>
      <c r="AL63" s="151">
        <f>IF(AC_Chart_Background_Data[[#This Row],[X]] &lt; EFC_85P-EFC_70P, EFC_70P, MAX(EFC_85P-AC_Chart_Background_Data[[#This Row],[X]],0))</f>
        <v>74</v>
      </c>
      <c r="AM63" s="151">
        <f>IF(AC_Chart_Background_Data[[#This Row],[X]] &lt; EFC_95P-EFC_85P, EFC_85P, MAX(EFC_95P-AC_Chart_Background_Data[[#This Row],[X]],0))</f>
        <v>101</v>
      </c>
      <c r="AN63" s="151">
        <f>IF(AC_Chart_Background_Data[[#This Row],[X]] &lt; EFC_99P-EFC_95P, EFC_95P, MAX(EFC_99P-AC_Chart_Background_Data[[#This Row],[X]],0))</f>
        <v>130</v>
      </c>
      <c r="AO63" s="151">
        <f t="shared" si="0"/>
        <v>190</v>
      </c>
      <c r="AP63" s="77"/>
      <c r="AQ63" s="153">
        <v>60</v>
      </c>
      <c r="AR63" s="153">
        <v>57</v>
      </c>
      <c r="AS63" s="153">
        <v>74</v>
      </c>
      <c r="AT63" s="153">
        <v>101</v>
      </c>
      <c r="AU63" s="153">
        <v>130</v>
      </c>
      <c r="AV63" s="153">
        <v>190</v>
      </c>
      <c r="AX63" s="102">
        <v>86</v>
      </c>
      <c r="AY63" s="103">
        <v>2310</v>
      </c>
      <c r="AZ63" s="104">
        <f t="shared" si="1"/>
        <v>0</v>
      </c>
      <c r="BA63" s="8"/>
      <c r="BB63" s="102">
        <v>102.86</v>
      </c>
      <c r="BC63" s="103">
        <v>4600</v>
      </c>
      <c r="BD63" s="105">
        <f t="shared" si="2"/>
        <v>0</v>
      </c>
    </row>
    <row r="64" spans="1:56" ht="15" customHeight="1" x14ac:dyDescent="0.3">
      <c r="A64" s="259"/>
      <c r="AB64" s="8"/>
      <c r="AC64" s="8"/>
      <c r="AD64" s="8"/>
      <c r="AE64" s="8"/>
      <c r="AF64" s="8"/>
      <c r="AG64" s="8"/>
      <c r="AH64" s="8"/>
      <c r="AI64" s="8"/>
      <c r="AJ64" s="150">
        <f t="shared" si="3"/>
        <v>61</v>
      </c>
      <c r="AK64" s="151">
        <f>IF(AC_Chart_Background_Data[[#This Row],[X]] &lt; EFC_70P-EFC_50P, EFC_50P, MAX(EFC_70P-AC_Chart_Background_Data[[#This Row],[X]],0))</f>
        <v>56</v>
      </c>
      <c r="AL64" s="151">
        <f>IF(AC_Chart_Background_Data[[#This Row],[X]] &lt; EFC_85P-EFC_70P, EFC_70P, MAX(EFC_85P-AC_Chart_Background_Data[[#This Row],[X]],0))</f>
        <v>73</v>
      </c>
      <c r="AM64" s="151">
        <f>IF(AC_Chart_Background_Data[[#This Row],[X]] &lt; EFC_95P-EFC_85P, EFC_85P, MAX(EFC_95P-AC_Chart_Background_Data[[#This Row],[X]],0))</f>
        <v>100</v>
      </c>
      <c r="AN64" s="151">
        <f>IF(AC_Chart_Background_Data[[#This Row],[X]] &lt; EFC_99P-EFC_95P, EFC_95P, MAX(EFC_99P-AC_Chart_Background_Data[[#This Row],[X]],0))</f>
        <v>129</v>
      </c>
      <c r="AO64" s="151">
        <f t="shared" si="0"/>
        <v>190</v>
      </c>
      <c r="AP64" s="8"/>
      <c r="AQ64" s="154">
        <v>61</v>
      </c>
      <c r="AR64" s="154">
        <v>56</v>
      </c>
      <c r="AS64" s="154">
        <v>73</v>
      </c>
      <c r="AT64" s="154">
        <v>100</v>
      </c>
      <c r="AU64" s="154">
        <v>129</v>
      </c>
      <c r="AV64" s="154">
        <v>190</v>
      </c>
      <c r="AX64" s="102">
        <v>138.25</v>
      </c>
      <c r="AY64" s="103">
        <v>12437</v>
      </c>
      <c r="AZ64" s="104">
        <f t="shared" si="1"/>
        <v>0</v>
      </c>
      <c r="BA64" s="8"/>
      <c r="BB64" s="102">
        <v>76.37</v>
      </c>
      <c r="BC64" s="103">
        <v>474</v>
      </c>
      <c r="BD64" s="105">
        <f t="shared" ref="BD64:BD73" si="4" xml:space="preserve"> AI_Project_Cost/BC64/20/12</f>
        <v>0</v>
      </c>
    </row>
    <row r="65" spans="1:56" ht="15" customHeight="1" x14ac:dyDescent="0.3">
      <c r="A65" s="259"/>
      <c r="AB65" s="8"/>
      <c r="AC65" s="8"/>
      <c r="AD65" s="8"/>
      <c r="AE65" s="8"/>
      <c r="AF65" s="8"/>
      <c r="AG65" s="8"/>
      <c r="AH65" s="8"/>
      <c r="AI65" s="8"/>
      <c r="AJ65" s="150">
        <f t="shared" si="3"/>
        <v>62</v>
      </c>
      <c r="AK65" s="151">
        <f>IF(AC_Chart_Background_Data[[#This Row],[X]] &lt; EFC_70P-EFC_50P, EFC_50P, MAX(EFC_70P-AC_Chart_Background_Data[[#This Row],[X]],0))</f>
        <v>55</v>
      </c>
      <c r="AL65" s="151">
        <f>IF(AC_Chart_Background_Data[[#This Row],[X]] &lt; EFC_85P-EFC_70P, EFC_70P, MAX(EFC_85P-AC_Chart_Background_Data[[#This Row],[X]],0))</f>
        <v>72</v>
      </c>
      <c r="AM65" s="151">
        <f>IF(AC_Chart_Background_Data[[#This Row],[X]] &lt; EFC_95P-EFC_85P, EFC_85P, MAX(EFC_95P-AC_Chart_Background_Data[[#This Row],[X]],0))</f>
        <v>99</v>
      </c>
      <c r="AN65" s="151">
        <f>IF(AC_Chart_Background_Data[[#This Row],[X]] &lt; EFC_99P-EFC_95P, EFC_95P, MAX(EFC_99P-AC_Chart_Background_Data[[#This Row],[X]],0))</f>
        <v>128</v>
      </c>
      <c r="AO65" s="151">
        <f t="shared" si="0"/>
        <v>190</v>
      </c>
      <c r="AP65" s="8"/>
      <c r="AQ65" s="154">
        <v>62</v>
      </c>
      <c r="AR65" s="154">
        <v>55</v>
      </c>
      <c r="AS65" s="154">
        <v>72</v>
      </c>
      <c r="AT65" s="154">
        <v>99</v>
      </c>
      <c r="AU65" s="154">
        <v>128</v>
      </c>
      <c r="AV65" s="154">
        <v>190</v>
      </c>
      <c r="AX65" s="102">
        <v>108.05</v>
      </c>
      <c r="AY65" s="103">
        <v>1500</v>
      </c>
      <c r="AZ65" s="104">
        <f t="shared" si="1"/>
        <v>0</v>
      </c>
      <c r="BA65" s="8"/>
      <c r="BB65" s="102">
        <v>251.1</v>
      </c>
      <c r="BC65" s="103">
        <v>114</v>
      </c>
      <c r="BD65" s="105">
        <f t="shared" si="4"/>
        <v>0</v>
      </c>
    </row>
    <row r="66" spans="1:56" ht="15" customHeight="1" x14ac:dyDescent="0.3">
      <c r="A66" s="259"/>
      <c r="AD66" s="8"/>
      <c r="AE66" s="8"/>
      <c r="AF66" s="8"/>
      <c r="AG66" s="8"/>
      <c r="AH66" s="8"/>
      <c r="AI66" s="8"/>
      <c r="AJ66" s="150">
        <f t="shared" si="3"/>
        <v>63</v>
      </c>
      <c r="AK66" s="151">
        <f>IF(AC_Chart_Background_Data[[#This Row],[X]] &lt; EFC_70P-EFC_50P, EFC_50P, MAX(EFC_70P-AC_Chart_Background_Data[[#This Row],[X]],0))</f>
        <v>54</v>
      </c>
      <c r="AL66" s="151">
        <f>IF(AC_Chart_Background_Data[[#This Row],[X]] &lt; EFC_85P-EFC_70P, EFC_70P, MAX(EFC_85P-AC_Chart_Background_Data[[#This Row],[X]],0))</f>
        <v>71</v>
      </c>
      <c r="AM66" s="151">
        <f>IF(AC_Chart_Background_Data[[#This Row],[X]] &lt; EFC_95P-EFC_85P, EFC_85P, MAX(EFC_95P-AC_Chart_Background_Data[[#This Row],[X]],0))</f>
        <v>98</v>
      </c>
      <c r="AN66" s="151">
        <f>IF(AC_Chart_Background_Data[[#This Row],[X]] &lt; EFC_99P-EFC_95P, EFC_95P, MAX(EFC_99P-AC_Chart_Background_Data[[#This Row],[X]],0))</f>
        <v>127</v>
      </c>
      <c r="AO66" s="151">
        <f t="shared" si="0"/>
        <v>190</v>
      </c>
      <c r="AP66" s="8"/>
      <c r="AQ66" s="154">
        <v>63</v>
      </c>
      <c r="AR66" s="154">
        <v>54</v>
      </c>
      <c r="AS66" s="154">
        <v>71</v>
      </c>
      <c r="AT66" s="154">
        <v>98</v>
      </c>
      <c r="AU66" s="154">
        <v>127</v>
      </c>
      <c r="AV66" s="154">
        <v>190</v>
      </c>
      <c r="AX66" s="102">
        <v>161.1</v>
      </c>
      <c r="AY66" s="103">
        <v>79</v>
      </c>
      <c r="AZ66" s="104">
        <f t="shared" si="1"/>
        <v>0</v>
      </c>
      <c r="BA66" s="8"/>
      <c r="BB66" s="102">
        <v>132.94999999999999</v>
      </c>
      <c r="BC66" s="103">
        <v>769</v>
      </c>
      <c r="BD66" s="105">
        <f t="shared" si="4"/>
        <v>0</v>
      </c>
    </row>
    <row r="67" spans="1:56" ht="17.25" customHeight="1" x14ac:dyDescent="0.3">
      <c r="A67" s="259"/>
      <c r="AD67" s="8"/>
      <c r="AE67" s="8"/>
      <c r="AF67" s="8"/>
      <c r="AG67" s="8"/>
      <c r="AH67" s="8"/>
      <c r="AI67" s="8"/>
      <c r="AJ67" s="150">
        <f t="shared" si="3"/>
        <v>64</v>
      </c>
      <c r="AK67" s="151">
        <f>IF(AC_Chart_Background_Data[[#This Row],[X]] &lt; EFC_70P-EFC_50P, EFC_50P, MAX(EFC_70P-AC_Chart_Background_Data[[#This Row],[X]],0))</f>
        <v>53</v>
      </c>
      <c r="AL67" s="151">
        <f>IF(AC_Chart_Background_Data[[#This Row],[X]] &lt; EFC_85P-EFC_70P, EFC_70P, MAX(EFC_85P-AC_Chart_Background_Data[[#This Row],[X]],0))</f>
        <v>70</v>
      </c>
      <c r="AM67" s="151">
        <f>IF(AC_Chart_Background_Data[[#This Row],[X]] &lt; EFC_95P-EFC_85P, EFC_85P, MAX(EFC_95P-AC_Chart_Background_Data[[#This Row],[X]],0))</f>
        <v>97</v>
      </c>
      <c r="AN67" s="151">
        <f>IF(AC_Chart_Background_Data[[#This Row],[X]] &lt; EFC_99P-EFC_95P, EFC_95P, MAX(EFC_99P-AC_Chart_Background_Data[[#This Row],[X]],0))</f>
        <v>126</v>
      </c>
      <c r="AO67" s="151">
        <f t="shared" ref="AO67:AO130" si="5">AC_Ymax</f>
        <v>190</v>
      </c>
      <c r="AP67" s="8"/>
      <c r="AQ67" s="154">
        <v>64</v>
      </c>
      <c r="AR67" s="154">
        <v>53</v>
      </c>
      <c r="AS67" s="154">
        <v>70</v>
      </c>
      <c r="AT67" s="154">
        <v>97</v>
      </c>
      <c r="AU67" s="154">
        <v>126</v>
      </c>
      <c r="AV67" s="154">
        <v>190</v>
      </c>
      <c r="AX67" s="102">
        <v>0</v>
      </c>
      <c r="AY67" s="103">
        <v>2122</v>
      </c>
      <c r="AZ67" s="104">
        <f t="shared" ref="AZ67:AZ89" si="6" xml:space="preserve"> AI_Project_Cost/AY67/20/12</f>
        <v>0</v>
      </c>
      <c r="BA67" s="8"/>
      <c r="BB67" s="102">
        <v>77.709999999999994</v>
      </c>
      <c r="BC67" s="103">
        <v>5327</v>
      </c>
      <c r="BD67" s="105">
        <f t="shared" si="4"/>
        <v>0</v>
      </c>
    </row>
    <row r="68" spans="1:56" ht="15.75" customHeight="1" x14ac:dyDescent="0.3">
      <c r="A68" s="259"/>
      <c r="AJ68" s="150">
        <f t="shared" si="3"/>
        <v>65</v>
      </c>
      <c r="AK68" s="151">
        <f>IF(AC_Chart_Background_Data[[#This Row],[X]] &lt; EFC_70P-EFC_50P, EFC_50P, MAX(EFC_70P-AC_Chart_Background_Data[[#This Row],[X]],0))</f>
        <v>52</v>
      </c>
      <c r="AL68" s="151">
        <f>IF(AC_Chart_Background_Data[[#This Row],[X]] &lt; EFC_85P-EFC_70P, EFC_70P, MAX(EFC_85P-AC_Chart_Background_Data[[#This Row],[X]],0))</f>
        <v>69</v>
      </c>
      <c r="AM68" s="151">
        <f>IF(AC_Chart_Background_Data[[#This Row],[X]] &lt; EFC_95P-EFC_85P, EFC_85P, MAX(EFC_95P-AC_Chart_Background_Data[[#This Row],[X]],0))</f>
        <v>96</v>
      </c>
      <c r="AN68" s="151">
        <f>IF(AC_Chart_Background_Data[[#This Row],[X]] &lt; EFC_99P-EFC_95P, EFC_95P, MAX(EFC_99P-AC_Chart_Background_Data[[#This Row],[X]],0))</f>
        <v>125</v>
      </c>
      <c r="AO68" s="151">
        <f t="shared" si="5"/>
        <v>190</v>
      </c>
      <c r="AQ68" s="144">
        <v>65</v>
      </c>
      <c r="AR68" s="144">
        <v>52</v>
      </c>
      <c r="AS68" s="144">
        <v>69</v>
      </c>
      <c r="AT68" s="144">
        <v>96</v>
      </c>
      <c r="AU68" s="144">
        <v>125</v>
      </c>
      <c r="AV68" s="144">
        <v>190</v>
      </c>
      <c r="AX68" s="102">
        <v>77.38</v>
      </c>
      <c r="AY68" s="103">
        <v>6015</v>
      </c>
      <c r="AZ68" s="104">
        <f t="shared" si="6"/>
        <v>0</v>
      </c>
      <c r="BA68" s="8"/>
      <c r="BB68" s="102">
        <v>132.66999999999999</v>
      </c>
      <c r="BC68" s="103">
        <v>17</v>
      </c>
      <c r="BD68" s="105">
        <f t="shared" si="4"/>
        <v>0</v>
      </c>
    </row>
    <row r="69" spans="1:56" ht="15" customHeight="1" thickBot="1" x14ac:dyDescent="0.35">
      <c r="A69" s="260"/>
      <c r="AJ69" s="150">
        <f t="shared" si="3"/>
        <v>66</v>
      </c>
      <c r="AK69" s="151">
        <f>IF(AC_Chart_Background_Data[[#This Row],[X]] &lt; EFC_70P-EFC_50P, EFC_50P, MAX(EFC_70P-AC_Chart_Background_Data[[#This Row],[X]],0))</f>
        <v>51</v>
      </c>
      <c r="AL69" s="151">
        <f>IF(AC_Chart_Background_Data[[#This Row],[X]] &lt; EFC_85P-EFC_70P, EFC_70P, MAX(EFC_85P-AC_Chart_Background_Data[[#This Row],[X]],0))</f>
        <v>68</v>
      </c>
      <c r="AM69" s="151">
        <f>IF(AC_Chart_Background_Data[[#This Row],[X]] &lt; EFC_95P-EFC_85P, EFC_85P, MAX(EFC_95P-AC_Chart_Background_Data[[#This Row],[X]],0))</f>
        <v>95</v>
      </c>
      <c r="AN69" s="151">
        <f>IF(AC_Chart_Background_Data[[#This Row],[X]] &lt; EFC_99P-EFC_95P, EFC_95P, MAX(EFC_99P-AC_Chart_Background_Data[[#This Row],[X]],0))</f>
        <v>124</v>
      </c>
      <c r="AO69" s="151">
        <f t="shared" si="5"/>
        <v>190</v>
      </c>
      <c r="AQ69" s="144">
        <v>66</v>
      </c>
      <c r="AR69" s="144">
        <v>51</v>
      </c>
      <c r="AS69" s="144">
        <v>68</v>
      </c>
      <c r="AT69" s="144">
        <v>95</v>
      </c>
      <c r="AU69" s="144">
        <v>124</v>
      </c>
      <c r="AV69" s="144">
        <v>190</v>
      </c>
      <c r="AX69" s="102">
        <v>87.75</v>
      </c>
      <c r="AY69" s="103">
        <v>44419</v>
      </c>
      <c r="AZ69" s="104">
        <f t="shared" si="6"/>
        <v>0</v>
      </c>
      <c r="BA69" s="8"/>
      <c r="BB69" s="102">
        <v>66.25</v>
      </c>
      <c r="BC69" s="103">
        <v>5037</v>
      </c>
      <c r="BD69" s="105">
        <f t="shared" si="4"/>
        <v>0</v>
      </c>
    </row>
    <row r="70" spans="1:56" ht="15.75" customHeight="1" x14ac:dyDescent="0.3">
      <c r="A70" s="257" t="s">
        <v>817</v>
      </c>
      <c r="B70" s="257"/>
      <c r="AJ70" s="150">
        <f t="shared" ref="AJ70:AJ133" si="7">AJ69+1</f>
        <v>67</v>
      </c>
      <c r="AK70" s="151">
        <f>IF(AC_Chart_Background_Data[[#This Row],[X]] &lt; EFC_70P-EFC_50P, EFC_50P, MAX(EFC_70P-AC_Chart_Background_Data[[#This Row],[X]],0))</f>
        <v>50</v>
      </c>
      <c r="AL70" s="151">
        <f>IF(AC_Chart_Background_Data[[#This Row],[X]] &lt; EFC_85P-EFC_70P, EFC_70P, MAX(EFC_85P-AC_Chart_Background_Data[[#This Row],[X]],0))</f>
        <v>67</v>
      </c>
      <c r="AM70" s="151">
        <f>IF(AC_Chart_Background_Data[[#This Row],[X]] &lt; EFC_95P-EFC_85P, EFC_85P, MAX(EFC_95P-AC_Chart_Background_Data[[#This Row],[X]],0))</f>
        <v>94</v>
      </c>
      <c r="AN70" s="151">
        <f>IF(AC_Chart_Background_Data[[#This Row],[X]] &lt; EFC_99P-EFC_95P, EFC_95P, MAX(EFC_99P-AC_Chart_Background_Data[[#This Row],[X]],0))</f>
        <v>123</v>
      </c>
      <c r="AO70" s="151">
        <f t="shared" si="5"/>
        <v>190</v>
      </c>
      <c r="AQ70" s="144">
        <v>67</v>
      </c>
      <c r="AR70" s="144">
        <v>50</v>
      </c>
      <c r="AS70" s="144">
        <v>67</v>
      </c>
      <c r="AT70" s="144">
        <v>94</v>
      </c>
      <c r="AU70" s="144">
        <v>123</v>
      </c>
      <c r="AV70" s="144">
        <v>190</v>
      </c>
      <c r="AX70" s="102">
        <v>64.599999999999994</v>
      </c>
      <c r="AY70" s="103">
        <v>8755</v>
      </c>
      <c r="AZ70" s="104">
        <f t="shared" si="6"/>
        <v>0</v>
      </c>
      <c r="BA70" s="8"/>
      <c r="BB70" s="102">
        <v>60.72</v>
      </c>
      <c r="BC70" s="103">
        <v>619</v>
      </c>
      <c r="BD70" s="105">
        <f t="shared" si="4"/>
        <v>0</v>
      </c>
    </row>
    <row r="71" spans="1:56" ht="15" customHeight="1" x14ac:dyDescent="0.3">
      <c r="A71" s="257"/>
      <c r="B71" s="257"/>
      <c r="AJ71" s="150">
        <f t="shared" si="7"/>
        <v>68</v>
      </c>
      <c r="AK71" s="151">
        <f>IF(AC_Chart_Background_Data[[#This Row],[X]] &lt; EFC_70P-EFC_50P, EFC_50P, MAX(EFC_70P-AC_Chart_Background_Data[[#This Row],[X]],0))</f>
        <v>49</v>
      </c>
      <c r="AL71" s="151">
        <f>IF(AC_Chart_Background_Data[[#This Row],[X]] &lt; EFC_85P-EFC_70P, EFC_70P, MAX(EFC_85P-AC_Chart_Background_Data[[#This Row],[X]],0))</f>
        <v>66</v>
      </c>
      <c r="AM71" s="151">
        <f>IF(AC_Chart_Background_Data[[#This Row],[X]] &lt; EFC_95P-EFC_85P, EFC_85P, MAX(EFC_95P-AC_Chart_Background_Data[[#This Row],[X]],0))</f>
        <v>93</v>
      </c>
      <c r="AN71" s="151">
        <f>IF(AC_Chart_Background_Data[[#This Row],[X]] &lt; EFC_99P-EFC_95P, EFC_95P, MAX(EFC_99P-AC_Chart_Background_Data[[#This Row],[X]],0))</f>
        <v>122</v>
      </c>
      <c r="AO71" s="151">
        <f t="shared" si="5"/>
        <v>190</v>
      </c>
      <c r="AQ71" s="144">
        <v>68</v>
      </c>
      <c r="AR71" s="144">
        <v>49</v>
      </c>
      <c r="AS71" s="144">
        <v>66</v>
      </c>
      <c r="AT71" s="144">
        <v>93</v>
      </c>
      <c r="AU71" s="144">
        <v>122</v>
      </c>
      <c r="AV71" s="144">
        <v>190</v>
      </c>
      <c r="AX71" s="102">
        <v>185.25</v>
      </c>
      <c r="AY71" s="103">
        <v>5090</v>
      </c>
      <c r="AZ71" s="104">
        <f t="shared" si="6"/>
        <v>0</v>
      </c>
      <c r="BA71" s="8"/>
      <c r="BB71" s="102">
        <v>136.72</v>
      </c>
      <c r="BC71" s="103">
        <v>2306</v>
      </c>
      <c r="BD71" s="105">
        <f t="shared" si="4"/>
        <v>0</v>
      </c>
    </row>
    <row r="72" spans="1:56" ht="15" customHeight="1" x14ac:dyDescent="0.3">
      <c r="A72" s="251" t="s">
        <v>818</v>
      </c>
      <c r="B72" s="251"/>
      <c r="AJ72" s="150">
        <f t="shared" si="7"/>
        <v>69</v>
      </c>
      <c r="AK72" s="151">
        <f>IF(AC_Chart_Background_Data[[#This Row],[X]] &lt; EFC_70P-EFC_50P, EFC_50P, MAX(EFC_70P-AC_Chart_Background_Data[[#This Row],[X]],0))</f>
        <v>48</v>
      </c>
      <c r="AL72" s="151">
        <f>IF(AC_Chart_Background_Data[[#This Row],[X]] &lt; EFC_85P-EFC_70P, EFC_70P, MAX(EFC_85P-AC_Chart_Background_Data[[#This Row],[X]],0))</f>
        <v>65</v>
      </c>
      <c r="AM72" s="151">
        <f>IF(AC_Chart_Background_Data[[#This Row],[X]] &lt; EFC_95P-EFC_85P, EFC_85P, MAX(EFC_95P-AC_Chart_Background_Data[[#This Row],[X]],0))</f>
        <v>92</v>
      </c>
      <c r="AN72" s="151">
        <f>IF(AC_Chart_Background_Data[[#This Row],[X]] &lt; EFC_99P-EFC_95P, EFC_95P, MAX(EFC_99P-AC_Chart_Background_Data[[#This Row],[X]],0))</f>
        <v>121</v>
      </c>
      <c r="AO72" s="151">
        <f t="shared" si="5"/>
        <v>190</v>
      </c>
      <c r="AQ72" s="144">
        <v>69</v>
      </c>
      <c r="AR72" s="144">
        <v>48</v>
      </c>
      <c r="AS72" s="144">
        <v>65</v>
      </c>
      <c r="AT72" s="144">
        <v>92</v>
      </c>
      <c r="AU72" s="144">
        <v>121</v>
      </c>
      <c r="AV72" s="144">
        <v>190</v>
      </c>
      <c r="AX72" s="102">
        <v>141.34</v>
      </c>
      <c r="AY72" s="103">
        <v>1684</v>
      </c>
      <c r="AZ72" s="104">
        <f t="shared" si="6"/>
        <v>0</v>
      </c>
      <c r="BA72" s="8"/>
      <c r="BB72" s="102">
        <v>86</v>
      </c>
      <c r="BC72" s="103">
        <v>2231</v>
      </c>
      <c r="BD72" s="105">
        <f t="shared" si="4"/>
        <v>0</v>
      </c>
    </row>
    <row r="73" spans="1:56" ht="15" customHeight="1" x14ac:dyDescent="0.3">
      <c r="A73" s="252" t="s">
        <v>819</v>
      </c>
      <c r="B73" s="252"/>
      <c r="AJ73" s="150">
        <f t="shared" si="7"/>
        <v>70</v>
      </c>
      <c r="AK73" s="151">
        <f>IF(AC_Chart_Background_Data[[#This Row],[X]] &lt; EFC_70P-EFC_50P, EFC_50P, MAX(EFC_70P-AC_Chart_Background_Data[[#This Row],[X]],0))</f>
        <v>47</v>
      </c>
      <c r="AL73" s="151">
        <f>IF(AC_Chart_Background_Data[[#This Row],[X]] &lt; EFC_85P-EFC_70P, EFC_70P, MAX(EFC_85P-AC_Chart_Background_Data[[#This Row],[X]],0))</f>
        <v>64</v>
      </c>
      <c r="AM73" s="151">
        <f>IF(AC_Chart_Background_Data[[#This Row],[X]] &lt; EFC_95P-EFC_85P, EFC_85P, MAX(EFC_95P-AC_Chart_Background_Data[[#This Row],[X]],0))</f>
        <v>91</v>
      </c>
      <c r="AN73" s="151">
        <f>IF(AC_Chart_Background_Data[[#This Row],[X]] &lt; EFC_99P-EFC_95P, EFC_95P, MAX(EFC_99P-AC_Chart_Background_Data[[#This Row],[X]],0))</f>
        <v>120</v>
      </c>
      <c r="AO73" s="151">
        <f t="shared" si="5"/>
        <v>190</v>
      </c>
      <c r="AQ73" s="144">
        <v>70</v>
      </c>
      <c r="AR73" s="144">
        <v>47</v>
      </c>
      <c r="AS73" s="144">
        <v>64</v>
      </c>
      <c r="AT73" s="144">
        <v>91</v>
      </c>
      <c r="AU73" s="144">
        <v>120</v>
      </c>
      <c r="AV73" s="144">
        <v>190</v>
      </c>
      <c r="AX73" s="102">
        <v>15.15</v>
      </c>
      <c r="AY73" s="103">
        <v>6</v>
      </c>
      <c r="AZ73" s="104">
        <f t="shared" si="6"/>
        <v>0</v>
      </c>
      <c r="BA73" s="8"/>
      <c r="BB73" s="102">
        <v>105.42</v>
      </c>
      <c r="BC73" s="103">
        <v>2921</v>
      </c>
      <c r="BD73" s="105">
        <f t="shared" si="4"/>
        <v>0</v>
      </c>
    </row>
    <row r="74" spans="1:56" ht="15.75" customHeight="1" x14ac:dyDescent="0.3">
      <c r="A74" s="252"/>
      <c r="B74" s="252"/>
      <c r="AJ74" s="150">
        <f t="shared" si="7"/>
        <v>71</v>
      </c>
      <c r="AK74" s="151">
        <f>IF(AC_Chart_Background_Data[[#This Row],[X]] &lt; EFC_70P-EFC_50P, EFC_50P, MAX(EFC_70P-AC_Chart_Background_Data[[#This Row],[X]],0))</f>
        <v>46</v>
      </c>
      <c r="AL74" s="151">
        <f>IF(AC_Chart_Background_Data[[#This Row],[X]] &lt; EFC_85P-EFC_70P, EFC_70P, MAX(EFC_85P-AC_Chart_Background_Data[[#This Row],[X]],0))</f>
        <v>63</v>
      </c>
      <c r="AM74" s="151">
        <f>IF(AC_Chart_Background_Data[[#This Row],[X]] &lt; EFC_95P-EFC_85P, EFC_85P, MAX(EFC_95P-AC_Chart_Background_Data[[#This Row],[X]],0))</f>
        <v>90</v>
      </c>
      <c r="AN74" s="151">
        <f>IF(AC_Chart_Background_Data[[#This Row],[X]] &lt; EFC_99P-EFC_95P, EFC_95P, MAX(EFC_99P-AC_Chart_Background_Data[[#This Row],[X]],0))</f>
        <v>119</v>
      </c>
      <c r="AO74" s="151">
        <f t="shared" si="5"/>
        <v>190</v>
      </c>
      <c r="AQ74" s="144">
        <v>71</v>
      </c>
      <c r="AR74" s="144">
        <v>46</v>
      </c>
      <c r="AS74" s="144">
        <v>63</v>
      </c>
      <c r="AT74" s="144">
        <v>90</v>
      </c>
      <c r="AU74" s="144">
        <v>119</v>
      </c>
      <c r="AV74" s="144">
        <v>190</v>
      </c>
      <c r="AX74" s="102">
        <v>82.75</v>
      </c>
      <c r="AY74" s="103">
        <v>3918</v>
      </c>
      <c r="AZ74" s="104">
        <f t="shared" si="6"/>
        <v>0</v>
      </c>
      <c r="BA74" s="8"/>
      <c r="BB74" s="8"/>
      <c r="BC74" s="8"/>
      <c r="BD74" s="8"/>
    </row>
    <row r="75" spans="1:56" ht="15" customHeight="1" x14ac:dyDescent="0.3">
      <c r="A75" s="252"/>
      <c r="B75" s="252"/>
      <c r="AJ75" s="150">
        <f t="shared" si="7"/>
        <v>72</v>
      </c>
      <c r="AK75" s="151">
        <f>IF(AC_Chart_Background_Data[[#This Row],[X]] &lt; EFC_70P-EFC_50P, EFC_50P, MAX(EFC_70P-AC_Chart_Background_Data[[#This Row],[X]],0))</f>
        <v>45</v>
      </c>
      <c r="AL75" s="151">
        <f>IF(AC_Chart_Background_Data[[#This Row],[X]] &lt; EFC_85P-EFC_70P, EFC_70P, MAX(EFC_85P-AC_Chart_Background_Data[[#This Row],[X]],0))</f>
        <v>62</v>
      </c>
      <c r="AM75" s="151">
        <f>IF(AC_Chart_Background_Data[[#This Row],[X]] &lt; EFC_95P-EFC_85P, EFC_85P, MAX(EFC_95P-AC_Chart_Background_Data[[#This Row],[X]],0))</f>
        <v>89</v>
      </c>
      <c r="AN75" s="151">
        <f>IF(AC_Chart_Background_Data[[#This Row],[X]] &lt; EFC_99P-EFC_95P, EFC_95P, MAX(EFC_99P-AC_Chart_Background_Data[[#This Row],[X]],0))</f>
        <v>118</v>
      </c>
      <c r="AO75" s="151">
        <f t="shared" si="5"/>
        <v>190</v>
      </c>
      <c r="AQ75" s="144">
        <v>72</v>
      </c>
      <c r="AR75" s="144">
        <v>45</v>
      </c>
      <c r="AS75" s="144">
        <v>62</v>
      </c>
      <c r="AT75" s="144">
        <v>89</v>
      </c>
      <c r="AU75" s="144">
        <v>118</v>
      </c>
      <c r="AV75" s="144">
        <v>190</v>
      </c>
      <c r="AX75" s="102">
        <v>155.61000000000001</v>
      </c>
      <c r="AY75" s="103">
        <v>5699</v>
      </c>
      <c r="AZ75" s="104">
        <f t="shared" si="6"/>
        <v>0</v>
      </c>
      <c r="BA75" s="8"/>
      <c r="BB75" s="8"/>
      <c r="BC75" s="8"/>
      <c r="BD75" s="8"/>
    </row>
    <row r="76" spans="1:56" ht="15" customHeight="1" x14ac:dyDescent="0.3">
      <c r="A76" s="252"/>
      <c r="B76" s="252"/>
      <c r="AJ76" s="150">
        <f t="shared" si="7"/>
        <v>73</v>
      </c>
      <c r="AK76" s="151">
        <f>IF(AC_Chart_Background_Data[[#This Row],[X]] &lt; EFC_70P-EFC_50P, EFC_50P, MAX(EFC_70P-AC_Chart_Background_Data[[#This Row],[X]],0))</f>
        <v>44</v>
      </c>
      <c r="AL76" s="151">
        <f>IF(AC_Chart_Background_Data[[#This Row],[X]] &lt; EFC_85P-EFC_70P, EFC_70P, MAX(EFC_85P-AC_Chart_Background_Data[[#This Row],[X]],0))</f>
        <v>61</v>
      </c>
      <c r="AM76" s="151">
        <f>IF(AC_Chart_Background_Data[[#This Row],[X]] &lt; EFC_95P-EFC_85P, EFC_85P, MAX(EFC_95P-AC_Chart_Background_Data[[#This Row],[X]],0))</f>
        <v>88</v>
      </c>
      <c r="AN76" s="151">
        <f>IF(AC_Chart_Background_Data[[#This Row],[X]] &lt; EFC_99P-EFC_95P, EFC_95P, MAX(EFC_99P-AC_Chart_Background_Data[[#This Row],[X]],0))</f>
        <v>117</v>
      </c>
      <c r="AO76" s="151">
        <f t="shared" si="5"/>
        <v>190</v>
      </c>
      <c r="AQ76" s="144">
        <v>73</v>
      </c>
      <c r="AR76" s="144">
        <v>44</v>
      </c>
      <c r="AS76" s="144">
        <v>61</v>
      </c>
      <c r="AT76" s="144">
        <v>88</v>
      </c>
      <c r="AU76" s="144">
        <v>117</v>
      </c>
      <c r="AV76" s="144">
        <v>190</v>
      </c>
      <c r="AX76" s="102">
        <v>129.30000000000001</v>
      </c>
      <c r="AY76" s="103">
        <v>975</v>
      </c>
      <c r="AZ76" s="104">
        <f t="shared" si="6"/>
        <v>0</v>
      </c>
      <c r="BA76" s="8"/>
      <c r="BB76" s="8"/>
      <c r="BC76" s="8"/>
      <c r="BD76" s="8"/>
    </row>
    <row r="77" spans="1:56" ht="15" customHeight="1" x14ac:dyDescent="0.3">
      <c r="A77" s="252"/>
      <c r="B77" s="252"/>
      <c r="AJ77" s="150">
        <f t="shared" si="7"/>
        <v>74</v>
      </c>
      <c r="AK77" s="151">
        <f>IF(AC_Chart_Background_Data[[#This Row],[X]] &lt; EFC_70P-EFC_50P, EFC_50P, MAX(EFC_70P-AC_Chart_Background_Data[[#This Row],[X]],0))</f>
        <v>43</v>
      </c>
      <c r="AL77" s="151">
        <f>IF(AC_Chart_Background_Data[[#This Row],[X]] &lt; EFC_85P-EFC_70P, EFC_70P, MAX(EFC_85P-AC_Chart_Background_Data[[#This Row],[X]],0))</f>
        <v>60</v>
      </c>
      <c r="AM77" s="151">
        <f>IF(AC_Chart_Background_Data[[#This Row],[X]] &lt; EFC_95P-EFC_85P, EFC_85P, MAX(EFC_95P-AC_Chart_Background_Data[[#This Row],[X]],0))</f>
        <v>87</v>
      </c>
      <c r="AN77" s="151">
        <f>IF(AC_Chart_Background_Data[[#This Row],[X]] &lt; EFC_99P-EFC_95P, EFC_95P, MAX(EFC_99P-AC_Chart_Background_Data[[#This Row],[X]],0))</f>
        <v>116</v>
      </c>
      <c r="AO77" s="151">
        <f t="shared" si="5"/>
        <v>190</v>
      </c>
      <c r="AQ77" s="144">
        <v>74</v>
      </c>
      <c r="AR77" s="144">
        <v>43</v>
      </c>
      <c r="AS77" s="144">
        <v>60</v>
      </c>
      <c r="AT77" s="144">
        <v>87</v>
      </c>
      <c r="AU77" s="144">
        <v>116</v>
      </c>
      <c r="AV77" s="144">
        <v>190</v>
      </c>
      <c r="AX77" s="102">
        <v>109.45</v>
      </c>
      <c r="AY77" s="103">
        <v>5560</v>
      </c>
      <c r="AZ77" s="104">
        <f t="shared" si="6"/>
        <v>0</v>
      </c>
      <c r="BA77" s="8"/>
      <c r="BB77" s="8"/>
      <c r="BC77" s="8"/>
      <c r="BD77" s="8"/>
    </row>
    <row r="78" spans="1:56" ht="15" customHeight="1" x14ac:dyDescent="0.3">
      <c r="C78" s="112" t="s">
        <v>766</v>
      </c>
      <c r="AJ78" s="150">
        <f t="shared" si="7"/>
        <v>75</v>
      </c>
      <c r="AK78" s="151">
        <f>IF(AC_Chart_Background_Data[[#This Row],[X]] &lt; EFC_70P-EFC_50P, EFC_50P, MAX(EFC_70P-AC_Chart_Background_Data[[#This Row],[X]],0))</f>
        <v>42</v>
      </c>
      <c r="AL78" s="151">
        <f>IF(AC_Chart_Background_Data[[#This Row],[X]] &lt; EFC_85P-EFC_70P, EFC_70P, MAX(EFC_85P-AC_Chart_Background_Data[[#This Row],[X]],0))</f>
        <v>59</v>
      </c>
      <c r="AM78" s="151">
        <f>IF(AC_Chart_Background_Data[[#This Row],[X]] &lt; EFC_95P-EFC_85P, EFC_85P, MAX(EFC_95P-AC_Chart_Background_Data[[#This Row],[X]],0))</f>
        <v>86</v>
      </c>
      <c r="AN78" s="151">
        <f>IF(AC_Chart_Background_Data[[#This Row],[X]] &lt; EFC_99P-EFC_95P, EFC_95P, MAX(EFC_99P-AC_Chart_Background_Data[[#This Row],[X]],0))</f>
        <v>115</v>
      </c>
      <c r="AO78" s="151">
        <f t="shared" si="5"/>
        <v>190</v>
      </c>
      <c r="AQ78" s="144">
        <v>75</v>
      </c>
      <c r="AR78" s="144">
        <v>42</v>
      </c>
      <c r="AS78" s="144">
        <v>59</v>
      </c>
      <c r="AT78" s="144">
        <v>86</v>
      </c>
      <c r="AU78" s="144">
        <v>115</v>
      </c>
      <c r="AV78" s="144">
        <v>190</v>
      </c>
      <c r="AX78" s="102">
        <v>133.6</v>
      </c>
      <c r="AY78" s="103">
        <v>450</v>
      </c>
      <c r="AZ78" s="104">
        <f t="shared" si="6"/>
        <v>0</v>
      </c>
      <c r="BA78" s="8"/>
      <c r="BB78" s="8"/>
      <c r="BC78" s="8"/>
      <c r="BD78" s="8"/>
    </row>
    <row r="79" spans="1:56" ht="15" customHeight="1" x14ac:dyDescent="0.3">
      <c r="C79" s="112" t="s">
        <v>829</v>
      </c>
      <c r="AJ79" s="150">
        <f t="shared" si="7"/>
        <v>76</v>
      </c>
      <c r="AK79" s="151">
        <f>IF(AC_Chart_Background_Data[[#This Row],[X]] &lt; EFC_70P-EFC_50P, EFC_50P, MAX(EFC_70P-AC_Chart_Background_Data[[#This Row],[X]],0))</f>
        <v>41</v>
      </c>
      <c r="AL79" s="151">
        <f>IF(AC_Chart_Background_Data[[#This Row],[X]] &lt; EFC_85P-EFC_70P, EFC_70P, MAX(EFC_85P-AC_Chart_Background_Data[[#This Row],[X]],0))</f>
        <v>58</v>
      </c>
      <c r="AM79" s="151">
        <f>IF(AC_Chart_Background_Data[[#This Row],[X]] &lt; EFC_95P-EFC_85P, EFC_85P, MAX(EFC_95P-AC_Chart_Background_Data[[#This Row],[X]],0))</f>
        <v>85</v>
      </c>
      <c r="AN79" s="151">
        <f>IF(AC_Chart_Background_Data[[#This Row],[X]] &lt; EFC_99P-EFC_95P, EFC_95P, MAX(EFC_99P-AC_Chart_Background_Data[[#This Row],[X]],0))</f>
        <v>114</v>
      </c>
      <c r="AO79" s="151">
        <f t="shared" si="5"/>
        <v>190</v>
      </c>
      <c r="AQ79" s="144">
        <v>76</v>
      </c>
      <c r="AR79" s="144">
        <v>41</v>
      </c>
      <c r="AS79" s="144">
        <v>58</v>
      </c>
      <c r="AT79" s="144">
        <v>85</v>
      </c>
      <c r="AU79" s="144">
        <v>114</v>
      </c>
      <c r="AV79" s="144">
        <v>190</v>
      </c>
      <c r="AX79" s="102">
        <v>71.290000000000006</v>
      </c>
      <c r="AY79" s="103">
        <v>30628</v>
      </c>
      <c r="AZ79" s="104">
        <f t="shared" si="6"/>
        <v>0</v>
      </c>
      <c r="BA79" s="8"/>
      <c r="BB79" s="8"/>
      <c r="BC79" s="8"/>
      <c r="BD79" s="8"/>
    </row>
    <row r="80" spans="1:56" ht="15.75" customHeight="1" thickBot="1" x14ac:dyDescent="0.35">
      <c r="A80" s="66"/>
      <c r="AJ80" s="150">
        <f t="shared" si="7"/>
        <v>77</v>
      </c>
      <c r="AK80" s="151">
        <f>IF(AC_Chart_Background_Data[[#This Row],[X]] &lt; EFC_70P-EFC_50P, EFC_50P, MAX(EFC_70P-AC_Chart_Background_Data[[#This Row],[X]],0))</f>
        <v>40</v>
      </c>
      <c r="AL80" s="151">
        <f>IF(AC_Chart_Background_Data[[#This Row],[X]] &lt; EFC_85P-EFC_70P, EFC_70P, MAX(EFC_85P-AC_Chart_Background_Data[[#This Row],[X]],0))</f>
        <v>57</v>
      </c>
      <c r="AM80" s="151">
        <f>IF(AC_Chart_Background_Data[[#This Row],[X]] &lt; EFC_95P-EFC_85P, EFC_85P, MAX(EFC_95P-AC_Chart_Background_Data[[#This Row],[X]],0))</f>
        <v>84</v>
      </c>
      <c r="AN80" s="151">
        <f>IF(AC_Chart_Background_Data[[#This Row],[X]] &lt; EFC_99P-EFC_95P, EFC_95P, MAX(EFC_99P-AC_Chart_Background_Data[[#This Row],[X]],0))</f>
        <v>113</v>
      </c>
      <c r="AO80" s="151">
        <f t="shared" si="5"/>
        <v>190</v>
      </c>
      <c r="AQ80" s="144">
        <v>77</v>
      </c>
      <c r="AR80" s="144">
        <v>40</v>
      </c>
      <c r="AS80" s="144">
        <v>57</v>
      </c>
      <c r="AT80" s="144">
        <v>84</v>
      </c>
      <c r="AU80" s="144">
        <v>113</v>
      </c>
      <c r="AV80" s="144">
        <v>190</v>
      </c>
      <c r="AX80" s="102">
        <v>106.63</v>
      </c>
      <c r="AY80" s="103">
        <v>2016</v>
      </c>
      <c r="AZ80" s="104">
        <f t="shared" si="6"/>
        <v>0</v>
      </c>
      <c r="BA80" s="8"/>
      <c r="BB80" s="8"/>
      <c r="BC80" s="8"/>
      <c r="BD80" s="8"/>
    </row>
    <row r="81" spans="1:56" ht="16.5" customHeight="1" thickBot="1" x14ac:dyDescent="0.35">
      <c r="A81" s="67"/>
      <c r="B81" s="253" t="s">
        <v>761</v>
      </c>
      <c r="C81" s="254"/>
      <c r="D81" s="254"/>
      <c r="E81" s="254"/>
      <c r="F81" s="255"/>
      <c r="AJ81" s="150">
        <f t="shared" si="7"/>
        <v>78</v>
      </c>
      <c r="AK81" s="151">
        <f>IF(AC_Chart_Background_Data[[#This Row],[X]] &lt; EFC_70P-EFC_50P, EFC_50P, MAX(EFC_70P-AC_Chart_Background_Data[[#This Row],[X]],0))</f>
        <v>39</v>
      </c>
      <c r="AL81" s="151">
        <f>IF(AC_Chart_Background_Data[[#This Row],[X]] &lt; EFC_85P-EFC_70P, EFC_70P, MAX(EFC_85P-AC_Chart_Background_Data[[#This Row],[X]],0))</f>
        <v>56</v>
      </c>
      <c r="AM81" s="151">
        <f>IF(AC_Chart_Background_Data[[#This Row],[X]] &lt; EFC_95P-EFC_85P, EFC_85P, MAX(EFC_95P-AC_Chart_Background_Data[[#This Row],[X]],0))</f>
        <v>83</v>
      </c>
      <c r="AN81" s="151">
        <f>IF(AC_Chart_Background_Data[[#This Row],[X]] &lt; EFC_99P-EFC_95P, EFC_95P, MAX(EFC_99P-AC_Chart_Background_Data[[#This Row],[X]],0))</f>
        <v>112</v>
      </c>
      <c r="AO81" s="151">
        <f t="shared" si="5"/>
        <v>190</v>
      </c>
      <c r="AQ81" s="144">
        <v>78</v>
      </c>
      <c r="AR81" s="144">
        <v>39</v>
      </c>
      <c r="AS81" s="144">
        <v>56</v>
      </c>
      <c r="AT81" s="144">
        <v>83</v>
      </c>
      <c r="AU81" s="144">
        <v>112</v>
      </c>
      <c r="AV81" s="144">
        <v>190</v>
      </c>
      <c r="AX81" s="102">
        <v>97.49</v>
      </c>
      <c r="AY81" s="103">
        <v>1270</v>
      </c>
      <c r="AZ81" s="104">
        <f t="shared" si="6"/>
        <v>0</v>
      </c>
      <c r="BA81" s="8"/>
      <c r="BB81" s="8"/>
      <c r="BC81" s="8"/>
      <c r="BD81" s="8"/>
    </row>
    <row r="82" spans="1:56" ht="15" customHeight="1" x14ac:dyDescent="0.3">
      <c r="A82" s="67"/>
      <c r="AJ82" s="150">
        <f t="shared" si="7"/>
        <v>79</v>
      </c>
      <c r="AK82" s="151">
        <f>IF(AC_Chart_Background_Data[[#This Row],[X]] &lt; EFC_70P-EFC_50P, EFC_50P, MAX(EFC_70P-AC_Chart_Background_Data[[#This Row],[X]],0))</f>
        <v>38</v>
      </c>
      <c r="AL82" s="151">
        <f>IF(AC_Chart_Background_Data[[#This Row],[X]] &lt; EFC_85P-EFC_70P, EFC_70P, MAX(EFC_85P-AC_Chart_Background_Data[[#This Row],[X]],0))</f>
        <v>55</v>
      </c>
      <c r="AM82" s="151">
        <f>IF(AC_Chart_Background_Data[[#This Row],[X]] &lt; EFC_95P-EFC_85P, EFC_85P, MAX(EFC_95P-AC_Chart_Background_Data[[#This Row],[X]],0))</f>
        <v>82</v>
      </c>
      <c r="AN82" s="151">
        <f>IF(AC_Chart_Background_Data[[#This Row],[X]] &lt; EFC_99P-EFC_95P, EFC_95P, MAX(EFC_99P-AC_Chart_Background_Data[[#This Row],[X]],0))</f>
        <v>111</v>
      </c>
      <c r="AO82" s="151">
        <f t="shared" si="5"/>
        <v>190</v>
      </c>
      <c r="AQ82" s="144">
        <v>79</v>
      </c>
      <c r="AR82" s="144">
        <v>38</v>
      </c>
      <c r="AS82" s="144">
        <v>55</v>
      </c>
      <c r="AT82" s="144">
        <v>82</v>
      </c>
      <c r="AU82" s="144">
        <v>111</v>
      </c>
      <c r="AV82" s="144">
        <v>190</v>
      </c>
      <c r="AX82" s="102">
        <v>133.85</v>
      </c>
      <c r="AY82" s="103">
        <v>1311</v>
      </c>
      <c r="AZ82" s="104">
        <f t="shared" si="6"/>
        <v>0</v>
      </c>
      <c r="BA82" s="8"/>
      <c r="BB82" s="8"/>
      <c r="BC82" s="8"/>
      <c r="BD82" s="8"/>
    </row>
    <row r="83" spans="1:56" ht="15" customHeight="1" x14ac:dyDescent="0.3">
      <c r="A83" s="67"/>
      <c r="AJ83" s="150">
        <f t="shared" si="7"/>
        <v>80</v>
      </c>
      <c r="AK83" s="151">
        <f>IF(AC_Chart_Background_Data[[#This Row],[X]] &lt; EFC_70P-EFC_50P, EFC_50P, MAX(EFC_70P-AC_Chart_Background_Data[[#This Row],[X]],0))</f>
        <v>37</v>
      </c>
      <c r="AL83" s="151">
        <f>IF(AC_Chart_Background_Data[[#This Row],[X]] &lt; EFC_85P-EFC_70P, EFC_70P, MAX(EFC_85P-AC_Chart_Background_Data[[#This Row],[X]],0))</f>
        <v>54</v>
      </c>
      <c r="AM83" s="151">
        <f>IF(AC_Chart_Background_Data[[#This Row],[X]] &lt; EFC_95P-EFC_85P, EFC_85P, MAX(EFC_95P-AC_Chart_Background_Data[[#This Row],[X]],0))</f>
        <v>81</v>
      </c>
      <c r="AN83" s="151">
        <f>IF(AC_Chart_Background_Data[[#This Row],[X]] &lt; EFC_99P-EFC_95P, EFC_95P, MAX(EFC_99P-AC_Chart_Background_Data[[#This Row],[X]],0))</f>
        <v>110</v>
      </c>
      <c r="AO83" s="151">
        <f t="shared" si="5"/>
        <v>190</v>
      </c>
      <c r="AQ83" s="144">
        <v>80</v>
      </c>
      <c r="AR83" s="144">
        <v>37</v>
      </c>
      <c r="AS83" s="144">
        <v>54</v>
      </c>
      <c r="AT83" s="144">
        <v>81</v>
      </c>
      <c r="AU83" s="144">
        <v>110</v>
      </c>
      <c r="AV83" s="144">
        <v>190</v>
      </c>
      <c r="AX83" s="102">
        <v>101.88</v>
      </c>
      <c r="AY83" s="103">
        <v>7594</v>
      </c>
      <c r="AZ83" s="104">
        <f t="shared" si="6"/>
        <v>0</v>
      </c>
      <c r="BA83" s="8"/>
      <c r="BB83" s="8"/>
      <c r="BC83" s="8"/>
      <c r="BD83" s="8"/>
    </row>
    <row r="84" spans="1:56" ht="15" customHeight="1" x14ac:dyDescent="0.3">
      <c r="AJ84" s="150">
        <f t="shared" si="7"/>
        <v>81</v>
      </c>
      <c r="AK84" s="151">
        <f>IF(AC_Chart_Background_Data[[#This Row],[X]] &lt; EFC_70P-EFC_50P, EFC_50P, MAX(EFC_70P-AC_Chart_Background_Data[[#This Row],[X]],0))</f>
        <v>36</v>
      </c>
      <c r="AL84" s="151">
        <f>IF(AC_Chart_Background_Data[[#This Row],[X]] &lt; EFC_85P-EFC_70P, EFC_70P, MAX(EFC_85P-AC_Chart_Background_Data[[#This Row],[X]],0))</f>
        <v>53</v>
      </c>
      <c r="AM84" s="151">
        <f>IF(AC_Chart_Background_Data[[#This Row],[X]] &lt; EFC_95P-EFC_85P, EFC_85P, MAX(EFC_95P-AC_Chart_Background_Data[[#This Row],[X]],0))</f>
        <v>80</v>
      </c>
      <c r="AN84" s="151">
        <f>IF(AC_Chart_Background_Data[[#This Row],[X]] &lt; EFC_99P-EFC_95P, EFC_95P, MAX(EFC_99P-AC_Chart_Background_Data[[#This Row],[X]],0))</f>
        <v>109</v>
      </c>
      <c r="AO84" s="151">
        <f t="shared" si="5"/>
        <v>190</v>
      </c>
      <c r="AX84" s="102">
        <v>108.87</v>
      </c>
      <c r="AY84" s="103">
        <v>721</v>
      </c>
      <c r="AZ84" s="104">
        <f t="shared" si="6"/>
        <v>0</v>
      </c>
      <c r="BA84" s="8"/>
      <c r="BB84" s="8"/>
      <c r="BC84" s="8"/>
      <c r="BD84" s="8"/>
    </row>
    <row r="85" spans="1:56" ht="15" customHeight="1" x14ac:dyDescent="0.3">
      <c r="AJ85" s="150">
        <f t="shared" si="7"/>
        <v>82</v>
      </c>
      <c r="AK85" s="151">
        <f>IF(AC_Chart_Background_Data[[#This Row],[X]] &lt; EFC_70P-EFC_50P, EFC_50P, MAX(EFC_70P-AC_Chart_Background_Data[[#This Row],[X]],0))</f>
        <v>35</v>
      </c>
      <c r="AL85" s="151">
        <f>IF(AC_Chart_Background_Data[[#This Row],[X]] &lt; EFC_85P-EFC_70P, EFC_70P, MAX(EFC_85P-AC_Chart_Background_Data[[#This Row],[X]],0))</f>
        <v>52</v>
      </c>
      <c r="AM85" s="151">
        <f>IF(AC_Chart_Background_Data[[#This Row],[X]] &lt; EFC_95P-EFC_85P, EFC_85P, MAX(EFC_95P-AC_Chart_Background_Data[[#This Row],[X]],0))</f>
        <v>79</v>
      </c>
      <c r="AN85" s="151">
        <f>IF(AC_Chart_Background_Data[[#This Row],[X]] &lt; EFC_99P-EFC_95P, EFC_95P, MAX(EFC_99P-AC_Chart_Background_Data[[#This Row],[X]],0))</f>
        <v>108</v>
      </c>
      <c r="AO85" s="151">
        <f t="shared" si="5"/>
        <v>190</v>
      </c>
      <c r="AX85" s="102">
        <v>109.13</v>
      </c>
      <c r="AY85" s="103">
        <v>6558</v>
      </c>
      <c r="AZ85" s="104">
        <f t="shared" si="6"/>
        <v>0</v>
      </c>
      <c r="BA85" s="8"/>
      <c r="BB85" s="8"/>
      <c r="BC85" s="8"/>
      <c r="BD85" s="8"/>
    </row>
    <row r="86" spans="1:56" ht="15" customHeight="1" x14ac:dyDescent="0.3">
      <c r="AJ86" s="150">
        <f t="shared" si="7"/>
        <v>83</v>
      </c>
      <c r="AK86" s="151">
        <f>IF(AC_Chart_Background_Data[[#This Row],[X]] &lt; EFC_70P-EFC_50P, EFC_50P, MAX(EFC_70P-AC_Chart_Background_Data[[#This Row],[X]],0))</f>
        <v>34</v>
      </c>
      <c r="AL86" s="151">
        <f>IF(AC_Chart_Background_Data[[#This Row],[X]] &lt; EFC_85P-EFC_70P, EFC_70P, MAX(EFC_85P-AC_Chart_Background_Data[[#This Row],[X]],0))</f>
        <v>51</v>
      </c>
      <c r="AM86" s="151">
        <f>IF(AC_Chart_Background_Data[[#This Row],[X]] &lt; EFC_95P-EFC_85P, EFC_85P, MAX(EFC_95P-AC_Chart_Background_Data[[#This Row],[X]],0))</f>
        <v>78</v>
      </c>
      <c r="AN86" s="151">
        <f>IF(AC_Chart_Background_Data[[#This Row],[X]] &lt; EFC_99P-EFC_95P, EFC_95P, MAX(EFC_99P-AC_Chart_Background_Data[[#This Row],[X]],0))</f>
        <v>107</v>
      </c>
      <c r="AO86" s="151">
        <f t="shared" si="5"/>
        <v>190</v>
      </c>
      <c r="AX86" s="102">
        <v>114.65</v>
      </c>
      <c r="AY86" s="103">
        <v>519</v>
      </c>
      <c r="AZ86" s="104">
        <f t="shared" si="6"/>
        <v>0</v>
      </c>
      <c r="BA86" s="8"/>
      <c r="BB86" s="8"/>
      <c r="BC86" s="8"/>
      <c r="BD86" s="8"/>
    </row>
    <row r="87" spans="1:56" ht="15" customHeight="1" x14ac:dyDescent="0.3">
      <c r="AJ87" s="150">
        <f t="shared" si="7"/>
        <v>84</v>
      </c>
      <c r="AK87" s="151">
        <f>IF(AC_Chart_Background_Data[[#This Row],[X]] &lt; EFC_70P-EFC_50P, EFC_50P, MAX(EFC_70P-AC_Chart_Background_Data[[#This Row],[X]],0))</f>
        <v>33</v>
      </c>
      <c r="AL87" s="151">
        <f>IF(AC_Chart_Background_Data[[#This Row],[X]] &lt; EFC_85P-EFC_70P, EFC_70P, MAX(EFC_85P-AC_Chart_Background_Data[[#This Row],[X]],0))</f>
        <v>50</v>
      </c>
      <c r="AM87" s="151">
        <f>IF(AC_Chart_Background_Data[[#This Row],[X]] &lt; EFC_95P-EFC_85P, EFC_85P, MAX(EFC_95P-AC_Chart_Background_Data[[#This Row],[X]],0))</f>
        <v>77</v>
      </c>
      <c r="AN87" s="151">
        <f>IF(AC_Chart_Background_Data[[#This Row],[X]] &lt; EFC_99P-EFC_95P, EFC_95P, MAX(EFC_99P-AC_Chart_Background_Data[[#This Row],[X]],0))</f>
        <v>106</v>
      </c>
      <c r="AO87" s="151">
        <f t="shared" si="5"/>
        <v>190</v>
      </c>
      <c r="AX87" s="102">
        <v>92.35</v>
      </c>
      <c r="AY87" s="103">
        <v>10819</v>
      </c>
      <c r="AZ87" s="104">
        <f t="shared" si="6"/>
        <v>0</v>
      </c>
      <c r="BA87" s="8"/>
      <c r="BB87" s="8"/>
      <c r="BC87" s="8"/>
      <c r="BD87" s="8"/>
    </row>
    <row r="88" spans="1:56" ht="15" customHeight="1" x14ac:dyDescent="0.3">
      <c r="AJ88" s="150">
        <f t="shared" si="7"/>
        <v>85</v>
      </c>
      <c r="AK88" s="151">
        <f>IF(AC_Chart_Background_Data[[#This Row],[X]] &lt; EFC_70P-EFC_50P, EFC_50P, MAX(EFC_70P-AC_Chart_Background_Data[[#This Row],[X]],0))</f>
        <v>32</v>
      </c>
      <c r="AL88" s="151">
        <f>IF(AC_Chart_Background_Data[[#This Row],[X]] &lt; EFC_85P-EFC_70P, EFC_70P, MAX(EFC_85P-AC_Chart_Background_Data[[#This Row],[X]],0))</f>
        <v>49</v>
      </c>
      <c r="AM88" s="151">
        <f>IF(AC_Chart_Background_Data[[#This Row],[X]] &lt; EFC_95P-EFC_85P, EFC_85P, MAX(EFC_95P-AC_Chart_Background_Data[[#This Row],[X]],0))</f>
        <v>76</v>
      </c>
      <c r="AN88" s="151">
        <f>IF(AC_Chart_Background_Data[[#This Row],[X]] &lt; EFC_99P-EFC_95P, EFC_95P, MAX(EFC_99P-AC_Chart_Background_Data[[#This Row],[X]],0))</f>
        <v>105</v>
      </c>
      <c r="AO88" s="151">
        <f t="shared" si="5"/>
        <v>190</v>
      </c>
      <c r="AX88" s="102">
        <v>90.62</v>
      </c>
      <c r="AY88" s="103">
        <v>1960</v>
      </c>
      <c r="AZ88" s="104">
        <f t="shared" si="6"/>
        <v>0</v>
      </c>
      <c r="BA88" s="8"/>
      <c r="BB88" s="8"/>
      <c r="BC88" s="8"/>
      <c r="BD88" s="8"/>
    </row>
    <row r="89" spans="1:56" ht="15" customHeight="1" x14ac:dyDescent="0.3">
      <c r="AJ89" s="150">
        <f t="shared" si="7"/>
        <v>86</v>
      </c>
      <c r="AK89" s="151">
        <f>IF(AC_Chart_Background_Data[[#This Row],[X]] &lt; EFC_70P-EFC_50P, EFC_50P, MAX(EFC_70P-AC_Chart_Background_Data[[#This Row],[X]],0))</f>
        <v>31</v>
      </c>
      <c r="AL89" s="151">
        <f>IF(AC_Chart_Background_Data[[#This Row],[X]] &lt; EFC_85P-EFC_70P, EFC_70P, MAX(EFC_85P-AC_Chart_Background_Data[[#This Row],[X]],0))</f>
        <v>48</v>
      </c>
      <c r="AM89" s="151">
        <f>IF(AC_Chart_Background_Data[[#This Row],[X]] &lt; EFC_95P-EFC_85P, EFC_85P, MAX(EFC_95P-AC_Chart_Background_Data[[#This Row],[X]],0))</f>
        <v>75</v>
      </c>
      <c r="AN89" s="151">
        <f>IF(AC_Chart_Background_Data[[#This Row],[X]] &lt; EFC_99P-EFC_95P, EFC_95P, MAX(EFC_99P-AC_Chart_Background_Data[[#This Row],[X]],0))</f>
        <v>104</v>
      </c>
      <c r="AO89" s="151">
        <f t="shared" si="5"/>
        <v>190</v>
      </c>
      <c r="AX89" s="102">
        <v>80.489999999999995</v>
      </c>
      <c r="AY89" s="103">
        <v>4345</v>
      </c>
      <c r="AZ89" s="104">
        <f t="shared" si="6"/>
        <v>0</v>
      </c>
      <c r="BA89" s="8"/>
      <c r="BB89" s="8"/>
      <c r="BC89" s="8"/>
      <c r="BD89" s="8"/>
    </row>
    <row r="90" spans="1:56" ht="15" customHeight="1" x14ac:dyDescent="0.3">
      <c r="AJ90" s="150">
        <f t="shared" si="7"/>
        <v>87</v>
      </c>
      <c r="AK90" s="151">
        <f>IF(AC_Chart_Background_Data[[#This Row],[X]] &lt; EFC_70P-EFC_50P, EFC_50P, MAX(EFC_70P-AC_Chart_Background_Data[[#This Row],[X]],0))</f>
        <v>30</v>
      </c>
      <c r="AL90" s="151">
        <f>IF(AC_Chart_Background_Data[[#This Row],[X]] &lt; EFC_85P-EFC_70P, EFC_70P, MAX(EFC_85P-AC_Chart_Background_Data[[#This Row],[X]],0))</f>
        <v>47</v>
      </c>
      <c r="AM90" s="151">
        <f>IF(AC_Chart_Background_Data[[#This Row],[X]] &lt; EFC_95P-EFC_85P, EFC_85P, MAX(EFC_95P-AC_Chart_Background_Data[[#This Row],[X]],0))</f>
        <v>74</v>
      </c>
      <c r="AN90" s="151">
        <f>IF(AC_Chart_Background_Data[[#This Row],[X]] &lt; EFC_99P-EFC_95P, EFC_95P, MAX(EFC_99P-AC_Chart_Background_Data[[#This Row],[X]],0))</f>
        <v>103</v>
      </c>
      <c r="AO90" s="151">
        <f t="shared" si="5"/>
        <v>190</v>
      </c>
      <c r="BA90" s="8"/>
      <c r="BB90" s="8"/>
      <c r="BC90" s="8"/>
      <c r="BD90" s="8"/>
    </row>
    <row r="91" spans="1:56" ht="15" customHeight="1" x14ac:dyDescent="0.3">
      <c r="AJ91" s="150">
        <f t="shared" si="7"/>
        <v>88</v>
      </c>
      <c r="AK91" s="151">
        <f>IF(AC_Chart_Background_Data[[#This Row],[X]] &lt; EFC_70P-EFC_50P, EFC_50P, MAX(EFC_70P-AC_Chart_Background_Data[[#This Row],[X]],0))</f>
        <v>29</v>
      </c>
      <c r="AL91" s="151">
        <f>IF(AC_Chart_Background_Data[[#This Row],[X]] &lt; EFC_85P-EFC_70P, EFC_70P, MAX(EFC_85P-AC_Chart_Background_Data[[#This Row],[X]],0))</f>
        <v>46</v>
      </c>
      <c r="AM91" s="151">
        <f>IF(AC_Chart_Background_Data[[#This Row],[X]] &lt; EFC_95P-EFC_85P, EFC_85P, MAX(EFC_95P-AC_Chart_Background_Data[[#This Row],[X]],0))</f>
        <v>73</v>
      </c>
      <c r="AN91" s="151">
        <f>IF(AC_Chart_Background_Data[[#This Row],[X]] &lt; EFC_99P-EFC_95P, EFC_95P, MAX(EFC_99P-AC_Chart_Background_Data[[#This Row],[X]],0))</f>
        <v>102</v>
      </c>
      <c r="AO91" s="151">
        <f t="shared" si="5"/>
        <v>190</v>
      </c>
      <c r="BA91" s="8"/>
      <c r="BB91" s="8"/>
      <c r="BC91" s="8"/>
      <c r="BD91" s="8"/>
    </row>
    <row r="92" spans="1:56" x14ac:dyDescent="0.3">
      <c r="AJ92" s="150">
        <f t="shared" si="7"/>
        <v>89</v>
      </c>
      <c r="AK92" s="151">
        <f>IF(AC_Chart_Background_Data[[#This Row],[X]] &lt; EFC_70P-EFC_50P, EFC_50P, MAX(EFC_70P-AC_Chart_Background_Data[[#This Row],[X]],0))</f>
        <v>28</v>
      </c>
      <c r="AL92" s="151">
        <f>IF(AC_Chart_Background_Data[[#This Row],[X]] &lt; EFC_85P-EFC_70P, EFC_70P, MAX(EFC_85P-AC_Chart_Background_Data[[#This Row],[X]],0))</f>
        <v>45</v>
      </c>
      <c r="AM92" s="151">
        <f>IF(AC_Chart_Background_Data[[#This Row],[X]] &lt; EFC_95P-EFC_85P, EFC_85P, MAX(EFC_95P-AC_Chart_Background_Data[[#This Row],[X]],0))</f>
        <v>72</v>
      </c>
      <c r="AN92" s="151">
        <f>IF(AC_Chart_Background_Data[[#This Row],[X]] &lt; EFC_99P-EFC_95P, EFC_95P, MAX(EFC_99P-AC_Chart_Background_Data[[#This Row],[X]],0))</f>
        <v>101</v>
      </c>
      <c r="AO92" s="151">
        <f t="shared" si="5"/>
        <v>190</v>
      </c>
      <c r="BA92" s="8"/>
      <c r="BB92" s="8"/>
      <c r="BC92" s="8"/>
      <c r="BD92" s="8"/>
    </row>
    <row r="93" spans="1:56" x14ac:dyDescent="0.3">
      <c r="AJ93" s="150">
        <f t="shared" si="7"/>
        <v>90</v>
      </c>
      <c r="AK93" s="151">
        <f>IF(AC_Chart_Background_Data[[#This Row],[X]] &lt; EFC_70P-EFC_50P, EFC_50P, MAX(EFC_70P-AC_Chart_Background_Data[[#This Row],[X]],0))</f>
        <v>27</v>
      </c>
      <c r="AL93" s="151">
        <f>IF(AC_Chart_Background_Data[[#This Row],[X]] &lt; EFC_85P-EFC_70P, EFC_70P, MAX(EFC_85P-AC_Chart_Background_Data[[#This Row],[X]],0))</f>
        <v>44</v>
      </c>
      <c r="AM93" s="151">
        <f>IF(AC_Chart_Background_Data[[#This Row],[X]] &lt; EFC_95P-EFC_85P, EFC_85P, MAX(EFC_95P-AC_Chart_Background_Data[[#This Row],[X]],0))</f>
        <v>71</v>
      </c>
      <c r="AN93" s="151">
        <f>IF(AC_Chart_Background_Data[[#This Row],[X]] &lt; EFC_99P-EFC_95P, EFC_95P, MAX(EFC_99P-AC_Chart_Background_Data[[#This Row],[X]],0))</f>
        <v>100</v>
      </c>
      <c r="AO93" s="151">
        <f t="shared" si="5"/>
        <v>190</v>
      </c>
      <c r="BA93" s="8"/>
      <c r="BB93" s="8"/>
      <c r="BC93" s="8"/>
      <c r="BD93" s="8"/>
    </row>
    <row r="94" spans="1:56" x14ac:dyDescent="0.3">
      <c r="AJ94" s="150">
        <f t="shared" si="7"/>
        <v>91</v>
      </c>
      <c r="AK94" s="151">
        <f>IF(AC_Chart_Background_Data[[#This Row],[X]] &lt; EFC_70P-EFC_50P, EFC_50P, MAX(EFC_70P-AC_Chart_Background_Data[[#This Row],[X]],0))</f>
        <v>26</v>
      </c>
      <c r="AL94" s="151">
        <f>IF(AC_Chart_Background_Data[[#This Row],[X]] &lt; EFC_85P-EFC_70P, EFC_70P, MAX(EFC_85P-AC_Chart_Background_Data[[#This Row],[X]],0))</f>
        <v>43</v>
      </c>
      <c r="AM94" s="151">
        <f>IF(AC_Chart_Background_Data[[#This Row],[X]] &lt; EFC_95P-EFC_85P, EFC_85P, MAX(EFC_95P-AC_Chart_Background_Data[[#This Row],[X]],0))</f>
        <v>70</v>
      </c>
      <c r="AN94" s="151">
        <f>IF(AC_Chart_Background_Data[[#This Row],[X]] &lt; EFC_99P-EFC_95P, EFC_95P, MAX(EFC_99P-AC_Chart_Background_Data[[#This Row],[X]],0))</f>
        <v>99</v>
      </c>
      <c r="AO94" s="151">
        <f t="shared" si="5"/>
        <v>190</v>
      </c>
      <c r="BA94" s="8"/>
      <c r="BB94" s="8"/>
      <c r="BC94" s="8"/>
      <c r="BD94" s="8"/>
    </row>
    <row r="95" spans="1:56" x14ac:dyDescent="0.3">
      <c r="AJ95" s="150">
        <f t="shared" si="7"/>
        <v>92</v>
      </c>
      <c r="AK95" s="151">
        <f>IF(AC_Chart_Background_Data[[#This Row],[X]] &lt; EFC_70P-EFC_50P, EFC_50P, MAX(EFC_70P-AC_Chart_Background_Data[[#This Row],[X]],0))</f>
        <v>25</v>
      </c>
      <c r="AL95" s="151">
        <f>IF(AC_Chart_Background_Data[[#This Row],[X]] &lt; EFC_85P-EFC_70P, EFC_70P, MAX(EFC_85P-AC_Chart_Background_Data[[#This Row],[X]],0))</f>
        <v>42</v>
      </c>
      <c r="AM95" s="151">
        <f>IF(AC_Chart_Background_Data[[#This Row],[X]] &lt; EFC_95P-EFC_85P, EFC_85P, MAX(EFC_95P-AC_Chart_Background_Data[[#This Row],[X]],0))</f>
        <v>69</v>
      </c>
      <c r="AN95" s="151">
        <f>IF(AC_Chart_Background_Data[[#This Row],[X]] &lt; EFC_99P-EFC_95P, EFC_95P, MAX(EFC_99P-AC_Chart_Background_Data[[#This Row],[X]],0))</f>
        <v>98</v>
      </c>
      <c r="AO95" s="151">
        <f t="shared" si="5"/>
        <v>190</v>
      </c>
      <c r="BA95" s="8"/>
      <c r="BB95" s="8"/>
      <c r="BC95" s="8"/>
      <c r="BD95" s="8"/>
    </row>
    <row r="96" spans="1:56" x14ac:dyDescent="0.3">
      <c r="AJ96" s="150">
        <f t="shared" si="7"/>
        <v>93</v>
      </c>
      <c r="AK96" s="151">
        <f>IF(AC_Chart_Background_Data[[#This Row],[X]] &lt; EFC_70P-EFC_50P, EFC_50P, MAX(EFC_70P-AC_Chart_Background_Data[[#This Row],[X]],0))</f>
        <v>24</v>
      </c>
      <c r="AL96" s="151">
        <f>IF(AC_Chart_Background_Data[[#This Row],[X]] &lt; EFC_85P-EFC_70P, EFC_70P, MAX(EFC_85P-AC_Chart_Background_Data[[#This Row],[X]],0))</f>
        <v>41</v>
      </c>
      <c r="AM96" s="151">
        <f>IF(AC_Chart_Background_Data[[#This Row],[X]] &lt; EFC_95P-EFC_85P, EFC_85P, MAX(EFC_95P-AC_Chart_Background_Data[[#This Row],[X]],0))</f>
        <v>68</v>
      </c>
      <c r="AN96" s="151">
        <f>IF(AC_Chart_Background_Data[[#This Row],[X]] &lt; EFC_99P-EFC_95P, EFC_95P, MAX(EFC_99P-AC_Chart_Background_Data[[#This Row],[X]],0))</f>
        <v>97</v>
      </c>
      <c r="AO96" s="151">
        <f t="shared" si="5"/>
        <v>190</v>
      </c>
      <c r="BA96" s="8"/>
      <c r="BB96" s="8"/>
      <c r="BC96" s="8"/>
      <c r="BD96" s="8"/>
    </row>
    <row r="97" spans="36:56" x14ac:dyDescent="0.3">
      <c r="AJ97" s="150">
        <f t="shared" si="7"/>
        <v>94</v>
      </c>
      <c r="AK97" s="151">
        <f>IF(AC_Chart_Background_Data[[#This Row],[X]] &lt; EFC_70P-EFC_50P, EFC_50P, MAX(EFC_70P-AC_Chart_Background_Data[[#This Row],[X]],0))</f>
        <v>23</v>
      </c>
      <c r="AL97" s="151">
        <f>IF(AC_Chart_Background_Data[[#This Row],[X]] &lt; EFC_85P-EFC_70P, EFC_70P, MAX(EFC_85P-AC_Chart_Background_Data[[#This Row],[X]],0))</f>
        <v>40</v>
      </c>
      <c r="AM97" s="151">
        <f>IF(AC_Chart_Background_Data[[#This Row],[X]] &lt; EFC_95P-EFC_85P, EFC_85P, MAX(EFC_95P-AC_Chart_Background_Data[[#This Row],[X]],0))</f>
        <v>67</v>
      </c>
      <c r="AN97" s="151">
        <f>IF(AC_Chart_Background_Data[[#This Row],[X]] &lt; EFC_99P-EFC_95P, EFC_95P, MAX(EFC_99P-AC_Chart_Background_Data[[#This Row],[X]],0))</f>
        <v>96</v>
      </c>
      <c r="AO97" s="151">
        <f t="shared" si="5"/>
        <v>190</v>
      </c>
      <c r="BA97" s="8"/>
      <c r="BB97" s="8"/>
      <c r="BC97" s="8"/>
      <c r="BD97" s="8"/>
    </row>
    <row r="98" spans="36:56" x14ac:dyDescent="0.3">
      <c r="AJ98" s="150">
        <f t="shared" si="7"/>
        <v>95</v>
      </c>
      <c r="AK98" s="151">
        <f>IF(AC_Chart_Background_Data[[#This Row],[X]] &lt; EFC_70P-EFC_50P, EFC_50P, MAX(EFC_70P-AC_Chart_Background_Data[[#This Row],[X]],0))</f>
        <v>22</v>
      </c>
      <c r="AL98" s="151">
        <f>IF(AC_Chart_Background_Data[[#This Row],[X]] &lt; EFC_85P-EFC_70P, EFC_70P, MAX(EFC_85P-AC_Chart_Background_Data[[#This Row],[X]],0))</f>
        <v>39</v>
      </c>
      <c r="AM98" s="151">
        <f>IF(AC_Chart_Background_Data[[#This Row],[X]] &lt; EFC_95P-EFC_85P, EFC_85P, MAX(EFC_95P-AC_Chart_Background_Data[[#This Row],[X]],0))</f>
        <v>66</v>
      </c>
      <c r="AN98" s="151">
        <f>IF(AC_Chart_Background_Data[[#This Row],[X]] &lt; EFC_99P-EFC_95P, EFC_95P, MAX(EFC_99P-AC_Chart_Background_Data[[#This Row],[X]],0))</f>
        <v>95</v>
      </c>
      <c r="AO98" s="151">
        <f t="shared" si="5"/>
        <v>190</v>
      </c>
      <c r="BA98" s="8"/>
      <c r="BB98" s="8"/>
      <c r="BC98" s="8"/>
      <c r="BD98" s="8"/>
    </row>
    <row r="99" spans="36:56" x14ac:dyDescent="0.3">
      <c r="AJ99" s="150">
        <f t="shared" si="7"/>
        <v>96</v>
      </c>
      <c r="AK99" s="151">
        <f>IF(AC_Chart_Background_Data[[#This Row],[X]] &lt; EFC_70P-EFC_50P, EFC_50P, MAX(EFC_70P-AC_Chart_Background_Data[[#This Row],[X]],0))</f>
        <v>21</v>
      </c>
      <c r="AL99" s="151">
        <f>IF(AC_Chart_Background_Data[[#This Row],[X]] &lt; EFC_85P-EFC_70P, EFC_70P, MAX(EFC_85P-AC_Chart_Background_Data[[#This Row],[X]],0))</f>
        <v>38</v>
      </c>
      <c r="AM99" s="151">
        <f>IF(AC_Chart_Background_Data[[#This Row],[X]] &lt; EFC_95P-EFC_85P, EFC_85P, MAX(EFC_95P-AC_Chart_Background_Data[[#This Row],[X]],0))</f>
        <v>65</v>
      </c>
      <c r="AN99" s="151">
        <f>IF(AC_Chart_Background_Data[[#This Row],[X]] &lt; EFC_99P-EFC_95P, EFC_95P, MAX(EFC_99P-AC_Chart_Background_Data[[#This Row],[X]],0))</f>
        <v>94</v>
      </c>
      <c r="AO99" s="151">
        <f t="shared" si="5"/>
        <v>190</v>
      </c>
      <c r="BA99" s="8"/>
      <c r="BB99" s="8"/>
      <c r="BC99" s="8"/>
      <c r="BD99" s="8"/>
    </row>
    <row r="100" spans="36:56" x14ac:dyDescent="0.3">
      <c r="AJ100" s="150">
        <f t="shared" si="7"/>
        <v>97</v>
      </c>
      <c r="AK100" s="151">
        <f>IF(AC_Chart_Background_Data[[#This Row],[X]] &lt; EFC_70P-EFC_50P, EFC_50P, MAX(EFC_70P-AC_Chart_Background_Data[[#This Row],[X]],0))</f>
        <v>20</v>
      </c>
      <c r="AL100" s="151">
        <f>IF(AC_Chart_Background_Data[[#This Row],[X]] &lt; EFC_85P-EFC_70P, EFC_70P, MAX(EFC_85P-AC_Chart_Background_Data[[#This Row],[X]],0))</f>
        <v>37</v>
      </c>
      <c r="AM100" s="151">
        <f>IF(AC_Chart_Background_Data[[#This Row],[X]] &lt; EFC_95P-EFC_85P, EFC_85P, MAX(EFC_95P-AC_Chart_Background_Data[[#This Row],[X]],0))</f>
        <v>64</v>
      </c>
      <c r="AN100" s="151">
        <f>IF(AC_Chart_Background_Data[[#This Row],[X]] &lt; EFC_99P-EFC_95P, EFC_95P, MAX(EFC_99P-AC_Chart_Background_Data[[#This Row],[X]],0))</f>
        <v>93</v>
      </c>
      <c r="AO100" s="151">
        <f t="shared" si="5"/>
        <v>190</v>
      </c>
      <c r="BA100" s="8"/>
      <c r="BB100" s="8"/>
      <c r="BC100" s="8"/>
      <c r="BD100" s="8"/>
    </row>
    <row r="101" spans="36:56" x14ac:dyDescent="0.3">
      <c r="AJ101" s="150">
        <f t="shared" si="7"/>
        <v>98</v>
      </c>
      <c r="AK101" s="151">
        <f>IF(AC_Chart_Background_Data[[#This Row],[X]] &lt; EFC_70P-EFC_50P, EFC_50P, MAX(EFC_70P-AC_Chart_Background_Data[[#This Row],[X]],0))</f>
        <v>19</v>
      </c>
      <c r="AL101" s="151">
        <f>IF(AC_Chart_Background_Data[[#This Row],[X]] &lt; EFC_85P-EFC_70P, EFC_70P, MAX(EFC_85P-AC_Chart_Background_Data[[#This Row],[X]],0))</f>
        <v>36</v>
      </c>
      <c r="AM101" s="151">
        <f>IF(AC_Chart_Background_Data[[#This Row],[X]] &lt; EFC_95P-EFC_85P, EFC_85P, MAX(EFC_95P-AC_Chart_Background_Data[[#This Row],[X]],0))</f>
        <v>63</v>
      </c>
      <c r="AN101" s="151">
        <f>IF(AC_Chart_Background_Data[[#This Row],[X]] &lt; EFC_99P-EFC_95P, EFC_95P, MAX(EFC_99P-AC_Chart_Background_Data[[#This Row],[X]],0))</f>
        <v>92</v>
      </c>
      <c r="AO101" s="151">
        <f t="shared" si="5"/>
        <v>190</v>
      </c>
      <c r="BA101" s="8"/>
      <c r="BB101" s="8"/>
      <c r="BC101" s="8"/>
      <c r="BD101" s="8"/>
    </row>
    <row r="102" spans="36:56" x14ac:dyDescent="0.3">
      <c r="AJ102" s="150">
        <f t="shared" si="7"/>
        <v>99</v>
      </c>
      <c r="AK102" s="151">
        <f>IF(AC_Chart_Background_Data[[#This Row],[X]] &lt; EFC_70P-EFC_50P, EFC_50P, MAX(EFC_70P-AC_Chart_Background_Data[[#This Row],[X]],0))</f>
        <v>18</v>
      </c>
      <c r="AL102" s="151">
        <f>IF(AC_Chart_Background_Data[[#This Row],[X]] &lt; EFC_85P-EFC_70P, EFC_70P, MAX(EFC_85P-AC_Chart_Background_Data[[#This Row],[X]],0))</f>
        <v>35</v>
      </c>
      <c r="AM102" s="151">
        <f>IF(AC_Chart_Background_Data[[#This Row],[X]] &lt; EFC_95P-EFC_85P, EFC_85P, MAX(EFC_95P-AC_Chart_Background_Data[[#This Row],[X]],0))</f>
        <v>62</v>
      </c>
      <c r="AN102" s="151">
        <f>IF(AC_Chart_Background_Data[[#This Row],[X]] &lt; EFC_99P-EFC_95P, EFC_95P, MAX(EFC_99P-AC_Chart_Background_Data[[#This Row],[X]],0))</f>
        <v>91</v>
      </c>
      <c r="AO102" s="151">
        <f t="shared" si="5"/>
        <v>190</v>
      </c>
      <c r="BA102" s="8"/>
      <c r="BB102" s="8"/>
      <c r="BC102" s="8"/>
      <c r="BD102" s="8"/>
    </row>
    <row r="103" spans="36:56" x14ac:dyDescent="0.3">
      <c r="AJ103" s="150">
        <f t="shared" si="7"/>
        <v>100</v>
      </c>
      <c r="AK103" s="151">
        <f>IF(AC_Chart_Background_Data[[#This Row],[X]] &lt; EFC_70P-EFC_50P, EFC_50P, MAX(EFC_70P-AC_Chart_Background_Data[[#This Row],[X]],0))</f>
        <v>17</v>
      </c>
      <c r="AL103" s="151">
        <f>IF(AC_Chart_Background_Data[[#This Row],[X]] &lt; EFC_85P-EFC_70P, EFC_70P, MAX(EFC_85P-AC_Chart_Background_Data[[#This Row],[X]],0))</f>
        <v>34</v>
      </c>
      <c r="AM103" s="151">
        <f>IF(AC_Chart_Background_Data[[#This Row],[X]] &lt; EFC_95P-EFC_85P, EFC_85P, MAX(EFC_95P-AC_Chart_Background_Data[[#This Row],[X]],0))</f>
        <v>61</v>
      </c>
      <c r="AN103" s="151">
        <f>IF(AC_Chart_Background_Data[[#This Row],[X]] &lt; EFC_99P-EFC_95P, EFC_95P, MAX(EFC_99P-AC_Chart_Background_Data[[#This Row],[X]],0))</f>
        <v>90</v>
      </c>
      <c r="AO103" s="151">
        <f t="shared" si="5"/>
        <v>190</v>
      </c>
      <c r="BA103" s="8"/>
      <c r="BB103" s="8"/>
      <c r="BC103" s="8"/>
      <c r="BD103" s="8"/>
    </row>
    <row r="104" spans="36:56" x14ac:dyDescent="0.3">
      <c r="AJ104" s="150">
        <f t="shared" si="7"/>
        <v>101</v>
      </c>
      <c r="AK104" s="151">
        <f>IF(AC_Chart_Background_Data[[#This Row],[X]] &lt; EFC_70P-EFC_50P, EFC_50P, MAX(EFC_70P-AC_Chart_Background_Data[[#This Row],[X]],0))</f>
        <v>16</v>
      </c>
      <c r="AL104" s="151">
        <f>IF(AC_Chart_Background_Data[[#This Row],[X]] &lt; EFC_85P-EFC_70P, EFC_70P, MAX(EFC_85P-AC_Chart_Background_Data[[#This Row],[X]],0))</f>
        <v>33</v>
      </c>
      <c r="AM104" s="151">
        <f>IF(AC_Chart_Background_Data[[#This Row],[X]] &lt; EFC_95P-EFC_85P, EFC_85P, MAX(EFC_95P-AC_Chart_Background_Data[[#This Row],[X]],0))</f>
        <v>60</v>
      </c>
      <c r="AN104" s="151">
        <f>IF(AC_Chart_Background_Data[[#This Row],[X]] &lt; EFC_99P-EFC_95P, EFC_95P, MAX(EFC_99P-AC_Chart_Background_Data[[#This Row],[X]],0))</f>
        <v>89</v>
      </c>
      <c r="AO104" s="151">
        <f t="shared" si="5"/>
        <v>190</v>
      </c>
      <c r="BA104" s="8"/>
      <c r="BB104" s="8"/>
      <c r="BC104" s="8"/>
      <c r="BD104" s="8"/>
    </row>
    <row r="105" spans="36:56" x14ac:dyDescent="0.3">
      <c r="AJ105" s="150">
        <f t="shared" si="7"/>
        <v>102</v>
      </c>
      <c r="AK105" s="151">
        <f>IF(AC_Chart_Background_Data[[#This Row],[X]] &lt; EFC_70P-EFC_50P, EFC_50P, MAX(EFC_70P-AC_Chart_Background_Data[[#This Row],[X]],0))</f>
        <v>15</v>
      </c>
      <c r="AL105" s="151">
        <f>IF(AC_Chart_Background_Data[[#This Row],[X]] &lt; EFC_85P-EFC_70P, EFC_70P, MAX(EFC_85P-AC_Chart_Background_Data[[#This Row],[X]],0))</f>
        <v>32</v>
      </c>
      <c r="AM105" s="151">
        <f>IF(AC_Chart_Background_Data[[#This Row],[X]] &lt; EFC_95P-EFC_85P, EFC_85P, MAX(EFC_95P-AC_Chart_Background_Data[[#This Row],[X]],0))</f>
        <v>59</v>
      </c>
      <c r="AN105" s="151">
        <f>IF(AC_Chart_Background_Data[[#This Row],[X]] &lt; EFC_99P-EFC_95P, EFC_95P, MAX(EFC_99P-AC_Chart_Background_Data[[#This Row],[X]],0))</f>
        <v>88</v>
      </c>
      <c r="AO105" s="151">
        <f t="shared" si="5"/>
        <v>190</v>
      </c>
      <c r="BA105" s="8"/>
      <c r="BB105" s="8"/>
      <c r="BC105" s="8"/>
      <c r="BD105" s="8"/>
    </row>
    <row r="106" spans="36:56" x14ac:dyDescent="0.3">
      <c r="AJ106" s="150">
        <f t="shared" si="7"/>
        <v>103</v>
      </c>
      <c r="AK106" s="151">
        <f>IF(AC_Chart_Background_Data[[#This Row],[X]] &lt; EFC_70P-EFC_50P, EFC_50P, MAX(EFC_70P-AC_Chart_Background_Data[[#This Row],[X]],0))</f>
        <v>14</v>
      </c>
      <c r="AL106" s="151">
        <f>IF(AC_Chart_Background_Data[[#This Row],[X]] &lt; EFC_85P-EFC_70P, EFC_70P, MAX(EFC_85P-AC_Chart_Background_Data[[#This Row],[X]],0))</f>
        <v>31</v>
      </c>
      <c r="AM106" s="151">
        <f>IF(AC_Chart_Background_Data[[#This Row],[X]] &lt; EFC_95P-EFC_85P, EFC_85P, MAX(EFC_95P-AC_Chart_Background_Data[[#This Row],[X]],0))</f>
        <v>58</v>
      </c>
      <c r="AN106" s="151">
        <f>IF(AC_Chart_Background_Data[[#This Row],[X]] &lt; EFC_99P-EFC_95P, EFC_95P, MAX(EFC_99P-AC_Chart_Background_Data[[#This Row],[X]],0))</f>
        <v>87</v>
      </c>
      <c r="AO106" s="151">
        <f t="shared" si="5"/>
        <v>190</v>
      </c>
      <c r="BA106" s="8"/>
      <c r="BB106" s="8"/>
      <c r="BC106" s="8"/>
      <c r="BD106" s="8"/>
    </row>
    <row r="107" spans="36:56" x14ac:dyDescent="0.3">
      <c r="AJ107" s="150">
        <f t="shared" si="7"/>
        <v>104</v>
      </c>
      <c r="AK107" s="151">
        <f>IF(AC_Chart_Background_Data[[#This Row],[X]] &lt; EFC_70P-EFC_50P, EFC_50P, MAX(EFC_70P-AC_Chart_Background_Data[[#This Row],[X]],0))</f>
        <v>13</v>
      </c>
      <c r="AL107" s="151">
        <f>IF(AC_Chart_Background_Data[[#This Row],[X]] &lt; EFC_85P-EFC_70P, EFC_70P, MAX(EFC_85P-AC_Chart_Background_Data[[#This Row],[X]],0))</f>
        <v>30</v>
      </c>
      <c r="AM107" s="151">
        <f>IF(AC_Chart_Background_Data[[#This Row],[X]] &lt; EFC_95P-EFC_85P, EFC_85P, MAX(EFC_95P-AC_Chart_Background_Data[[#This Row],[X]],0))</f>
        <v>57</v>
      </c>
      <c r="AN107" s="151">
        <f>IF(AC_Chart_Background_Data[[#This Row],[X]] &lt; EFC_99P-EFC_95P, EFC_95P, MAX(EFC_99P-AC_Chart_Background_Data[[#This Row],[X]],0))</f>
        <v>86</v>
      </c>
      <c r="AO107" s="151">
        <f t="shared" si="5"/>
        <v>190</v>
      </c>
      <c r="BA107" s="8"/>
      <c r="BB107" s="8"/>
      <c r="BC107" s="8"/>
      <c r="BD107" s="8"/>
    </row>
    <row r="108" spans="36:56" x14ac:dyDescent="0.3">
      <c r="AJ108" s="150">
        <f t="shared" si="7"/>
        <v>105</v>
      </c>
      <c r="AK108" s="151">
        <f>IF(AC_Chart_Background_Data[[#This Row],[X]] &lt; EFC_70P-EFC_50P, EFC_50P, MAX(EFC_70P-AC_Chart_Background_Data[[#This Row],[X]],0))</f>
        <v>12</v>
      </c>
      <c r="AL108" s="151">
        <f>IF(AC_Chart_Background_Data[[#This Row],[X]] &lt; EFC_85P-EFC_70P, EFC_70P, MAX(EFC_85P-AC_Chart_Background_Data[[#This Row],[X]],0))</f>
        <v>29</v>
      </c>
      <c r="AM108" s="151">
        <f>IF(AC_Chart_Background_Data[[#This Row],[X]] &lt; EFC_95P-EFC_85P, EFC_85P, MAX(EFC_95P-AC_Chart_Background_Data[[#This Row],[X]],0))</f>
        <v>56</v>
      </c>
      <c r="AN108" s="151">
        <f>IF(AC_Chart_Background_Data[[#This Row],[X]] &lt; EFC_99P-EFC_95P, EFC_95P, MAX(EFC_99P-AC_Chart_Background_Data[[#This Row],[X]],0))</f>
        <v>85</v>
      </c>
      <c r="AO108" s="151">
        <f t="shared" si="5"/>
        <v>190</v>
      </c>
      <c r="BA108" s="8"/>
      <c r="BB108" s="8"/>
      <c r="BC108" s="8"/>
      <c r="BD108" s="8"/>
    </row>
    <row r="109" spans="36:56" x14ac:dyDescent="0.3">
      <c r="AJ109" s="150">
        <f t="shared" si="7"/>
        <v>106</v>
      </c>
      <c r="AK109" s="151">
        <f>IF(AC_Chart_Background_Data[[#This Row],[X]] &lt; EFC_70P-EFC_50P, EFC_50P, MAX(EFC_70P-AC_Chart_Background_Data[[#This Row],[X]],0))</f>
        <v>11</v>
      </c>
      <c r="AL109" s="151">
        <f>IF(AC_Chart_Background_Data[[#This Row],[X]] &lt; EFC_85P-EFC_70P, EFC_70P, MAX(EFC_85P-AC_Chart_Background_Data[[#This Row],[X]],0))</f>
        <v>28</v>
      </c>
      <c r="AM109" s="151">
        <f>IF(AC_Chart_Background_Data[[#This Row],[X]] &lt; EFC_95P-EFC_85P, EFC_85P, MAX(EFC_95P-AC_Chart_Background_Data[[#This Row],[X]],0))</f>
        <v>55</v>
      </c>
      <c r="AN109" s="151">
        <f>IF(AC_Chart_Background_Data[[#This Row],[X]] &lt; EFC_99P-EFC_95P, EFC_95P, MAX(EFC_99P-AC_Chart_Background_Data[[#This Row],[X]],0))</f>
        <v>84</v>
      </c>
      <c r="AO109" s="151">
        <f t="shared" si="5"/>
        <v>190</v>
      </c>
      <c r="BA109" s="8"/>
      <c r="BB109" s="8"/>
      <c r="BC109" s="8"/>
      <c r="BD109" s="8"/>
    </row>
    <row r="110" spans="36:56" x14ac:dyDescent="0.3">
      <c r="AJ110" s="150">
        <f t="shared" si="7"/>
        <v>107</v>
      </c>
      <c r="AK110" s="151">
        <f>IF(AC_Chart_Background_Data[[#This Row],[X]] &lt; EFC_70P-EFC_50P, EFC_50P, MAX(EFC_70P-AC_Chart_Background_Data[[#This Row],[X]],0))</f>
        <v>10</v>
      </c>
      <c r="AL110" s="151">
        <f>IF(AC_Chart_Background_Data[[#This Row],[X]] &lt; EFC_85P-EFC_70P, EFC_70P, MAX(EFC_85P-AC_Chart_Background_Data[[#This Row],[X]],0))</f>
        <v>27</v>
      </c>
      <c r="AM110" s="151">
        <f>IF(AC_Chart_Background_Data[[#This Row],[X]] &lt; EFC_95P-EFC_85P, EFC_85P, MAX(EFC_95P-AC_Chart_Background_Data[[#This Row],[X]],0))</f>
        <v>54</v>
      </c>
      <c r="AN110" s="151">
        <f>IF(AC_Chart_Background_Data[[#This Row],[X]] &lt; EFC_99P-EFC_95P, EFC_95P, MAX(EFC_99P-AC_Chart_Background_Data[[#This Row],[X]],0))</f>
        <v>83</v>
      </c>
      <c r="AO110" s="151">
        <f t="shared" si="5"/>
        <v>190</v>
      </c>
      <c r="BA110" s="8"/>
      <c r="BB110" s="8"/>
      <c r="BC110" s="8"/>
      <c r="BD110" s="8"/>
    </row>
    <row r="111" spans="36:56" x14ac:dyDescent="0.3">
      <c r="AJ111" s="150">
        <f t="shared" si="7"/>
        <v>108</v>
      </c>
      <c r="AK111" s="151">
        <f>IF(AC_Chart_Background_Data[[#This Row],[X]] &lt; EFC_70P-EFC_50P, EFC_50P, MAX(EFC_70P-AC_Chart_Background_Data[[#This Row],[X]],0))</f>
        <v>9</v>
      </c>
      <c r="AL111" s="151">
        <f>IF(AC_Chart_Background_Data[[#This Row],[X]] &lt; EFC_85P-EFC_70P, EFC_70P, MAX(EFC_85P-AC_Chart_Background_Data[[#This Row],[X]],0))</f>
        <v>26</v>
      </c>
      <c r="AM111" s="151">
        <f>IF(AC_Chart_Background_Data[[#This Row],[X]] &lt; EFC_95P-EFC_85P, EFC_85P, MAX(EFC_95P-AC_Chart_Background_Data[[#This Row],[X]],0))</f>
        <v>53</v>
      </c>
      <c r="AN111" s="151">
        <f>IF(AC_Chart_Background_Data[[#This Row],[X]] &lt; EFC_99P-EFC_95P, EFC_95P, MAX(EFC_99P-AC_Chart_Background_Data[[#This Row],[X]],0))</f>
        <v>82</v>
      </c>
      <c r="AO111" s="151">
        <f t="shared" si="5"/>
        <v>190</v>
      </c>
      <c r="BA111" s="8"/>
      <c r="BB111" s="8"/>
      <c r="BC111" s="8"/>
      <c r="BD111" s="8"/>
    </row>
    <row r="112" spans="36:56" x14ac:dyDescent="0.3">
      <c r="AJ112" s="150">
        <f t="shared" si="7"/>
        <v>109</v>
      </c>
      <c r="AK112" s="151">
        <f>IF(AC_Chart_Background_Data[[#This Row],[X]] &lt; EFC_70P-EFC_50P, EFC_50P, MAX(EFC_70P-AC_Chart_Background_Data[[#This Row],[X]],0))</f>
        <v>8</v>
      </c>
      <c r="AL112" s="151">
        <f>IF(AC_Chart_Background_Data[[#This Row],[X]] &lt; EFC_85P-EFC_70P, EFC_70P, MAX(EFC_85P-AC_Chart_Background_Data[[#This Row],[X]],0))</f>
        <v>25</v>
      </c>
      <c r="AM112" s="151">
        <f>IF(AC_Chart_Background_Data[[#This Row],[X]] &lt; EFC_95P-EFC_85P, EFC_85P, MAX(EFC_95P-AC_Chart_Background_Data[[#This Row],[X]],0))</f>
        <v>52</v>
      </c>
      <c r="AN112" s="151">
        <f>IF(AC_Chart_Background_Data[[#This Row],[X]] &lt; EFC_99P-EFC_95P, EFC_95P, MAX(EFC_99P-AC_Chart_Background_Data[[#This Row],[X]],0))</f>
        <v>81</v>
      </c>
      <c r="AO112" s="151">
        <f t="shared" si="5"/>
        <v>190</v>
      </c>
      <c r="BA112" s="8"/>
      <c r="BB112" s="8"/>
      <c r="BC112" s="8"/>
      <c r="BD112" s="8"/>
    </row>
    <row r="113" spans="36:56" x14ac:dyDescent="0.3">
      <c r="AJ113" s="150">
        <f t="shared" si="7"/>
        <v>110</v>
      </c>
      <c r="AK113" s="151">
        <f>IF(AC_Chart_Background_Data[[#This Row],[X]] &lt; EFC_70P-EFC_50P, EFC_50P, MAX(EFC_70P-AC_Chart_Background_Data[[#This Row],[X]],0))</f>
        <v>7</v>
      </c>
      <c r="AL113" s="151">
        <f>IF(AC_Chart_Background_Data[[#This Row],[X]] &lt; EFC_85P-EFC_70P, EFC_70P, MAX(EFC_85P-AC_Chart_Background_Data[[#This Row],[X]],0))</f>
        <v>24</v>
      </c>
      <c r="AM113" s="151">
        <f>IF(AC_Chart_Background_Data[[#This Row],[X]] &lt; EFC_95P-EFC_85P, EFC_85P, MAX(EFC_95P-AC_Chart_Background_Data[[#This Row],[X]],0))</f>
        <v>51</v>
      </c>
      <c r="AN113" s="151">
        <f>IF(AC_Chart_Background_Data[[#This Row],[X]] &lt; EFC_99P-EFC_95P, EFC_95P, MAX(EFC_99P-AC_Chart_Background_Data[[#This Row],[X]],0))</f>
        <v>80</v>
      </c>
      <c r="AO113" s="151">
        <f t="shared" si="5"/>
        <v>190</v>
      </c>
      <c r="BA113" s="8"/>
      <c r="BB113" s="8"/>
      <c r="BC113" s="8"/>
      <c r="BD113" s="8"/>
    </row>
    <row r="114" spans="36:56" x14ac:dyDescent="0.3">
      <c r="AJ114" s="150">
        <f t="shared" si="7"/>
        <v>111</v>
      </c>
      <c r="AK114" s="151">
        <f>IF(AC_Chart_Background_Data[[#This Row],[X]] &lt; EFC_70P-EFC_50P, EFC_50P, MAX(EFC_70P-AC_Chart_Background_Data[[#This Row],[X]],0))</f>
        <v>6</v>
      </c>
      <c r="AL114" s="151">
        <f>IF(AC_Chart_Background_Data[[#This Row],[X]] &lt; EFC_85P-EFC_70P, EFC_70P, MAX(EFC_85P-AC_Chart_Background_Data[[#This Row],[X]],0))</f>
        <v>23</v>
      </c>
      <c r="AM114" s="151">
        <f>IF(AC_Chart_Background_Data[[#This Row],[X]] &lt; EFC_95P-EFC_85P, EFC_85P, MAX(EFC_95P-AC_Chart_Background_Data[[#This Row],[X]],0))</f>
        <v>50</v>
      </c>
      <c r="AN114" s="151">
        <f>IF(AC_Chart_Background_Data[[#This Row],[X]] &lt; EFC_99P-EFC_95P, EFC_95P, MAX(EFC_99P-AC_Chart_Background_Data[[#This Row],[X]],0))</f>
        <v>79</v>
      </c>
      <c r="AO114" s="151">
        <f t="shared" si="5"/>
        <v>190</v>
      </c>
      <c r="BA114" s="8"/>
      <c r="BB114" s="8"/>
      <c r="BC114" s="8"/>
      <c r="BD114" s="8"/>
    </row>
    <row r="115" spans="36:56" x14ac:dyDescent="0.3">
      <c r="AJ115" s="150">
        <f t="shared" si="7"/>
        <v>112</v>
      </c>
      <c r="AK115" s="151">
        <f>IF(AC_Chart_Background_Data[[#This Row],[X]] &lt; EFC_70P-EFC_50P, EFC_50P, MAX(EFC_70P-AC_Chart_Background_Data[[#This Row],[X]],0))</f>
        <v>5</v>
      </c>
      <c r="AL115" s="151">
        <f>IF(AC_Chart_Background_Data[[#This Row],[X]] &lt; EFC_85P-EFC_70P, EFC_70P, MAX(EFC_85P-AC_Chart_Background_Data[[#This Row],[X]],0))</f>
        <v>22</v>
      </c>
      <c r="AM115" s="151">
        <f>IF(AC_Chart_Background_Data[[#This Row],[X]] &lt; EFC_95P-EFC_85P, EFC_85P, MAX(EFC_95P-AC_Chart_Background_Data[[#This Row],[X]],0))</f>
        <v>49</v>
      </c>
      <c r="AN115" s="151">
        <f>IF(AC_Chart_Background_Data[[#This Row],[X]] &lt; EFC_99P-EFC_95P, EFC_95P, MAX(EFC_99P-AC_Chart_Background_Data[[#This Row],[X]],0))</f>
        <v>78</v>
      </c>
      <c r="AO115" s="151">
        <f t="shared" si="5"/>
        <v>190</v>
      </c>
      <c r="BA115" s="8"/>
      <c r="BB115" s="8"/>
      <c r="BC115" s="8"/>
      <c r="BD115" s="8"/>
    </row>
    <row r="116" spans="36:56" x14ac:dyDescent="0.3">
      <c r="AJ116" s="150">
        <f t="shared" si="7"/>
        <v>113</v>
      </c>
      <c r="AK116" s="151">
        <f>IF(AC_Chart_Background_Data[[#This Row],[X]] &lt; EFC_70P-EFC_50P, EFC_50P, MAX(EFC_70P-AC_Chart_Background_Data[[#This Row],[X]],0))</f>
        <v>4</v>
      </c>
      <c r="AL116" s="151">
        <f>IF(AC_Chart_Background_Data[[#This Row],[X]] &lt; EFC_85P-EFC_70P, EFC_70P, MAX(EFC_85P-AC_Chart_Background_Data[[#This Row],[X]],0))</f>
        <v>21</v>
      </c>
      <c r="AM116" s="151">
        <f>IF(AC_Chart_Background_Data[[#This Row],[X]] &lt; EFC_95P-EFC_85P, EFC_85P, MAX(EFC_95P-AC_Chart_Background_Data[[#This Row],[X]],0))</f>
        <v>48</v>
      </c>
      <c r="AN116" s="151">
        <f>IF(AC_Chart_Background_Data[[#This Row],[X]] &lt; EFC_99P-EFC_95P, EFC_95P, MAX(EFC_99P-AC_Chart_Background_Data[[#This Row],[X]],0))</f>
        <v>77</v>
      </c>
      <c r="AO116" s="151">
        <f t="shared" si="5"/>
        <v>190</v>
      </c>
      <c r="BA116" s="8"/>
      <c r="BB116" s="8"/>
      <c r="BC116" s="8"/>
      <c r="BD116" s="8"/>
    </row>
    <row r="117" spans="36:56" x14ac:dyDescent="0.3">
      <c r="AJ117" s="150">
        <f t="shared" si="7"/>
        <v>114</v>
      </c>
      <c r="AK117" s="151">
        <f>IF(AC_Chart_Background_Data[[#This Row],[X]] &lt; EFC_70P-EFC_50P, EFC_50P, MAX(EFC_70P-AC_Chart_Background_Data[[#This Row],[X]],0))</f>
        <v>3</v>
      </c>
      <c r="AL117" s="151">
        <f>IF(AC_Chart_Background_Data[[#This Row],[X]] &lt; EFC_85P-EFC_70P, EFC_70P, MAX(EFC_85P-AC_Chart_Background_Data[[#This Row],[X]],0))</f>
        <v>20</v>
      </c>
      <c r="AM117" s="151">
        <f>IF(AC_Chart_Background_Data[[#This Row],[X]] &lt; EFC_95P-EFC_85P, EFC_85P, MAX(EFC_95P-AC_Chart_Background_Data[[#This Row],[X]],0))</f>
        <v>47</v>
      </c>
      <c r="AN117" s="151">
        <f>IF(AC_Chart_Background_Data[[#This Row],[X]] &lt; EFC_99P-EFC_95P, EFC_95P, MAX(EFC_99P-AC_Chart_Background_Data[[#This Row],[X]],0))</f>
        <v>76</v>
      </c>
      <c r="AO117" s="151">
        <f t="shared" si="5"/>
        <v>190</v>
      </c>
      <c r="BA117" s="8"/>
      <c r="BB117" s="8"/>
      <c r="BC117" s="8"/>
      <c r="BD117" s="8"/>
    </row>
    <row r="118" spans="36:56" x14ac:dyDescent="0.3">
      <c r="AJ118" s="150">
        <f t="shared" si="7"/>
        <v>115</v>
      </c>
      <c r="AK118" s="151">
        <f>IF(AC_Chart_Background_Data[[#This Row],[X]] &lt; EFC_70P-EFC_50P, EFC_50P, MAX(EFC_70P-AC_Chart_Background_Data[[#This Row],[X]],0))</f>
        <v>2</v>
      </c>
      <c r="AL118" s="151">
        <f>IF(AC_Chart_Background_Data[[#This Row],[X]] &lt; EFC_85P-EFC_70P, EFC_70P, MAX(EFC_85P-AC_Chart_Background_Data[[#This Row],[X]],0))</f>
        <v>19</v>
      </c>
      <c r="AM118" s="151">
        <f>IF(AC_Chart_Background_Data[[#This Row],[X]] &lt; EFC_95P-EFC_85P, EFC_85P, MAX(EFC_95P-AC_Chart_Background_Data[[#This Row],[X]],0))</f>
        <v>46</v>
      </c>
      <c r="AN118" s="151">
        <f>IF(AC_Chart_Background_Data[[#This Row],[X]] &lt; EFC_99P-EFC_95P, EFC_95P, MAX(EFC_99P-AC_Chart_Background_Data[[#This Row],[X]],0))</f>
        <v>75</v>
      </c>
      <c r="AO118" s="151">
        <f t="shared" si="5"/>
        <v>190</v>
      </c>
      <c r="BA118" s="8"/>
      <c r="BB118" s="8"/>
      <c r="BC118" s="8"/>
      <c r="BD118" s="8"/>
    </row>
    <row r="119" spans="36:56" x14ac:dyDescent="0.3">
      <c r="AJ119" s="150">
        <f t="shared" si="7"/>
        <v>116</v>
      </c>
      <c r="AK119" s="151">
        <f>IF(AC_Chart_Background_Data[[#This Row],[X]] &lt; EFC_70P-EFC_50P, EFC_50P, MAX(EFC_70P-AC_Chart_Background_Data[[#This Row],[X]],0))</f>
        <v>1</v>
      </c>
      <c r="AL119" s="151">
        <f>IF(AC_Chart_Background_Data[[#This Row],[X]] &lt; EFC_85P-EFC_70P, EFC_70P, MAX(EFC_85P-AC_Chart_Background_Data[[#This Row],[X]],0))</f>
        <v>18</v>
      </c>
      <c r="AM119" s="151">
        <f>IF(AC_Chart_Background_Data[[#This Row],[X]] &lt; EFC_95P-EFC_85P, EFC_85P, MAX(EFC_95P-AC_Chart_Background_Data[[#This Row],[X]],0))</f>
        <v>45</v>
      </c>
      <c r="AN119" s="151">
        <f>IF(AC_Chart_Background_Data[[#This Row],[X]] &lt; EFC_99P-EFC_95P, EFC_95P, MAX(EFC_99P-AC_Chart_Background_Data[[#This Row],[X]],0))</f>
        <v>74</v>
      </c>
      <c r="AO119" s="151">
        <f t="shared" si="5"/>
        <v>190</v>
      </c>
      <c r="BA119" s="8"/>
      <c r="BB119" s="8"/>
      <c r="BC119" s="8"/>
      <c r="BD119" s="8"/>
    </row>
    <row r="120" spans="36:56" x14ac:dyDescent="0.3">
      <c r="AJ120" s="150">
        <f t="shared" si="7"/>
        <v>117</v>
      </c>
      <c r="AK120" s="151">
        <f>IF(AC_Chart_Background_Data[[#This Row],[X]] &lt; EFC_70P-EFC_50P, EFC_50P, MAX(EFC_70P-AC_Chart_Background_Data[[#This Row],[X]],0))</f>
        <v>0</v>
      </c>
      <c r="AL120" s="151">
        <f>IF(AC_Chart_Background_Data[[#This Row],[X]] &lt; EFC_85P-EFC_70P, EFC_70P, MAX(EFC_85P-AC_Chart_Background_Data[[#This Row],[X]],0))</f>
        <v>17</v>
      </c>
      <c r="AM120" s="151">
        <f>IF(AC_Chart_Background_Data[[#This Row],[X]] &lt; EFC_95P-EFC_85P, EFC_85P, MAX(EFC_95P-AC_Chart_Background_Data[[#This Row],[X]],0))</f>
        <v>44</v>
      </c>
      <c r="AN120" s="151">
        <f>IF(AC_Chart_Background_Data[[#This Row],[X]] &lt; EFC_99P-EFC_95P, EFC_95P, MAX(EFC_99P-AC_Chart_Background_Data[[#This Row],[X]],0))</f>
        <v>73</v>
      </c>
      <c r="AO120" s="151">
        <f t="shared" si="5"/>
        <v>190</v>
      </c>
      <c r="BA120" s="8"/>
      <c r="BB120" s="8"/>
      <c r="BC120" s="8"/>
      <c r="BD120" s="8"/>
    </row>
    <row r="121" spans="36:56" x14ac:dyDescent="0.3">
      <c r="AJ121" s="150">
        <f t="shared" si="7"/>
        <v>118</v>
      </c>
      <c r="AK121" s="151">
        <f>IF(AC_Chart_Background_Data[[#This Row],[X]] &lt; EFC_70P-EFC_50P, EFC_50P, MAX(EFC_70P-AC_Chart_Background_Data[[#This Row],[X]],0))</f>
        <v>0</v>
      </c>
      <c r="AL121" s="151">
        <f>IF(AC_Chart_Background_Data[[#This Row],[X]] &lt; EFC_85P-EFC_70P, EFC_70P, MAX(EFC_85P-AC_Chart_Background_Data[[#This Row],[X]],0))</f>
        <v>16</v>
      </c>
      <c r="AM121" s="151">
        <f>IF(AC_Chart_Background_Data[[#This Row],[X]] &lt; EFC_95P-EFC_85P, EFC_85P, MAX(EFC_95P-AC_Chart_Background_Data[[#This Row],[X]],0))</f>
        <v>43</v>
      </c>
      <c r="AN121" s="151">
        <f>IF(AC_Chart_Background_Data[[#This Row],[X]] &lt; EFC_99P-EFC_95P, EFC_95P, MAX(EFC_99P-AC_Chart_Background_Data[[#This Row],[X]],0))</f>
        <v>72</v>
      </c>
      <c r="AO121" s="151">
        <f t="shared" si="5"/>
        <v>190</v>
      </c>
      <c r="BA121" s="8"/>
      <c r="BB121" s="8"/>
      <c r="BC121" s="8"/>
      <c r="BD121" s="8"/>
    </row>
    <row r="122" spans="36:56" x14ac:dyDescent="0.3">
      <c r="AJ122" s="150">
        <f t="shared" si="7"/>
        <v>119</v>
      </c>
      <c r="AK122" s="151">
        <f>IF(AC_Chart_Background_Data[[#This Row],[X]] &lt; EFC_70P-EFC_50P, EFC_50P, MAX(EFC_70P-AC_Chart_Background_Data[[#This Row],[X]],0))</f>
        <v>0</v>
      </c>
      <c r="AL122" s="151">
        <f>IF(AC_Chart_Background_Data[[#This Row],[X]] &lt; EFC_85P-EFC_70P, EFC_70P, MAX(EFC_85P-AC_Chart_Background_Data[[#This Row],[X]],0))</f>
        <v>15</v>
      </c>
      <c r="AM122" s="151">
        <f>IF(AC_Chart_Background_Data[[#This Row],[X]] &lt; EFC_95P-EFC_85P, EFC_85P, MAX(EFC_95P-AC_Chart_Background_Data[[#This Row],[X]],0))</f>
        <v>42</v>
      </c>
      <c r="AN122" s="151">
        <f>IF(AC_Chart_Background_Data[[#This Row],[X]] &lt; EFC_99P-EFC_95P, EFC_95P, MAX(EFC_99P-AC_Chart_Background_Data[[#This Row],[X]],0))</f>
        <v>71</v>
      </c>
      <c r="AO122" s="151">
        <f t="shared" si="5"/>
        <v>190</v>
      </c>
      <c r="BA122" s="8"/>
      <c r="BB122" s="8"/>
      <c r="BC122" s="8"/>
      <c r="BD122" s="8"/>
    </row>
    <row r="123" spans="36:56" x14ac:dyDescent="0.3">
      <c r="AJ123" s="150">
        <f t="shared" si="7"/>
        <v>120</v>
      </c>
      <c r="AK123" s="151">
        <f>IF(AC_Chart_Background_Data[[#This Row],[X]] &lt; EFC_70P-EFC_50P, EFC_50P, MAX(EFC_70P-AC_Chart_Background_Data[[#This Row],[X]],0))</f>
        <v>0</v>
      </c>
      <c r="AL123" s="151">
        <f>IF(AC_Chart_Background_Data[[#This Row],[X]] &lt; EFC_85P-EFC_70P, EFC_70P, MAX(EFC_85P-AC_Chart_Background_Data[[#This Row],[X]],0))</f>
        <v>14</v>
      </c>
      <c r="AM123" s="151">
        <f>IF(AC_Chart_Background_Data[[#This Row],[X]] &lt; EFC_95P-EFC_85P, EFC_85P, MAX(EFC_95P-AC_Chart_Background_Data[[#This Row],[X]],0))</f>
        <v>41</v>
      </c>
      <c r="AN123" s="151">
        <f>IF(AC_Chart_Background_Data[[#This Row],[X]] &lt; EFC_99P-EFC_95P, EFC_95P, MAX(EFC_99P-AC_Chart_Background_Data[[#This Row],[X]],0))</f>
        <v>70</v>
      </c>
      <c r="AO123" s="151">
        <f t="shared" si="5"/>
        <v>190</v>
      </c>
      <c r="BA123" s="8"/>
      <c r="BB123" s="8"/>
      <c r="BC123" s="8"/>
      <c r="BD123" s="8"/>
    </row>
    <row r="124" spans="36:56" x14ac:dyDescent="0.3">
      <c r="AJ124" s="150">
        <f t="shared" si="7"/>
        <v>121</v>
      </c>
      <c r="AK124" s="151">
        <f>IF(AC_Chart_Background_Data[[#This Row],[X]] &lt; EFC_70P-EFC_50P, EFC_50P, MAX(EFC_70P-AC_Chart_Background_Data[[#This Row],[X]],0))</f>
        <v>0</v>
      </c>
      <c r="AL124" s="151">
        <f>IF(AC_Chart_Background_Data[[#This Row],[X]] &lt; EFC_85P-EFC_70P, EFC_70P, MAX(EFC_85P-AC_Chart_Background_Data[[#This Row],[X]],0))</f>
        <v>13</v>
      </c>
      <c r="AM124" s="151">
        <f>IF(AC_Chart_Background_Data[[#This Row],[X]] &lt; EFC_95P-EFC_85P, EFC_85P, MAX(EFC_95P-AC_Chart_Background_Data[[#This Row],[X]],0))</f>
        <v>40</v>
      </c>
      <c r="AN124" s="151">
        <f>IF(AC_Chart_Background_Data[[#This Row],[X]] &lt; EFC_99P-EFC_95P, EFC_95P, MAX(EFC_99P-AC_Chart_Background_Data[[#This Row],[X]],0))</f>
        <v>69</v>
      </c>
      <c r="AO124" s="151">
        <f t="shared" si="5"/>
        <v>190</v>
      </c>
      <c r="BA124" s="8"/>
      <c r="BB124" s="8"/>
      <c r="BC124" s="8"/>
      <c r="BD124" s="8"/>
    </row>
    <row r="125" spans="36:56" x14ac:dyDescent="0.3">
      <c r="AJ125" s="150">
        <f t="shared" si="7"/>
        <v>122</v>
      </c>
      <c r="AK125" s="151">
        <f>IF(AC_Chart_Background_Data[[#This Row],[X]] &lt; EFC_70P-EFC_50P, EFC_50P, MAX(EFC_70P-AC_Chart_Background_Data[[#This Row],[X]],0))</f>
        <v>0</v>
      </c>
      <c r="AL125" s="151">
        <f>IF(AC_Chart_Background_Data[[#This Row],[X]] &lt; EFC_85P-EFC_70P, EFC_70P, MAX(EFC_85P-AC_Chart_Background_Data[[#This Row],[X]],0))</f>
        <v>12</v>
      </c>
      <c r="AM125" s="151">
        <f>IF(AC_Chart_Background_Data[[#This Row],[X]] &lt; EFC_95P-EFC_85P, EFC_85P, MAX(EFC_95P-AC_Chart_Background_Data[[#This Row],[X]],0))</f>
        <v>39</v>
      </c>
      <c r="AN125" s="151">
        <f>IF(AC_Chart_Background_Data[[#This Row],[X]] &lt; EFC_99P-EFC_95P, EFC_95P, MAX(EFC_99P-AC_Chart_Background_Data[[#This Row],[X]],0))</f>
        <v>68</v>
      </c>
      <c r="AO125" s="151">
        <f t="shared" si="5"/>
        <v>190</v>
      </c>
      <c r="BA125" s="8"/>
      <c r="BB125" s="8"/>
      <c r="BC125" s="8"/>
      <c r="BD125" s="8"/>
    </row>
    <row r="126" spans="36:56" x14ac:dyDescent="0.3">
      <c r="AJ126" s="150">
        <f t="shared" si="7"/>
        <v>123</v>
      </c>
      <c r="AK126" s="151">
        <f>IF(AC_Chart_Background_Data[[#This Row],[X]] &lt; EFC_70P-EFC_50P, EFC_50P, MAX(EFC_70P-AC_Chart_Background_Data[[#This Row],[X]],0))</f>
        <v>0</v>
      </c>
      <c r="AL126" s="151">
        <f>IF(AC_Chart_Background_Data[[#This Row],[X]] &lt; EFC_85P-EFC_70P, EFC_70P, MAX(EFC_85P-AC_Chart_Background_Data[[#This Row],[X]],0))</f>
        <v>11</v>
      </c>
      <c r="AM126" s="151">
        <f>IF(AC_Chart_Background_Data[[#This Row],[X]] &lt; EFC_95P-EFC_85P, EFC_85P, MAX(EFC_95P-AC_Chart_Background_Data[[#This Row],[X]],0))</f>
        <v>38</v>
      </c>
      <c r="AN126" s="151">
        <f>IF(AC_Chart_Background_Data[[#This Row],[X]] &lt; EFC_99P-EFC_95P, EFC_95P, MAX(EFC_99P-AC_Chart_Background_Data[[#This Row],[X]],0))</f>
        <v>67</v>
      </c>
      <c r="AO126" s="151">
        <f t="shared" si="5"/>
        <v>190</v>
      </c>
      <c r="BA126" s="8"/>
      <c r="BB126" s="8"/>
      <c r="BC126" s="8"/>
      <c r="BD126" s="8"/>
    </row>
    <row r="127" spans="36:56" x14ac:dyDescent="0.3">
      <c r="AJ127" s="150">
        <f t="shared" si="7"/>
        <v>124</v>
      </c>
      <c r="AK127" s="151">
        <f>IF(AC_Chart_Background_Data[[#This Row],[X]] &lt; EFC_70P-EFC_50P, EFC_50P, MAX(EFC_70P-AC_Chart_Background_Data[[#This Row],[X]],0))</f>
        <v>0</v>
      </c>
      <c r="AL127" s="151">
        <f>IF(AC_Chart_Background_Data[[#This Row],[X]] &lt; EFC_85P-EFC_70P, EFC_70P, MAX(EFC_85P-AC_Chart_Background_Data[[#This Row],[X]],0))</f>
        <v>10</v>
      </c>
      <c r="AM127" s="151">
        <f>IF(AC_Chart_Background_Data[[#This Row],[X]] &lt; EFC_95P-EFC_85P, EFC_85P, MAX(EFC_95P-AC_Chart_Background_Data[[#This Row],[X]],0))</f>
        <v>37</v>
      </c>
      <c r="AN127" s="151">
        <f>IF(AC_Chart_Background_Data[[#This Row],[X]] &lt; EFC_99P-EFC_95P, EFC_95P, MAX(EFC_99P-AC_Chart_Background_Data[[#This Row],[X]],0))</f>
        <v>66</v>
      </c>
      <c r="AO127" s="151">
        <f t="shared" si="5"/>
        <v>190</v>
      </c>
      <c r="BA127" s="8"/>
      <c r="BB127" s="8"/>
      <c r="BC127" s="8"/>
      <c r="BD127" s="8"/>
    </row>
    <row r="128" spans="36:56" x14ac:dyDescent="0.3">
      <c r="AJ128" s="150">
        <f t="shared" si="7"/>
        <v>125</v>
      </c>
      <c r="AK128" s="151">
        <f>IF(AC_Chart_Background_Data[[#This Row],[X]] &lt; EFC_70P-EFC_50P, EFC_50P, MAX(EFC_70P-AC_Chart_Background_Data[[#This Row],[X]],0))</f>
        <v>0</v>
      </c>
      <c r="AL128" s="151">
        <f>IF(AC_Chart_Background_Data[[#This Row],[X]] &lt; EFC_85P-EFC_70P, EFC_70P, MAX(EFC_85P-AC_Chart_Background_Data[[#This Row],[X]],0))</f>
        <v>9</v>
      </c>
      <c r="AM128" s="151">
        <f>IF(AC_Chart_Background_Data[[#This Row],[X]] &lt; EFC_95P-EFC_85P, EFC_85P, MAX(EFC_95P-AC_Chart_Background_Data[[#This Row],[X]],0))</f>
        <v>36</v>
      </c>
      <c r="AN128" s="151">
        <f>IF(AC_Chart_Background_Data[[#This Row],[X]] &lt; EFC_99P-EFC_95P, EFC_95P, MAX(EFC_99P-AC_Chart_Background_Data[[#This Row],[X]],0))</f>
        <v>65</v>
      </c>
      <c r="AO128" s="151">
        <f t="shared" si="5"/>
        <v>190</v>
      </c>
      <c r="BA128" s="8"/>
      <c r="BB128" s="8"/>
      <c r="BC128" s="8"/>
      <c r="BD128" s="8"/>
    </row>
    <row r="129" spans="36:56" x14ac:dyDescent="0.3">
      <c r="AJ129" s="150">
        <f t="shared" si="7"/>
        <v>126</v>
      </c>
      <c r="AK129" s="151">
        <f>IF(AC_Chart_Background_Data[[#This Row],[X]] &lt; EFC_70P-EFC_50P, EFC_50P, MAX(EFC_70P-AC_Chart_Background_Data[[#This Row],[X]],0))</f>
        <v>0</v>
      </c>
      <c r="AL129" s="151">
        <f>IF(AC_Chart_Background_Data[[#This Row],[X]] &lt; EFC_85P-EFC_70P, EFC_70P, MAX(EFC_85P-AC_Chart_Background_Data[[#This Row],[X]],0))</f>
        <v>8</v>
      </c>
      <c r="AM129" s="151">
        <f>IF(AC_Chart_Background_Data[[#This Row],[X]] &lt; EFC_95P-EFC_85P, EFC_85P, MAX(EFC_95P-AC_Chart_Background_Data[[#This Row],[X]],0))</f>
        <v>35</v>
      </c>
      <c r="AN129" s="151">
        <f>IF(AC_Chart_Background_Data[[#This Row],[X]] &lt; EFC_99P-EFC_95P, EFC_95P, MAX(EFC_99P-AC_Chart_Background_Data[[#This Row],[X]],0))</f>
        <v>64</v>
      </c>
      <c r="AO129" s="151">
        <f t="shared" si="5"/>
        <v>190</v>
      </c>
      <c r="BA129" s="8"/>
      <c r="BB129" s="8"/>
      <c r="BC129" s="8"/>
      <c r="BD129" s="8"/>
    </row>
    <row r="130" spans="36:56" x14ac:dyDescent="0.3">
      <c r="AJ130" s="150">
        <f t="shared" si="7"/>
        <v>127</v>
      </c>
      <c r="AK130" s="151">
        <f>IF(AC_Chart_Background_Data[[#This Row],[X]] &lt; EFC_70P-EFC_50P, EFC_50P, MAX(EFC_70P-AC_Chart_Background_Data[[#This Row],[X]],0))</f>
        <v>0</v>
      </c>
      <c r="AL130" s="151">
        <f>IF(AC_Chart_Background_Data[[#This Row],[X]] &lt; EFC_85P-EFC_70P, EFC_70P, MAX(EFC_85P-AC_Chart_Background_Data[[#This Row],[X]],0))</f>
        <v>7</v>
      </c>
      <c r="AM130" s="151">
        <f>IF(AC_Chart_Background_Data[[#This Row],[X]] &lt; EFC_95P-EFC_85P, EFC_85P, MAX(EFC_95P-AC_Chart_Background_Data[[#This Row],[X]],0))</f>
        <v>34</v>
      </c>
      <c r="AN130" s="151">
        <f>IF(AC_Chart_Background_Data[[#This Row],[X]] &lt; EFC_99P-EFC_95P, EFC_95P, MAX(EFC_99P-AC_Chart_Background_Data[[#This Row],[X]],0))</f>
        <v>63</v>
      </c>
      <c r="AO130" s="151">
        <f t="shared" si="5"/>
        <v>190</v>
      </c>
      <c r="BA130" s="8"/>
      <c r="BB130" s="8"/>
      <c r="BC130" s="8"/>
      <c r="BD130" s="8"/>
    </row>
    <row r="131" spans="36:56" x14ac:dyDescent="0.3">
      <c r="AJ131" s="150">
        <f t="shared" si="7"/>
        <v>128</v>
      </c>
      <c r="AK131" s="151">
        <f>IF(AC_Chart_Background_Data[[#This Row],[X]] &lt; EFC_70P-EFC_50P, EFC_50P, MAX(EFC_70P-AC_Chart_Background_Data[[#This Row],[X]],0))</f>
        <v>0</v>
      </c>
      <c r="AL131" s="151">
        <f>IF(AC_Chart_Background_Data[[#This Row],[X]] &lt; EFC_85P-EFC_70P, EFC_70P, MAX(EFC_85P-AC_Chart_Background_Data[[#This Row],[X]],0))</f>
        <v>6</v>
      </c>
      <c r="AM131" s="151">
        <f>IF(AC_Chart_Background_Data[[#This Row],[X]] &lt; EFC_95P-EFC_85P, EFC_85P, MAX(EFC_95P-AC_Chart_Background_Data[[#This Row],[X]],0))</f>
        <v>33</v>
      </c>
      <c r="AN131" s="151">
        <f>IF(AC_Chart_Background_Data[[#This Row],[X]] &lt; EFC_99P-EFC_95P, EFC_95P, MAX(EFC_99P-AC_Chart_Background_Data[[#This Row],[X]],0))</f>
        <v>62</v>
      </c>
      <c r="AO131" s="151">
        <f t="shared" ref="AO131:AO194" si="8">AC_Ymax</f>
        <v>190</v>
      </c>
      <c r="BA131" s="8"/>
      <c r="BB131" s="8"/>
      <c r="BC131" s="8"/>
      <c r="BD131" s="8"/>
    </row>
    <row r="132" spans="36:56" x14ac:dyDescent="0.3">
      <c r="AJ132" s="150">
        <f t="shared" si="7"/>
        <v>129</v>
      </c>
      <c r="AK132" s="151">
        <f>IF(AC_Chart_Background_Data[[#This Row],[X]] &lt; EFC_70P-EFC_50P, EFC_50P, MAX(EFC_70P-AC_Chart_Background_Data[[#This Row],[X]],0))</f>
        <v>0</v>
      </c>
      <c r="AL132" s="151">
        <f>IF(AC_Chart_Background_Data[[#This Row],[X]] &lt; EFC_85P-EFC_70P, EFC_70P, MAX(EFC_85P-AC_Chart_Background_Data[[#This Row],[X]],0))</f>
        <v>5</v>
      </c>
      <c r="AM132" s="151">
        <f>IF(AC_Chart_Background_Data[[#This Row],[X]] &lt; EFC_95P-EFC_85P, EFC_85P, MAX(EFC_95P-AC_Chart_Background_Data[[#This Row],[X]],0))</f>
        <v>32</v>
      </c>
      <c r="AN132" s="151">
        <f>IF(AC_Chart_Background_Data[[#This Row],[X]] &lt; EFC_99P-EFC_95P, EFC_95P, MAX(EFC_99P-AC_Chart_Background_Data[[#This Row],[X]],0))</f>
        <v>61</v>
      </c>
      <c r="AO132" s="151">
        <f t="shared" si="8"/>
        <v>190</v>
      </c>
      <c r="BA132" s="8"/>
      <c r="BB132" s="8"/>
      <c r="BC132" s="8"/>
      <c r="BD132" s="8"/>
    </row>
    <row r="133" spans="36:56" x14ac:dyDescent="0.3">
      <c r="AJ133" s="150">
        <f t="shared" si="7"/>
        <v>130</v>
      </c>
      <c r="AK133" s="151">
        <f>IF(AC_Chart_Background_Data[[#This Row],[X]] &lt; EFC_70P-EFC_50P, EFC_50P, MAX(EFC_70P-AC_Chart_Background_Data[[#This Row],[X]],0))</f>
        <v>0</v>
      </c>
      <c r="AL133" s="151">
        <f>IF(AC_Chart_Background_Data[[#This Row],[X]] &lt; EFC_85P-EFC_70P, EFC_70P, MAX(EFC_85P-AC_Chart_Background_Data[[#This Row],[X]],0))</f>
        <v>4</v>
      </c>
      <c r="AM133" s="151">
        <f>IF(AC_Chart_Background_Data[[#This Row],[X]] &lt; EFC_95P-EFC_85P, EFC_85P, MAX(EFC_95P-AC_Chart_Background_Data[[#This Row],[X]],0))</f>
        <v>31</v>
      </c>
      <c r="AN133" s="151">
        <f>IF(AC_Chart_Background_Data[[#This Row],[X]] &lt; EFC_99P-EFC_95P, EFC_95P, MAX(EFC_99P-AC_Chart_Background_Data[[#This Row],[X]],0))</f>
        <v>60</v>
      </c>
      <c r="AO133" s="151">
        <f t="shared" si="8"/>
        <v>190</v>
      </c>
      <c r="BA133" s="8"/>
      <c r="BB133" s="8"/>
      <c r="BC133" s="8"/>
      <c r="BD133" s="8"/>
    </row>
    <row r="134" spans="36:56" x14ac:dyDescent="0.3">
      <c r="AJ134" s="150">
        <f t="shared" ref="AJ134:AJ197" si="9">AJ133+1</f>
        <v>131</v>
      </c>
      <c r="AK134" s="151">
        <f>IF(AC_Chart_Background_Data[[#This Row],[X]] &lt; EFC_70P-EFC_50P, EFC_50P, MAX(EFC_70P-AC_Chart_Background_Data[[#This Row],[X]],0))</f>
        <v>0</v>
      </c>
      <c r="AL134" s="151">
        <f>IF(AC_Chart_Background_Data[[#This Row],[X]] &lt; EFC_85P-EFC_70P, EFC_70P, MAX(EFC_85P-AC_Chart_Background_Data[[#This Row],[X]],0))</f>
        <v>3</v>
      </c>
      <c r="AM134" s="151">
        <f>IF(AC_Chart_Background_Data[[#This Row],[X]] &lt; EFC_95P-EFC_85P, EFC_85P, MAX(EFC_95P-AC_Chart_Background_Data[[#This Row],[X]],0))</f>
        <v>30</v>
      </c>
      <c r="AN134" s="151">
        <f>IF(AC_Chart_Background_Data[[#This Row],[X]] &lt; EFC_99P-EFC_95P, EFC_95P, MAX(EFC_99P-AC_Chart_Background_Data[[#This Row],[X]],0))</f>
        <v>59</v>
      </c>
      <c r="AO134" s="151">
        <f t="shared" si="8"/>
        <v>190</v>
      </c>
      <c r="BA134" s="8"/>
      <c r="BB134" s="8"/>
      <c r="BC134" s="8"/>
      <c r="BD134" s="8"/>
    </row>
    <row r="135" spans="36:56" x14ac:dyDescent="0.3">
      <c r="AJ135" s="150">
        <f t="shared" si="9"/>
        <v>132</v>
      </c>
      <c r="AK135" s="151">
        <f>IF(AC_Chart_Background_Data[[#This Row],[X]] &lt; EFC_70P-EFC_50P, EFC_50P, MAX(EFC_70P-AC_Chart_Background_Data[[#This Row],[X]],0))</f>
        <v>0</v>
      </c>
      <c r="AL135" s="151">
        <f>IF(AC_Chart_Background_Data[[#This Row],[X]] &lt; EFC_85P-EFC_70P, EFC_70P, MAX(EFC_85P-AC_Chart_Background_Data[[#This Row],[X]],0))</f>
        <v>2</v>
      </c>
      <c r="AM135" s="151">
        <f>IF(AC_Chart_Background_Data[[#This Row],[X]] &lt; EFC_95P-EFC_85P, EFC_85P, MAX(EFC_95P-AC_Chart_Background_Data[[#This Row],[X]],0))</f>
        <v>29</v>
      </c>
      <c r="AN135" s="151">
        <f>IF(AC_Chart_Background_Data[[#This Row],[X]] &lt; EFC_99P-EFC_95P, EFC_95P, MAX(EFC_99P-AC_Chart_Background_Data[[#This Row],[X]],0))</f>
        <v>58</v>
      </c>
      <c r="AO135" s="151">
        <f t="shared" si="8"/>
        <v>190</v>
      </c>
      <c r="BA135" s="8"/>
      <c r="BB135" s="8"/>
      <c r="BC135" s="8"/>
      <c r="BD135" s="8"/>
    </row>
    <row r="136" spans="36:56" x14ac:dyDescent="0.3">
      <c r="AJ136" s="150">
        <f t="shared" si="9"/>
        <v>133</v>
      </c>
      <c r="AK136" s="151">
        <f>IF(AC_Chart_Background_Data[[#This Row],[X]] &lt; EFC_70P-EFC_50P, EFC_50P, MAX(EFC_70P-AC_Chart_Background_Data[[#This Row],[X]],0))</f>
        <v>0</v>
      </c>
      <c r="AL136" s="151">
        <f>IF(AC_Chart_Background_Data[[#This Row],[X]] &lt; EFC_85P-EFC_70P, EFC_70P, MAX(EFC_85P-AC_Chart_Background_Data[[#This Row],[X]],0))</f>
        <v>1</v>
      </c>
      <c r="AM136" s="151">
        <f>IF(AC_Chart_Background_Data[[#This Row],[X]] &lt; EFC_95P-EFC_85P, EFC_85P, MAX(EFC_95P-AC_Chart_Background_Data[[#This Row],[X]],0))</f>
        <v>28</v>
      </c>
      <c r="AN136" s="151">
        <f>IF(AC_Chart_Background_Data[[#This Row],[X]] &lt; EFC_99P-EFC_95P, EFC_95P, MAX(EFC_99P-AC_Chart_Background_Data[[#This Row],[X]],0))</f>
        <v>57</v>
      </c>
      <c r="AO136" s="151">
        <f t="shared" si="8"/>
        <v>190</v>
      </c>
      <c r="BA136" s="8"/>
      <c r="BB136" s="8"/>
      <c r="BC136" s="8"/>
      <c r="BD136" s="8"/>
    </row>
    <row r="137" spans="36:56" x14ac:dyDescent="0.3">
      <c r="AJ137" s="150">
        <f t="shared" si="9"/>
        <v>134</v>
      </c>
      <c r="AK137" s="151">
        <f>IF(AC_Chart_Background_Data[[#This Row],[X]] &lt; EFC_70P-EFC_50P, EFC_50P, MAX(EFC_70P-AC_Chart_Background_Data[[#This Row],[X]],0))</f>
        <v>0</v>
      </c>
      <c r="AL137" s="151">
        <f>IF(AC_Chart_Background_Data[[#This Row],[X]] &lt; EFC_85P-EFC_70P, EFC_70P, MAX(EFC_85P-AC_Chart_Background_Data[[#This Row],[X]],0))</f>
        <v>0</v>
      </c>
      <c r="AM137" s="151">
        <f>IF(AC_Chart_Background_Data[[#This Row],[X]] &lt; EFC_95P-EFC_85P, EFC_85P, MAX(EFC_95P-AC_Chart_Background_Data[[#This Row],[X]],0))</f>
        <v>27</v>
      </c>
      <c r="AN137" s="151">
        <f>IF(AC_Chart_Background_Data[[#This Row],[X]] &lt; EFC_99P-EFC_95P, EFC_95P, MAX(EFC_99P-AC_Chart_Background_Data[[#This Row],[X]],0))</f>
        <v>56</v>
      </c>
      <c r="AO137" s="151">
        <f t="shared" si="8"/>
        <v>190</v>
      </c>
      <c r="BA137" s="8"/>
      <c r="BB137" s="8"/>
      <c r="BC137" s="8"/>
      <c r="BD137" s="8"/>
    </row>
    <row r="138" spans="36:56" x14ac:dyDescent="0.3">
      <c r="AJ138" s="150">
        <f t="shared" si="9"/>
        <v>135</v>
      </c>
      <c r="AK138" s="151">
        <f>IF(AC_Chart_Background_Data[[#This Row],[X]] &lt; EFC_70P-EFC_50P, EFC_50P, MAX(EFC_70P-AC_Chart_Background_Data[[#This Row],[X]],0))</f>
        <v>0</v>
      </c>
      <c r="AL138" s="151">
        <f>IF(AC_Chart_Background_Data[[#This Row],[X]] &lt; EFC_85P-EFC_70P, EFC_70P, MAX(EFC_85P-AC_Chart_Background_Data[[#This Row],[X]],0))</f>
        <v>0</v>
      </c>
      <c r="AM138" s="151">
        <f>IF(AC_Chart_Background_Data[[#This Row],[X]] &lt; EFC_95P-EFC_85P, EFC_85P, MAX(EFC_95P-AC_Chart_Background_Data[[#This Row],[X]],0))</f>
        <v>26</v>
      </c>
      <c r="AN138" s="151">
        <f>IF(AC_Chart_Background_Data[[#This Row],[X]] &lt; EFC_99P-EFC_95P, EFC_95P, MAX(EFC_99P-AC_Chart_Background_Data[[#This Row],[X]],0))</f>
        <v>55</v>
      </c>
      <c r="AO138" s="151">
        <f t="shared" si="8"/>
        <v>190</v>
      </c>
      <c r="BA138" s="8"/>
      <c r="BB138" s="8"/>
      <c r="BC138" s="8"/>
      <c r="BD138" s="8"/>
    </row>
    <row r="139" spans="36:56" x14ac:dyDescent="0.3">
      <c r="AJ139" s="150">
        <f t="shared" si="9"/>
        <v>136</v>
      </c>
      <c r="AK139" s="151">
        <f>IF(AC_Chart_Background_Data[[#This Row],[X]] &lt; EFC_70P-EFC_50P, EFC_50P, MAX(EFC_70P-AC_Chart_Background_Data[[#This Row],[X]],0))</f>
        <v>0</v>
      </c>
      <c r="AL139" s="151">
        <f>IF(AC_Chart_Background_Data[[#This Row],[X]] &lt; EFC_85P-EFC_70P, EFC_70P, MAX(EFC_85P-AC_Chart_Background_Data[[#This Row],[X]],0))</f>
        <v>0</v>
      </c>
      <c r="AM139" s="151">
        <f>IF(AC_Chart_Background_Data[[#This Row],[X]] &lt; EFC_95P-EFC_85P, EFC_85P, MAX(EFC_95P-AC_Chart_Background_Data[[#This Row],[X]],0))</f>
        <v>25</v>
      </c>
      <c r="AN139" s="151">
        <f>IF(AC_Chart_Background_Data[[#This Row],[X]] &lt; EFC_99P-EFC_95P, EFC_95P, MAX(EFC_99P-AC_Chart_Background_Data[[#This Row],[X]],0))</f>
        <v>54</v>
      </c>
      <c r="AO139" s="151">
        <f t="shared" si="8"/>
        <v>190</v>
      </c>
      <c r="BA139" s="8"/>
      <c r="BB139" s="8"/>
      <c r="BC139" s="8"/>
      <c r="BD139" s="8"/>
    </row>
    <row r="140" spans="36:56" x14ac:dyDescent="0.3">
      <c r="AJ140" s="150">
        <f t="shared" si="9"/>
        <v>137</v>
      </c>
      <c r="AK140" s="151">
        <f>IF(AC_Chart_Background_Data[[#This Row],[X]] &lt; EFC_70P-EFC_50P, EFC_50P, MAX(EFC_70P-AC_Chart_Background_Data[[#This Row],[X]],0))</f>
        <v>0</v>
      </c>
      <c r="AL140" s="151">
        <f>IF(AC_Chart_Background_Data[[#This Row],[X]] &lt; EFC_85P-EFC_70P, EFC_70P, MAX(EFC_85P-AC_Chart_Background_Data[[#This Row],[X]],0))</f>
        <v>0</v>
      </c>
      <c r="AM140" s="151">
        <f>IF(AC_Chart_Background_Data[[#This Row],[X]] &lt; EFC_95P-EFC_85P, EFC_85P, MAX(EFC_95P-AC_Chart_Background_Data[[#This Row],[X]],0))</f>
        <v>24</v>
      </c>
      <c r="AN140" s="151">
        <f>IF(AC_Chart_Background_Data[[#This Row],[X]] &lt; EFC_99P-EFC_95P, EFC_95P, MAX(EFC_99P-AC_Chart_Background_Data[[#This Row],[X]],0))</f>
        <v>53</v>
      </c>
      <c r="AO140" s="151">
        <f t="shared" si="8"/>
        <v>190</v>
      </c>
      <c r="BA140" s="8"/>
      <c r="BB140" s="8"/>
      <c r="BC140" s="8"/>
      <c r="BD140" s="8"/>
    </row>
    <row r="141" spans="36:56" x14ac:dyDescent="0.3">
      <c r="AJ141" s="150">
        <f t="shared" si="9"/>
        <v>138</v>
      </c>
      <c r="AK141" s="151">
        <f>IF(AC_Chart_Background_Data[[#This Row],[X]] &lt; EFC_70P-EFC_50P, EFC_50P, MAX(EFC_70P-AC_Chart_Background_Data[[#This Row],[X]],0))</f>
        <v>0</v>
      </c>
      <c r="AL141" s="151">
        <f>IF(AC_Chart_Background_Data[[#This Row],[X]] &lt; EFC_85P-EFC_70P, EFC_70P, MAX(EFC_85P-AC_Chart_Background_Data[[#This Row],[X]],0))</f>
        <v>0</v>
      </c>
      <c r="AM141" s="151">
        <f>IF(AC_Chart_Background_Data[[#This Row],[X]] &lt; EFC_95P-EFC_85P, EFC_85P, MAX(EFC_95P-AC_Chart_Background_Data[[#This Row],[X]],0))</f>
        <v>23</v>
      </c>
      <c r="AN141" s="151">
        <f>IF(AC_Chart_Background_Data[[#This Row],[X]] &lt; EFC_99P-EFC_95P, EFC_95P, MAX(EFC_99P-AC_Chart_Background_Data[[#This Row],[X]],0))</f>
        <v>52</v>
      </c>
      <c r="AO141" s="151">
        <f t="shared" si="8"/>
        <v>190</v>
      </c>
      <c r="BA141" s="8"/>
      <c r="BB141" s="8"/>
      <c r="BC141" s="8"/>
      <c r="BD141" s="8"/>
    </row>
    <row r="142" spans="36:56" x14ac:dyDescent="0.3">
      <c r="AJ142" s="150">
        <f t="shared" si="9"/>
        <v>139</v>
      </c>
      <c r="AK142" s="151">
        <f>IF(AC_Chart_Background_Data[[#This Row],[X]] &lt; EFC_70P-EFC_50P, EFC_50P, MAX(EFC_70P-AC_Chart_Background_Data[[#This Row],[X]],0))</f>
        <v>0</v>
      </c>
      <c r="AL142" s="151">
        <f>IF(AC_Chart_Background_Data[[#This Row],[X]] &lt; EFC_85P-EFC_70P, EFC_70P, MAX(EFC_85P-AC_Chart_Background_Data[[#This Row],[X]],0))</f>
        <v>0</v>
      </c>
      <c r="AM142" s="151">
        <f>IF(AC_Chart_Background_Data[[#This Row],[X]] &lt; EFC_95P-EFC_85P, EFC_85P, MAX(EFC_95P-AC_Chart_Background_Data[[#This Row],[X]],0))</f>
        <v>22</v>
      </c>
      <c r="AN142" s="151">
        <f>IF(AC_Chart_Background_Data[[#This Row],[X]] &lt; EFC_99P-EFC_95P, EFC_95P, MAX(EFC_99P-AC_Chart_Background_Data[[#This Row],[X]],0))</f>
        <v>51</v>
      </c>
      <c r="AO142" s="151">
        <f t="shared" si="8"/>
        <v>190</v>
      </c>
      <c r="BA142" s="8"/>
      <c r="BB142" s="8"/>
      <c r="BC142" s="8"/>
      <c r="BD142" s="8"/>
    </row>
    <row r="143" spans="36:56" x14ac:dyDescent="0.3">
      <c r="AJ143" s="150">
        <f t="shared" si="9"/>
        <v>140</v>
      </c>
      <c r="AK143" s="151">
        <f>IF(AC_Chart_Background_Data[[#This Row],[X]] &lt; EFC_70P-EFC_50P, EFC_50P, MAX(EFC_70P-AC_Chart_Background_Data[[#This Row],[X]],0))</f>
        <v>0</v>
      </c>
      <c r="AL143" s="151">
        <f>IF(AC_Chart_Background_Data[[#This Row],[X]] &lt; EFC_85P-EFC_70P, EFC_70P, MAX(EFC_85P-AC_Chart_Background_Data[[#This Row],[X]],0))</f>
        <v>0</v>
      </c>
      <c r="AM143" s="151">
        <f>IF(AC_Chart_Background_Data[[#This Row],[X]] &lt; EFC_95P-EFC_85P, EFC_85P, MAX(EFC_95P-AC_Chart_Background_Data[[#This Row],[X]],0))</f>
        <v>21</v>
      </c>
      <c r="AN143" s="151">
        <f>IF(AC_Chart_Background_Data[[#This Row],[X]] &lt; EFC_99P-EFC_95P, EFC_95P, MAX(EFC_99P-AC_Chart_Background_Data[[#This Row],[X]],0))</f>
        <v>50</v>
      </c>
      <c r="AO143" s="151">
        <f t="shared" si="8"/>
        <v>190</v>
      </c>
      <c r="BA143" s="8"/>
      <c r="BB143" s="8"/>
      <c r="BC143" s="8"/>
      <c r="BD143" s="8"/>
    </row>
    <row r="144" spans="36:56" x14ac:dyDescent="0.3">
      <c r="AJ144" s="150">
        <f t="shared" si="9"/>
        <v>141</v>
      </c>
      <c r="AK144" s="151">
        <f>IF(AC_Chart_Background_Data[[#This Row],[X]] &lt; EFC_70P-EFC_50P, EFC_50P, MAX(EFC_70P-AC_Chart_Background_Data[[#This Row],[X]],0))</f>
        <v>0</v>
      </c>
      <c r="AL144" s="151">
        <f>IF(AC_Chart_Background_Data[[#This Row],[X]] &lt; EFC_85P-EFC_70P, EFC_70P, MAX(EFC_85P-AC_Chart_Background_Data[[#This Row],[X]],0))</f>
        <v>0</v>
      </c>
      <c r="AM144" s="151">
        <f>IF(AC_Chart_Background_Data[[#This Row],[X]] &lt; EFC_95P-EFC_85P, EFC_85P, MAX(EFC_95P-AC_Chart_Background_Data[[#This Row],[X]],0))</f>
        <v>20</v>
      </c>
      <c r="AN144" s="151">
        <f>IF(AC_Chart_Background_Data[[#This Row],[X]] &lt; EFC_99P-EFC_95P, EFC_95P, MAX(EFC_99P-AC_Chart_Background_Data[[#This Row],[X]],0))</f>
        <v>49</v>
      </c>
      <c r="AO144" s="151">
        <f t="shared" si="8"/>
        <v>190</v>
      </c>
      <c r="BA144" s="8"/>
      <c r="BB144" s="8"/>
      <c r="BC144" s="8"/>
      <c r="BD144" s="8"/>
    </row>
    <row r="145" spans="36:56" x14ac:dyDescent="0.3">
      <c r="AJ145" s="150">
        <f t="shared" si="9"/>
        <v>142</v>
      </c>
      <c r="AK145" s="151">
        <f>IF(AC_Chart_Background_Data[[#This Row],[X]] &lt; EFC_70P-EFC_50P, EFC_50P, MAX(EFC_70P-AC_Chart_Background_Data[[#This Row],[X]],0))</f>
        <v>0</v>
      </c>
      <c r="AL145" s="151">
        <f>IF(AC_Chart_Background_Data[[#This Row],[X]] &lt; EFC_85P-EFC_70P, EFC_70P, MAX(EFC_85P-AC_Chart_Background_Data[[#This Row],[X]],0))</f>
        <v>0</v>
      </c>
      <c r="AM145" s="151">
        <f>IF(AC_Chart_Background_Data[[#This Row],[X]] &lt; EFC_95P-EFC_85P, EFC_85P, MAX(EFC_95P-AC_Chart_Background_Data[[#This Row],[X]],0))</f>
        <v>19</v>
      </c>
      <c r="AN145" s="151">
        <f>IF(AC_Chart_Background_Data[[#This Row],[X]] &lt; EFC_99P-EFC_95P, EFC_95P, MAX(EFC_99P-AC_Chart_Background_Data[[#This Row],[X]],0))</f>
        <v>48</v>
      </c>
      <c r="AO145" s="151">
        <f t="shared" si="8"/>
        <v>190</v>
      </c>
      <c r="BA145" s="8"/>
      <c r="BB145" s="8"/>
      <c r="BC145" s="8"/>
      <c r="BD145" s="8"/>
    </row>
    <row r="146" spans="36:56" x14ac:dyDescent="0.3">
      <c r="AJ146" s="150">
        <f t="shared" si="9"/>
        <v>143</v>
      </c>
      <c r="AK146" s="151">
        <f>IF(AC_Chart_Background_Data[[#This Row],[X]] &lt; EFC_70P-EFC_50P, EFC_50P, MAX(EFC_70P-AC_Chart_Background_Data[[#This Row],[X]],0))</f>
        <v>0</v>
      </c>
      <c r="AL146" s="151">
        <f>IF(AC_Chart_Background_Data[[#This Row],[X]] &lt; EFC_85P-EFC_70P, EFC_70P, MAX(EFC_85P-AC_Chart_Background_Data[[#This Row],[X]],0))</f>
        <v>0</v>
      </c>
      <c r="AM146" s="151">
        <f>IF(AC_Chart_Background_Data[[#This Row],[X]] &lt; EFC_95P-EFC_85P, EFC_85P, MAX(EFC_95P-AC_Chart_Background_Data[[#This Row],[X]],0))</f>
        <v>18</v>
      </c>
      <c r="AN146" s="151">
        <f>IF(AC_Chart_Background_Data[[#This Row],[X]] &lt; EFC_99P-EFC_95P, EFC_95P, MAX(EFC_99P-AC_Chart_Background_Data[[#This Row],[X]],0))</f>
        <v>47</v>
      </c>
      <c r="AO146" s="151">
        <f t="shared" si="8"/>
        <v>190</v>
      </c>
      <c r="BA146" s="8"/>
      <c r="BB146" s="8"/>
      <c r="BC146" s="8"/>
      <c r="BD146" s="8"/>
    </row>
    <row r="147" spans="36:56" x14ac:dyDescent="0.3">
      <c r="AJ147" s="150">
        <f t="shared" si="9"/>
        <v>144</v>
      </c>
      <c r="AK147" s="151">
        <f>IF(AC_Chart_Background_Data[[#This Row],[X]] &lt; EFC_70P-EFC_50P, EFC_50P, MAX(EFC_70P-AC_Chart_Background_Data[[#This Row],[X]],0))</f>
        <v>0</v>
      </c>
      <c r="AL147" s="151">
        <f>IF(AC_Chart_Background_Data[[#This Row],[X]] &lt; EFC_85P-EFC_70P, EFC_70P, MAX(EFC_85P-AC_Chart_Background_Data[[#This Row],[X]],0))</f>
        <v>0</v>
      </c>
      <c r="AM147" s="151">
        <f>IF(AC_Chart_Background_Data[[#This Row],[X]] &lt; EFC_95P-EFC_85P, EFC_85P, MAX(EFC_95P-AC_Chart_Background_Data[[#This Row],[X]],0))</f>
        <v>17</v>
      </c>
      <c r="AN147" s="151">
        <f>IF(AC_Chart_Background_Data[[#This Row],[X]] &lt; EFC_99P-EFC_95P, EFC_95P, MAX(EFC_99P-AC_Chart_Background_Data[[#This Row],[X]],0))</f>
        <v>46</v>
      </c>
      <c r="AO147" s="151">
        <f t="shared" si="8"/>
        <v>190</v>
      </c>
      <c r="BA147" s="8"/>
      <c r="BB147" s="8"/>
      <c r="BC147" s="8"/>
      <c r="BD147" s="8"/>
    </row>
    <row r="148" spans="36:56" x14ac:dyDescent="0.3">
      <c r="AJ148" s="150">
        <f t="shared" si="9"/>
        <v>145</v>
      </c>
      <c r="AK148" s="151">
        <f>IF(AC_Chart_Background_Data[[#This Row],[X]] &lt; EFC_70P-EFC_50P, EFC_50P, MAX(EFC_70P-AC_Chart_Background_Data[[#This Row],[X]],0))</f>
        <v>0</v>
      </c>
      <c r="AL148" s="151">
        <f>IF(AC_Chart_Background_Data[[#This Row],[X]] &lt; EFC_85P-EFC_70P, EFC_70P, MAX(EFC_85P-AC_Chart_Background_Data[[#This Row],[X]],0))</f>
        <v>0</v>
      </c>
      <c r="AM148" s="151">
        <f>IF(AC_Chart_Background_Data[[#This Row],[X]] &lt; EFC_95P-EFC_85P, EFC_85P, MAX(EFC_95P-AC_Chart_Background_Data[[#This Row],[X]],0))</f>
        <v>16</v>
      </c>
      <c r="AN148" s="151">
        <f>IF(AC_Chart_Background_Data[[#This Row],[X]] &lt; EFC_99P-EFC_95P, EFC_95P, MAX(EFC_99P-AC_Chart_Background_Data[[#This Row],[X]],0))</f>
        <v>45</v>
      </c>
      <c r="AO148" s="151">
        <f t="shared" si="8"/>
        <v>190</v>
      </c>
      <c r="BA148" s="8"/>
      <c r="BB148" s="8"/>
      <c r="BC148" s="8"/>
      <c r="BD148" s="8"/>
    </row>
    <row r="149" spans="36:56" x14ac:dyDescent="0.3">
      <c r="AJ149" s="150">
        <f t="shared" si="9"/>
        <v>146</v>
      </c>
      <c r="AK149" s="151">
        <f>IF(AC_Chart_Background_Data[[#This Row],[X]] &lt; EFC_70P-EFC_50P, EFC_50P, MAX(EFC_70P-AC_Chart_Background_Data[[#This Row],[X]],0))</f>
        <v>0</v>
      </c>
      <c r="AL149" s="151">
        <f>IF(AC_Chart_Background_Data[[#This Row],[X]] &lt; EFC_85P-EFC_70P, EFC_70P, MAX(EFC_85P-AC_Chart_Background_Data[[#This Row],[X]],0))</f>
        <v>0</v>
      </c>
      <c r="AM149" s="151">
        <f>IF(AC_Chart_Background_Data[[#This Row],[X]] &lt; EFC_95P-EFC_85P, EFC_85P, MAX(EFC_95P-AC_Chart_Background_Data[[#This Row],[X]],0))</f>
        <v>15</v>
      </c>
      <c r="AN149" s="151">
        <f>IF(AC_Chart_Background_Data[[#This Row],[X]] &lt; EFC_99P-EFC_95P, EFC_95P, MAX(EFC_99P-AC_Chart_Background_Data[[#This Row],[X]],0))</f>
        <v>44</v>
      </c>
      <c r="AO149" s="151">
        <f t="shared" si="8"/>
        <v>190</v>
      </c>
      <c r="BA149" s="8"/>
      <c r="BB149" s="8"/>
      <c r="BC149" s="8"/>
      <c r="BD149" s="8"/>
    </row>
    <row r="150" spans="36:56" x14ac:dyDescent="0.3">
      <c r="AJ150" s="150">
        <f t="shared" si="9"/>
        <v>147</v>
      </c>
      <c r="AK150" s="151">
        <f>IF(AC_Chart_Background_Data[[#This Row],[X]] &lt; EFC_70P-EFC_50P, EFC_50P, MAX(EFC_70P-AC_Chart_Background_Data[[#This Row],[X]],0))</f>
        <v>0</v>
      </c>
      <c r="AL150" s="151">
        <f>IF(AC_Chart_Background_Data[[#This Row],[X]] &lt; EFC_85P-EFC_70P, EFC_70P, MAX(EFC_85P-AC_Chart_Background_Data[[#This Row],[X]],0))</f>
        <v>0</v>
      </c>
      <c r="AM150" s="151">
        <f>IF(AC_Chart_Background_Data[[#This Row],[X]] &lt; EFC_95P-EFC_85P, EFC_85P, MAX(EFC_95P-AC_Chart_Background_Data[[#This Row],[X]],0))</f>
        <v>14</v>
      </c>
      <c r="AN150" s="151">
        <f>IF(AC_Chart_Background_Data[[#This Row],[X]] &lt; EFC_99P-EFC_95P, EFC_95P, MAX(EFC_99P-AC_Chart_Background_Data[[#This Row],[X]],0))</f>
        <v>43</v>
      </c>
      <c r="AO150" s="151">
        <f t="shared" si="8"/>
        <v>190</v>
      </c>
      <c r="BA150" s="8"/>
      <c r="BB150" s="8"/>
      <c r="BC150" s="8"/>
      <c r="BD150" s="8"/>
    </row>
    <row r="151" spans="36:56" x14ac:dyDescent="0.3">
      <c r="AJ151" s="150">
        <f t="shared" si="9"/>
        <v>148</v>
      </c>
      <c r="AK151" s="151">
        <f>IF(AC_Chart_Background_Data[[#This Row],[X]] &lt; EFC_70P-EFC_50P, EFC_50P, MAX(EFC_70P-AC_Chart_Background_Data[[#This Row],[X]],0))</f>
        <v>0</v>
      </c>
      <c r="AL151" s="151">
        <f>IF(AC_Chart_Background_Data[[#This Row],[X]] &lt; EFC_85P-EFC_70P, EFC_70P, MAX(EFC_85P-AC_Chart_Background_Data[[#This Row],[X]],0))</f>
        <v>0</v>
      </c>
      <c r="AM151" s="151">
        <f>IF(AC_Chart_Background_Data[[#This Row],[X]] &lt; EFC_95P-EFC_85P, EFC_85P, MAX(EFC_95P-AC_Chart_Background_Data[[#This Row],[X]],0))</f>
        <v>13</v>
      </c>
      <c r="AN151" s="151">
        <f>IF(AC_Chart_Background_Data[[#This Row],[X]] &lt; EFC_99P-EFC_95P, EFC_95P, MAX(EFC_99P-AC_Chart_Background_Data[[#This Row],[X]],0))</f>
        <v>42</v>
      </c>
      <c r="AO151" s="151">
        <f t="shared" si="8"/>
        <v>190</v>
      </c>
      <c r="BA151" s="8"/>
      <c r="BB151" s="8"/>
      <c r="BC151" s="8"/>
      <c r="BD151" s="8"/>
    </row>
    <row r="152" spans="36:56" x14ac:dyDescent="0.3">
      <c r="AJ152" s="150">
        <f t="shared" si="9"/>
        <v>149</v>
      </c>
      <c r="AK152" s="151">
        <f>IF(AC_Chart_Background_Data[[#This Row],[X]] &lt; EFC_70P-EFC_50P, EFC_50P, MAX(EFC_70P-AC_Chart_Background_Data[[#This Row],[X]],0))</f>
        <v>0</v>
      </c>
      <c r="AL152" s="151">
        <f>IF(AC_Chart_Background_Data[[#This Row],[X]] &lt; EFC_85P-EFC_70P, EFC_70P, MAX(EFC_85P-AC_Chart_Background_Data[[#This Row],[X]],0))</f>
        <v>0</v>
      </c>
      <c r="AM152" s="151">
        <f>IF(AC_Chart_Background_Data[[#This Row],[X]] &lt; EFC_95P-EFC_85P, EFC_85P, MAX(EFC_95P-AC_Chart_Background_Data[[#This Row],[X]],0))</f>
        <v>12</v>
      </c>
      <c r="AN152" s="151">
        <f>IF(AC_Chart_Background_Data[[#This Row],[X]] &lt; EFC_99P-EFC_95P, EFC_95P, MAX(EFC_99P-AC_Chart_Background_Data[[#This Row],[X]],0))</f>
        <v>41</v>
      </c>
      <c r="AO152" s="151">
        <f t="shared" si="8"/>
        <v>190</v>
      </c>
      <c r="BA152" s="8"/>
      <c r="BB152" s="8"/>
      <c r="BC152" s="8"/>
      <c r="BD152" s="8"/>
    </row>
    <row r="153" spans="36:56" x14ac:dyDescent="0.3">
      <c r="AJ153" s="150">
        <f t="shared" si="9"/>
        <v>150</v>
      </c>
      <c r="AK153" s="151">
        <f>IF(AC_Chart_Background_Data[[#This Row],[X]] &lt; EFC_70P-EFC_50P, EFC_50P, MAX(EFC_70P-AC_Chart_Background_Data[[#This Row],[X]],0))</f>
        <v>0</v>
      </c>
      <c r="AL153" s="151">
        <f>IF(AC_Chart_Background_Data[[#This Row],[X]] &lt; EFC_85P-EFC_70P, EFC_70P, MAX(EFC_85P-AC_Chart_Background_Data[[#This Row],[X]],0))</f>
        <v>0</v>
      </c>
      <c r="AM153" s="151">
        <f>IF(AC_Chart_Background_Data[[#This Row],[X]] &lt; EFC_95P-EFC_85P, EFC_85P, MAX(EFC_95P-AC_Chart_Background_Data[[#This Row],[X]],0))</f>
        <v>11</v>
      </c>
      <c r="AN153" s="151">
        <f>IF(AC_Chart_Background_Data[[#This Row],[X]] &lt; EFC_99P-EFC_95P, EFC_95P, MAX(EFC_99P-AC_Chart_Background_Data[[#This Row],[X]],0))</f>
        <v>40</v>
      </c>
      <c r="AO153" s="151">
        <f t="shared" si="8"/>
        <v>190</v>
      </c>
      <c r="BA153" s="8"/>
      <c r="BB153" s="8"/>
      <c r="BC153" s="8"/>
      <c r="BD153" s="8"/>
    </row>
    <row r="154" spans="36:56" x14ac:dyDescent="0.3">
      <c r="AJ154" s="150">
        <f t="shared" si="9"/>
        <v>151</v>
      </c>
      <c r="AK154" s="151">
        <f>IF(AC_Chart_Background_Data[[#This Row],[X]] &lt; EFC_70P-EFC_50P, EFC_50P, MAX(EFC_70P-AC_Chart_Background_Data[[#This Row],[X]],0))</f>
        <v>0</v>
      </c>
      <c r="AL154" s="151">
        <f>IF(AC_Chart_Background_Data[[#This Row],[X]] &lt; EFC_85P-EFC_70P, EFC_70P, MAX(EFC_85P-AC_Chart_Background_Data[[#This Row],[X]],0))</f>
        <v>0</v>
      </c>
      <c r="AM154" s="151">
        <f>IF(AC_Chart_Background_Data[[#This Row],[X]] &lt; EFC_95P-EFC_85P, EFC_85P, MAX(EFC_95P-AC_Chart_Background_Data[[#This Row],[X]],0))</f>
        <v>10</v>
      </c>
      <c r="AN154" s="151">
        <f>IF(AC_Chart_Background_Data[[#This Row],[X]] &lt; EFC_99P-EFC_95P, EFC_95P, MAX(EFC_99P-AC_Chart_Background_Data[[#This Row],[X]],0))</f>
        <v>39</v>
      </c>
      <c r="AO154" s="151">
        <f t="shared" si="8"/>
        <v>190</v>
      </c>
      <c r="BA154" s="8"/>
      <c r="BB154" s="8"/>
      <c r="BC154" s="8"/>
      <c r="BD154" s="8"/>
    </row>
    <row r="155" spans="36:56" x14ac:dyDescent="0.3">
      <c r="AJ155" s="150">
        <f t="shared" si="9"/>
        <v>152</v>
      </c>
      <c r="AK155" s="151">
        <f>IF(AC_Chart_Background_Data[[#This Row],[X]] &lt; EFC_70P-EFC_50P, EFC_50P, MAX(EFC_70P-AC_Chart_Background_Data[[#This Row],[X]],0))</f>
        <v>0</v>
      </c>
      <c r="AL155" s="151">
        <f>IF(AC_Chart_Background_Data[[#This Row],[X]] &lt; EFC_85P-EFC_70P, EFC_70P, MAX(EFC_85P-AC_Chart_Background_Data[[#This Row],[X]],0))</f>
        <v>0</v>
      </c>
      <c r="AM155" s="151">
        <f>IF(AC_Chart_Background_Data[[#This Row],[X]] &lt; EFC_95P-EFC_85P, EFC_85P, MAX(EFC_95P-AC_Chart_Background_Data[[#This Row],[X]],0))</f>
        <v>9</v>
      </c>
      <c r="AN155" s="151">
        <f>IF(AC_Chart_Background_Data[[#This Row],[X]] &lt; EFC_99P-EFC_95P, EFC_95P, MAX(EFC_99P-AC_Chart_Background_Data[[#This Row],[X]],0))</f>
        <v>38</v>
      </c>
      <c r="AO155" s="151">
        <f t="shared" si="8"/>
        <v>190</v>
      </c>
      <c r="BA155" s="8"/>
      <c r="BB155" s="8"/>
      <c r="BC155" s="8"/>
      <c r="BD155" s="8"/>
    </row>
    <row r="156" spans="36:56" x14ac:dyDescent="0.3">
      <c r="AJ156" s="150">
        <f t="shared" si="9"/>
        <v>153</v>
      </c>
      <c r="AK156" s="151">
        <f>IF(AC_Chart_Background_Data[[#This Row],[X]] &lt; EFC_70P-EFC_50P, EFC_50P, MAX(EFC_70P-AC_Chart_Background_Data[[#This Row],[X]],0))</f>
        <v>0</v>
      </c>
      <c r="AL156" s="151">
        <f>IF(AC_Chart_Background_Data[[#This Row],[X]] &lt; EFC_85P-EFC_70P, EFC_70P, MAX(EFC_85P-AC_Chart_Background_Data[[#This Row],[X]],0))</f>
        <v>0</v>
      </c>
      <c r="AM156" s="151">
        <f>IF(AC_Chart_Background_Data[[#This Row],[X]] &lt; EFC_95P-EFC_85P, EFC_85P, MAX(EFC_95P-AC_Chart_Background_Data[[#This Row],[X]],0))</f>
        <v>8</v>
      </c>
      <c r="AN156" s="151">
        <f>IF(AC_Chart_Background_Data[[#This Row],[X]] &lt; EFC_99P-EFC_95P, EFC_95P, MAX(EFC_99P-AC_Chart_Background_Data[[#This Row],[X]],0))</f>
        <v>37</v>
      </c>
      <c r="AO156" s="151">
        <f t="shared" si="8"/>
        <v>190</v>
      </c>
      <c r="BA156" s="8"/>
      <c r="BB156" s="8"/>
      <c r="BC156" s="8"/>
      <c r="BD156" s="8"/>
    </row>
    <row r="157" spans="36:56" x14ac:dyDescent="0.3">
      <c r="AJ157" s="150">
        <f t="shared" si="9"/>
        <v>154</v>
      </c>
      <c r="AK157" s="151">
        <f>IF(AC_Chart_Background_Data[[#This Row],[X]] &lt; EFC_70P-EFC_50P, EFC_50P, MAX(EFC_70P-AC_Chart_Background_Data[[#This Row],[X]],0))</f>
        <v>0</v>
      </c>
      <c r="AL157" s="151">
        <f>IF(AC_Chart_Background_Data[[#This Row],[X]] &lt; EFC_85P-EFC_70P, EFC_70P, MAX(EFC_85P-AC_Chart_Background_Data[[#This Row],[X]],0))</f>
        <v>0</v>
      </c>
      <c r="AM157" s="151">
        <f>IF(AC_Chart_Background_Data[[#This Row],[X]] &lt; EFC_95P-EFC_85P, EFC_85P, MAX(EFC_95P-AC_Chart_Background_Data[[#This Row],[X]],0))</f>
        <v>7</v>
      </c>
      <c r="AN157" s="151">
        <f>IF(AC_Chart_Background_Data[[#This Row],[X]] &lt; EFC_99P-EFC_95P, EFC_95P, MAX(EFC_99P-AC_Chart_Background_Data[[#This Row],[X]],0))</f>
        <v>36</v>
      </c>
      <c r="AO157" s="151">
        <f t="shared" si="8"/>
        <v>190</v>
      </c>
      <c r="BA157" s="8"/>
      <c r="BB157" s="8"/>
      <c r="BC157" s="8"/>
      <c r="BD157" s="8"/>
    </row>
    <row r="158" spans="36:56" x14ac:dyDescent="0.3">
      <c r="AJ158" s="150">
        <f t="shared" si="9"/>
        <v>155</v>
      </c>
      <c r="AK158" s="151">
        <f>IF(AC_Chart_Background_Data[[#This Row],[X]] &lt; EFC_70P-EFC_50P, EFC_50P, MAX(EFC_70P-AC_Chart_Background_Data[[#This Row],[X]],0))</f>
        <v>0</v>
      </c>
      <c r="AL158" s="151">
        <f>IF(AC_Chart_Background_Data[[#This Row],[X]] &lt; EFC_85P-EFC_70P, EFC_70P, MAX(EFC_85P-AC_Chart_Background_Data[[#This Row],[X]],0))</f>
        <v>0</v>
      </c>
      <c r="AM158" s="151">
        <f>IF(AC_Chart_Background_Data[[#This Row],[X]] &lt; EFC_95P-EFC_85P, EFC_85P, MAX(EFC_95P-AC_Chart_Background_Data[[#This Row],[X]],0))</f>
        <v>6</v>
      </c>
      <c r="AN158" s="151">
        <f>IF(AC_Chart_Background_Data[[#This Row],[X]] &lt; EFC_99P-EFC_95P, EFC_95P, MAX(EFC_99P-AC_Chart_Background_Data[[#This Row],[X]],0))</f>
        <v>35</v>
      </c>
      <c r="AO158" s="151">
        <f t="shared" si="8"/>
        <v>190</v>
      </c>
      <c r="BA158" s="8"/>
      <c r="BB158" s="8"/>
      <c r="BC158" s="8"/>
      <c r="BD158" s="8"/>
    </row>
    <row r="159" spans="36:56" x14ac:dyDescent="0.3">
      <c r="AJ159" s="150">
        <f t="shared" si="9"/>
        <v>156</v>
      </c>
      <c r="AK159" s="151">
        <f>IF(AC_Chart_Background_Data[[#This Row],[X]] &lt; EFC_70P-EFC_50P, EFC_50P, MAX(EFC_70P-AC_Chart_Background_Data[[#This Row],[X]],0))</f>
        <v>0</v>
      </c>
      <c r="AL159" s="151">
        <f>IF(AC_Chart_Background_Data[[#This Row],[X]] &lt; EFC_85P-EFC_70P, EFC_70P, MAX(EFC_85P-AC_Chart_Background_Data[[#This Row],[X]],0))</f>
        <v>0</v>
      </c>
      <c r="AM159" s="151">
        <f>IF(AC_Chart_Background_Data[[#This Row],[X]] &lt; EFC_95P-EFC_85P, EFC_85P, MAX(EFC_95P-AC_Chart_Background_Data[[#This Row],[X]],0))</f>
        <v>5</v>
      </c>
      <c r="AN159" s="151">
        <f>IF(AC_Chart_Background_Data[[#This Row],[X]] &lt; EFC_99P-EFC_95P, EFC_95P, MAX(EFC_99P-AC_Chart_Background_Data[[#This Row],[X]],0))</f>
        <v>34</v>
      </c>
      <c r="AO159" s="151">
        <f t="shared" si="8"/>
        <v>190</v>
      </c>
      <c r="BA159" s="8"/>
      <c r="BB159" s="8"/>
      <c r="BC159" s="8"/>
      <c r="BD159" s="8"/>
    </row>
    <row r="160" spans="36:56" x14ac:dyDescent="0.3">
      <c r="AJ160" s="150">
        <f t="shared" si="9"/>
        <v>157</v>
      </c>
      <c r="AK160" s="151">
        <f>IF(AC_Chart_Background_Data[[#This Row],[X]] &lt; EFC_70P-EFC_50P, EFC_50P, MAX(EFC_70P-AC_Chart_Background_Data[[#This Row],[X]],0))</f>
        <v>0</v>
      </c>
      <c r="AL160" s="151">
        <f>IF(AC_Chart_Background_Data[[#This Row],[X]] &lt; EFC_85P-EFC_70P, EFC_70P, MAX(EFC_85P-AC_Chart_Background_Data[[#This Row],[X]],0))</f>
        <v>0</v>
      </c>
      <c r="AM160" s="151">
        <f>IF(AC_Chart_Background_Data[[#This Row],[X]] &lt; EFC_95P-EFC_85P, EFC_85P, MAX(EFC_95P-AC_Chart_Background_Data[[#This Row],[X]],0))</f>
        <v>4</v>
      </c>
      <c r="AN160" s="151">
        <f>IF(AC_Chart_Background_Data[[#This Row],[X]] &lt; EFC_99P-EFC_95P, EFC_95P, MAX(EFC_99P-AC_Chart_Background_Data[[#This Row],[X]],0))</f>
        <v>33</v>
      </c>
      <c r="AO160" s="151">
        <f t="shared" si="8"/>
        <v>190</v>
      </c>
      <c r="BA160" s="8"/>
      <c r="BB160" s="8"/>
      <c r="BC160" s="8"/>
      <c r="BD160" s="8"/>
    </row>
    <row r="161" spans="36:56" x14ac:dyDescent="0.3">
      <c r="AJ161" s="150">
        <f t="shared" si="9"/>
        <v>158</v>
      </c>
      <c r="AK161" s="151">
        <f>IF(AC_Chart_Background_Data[[#This Row],[X]] &lt; EFC_70P-EFC_50P, EFC_50P, MAX(EFC_70P-AC_Chart_Background_Data[[#This Row],[X]],0))</f>
        <v>0</v>
      </c>
      <c r="AL161" s="151">
        <f>IF(AC_Chart_Background_Data[[#This Row],[X]] &lt; EFC_85P-EFC_70P, EFC_70P, MAX(EFC_85P-AC_Chart_Background_Data[[#This Row],[X]],0))</f>
        <v>0</v>
      </c>
      <c r="AM161" s="151">
        <f>IF(AC_Chart_Background_Data[[#This Row],[X]] &lt; EFC_95P-EFC_85P, EFC_85P, MAX(EFC_95P-AC_Chart_Background_Data[[#This Row],[X]],0))</f>
        <v>3</v>
      </c>
      <c r="AN161" s="151">
        <f>IF(AC_Chart_Background_Data[[#This Row],[X]] &lt; EFC_99P-EFC_95P, EFC_95P, MAX(EFC_99P-AC_Chart_Background_Data[[#This Row],[X]],0))</f>
        <v>32</v>
      </c>
      <c r="AO161" s="151">
        <f t="shared" si="8"/>
        <v>190</v>
      </c>
      <c r="BA161" s="8"/>
      <c r="BB161" s="8"/>
      <c r="BC161" s="8"/>
      <c r="BD161" s="8"/>
    </row>
    <row r="162" spans="36:56" x14ac:dyDescent="0.3">
      <c r="AJ162" s="150">
        <f t="shared" si="9"/>
        <v>159</v>
      </c>
      <c r="AK162" s="151">
        <f>IF(AC_Chart_Background_Data[[#This Row],[X]] &lt; EFC_70P-EFC_50P, EFC_50P, MAX(EFC_70P-AC_Chart_Background_Data[[#This Row],[X]],0))</f>
        <v>0</v>
      </c>
      <c r="AL162" s="151">
        <f>IF(AC_Chart_Background_Data[[#This Row],[X]] &lt; EFC_85P-EFC_70P, EFC_70P, MAX(EFC_85P-AC_Chart_Background_Data[[#This Row],[X]],0))</f>
        <v>0</v>
      </c>
      <c r="AM162" s="151">
        <f>IF(AC_Chart_Background_Data[[#This Row],[X]] &lt; EFC_95P-EFC_85P, EFC_85P, MAX(EFC_95P-AC_Chart_Background_Data[[#This Row],[X]],0))</f>
        <v>2</v>
      </c>
      <c r="AN162" s="151">
        <f>IF(AC_Chart_Background_Data[[#This Row],[X]] &lt; EFC_99P-EFC_95P, EFC_95P, MAX(EFC_99P-AC_Chart_Background_Data[[#This Row],[X]],0))</f>
        <v>31</v>
      </c>
      <c r="AO162" s="151">
        <f t="shared" si="8"/>
        <v>190</v>
      </c>
      <c r="BA162" s="8"/>
      <c r="BB162" s="8"/>
      <c r="BC162" s="8"/>
      <c r="BD162" s="8"/>
    </row>
    <row r="163" spans="36:56" x14ac:dyDescent="0.3">
      <c r="AJ163" s="150">
        <f t="shared" si="9"/>
        <v>160</v>
      </c>
      <c r="AK163" s="151">
        <f>IF(AC_Chart_Background_Data[[#This Row],[X]] &lt; EFC_70P-EFC_50P, EFC_50P, MAX(EFC_70P-AC_Chart_Background_Data[[#This Row],[X]],0))</f>
        <v>0</v>
      </c>
      <c r="AL163" s="151">
        <f>IF(AC_Chart_Background_Data[[#This Row],[X]] &lt; EFC_85P-EFC_70P, EFC_70P, MAX(EFC_85P-AC_Chart_Background_Data[[#This Row],[X]],0))</f>
        <v>0</v>
      </c>
      <c r="AM163" s="151">
        <f>IF(AC_Chart_Background_Data[[#This Row],[X]] &lt; EFC_95P-EFC_85P, EFC_85P, MAX(EFC_95P-AC_Chart_Background_Data[[#This Row],[X]],0))</f>
        <v>1</v>
      </c>
      <c r="AN163" s="151">
        <f>IF(AC_Chart_Background_Data[[#This Row],[X]] &lt; EFC_99P-EFC_95P, EFC_95P, MAX(EFC_99P-AC_Chart_Background_Data[[#This Row],[X]],0))</f>
        <v>30</v>
      </c>
      <c r="AO163" s="151">
        <f t="shared" si="8"/>
        <v>190</v>
      </c>
      <c r="BA163" s="8"/>
      <c r="BB163" s="8"/>
      <c r="BC163" s="8"/>
      <c r="BD163" s="8"/>
    </row>
    <row r="164" spans="36:56" x14ac:dyDescent="0.3">
      <c r="AJ164" s="150">
        <f t="shared" si="9"/>
        <v>161</v>
      </c>
      <c r="AK164" s="151">
        <f>IF(AC_Chart_Background_Data[[#This Row],[X]] &lt; EFC_70P-EFC_50P, EFC_50P, MAX(EFC_70P-AC_Chart_Background_Data[[#This Row],[X]],0))</f>
        <v>0</v>
      </c>
      <c r="AL164" s="151">
        <f>IF(AC_Chart_Background_Data[[#This Row],[X]] &lt; EFC_85P-EFC_70P, EFC_70P, MAX(EFC_85P-AC_Chart_Background_Data[[#This Row],[X]],0))</f>
        <v>0</v>
      </c>
      <c r="AM164" s="151">
        <f>IF(AC_Chart_Background_Data[[#This Row],[X]] &lt; EFC_95P-EFC_85P, EFC_85P, MAX(EFC_95P-AC_Chart_Background_Data[[#This Row],[X]],0))</f>
        <v>0</v>
      </c>
      <c r="AN164" s="151">
        <f>IF(AC_Chart_Background_Data[[#This Row],[X]] &lt; EFC_99P-EFC_95P, EFC_95P, MAX(EFC_99P-AC_Chart_Background_Data[[#This Row],[X]],0))</f>
        <v>29</v>
      </c>
      <c r="AO164" s="151">
        <f t="shared" si="8"/>
        <v>190</v>
      </c>
      <c r="BA164" s="8"/>
      <c r="BB164" s="8"/>
      <c r="BC164" s="8"/>
      <c r="BD164" s="8"/>
    </row>
    <row r="165" spans="36:56" x14ac:dyDescent="0.3">
      <c r="AJ165" s="150">
        <f t="shared" si="9"/>
        <v>162</v>
      </c>
      <c r="AK165" s="151">
        <f>IF(AC_Chart_Background_Data[[#This Row],[X]] &lt; EFC_70P-EFC_50P, EFC_50P, MAX(EFC_70P-AC_Chart_Background_Data[[#This Row],[X]],0))</f>
        <v>0</v>
      </c>
      <c r="AL165" s="151">
        <f>IF(AC_Chart_Background_Data[[#This Row],[X]] &lt; EFC_85P-EFC_70P, EFC_70P, MAX(EFC_85P-AC_Chart_Background_Data[[#This Row],[X]],0))</f>
        <v>0</v>
      </c>
      <c r="AM165" s="151">
        <f>IF(AC_Chart_Background_Data[[#This Row],[X]] &lt; EFC_95P-EFC_85P, EFC_85P, MAX(EFC_95P-AC_Chart_Background_Data[[#This Row],[X]],0))</f>
        <v>0</v>
      </c>
      <c r="AN165" s="151">
        <f>IF(AC_Chart_Background_Data[[#This Row],[X]] &lt; EFC_99P-EFC_95P, EFC_95P, MAX(EFC_99P-AC_Chart_Background_Data[[#This Row],[X]],0))</f>
        <v>28</v>
      </c>
      <c r="AO165" s="151">
        <f t="shared" si="8"/>
        <v>190</v>
      </c>
      <c r="BA165" s="8"/>
      <c r="BB165" s="8"/>
      <c r="BC165" s="8"/>
      <c r="BD165" s="8"/>
    </row>
    <row r="166" spans="36:56" x14ac:dyDescent="0.3">
      <c r="AJ166" s="150">
        <f t="shared" si="9"/>
        <v>163</v>
      </c>
      <c r="AK166" s="151">
        <f>IF(AC_Chart_Background_Data[[#This Row],[X]] &lt; EFC_70P-EFC_50P, EFC_50P, MAX(EFC_70P-AC_Chart_Background_Data[[#This Row],[X]],0))</f>
        <v>0</v>
      </c>
      <c r="AL166" s="151">
        <f>IF(AC_Chart_Background_Data[[#This Row],[X]] &lt; EFC_85P-EFC_70P, EFC_70P, MAX(EFC_85P-AC_Chart_Background_Data[[#This Row],[X]],0))</f>
        <v>0</v>
      </c>
      <c r="AM166" s="151">
        <f>IF(AC_Chart_Background_Data[[#This Row],[X]] &lt; EFC_95P-EFC_85P, EFC_85P, MAX(EFC_95P-AC_Chart_Background_Data[[#This Row],[X]],0))</f>
        <v>0</v>
      </c>
      <c r="AN166" s="151">
        <f>IF(AC_Chart_Background_Data[[#This Row],[X]] &lt; EFC_99P-EFC_95P, EFC_95P, MAX(EFC_99P-AC_Chart_Background_Data[[#This Row],[X]],0))</f>
        <v>27</v>
      </c>
      <c r="AO166" s="151">
        <f t="shared" si="8"/>
        <v>190</v>
      </c>
      <c r="BA166" s="8"/>
      <c r="BB166" s="8"/>
      <c r="BC166" s="8"/>
      <c r="BD166" s="8"/>
    </row>
    <row r="167" spans="36:56" x14ac:dyDescent="0.3">
      <c r="AJ167" s="150">
        <f t="shared" si="9"/>
        <v>164</v>
      </c>
      <c r="AK167" s="151">
        <f>IF(AC_Chart_Background_Data[[#This Row],[X]] &lt; EFC_70P-EFC_50P, EFC_50P, MAX(EFC_70P-AC_Chart_Background_Data[[#This Row],[X]],0))</f>
        <v>0</v>
      </c>
      <c r="AL167" s="151">
        <f>IF(AC_Chart_Background_Data[[#This Row],[X]] &lt; EFC_85P-EFC_70P, EFC_70P, MAX(EFC_85P-AC_Chart_Background_Data[[#This Row],[X]],0))</f>
        <v>0</v>
      </c>
      <c r="AM167" s="151">
        <f>IF(AC_Chart_Background_Data[[#This Row],[X]] &lt; EFC_95P-EFC_85P, EFC_85P, MAX(EFC_95P-AC_Chart_Background_Data[[#This Row],[X]],0))</f>
        <v>0</v>
      </c>
      <c r="AN167" s="151">
        <f>IF(AC_Chart_Background_Data[[#This Row],[X]] &lt; EFC_99P-EFC_95P, EFC_95P, MAX(EFC_99P-AC_Chart_Background_Data[[#This Row],[X]],0))</f>
        <v>26</v>
      </c>
      <c r="AO167" s="151">
        <f t="shared" si="8"/>
        <v>190</v>
      </c>
      <c r="BA167" s="8"/>
      <c r="BB167" s="8"/>
      <c r="BC167" s="8"/>
      <c r="BD167" s="8"/>
    </row>
    <row r="168" spans="36:56" x14ac:dyDescent="0.3">
      <c r="AJ168" s="150">
        <f t="shared" si="9"/>
        <v>165</v>
      </c>
      <c r="AK168" s="151">
        <f>IF(AC_Chart_Background_Data[[#This Row],[X]] &lt; EFC_70P-EFC_50P, EFC_50P, MAX(EFC_70P-AC_Chart_Background_Data[[#This Row],[X]],0))</f>
        <v>0</v>
      </c>
      <c r="AL168" s="151">
        <f>IF(AC_Chart_Background_Data[[#This Row],[X]] &lt; EFC_85P-EFC_70P, EFC_70P, MAX(EFC_85P-AC_Chart_Background_Data[[#This Row],[X]],0))</f>
        <v>0</v>
      </c>
      <c r="AM168" s="151">
        <f>IF(AC_Chart_Background_Data[[#This Row],[X]] &lt; EFC_95P-EFC_85P, EFC_85P, MAX(EFC_95P-AC_Chart_Background_Data[[#This Row],[X]],0))</f>
        <v>0</v>
      </c>
      <c r="AN168" s="151">
        <f>IF(AC_Chart_Background_Data[[#This Row],[X]] &lt; EFC_99P-EFC_95P, EFC_95P, MAX(EFC_99P-AC_Chart_Background_Data[[#This Row],[X]],0))</f>
        <v>25</v>
      </c>
      <c r="AO168" s="151">
        <f t="shared" si="8"/>
        <v>190</v>
      </c>
      <c r="BA168" s="8"/>
      <c r="BB168" s="8"/>
      <c r="BC168" s="8"/>
      <c r="BD168" s="8"/>
    </row>
    <row r="169" spans="36:56" x14ac:dyDescent="0.3">
      <c r="AJ169" s="150">
        <f t="shared" si="9"/>
        <v>166</v>
      </c>
      <c r="AK169" s="151">
        <f>IF(AC_Chart_Background_Data[[#This Row],[X]] &lt; EFC_70P-EFC_50P, EFC_50P, MAX(EFC_70P-AC_Chart_Background_Data[[#This Row],[X]],0))</f>
        <v>0</v>
      </c>
      <c r="AL169" s="151">
        <f>IF(AC_Chart_Background_Data[[#This Row],[X]] &lt; EFC_85P-EFC_70P, EFC_70P, MAX(EFC_85P-AC_Chart_Background_Data[[#This Row],[X]],0))</f>
        <v>0</v>
      </c>
      <c r="AM169" s="151">
        <f>IF(AC_Chart_Background_Data[[#This Row],[X]] &lt; EFC_95P-EFC_85P, EFC_85P, MAX(EFC_95P-AC_Chart_Background_Data[[#This Row],[X]],0))</f>
        <v>0</v>
      </c>
      <c r="AN169" s="151">
        <f>IF(AC_Chart_Background_Data[[#This Row],[X]] &lt; EFC_99P-EFC_95P, EFC_95P, MAX(EFC_99P-AC_Chart_Background_Data[[#This Row],[X]],0))</f>
        <v>24</v>
      </c>
      <c r="AO169" s="151">
        <f t="shared" si="8"/>
        <v>190</v>
      </c>
      <c r="BA169" s="8"/>
      <c r="BB169" s="8"/>
      <c r="BC169" s="8"/>
      <c r="BD169" s="8"/>
    </row>
    <row r="170" spans="36:56" x14ac:dyDescent="0.3">
      <c r="AJ170" s="150">
        <f t="shared" si="9"/>
        <v>167</v>
      </c>
      <c r="AK170" s="151">
        <f>IF(AC_Chart_Background_Data[[#This Row],[X]] &lt; EFC_70P-EFC_50P, EFC_50P, MAX(EFC_70P-AC_Chart_Background_Data[[#This Row],[X]],0))</f>
        <v>0</v>
      </c>
      <c r="AL170" s="151">
        <f>IF(AC_Chart_Background_Data[[#This Row],[X]] &lt; EFC_85P-EFC_70P, EFC_70P, MAX(EFC_85P-AC_Chart_Background_Data[[#This Row],[X]],0))</f>
        <v>0</v>
      </c>
      <c r="AM170" s="151">
        <f>IF(AC_Chart_Background_Data[[#This Row],[X]] &lt; EFC_95P-EFC_85P, EFC_85P, MAX(EFC_95P-AC_Chart_Background_Data[[#This Row],[X]],0))</f>
        <v>0</v>
      </c>
      <c r="AN170" s="151">
        <f>IF(AC_Chart_Background_Data[[#This Row],[X]] &lt; EFC_99P-EFC_95P, EFC_95P, MAX(EFC_99P-AC_Chart_Background_Data[[#This Row],[X]],0))</f>
        <v>23</v>
      </c>
      <c r="AO170" s="151">
        <f t="shared" si="8"/>
        <v>190</v>
      </c>
      <c r="BA170" s="8"/>
      <c r="BB170" s="8"/>
      <c r="BC170" s="8"/>
      <c r="BD170" s="8"/>
    </row>
    <row r="171" spans="36:56" x14ac:dyDescent="0.3">
      <c r="AJ171" s="150">
        <f t="shared" si="9"/>
        <v>168</v>
      </c>
      <c r="AK171" s="151">
        <f>IF(AC_Chart_Background_Data[[#This Row],[X]] &lt; EFC_70P-EFC_50P, EFC_50P, MAX(EFC_70P-AC_Chart_Background_Data[[#This Row],[X]],0))</f>
        <v>0</v>
      </c>
      <c r="AL171" s="151">
        <f>IF(AC_Chart_Background_Data[[#This Row],[X]] &lt; EFC_85P-EFC_70P, EFC_70P, MAX(EFC_85P-AC_Chart_Background_Data[[#This Row],[X]],0))</f>
        <v>0</v>
      </c>
      <c r="AM171" s="151">
        <f>IF(AC_Chart_Background_Data[[#This Row],[X]] &lt; EFC_95P-EFC_85P, EFC_85P, MAX(EFC_95P-AC_Chart_Background_Data[[#This Row],[X]],0))</f>
        <v>0</v>
      </c>
      <c r="AN171" s="151">
        <f>IF(AC_Chart_Background_Data[[#This Row],[X]] &lt; EFC_99P-EFC_95P, EFC_95P, MAX(EFC_99P-AC_Chart_Background_Data[[#This Row],[X]],0))</f>
        <v>22</v>
      </c>
      <c r="AO171" s="151">
        <f t="shared" si="8"/>
        <v>190</v>
      </c>
      <c r="BA171" s="8"/>
      <c r="BB171" s="8"/>
      <c r="BC171" s="8"/>
      <c r="BD171" s="8"/>
    </row>
    <row r="172" spans="36:56" x14ac:dyDescent="0.3">
      <c r="AJ172" s="150">
        <f t="shared" si="9"/>
        <v>169</v>
      </c>
      <c r="AK172" s="151">
        <f>IF(AC_Chart_Background_Data[[#This Row],[X]] &lt; EFC_70P-EFC_50P, EFC_50P, MAX(EFC_70P-AC_Chart_Background_Data[[#This Row],[X]],0))</f>
        <v>0</v>
      </c>
      <c r="AL172" s="151">
        <f>IF(AC_Chart_Background_Data[[#This Row],[X]] &lt; EFC_85P-EFC_70P, EFC_70P, MAX(EFC_85P-AC_Chart_Background_Data[[#This Row],[X]],0))</f>
        <v>0</v>
      </c>
      <c r="AM172" s="151">
        <f>IF(AC_Chart_Background_Data[[#This Row],[X]] &lt; EFC_95P-EFC_85P, EFC_85P, MAX(EFC_95P-AC_Chart_Background_Data[[#This Row],[X]],0))</f>
        <v>0</v>
      </c>
      <c r="AN172" s="151">
        <f>IF(AC_Chart_Background_Data[[#This Row],[X]] &lt; EFC_99P-EFC_95P, EFC_95P, MAX(EFC_99P-AC_Chart_Background_Data[[#This Row],[X]],0))</f>
        <v>21</v>
      </c>
      <c r="AO172" s="151">
        <f t="shared" si="8"/>
        <v>190</v>
      </c>
      <c r="BA172" s="8"/>
      <c r="BB172" s="8"/>
      <c r="BC172" s="8"/>
      <c r="BD172" s="8"/>
    </row>
    <row r="173" spans="36:56" x14ac:dyDescent="0.3">
      <c r="AJ173" s="150">
        <f t="shared" si="9"/>
        <v>170</v>
      </c>
      <c r="AK173" s="151">
        <f>IF(AC_Chart_Background_Data[[#This Row],[X]] &lt; EFC_70P-EFC_50P, EFC_50P, MAX(EFC_70P-AC_Chart_Background_Data[[#This Row],[X]],0))</f>
        <v>0</v>
      </c>
      <c r="AL173" s="151">
        <f>IF(AC_Chart_Background_Data[[#This Row],[X]] &lt; EFC_85P-EFC_70P, EFC_70P, MAX(EFC_85P-AC_Chart_Background_Data[[#This Row],[X]],0))</f>
        <v>0</v>
      </c>
      <c r="AM173" s="151">
        <f>IF(AC_Chart_Background_Data[[#This Row],[X]] &lt; EFC_95P-EFC_85P, EFC_85P, MAX(EFC_95P-AC_Chart_Background_Data[[#This Row],[X]],0))</f>
        <v>0</v>
      </c>
      <c r="AN173" s="151">
        <f>IF(AC_Chart_Background_Data[[#This Row],[X]] &lt; EFC_99P-EFC_95P, EFC_95P, MAX(EFC_99P-AC_Chart_Background_Data[[#This Row],[X]],0))</f>
        <v>20</v>
      </c>
      <c r="AO173" s="151">
        <f t="shared" si="8"/>
        <v>190</v>
      </c>
      <c r="BA173" s="8"/>
      <c r="BB173" s="8"/>
      <c r="BC173" s="8"/>
      <c r="BD173" s="8"/>
    </row>
    <row r="174" spans="36:56" x14ac:dyDescent="0.3">
      <c r="AJ174" s="150">
        <f t="shared" si="9"/>
        <v>171</v>
      </c>
      <c r="AK174" s="151">
        <f>IF(AC_Chart_Background_Data[[#This Row],[X]] &lt; EFC_70P-EFC_50P, EFC_50P, MAX(EFC_70P-AC_Chart_Background_Data[[#This Row],[X]],0))</f>
        <v>0</v>
      </c>
      <c r="AL174" s="151">
        <f>IF(AC_Chart_Background_Data[[#This Row],[X]] &lt; EFC_85P-EFC_70P, EFC_70P, MAX(EFC_85P-AC_Chart_Background_Data[[#This Row],[X]],0))</f>
        <v>0</v>
      </c>
      <c r="AM174" s="151">
        <f>IF(AC_Chart_Background_Data[[#This Row],[X]] &lt; EFC_95P-EFC_85P, EFC_85P, MAX(EFC_95P-AC_Chart_Background_Data[[#This Row],[X]],0))</f>
        <v>0</v>
      </c>
      <c r="AN174" s="151">
        <f>IF(AC_Chart_Background_Data[[#This Row],[X]] &lt; EFC_99P-EFC_95P, EFC_95P, MAX(EFC_99P-AC_Chart_Background_Data[[#This Row],[X]],0))</f>
        <v>19</v>
      </c>
      <c r="AO174" s="151">
        <f t="shared" si="8"/>
        <v>190</v>
      </c>
      <c r="BA174" s="8"/>
      <c r="BB174" s="8"/>
      <c r="BC174" s="8"/>
      <c r="BD174" s="8"/>
    </row>
    <row r="175" spans="36:56" x14ac:dyDescent="0.3">
      <c r="AJ175" s="150">
        <f t="shared" si="9"/>
        <v>172</v>
      </c>
      <c r="AK175" s="151">
        <f>IF(AC_Chart_Background_Data[[#This Row],[X]] &lt; EFC_70P-EFC_50P, EFC_50P, MAX(EFC_70P-AC_Chart_Background_Data[[#This Row],[X]],0))</f>
        <v>0</v>
      </c>
      <c r="AL175" s="151">
        <f>IF(AC_Chart_Background_Data[[#This Row],[X]] &lt; EFC_85P-EFC_70P, EFC_70P, MAX(EFC_85P-AC_Chart_Background_Data[[#This Row],[X]],0))</f>
        <v>0</v>
      </c>
      <c r="AM175" s="151">
        <f>IF(AC_Chart_Background_Data[[#This Row],[X]] &lt; EFC_95P-EFC_85P, EFC_85P, MAX(EFC_95P-AC_Chart_Background_Data[[#This Row],[X]],0))</f>
        <v>0</v>
      </c>
      <c r="AN175" s="151">
        <f>IF(AC_Chart_Background_Data[[#This Row],[X]] &lt; EFC_99P-EFC_95P, EFC_95P, MAX(EFC_99P-AC_Chart_Background_Data[[#This Row],[X]],0))</f>
        <v>18</v>
      </c>
      <c r="AO175" s="151">
        <f t="shared" si="8"/>
        <v>190</v>
      </c>
      <c r="BA175" s="8"/>
      <c r="BB175" s="8"/>
      <c r="BC175" s="8"/>
      <c r="BD175" s="8"/>
    </row>
    <row r="176" spans="36:56" x14ac:dyDescent="0.3">
      <c r="AJ176" s="150">
        <f t="shared" si="9"/>
        <v>173</v>
      </c>
      <c r="AK176" s="151">
        <f>IF(AC_Chart_Background_Data[[#This Row],[X]] &lt; EFC_70P-EFC_50P, EFC_50P, MAX(EFC_70P-AC_Chart_Background_Data[[#This Row],[X]],0))</f>
        <v>0</v>
      </c>
      <c r="AL176" s="151">
        <f>IF(AC_Chart_Background_Data[[#This Row],[X]] &lt; EFC_85P-EFC_70P, EFC_70P, MAX(EFC_85P-AC_Chart_Background_Data[[#This Row],[X]],0))</f>
        <v>0</v>
      </c>
      <c r="AM176" s="151">
        <f>IF(AC_Chart_Background_Data[[#This Row],[X]] &lt; EFC_95P-EFC_85P, EFC_85P, MAX(EFC_95P-AC_Chart_Background_Data[[#This Row],[X]],0))</f>
        <v>0</v>
      </c>
      <c r="AN176" s="151">
        <f>IF(AC_Chart_Background_Data[[#This Row],[X]] &lt; EFC_99P-EFC_95P, EFC_95P, MAX(EFC_99P-AC_Chart_Background_Data[[#This Row],[X]],0))</f>
        <v>17</v>
      </c>
      <c r="AO176" s="151">
        <f t="shared" si="8"/>
        <v>190</v>
      </c>
      <c r="BA176" s="8"/>
      <c r="BB176" s="8"/>
      <c r="BC176" s="8"/>
      <c r="BD176" s="8"/>
    </row>
    <row r="177" spans="36:56" x14ac:dyDescent="0.3">
      <c r="AJ177" s="150">
        <f t="shared" si="9"/>
        <v>174</v>
      </c>
      <c r="AK177" s="151">
        <f>IF(AC_Chart_Background_Data[[#This Row],[X]] &lt; EFC_70P-EFC_50P, EFC_50P, MAX(EFC_70P-AC_Chart_Background_Data[[#This Row],[X]],0))</f>
        <v>0</v>
      </c>
      <c r="AL177" s="151">
        <f>IF(AC_Chart_Background_Data[[#This Row],[X]] &lt; EFC_85P-EFC_70P, EFC_70P, MAX(EFC_85P-AC_Chart_Background_Data[[#This Row],[X]],0))</f>
        <v>0</v>
      </c>
      <c r="AM177" s="151">
        <f>IF(AC_Chart_Background_Data[[#This Row],[X]] &lt; EFC_95P-EFC_85P, EFC_85P, MAX(EFC_95P-AC_Chart_Background_Data[[#This Row],[X]],0))</f>
        <v>0</v>
      </c>
      <c r="AN177" s="151">
        <f>IF(AC_Chart_Background_Data[[#This Row],[X]] &lt; EFC_99P-EFC_95P, EFC_95P, MAX(EFC_99P-AC_Chart_Background_Data[[#This Row],[X]],0))</f>
        <v>16</v>
      </c>
      <c r="AO177" s="151">
        <f t="shared" si="8"/>
        <v>190</v>
      </c>
      <c r="BA177" s="8"/>
      <c r="BB177" s="8"/>
      <c r="BC177" s="8"/>
      <c r="BD177" s="8"/>
    </row>
    <row r="178" spans="36:56" x14ac:dyDescent="0.3">
      <c r="AJ178" s="150">
        <f t="shared" si="9"/>
        <v>175</v>
      </c>
      <c r="AK178" s="151">
        <f>IF(AC_Chart_Background_Data[[#This Row],[X]] &lt; EFC_70P-EFC_50P, EFC_50P, MAX(EFC_70P-AC_Chart_Background_Data[[#This Row],[X]],0))</f>
        <v>0</v>
      </c>
      <c r="AL178" s="151">
        <f>IF(AC_Chart_Background_Data[[#This Row],[X]] &lt; EFC_85P-EFC_70P, EFC_70P, MAX(EFC_85P-AC_Chart_Background_Data[[#This Row],[X]],0))</f>
        <v>0</v>
      </c>
      <c r="AM178" s="151">
        <f>IF(AC_Chart_Background_Data[[#This Row],[X]] &lt; EFC_95P-EFC_85P, EFC_85P, MAX(EFC_95P-AC_Chart_Background_Data[[#This Row],[X]],0))</f>
        <v>0</v>
      </c>
      <c r="AN178" s="151">
        <f>IF(AC_Chart_Background_Data[[#This Row],[X]] &lt; EFC_99P-EFC_95P, EFC_95P, MAX(EFC_99P-AC_Chart_Background_Data[[#This Row],[X]],0))</f>
        <v>15</v>
      </c>
      <c r="AO178" s="151">
        <f t="shared" si="8"/>
        <v>190</v>
      </c>
      <c r="BA178" s="8"/>
      <c r="BB178" s="8"/>
      <c r="BC178" s="8"/>
      <c r="BD178" s="8"/>
    </row>
    <row r="179" spans="36:56" x14ac:dyDescent="0.3">
      <c r="AJ179" s="150">
        <f t="shared" si="9"/>
        <v>176</v>
      </c>
      <c r="AK179" s="151">
        <f>IF(AC_Chart_Background_Data[[#This Row],[X]] &lt; EFC_70P-EFC_50P, EFC_50P, MAX(EFC_70P-AC_Chart_Background_Data[[#This Row],[X]],0))</f>
        <v>0</v>
      </c>
      <c r="AL179" s="151">
        <f>IF(AC_Chart_Background_Data[[#This Row],[X]] &lt; EFC_85P-EFC_70P, EFC_70P, MAX(EFC_85P-AC_Chart_Background_Data[[#This Row],[X]],0))</f>
        <v>0</v>
      </c>
      <c r="AM179" s="151">
        <f>IF(AC_Chart_Background_Data[[#This Row],[X]] &lt; EFC_95P-EFC_85P, EFC_85P, MAX(EFC_95P-AC_Chart_Background_Data[[#This Row],[X]],0))</f>
        <v>0</v>
      </c>
      <c r="AN179" s="151">
        <f>IF(AC_Chart_Background_Data[[#This Row],[X]] &lt; EFC_99P-EFC_95P, EFC_95P, MAX(EFC_99P-AC_Chart_Background_Data[[#This Row],[X]],0))</f>
        <v>14</v>
      </c>
      <c r="AO179" s="151">
        <f t="shared" si="8"/>
        <v>190</v>
      </c>
      <c r="BA179" s="8"/>
      <c r="BB179" s="8"/>
      <c r="BC179" s="8"/>
      <c r="BD179" s="8"/>
    </row>
    <row r="180" spans="36:56" x14ac:dyDescent="0.3">
      <c r="AJ180" s="150">
        <f t="shared" si="9"/>
        <v>177</v>
      </c>
      <c r="AK180" s="151">
        <f>IF(AC_Chart_Background_Data[[#This Row],[X]] &lt; EFC_70P-EFC_50P, EFC_50P, MAX(EFC_70P-AC_Chart_Background_Data[[#This Row],[X]],0))</f>
        <v>0</v>
      </c>
      <c r="AL180" s="151">
        <f>IF(AC_Chart_Background_Data[[#This Row],[X]] &lt; EFC_85P-EFC_70P, EFC_70P, MAX(EFC_85P-AC_Chart_Background_Data[[#This Row],[X]],0))</f>
        <v>0</v>
      </c>
      <c r="AM180" s="151">
        <f>IF(AC_Chart_Background_Data[[#This Row],[X]] &lt; EFC_95P-EFC_85P, EFC_85P, MAX(EFC_95P-AC_Chart_Background_Data[[#This Row],[X]],0))</f>
        <v>0</v>
      </c>
      <c r="AN180" s="151">
        <f>IF(AC_Chart_Background_Data[[#This Row],[X]] &lt; EFC_99P-EFC_95P, EFC_95P, MAX(EFC_99P-AC_Chart_Background_Data[[#This Row],[X]],0))</f>
        <v>13</v>
      </c>
      <c r="AO180" s="151">
        <f t="shared" si="8"/>
        <v>190</v>
      </c>
      <c r="BA180" s="8"/>
      <c r="BB180" s="8"/>
      <c r="BC180" s="8"/>
      <c r="BD180" s="8"/>
    </row>
    <row r="181" spans="36:56" x14ac:dyDescent="0.3">
      <c r="AJ181" s="150">
        <f t="shared" si="9"/>
        <v>178</v>
      </c>
      <c r="AK181" s="151">
        <f>IF(AC_Chart_Background_Data[[#This Row],[X]] &lt; EFC_70P-EFC_50P, EFC_50P, MAX(EFC_70P-AC_Chart_Background_Data[[#This Row],[X]],0))</f>
        <v>0</v>
      </c>
      <c r="AL181" s="151">
        <f>IF(AC_Chart_Background_Data[[#This Row],[X]] &lt; EFC_85P-EFC_70P, EFC_70P, MAX(EFC_85P-AC_Chart_Background_Data[[#This Row],[X]],0))</f>
        <v>0</v>
      </c>
      <c r="AM181" s="151">
        <f>IF(AC_Chart_Background_Data[[#This Row],[X]] &lt; EFC_95P-EFC_85P, EFC_85P, MAX(EFC_95P-AC_Chart_Background_Data[[#This Row],[X]],0))</f>
        <v>0</v>
      </c>
      <c r="AN181" s="151">
        <f>IF(AC_Chart_Background_Data[[#This Row],[X]] &lt; EFC_99P-EFC_95P, EFC_95P, MAX(EFC_99P-AC_Chart_Background_Data[[#This Row],[X]],0))</f>
        <v>12</v>
      </c>
      <c r="AO181" s="151">
        <f t="shared" si="8"/>
        <v>190</v>
      </c>
      <c r="BA181" s="8"/>
      <c r="BB181" s="8"/>
      <c r="BC181" s="8"/>
      <c r="BD181" s="8"/>
    </row>
    <row r="182" spans="36:56" x14ac:dyDescent="0.3">
      <c r="AJ182" s="150">
        <f t="shared" si="9"/>
        <v>179</v>
      </c>
      <c r="AK182" s="151">
        <f>IF(AC_Chart_Background_Data[[#This Row],[X]] &lt; EFC_70P-EFC_50P, EFC_50P, MAX(EFC_70P-AC_Chart_Background_Data[[#This Row],[X]],0))</f>
        <v>0</v>
      </c>
      <c r="AL182" s="151">
        <f>IF(AC_Chart_Background_Data[[#This Row],[X]] &lt; EFC_85P-EFC_70P, EFC_70P, MAX(EFC_85P-AC_Chart_Background_Data[[#This Row],[X]],0))</f>
        <v>0</v>
      </c>
      <c r="AM182" s="151">
        <f>IF(AC_Chart_Background_Data[[#This Row],[X]] &lt; EFC_95P-EFC_85P, EFC_85P, MAX(EFC_95P-AC_Chart_Background_Data[[#This Row],[X]],0))</f>
        <v>0</v>
      </c>
      <c r="AN182" s="151">
        <f>IF(AC_Chart_Background_Data[[#This Row],[X]] &lt; EFC_99P-EFC_95P, EFC_95P, MAX(EFC_99P-AC_Chart_Background_Data[[#This Row],[X]],0))</f>
        <v>11</v>
      </c>
      <c r="AO182" s="151">
        <f t="shared" si="8"/>
        <v>190</v>
      </c>
      <c r="BA182" s="8"/>
      <c r="BB182" s="8"/>
      <c r="BC182" s="8"/>
      <c r="BD182" s="8"/>
    </row>
    <row r="183" spans="36:56" x14ac:dyDescent="0.3">
      <c r="AJ183" s="150">
        <f t="shared" si="9"/>
        <v>180</v>
      </c>
      <c r="AK183" s="151">
        <f>IF(AC_Chart_Background_Data[[#This Row],[X]] &lt; EFC_70P-EFC_50P, EFC_50P, MAX(EFC_70P-AC_Chart_Background_Data[[#This Row],[X]],0))</f>
        <v>0</v>
      </c>
      <c r="AL183" s="151">
        <f>IF(AC_Chart_Background_Data[[#This Row],[X]] &lt; EFC_85P-EFC_70P, EFC_70P, MAX(EFC_85P-AC_Chart_Background_Data[[#This Row],[X]],0))</f>
        <v>0</v>
      </c>
      <c r="AM183" s="151">
        <f>IF(AC_Chart_Background_Data[[#This Row],[X]] &lt; EFC_95P-EFC_85P, EFC_85P, MAX(EFC_95P-AC_Chart_Background_Data[[#This Row],[X]],0))</f>
        <v>0</v>
      </c>
      <c r="AN183" s="151">
        <f>IF(AC_Chart_Background_Data[[#This Row],[X]] &lt; EFC_99P-EFC_95P, EFC_95P, MAX(EFC_99P-AC_Chart_Background_Data[[#This Row],[X]],0))</f>
        <v>10</v>
      </c>
      <c r="AO183" s="151">
        <f t="shared" si="8"/>
        <v>190</v>
      </c>
      <c r="BA183" s="8"/>
    </row>
    <row r="184" spans="36:56" x14ac:dyDescent="0.3">
      <c r="AJ184" s="150">
        <f t="shared" si="9"/>
        <v>181</v>
      </c>
      <c r="AK184" s="151">
        <f>IF(AC_Chart_Background_Data[[#This Row],[X]] &lt; EFC_70P-EFC_50P, EFC_50P, MAX(EFC_70P-AC_Chart_Background_Data[[#This Row],[X]],0))</f>
        <v>0</v>
      </c>
      <c r="AL184" s="151">
        <f>IF(AC_Chart_Background_Data[[#This Row],[X]] &lt; EFC_85P-EFC_70P, EFC_70P, MAX(EFC_85P-AC_Chart_Background_Data[[#This Row],[X]],0))</f>
        <v>0</v>
      </c>
      <c r="AM184" s="151">
        <f>IF(AC_Chart_Background_Data[[#This Row],[X]] &lt; EFC_95P-EFC_85P, EFC_85P, MAX(EFC_95P-AC_Chart_Background_Data[[#This Row],[X]],0))</f>
        <v>0</v>
      </c>
      <c r="AN184" s="151">
        <f>IF(AC_Chart_Background_Data[[#This Row],[X]] &lt; EFC_99P-EFC_95P, EFC_95P, MAX(EFC_99P-AC_Chart_Background_Data[[#This Row],[X]],0))</f>
        <v>9</v>
      </c>
      <c r="AO184" s="151">
        <f t="shared" si="8"/>
        <v>190</v>
      </c>
      <c r="BA184" s="8"/>
    </row>
    <row r="185" spans="36:56" x14ac:dyDescent="0.3">
      <c r="AJ185" s="150">
        <f t="shared" si="9"/>
        <v>182</v>
      </c>
      <c r="AK185" s="151">
        <f>IF(AC_Chart_Background_Data[[#This Row],[X]] &lt; EFC_70P-EFC_50P, EFC_50P, MAX(EFC_70P-AC_Chart_Background_Data[[#This Row],[X]],0))</f>
        <v>0</v>
      </c>
      <c r="AL185" s="151">
        <f>IF(AC_Chart_Background_Data[[#This Row],[X]] &lt; EFC_85P-EFC_70P, EFC_70P, MAX(EFC_85P-AC_Chart_Background_Data[[#This Row],[X]],0))</f>
        <v>0</v>
      </c>
      <c r="AM185" s="151">
        <f>IF(AC_Chart_Background_Data[[#This Row],[X]] &lt; EFC_95P-EFC_85P, EFC_85P, MAX(EFC_95P-AC_Chart_Background_Data[[#This Row],[X]],0))</f>
        <v>0</v>
      </c>
      <c r="AN185" s="151">
        <f>IF(AC_Chart_Background_Data[[#This Row],[X]] &lt; EFC_99P-EFC_95P, EFC_95P, MAX(EFC_99P-AC_Chart_Background_Data[[#This Row],[X]],0))</f>
        <v>8</v>
      </c>
      <c r="AO185" s="151">
        <f t="shared" si="8"/>
        <v>190</v>
      </c>
      <c r="BA185" s="8"/>
    </row>
    <row r="186" spans="36:56" x14ac:dyDescent="0.3">
      <c r="AJ186" s="150">
        <f t="shared" si="9"/>
        <v>183</v>
      </c>
      <c r="AK186" s="151">
        <f>IF(AC_Chart_Background_Data[[#This Row],[X]] &lt; EFC_70P-EFC_50P, EFC_50P, MAX(EFC_70P-AC_Chart_Background_Data[[#This Row],[X]],0))</f>
        <v>0</v>
      </c>
      <c r="AL186" s="151">
        <f>IF(AC_Chart_Background_Data[[#This Row],[X]] &lt; EFC_85P-EFC_70P, EFC_70P, MAX(EFC_85P-AC_Chart_Background_Data[[#This Row],[X]],0))</f>
        <v>0</v>
      </c>
      <c r="AM186" s="151">
        <f>IF(AC_Chart_Background_Data[[#This Row],[X]] &lt; EFC_95P-EFC_85P, EFC_85P, MAX(EFC_95P-AC_Chart_Background_Data[[#This Row],[X]],0))</f>
        <v>0</v>
      </c>
      <c r="AN186" s="151">
        <f>IF(AC_Chart_Background_Data[[#This Row],[X]] &lt; EFC_99P-EFC_95P, EFC_95P, MAX(EFC_99P-AC_Chart_Background_Data[[#This Row],[X]],0))</f>
        <v>7</v>
      </c>
      <c r="AO186" s="151">
        <f t="shared" si="8"/>
        <v>190</v>
      </c>
      <c r="BA186" s="8"/>
    </row>
    <row r="187" spans="36:56" x14ac:dyDescent="0.3">
      <c r="AJ187" s="150">
        <f t="shared" si="9"/>
        <v>184</v>
      </c>
      <c r="AK187" s="151">
        <f>IF(AC_Chart_Background_Data[[#This Row],[X]] &lt; EFC_70P-EFC_50P, EFC_50P, MAX(EFC_70P-AC_Chart_Background_Data[[#This Row],[X]],0))</f>
        <v>0</v>
      </c>
      <c r="AL187" s="151">
        <f>IF(AC_Chart_Background_Data[[#This Row],[X]] &lt; EFC_85P-EFC_70P, EFC_70P, MAX(EFC_85P-AC_Chart_Background_Data[[#This Row],[X]],0))</f>
        <v>0</v>
      </c>
      <c r="AM187" s="151">
        <f>IF(AC_Chart_Background_Data[[#This Row],[X]] &lt; EFC_95P-EFC_85P, EFC_85P, MAX(EFC_95P-AC_Chart_Background_Data[[#This Row],[X]],0))</f>
        <v>0</v>
      </c>
      <c r="AN187" s="151">
        <f>IF(AC_Chart_Background_Data[[#This Row],[X]] &lt; EFC_99P-EFC_95P, EFC_95P, MAX(EFC_99P-AC_Chart_Background_Data[[#This Row],[X]],0))</f>
        <v>6</v>
      </c>
      <c r="AO187" s="151">
        <f t="shared" si="8"/>
        <v>190</v>
      </c>
      <c r="BA187" s="8"/>
    </row>
    <row r="188" spans="36:56" x14ac:dyDescent="0.3">
      <c r="AJ188" s="150">
        <f t="shared" si="9"/>
        <v>185</v>
      </c>
      <c r="AK188" s="151">
        <f>IF(AC_Chart_Background_Data[[#This Row],[X]] &lt; EFC_70P-EFC_50P, EFC_50P, MAX(EFC_70P-AC_Chart_Background_Data[[#This Row],[X]],0))</f>
        <v>0</v>
      </c>
      <c r="AL188" s="151">
        <f>IF(AC_Chart_Background_Data[[#This Row],[X]] &lt; EFC_85P-EFC_70P, EFC_70P, MAX(EFC_85P-AC_Chart_Background_Data[[#This Row],[X]],0))</f>
        <v>0</v>
      </c>
      <c r="AM188" s="151">
        <f>IF(AC_Chart_Background_Data[[#This Row],[X]] &lt; EFC_95P-EFC_85P, EFC_85P, MAX(EFC_95P-AC_Chart_Background_Data[[#This Row],[X]],0))</f>
        <v>0</v>
      </c>
      <c r="AN188" s="151">
        <f>IF(AC_Chart_Background_Data[[#This Row],[X]] &lt; EFC_99P-EFC_95P, EFC_95P, MAX(EFC_99P-AC_Chart_Background_Data[[#This Row],[X]],0))</f>
        <v>5</v>
      </c>
      <c r="AO188" s="151">
        <f t="shared" si="8"/>
        <v>190</v>
      </c>
      <c r="BA188" s="8"/>
    </row>
    <row r="189" spans="36:56" x14ac:dyDescent="0.3">
      <c r="AJ189" s="150">
        <f t="shared" si="9"/>
        <v>186</v>
      </c>
      <c r="AK189" s="151">
        <f>IF(AC_Chart_Background_Data[[#This Row],[X]] &lt; EFC_70P-EFC_50P, EFC_50P, MAX(EFC_70P-AC_Chart_Background_Data[[#This Row],[X]],0))</f>
        <v>0</v>
      </c>
      <c r="AL189" s="151">
        <f>IF(AC_Chart_Background_Data[[#This Row],[X]] &lt; EFC_85P-EFC_70P, EFC_70P, MAX(EFC_85P-AC_Chart_Background_Data[[#This Row],[X]],0))</f>
        <v>0</v>
      </c>
      <c r="AM189" s="151">
        <f>IF(AC_Chart_Background_Data[[#This Row],[X]] &lt; EFC_95P-EFC_85P, EFC_85P, MAX(EFC_95P-AC_Chart_Background_Data[[#This Row],[X]],0))</f>
        <v>0</v>
      </c>
      <c r="AN189" s="151">
        <f>IF(AC_Chart_Background_Data[[#This Row],[X]] &lt; EFC_99P-EFC_95P, EFC_95P, MAX(EFC_99P-AC_Chart_Background_Data[[#This Row],[X]],0))</f>
        <v>4</v>
      </c>
      <c r="AO189" s="151">
        <f t="shared" si="8"/>
        <v>190</v>
      </c>
      <c r="BA189" s="8"/>
    </row>
    <row r="190" spans="36:56" x14ac:dyDescent="0.3">
      <c r="AJ190" s="150">
        <f t="shared" si="9"/>
        <v>187</v>
      </c>
      <c r="AK190" s="151">
        <f>IF(AC_Chart_Background_Data[[#This Row],[X]] &lt; EFC_70P-EFC_50P, EFC_50P, MAX(EFC_70P-AC_Chart_Background_Data[[#This Row],[X]],0))</f>
        <v>0</v>
      </c>
      <c r="AL190" s="151">
        <f>IF(AC_Chart_Background_Data[[#This Row],[X]] &lt; EFC_85P-EFC_70P, EFC_70P, MAX(EFC_85P-AC_Chart_Background_Data[[#This Row],[X]],0))</f>
        <v>0</v>
      </c>
      <c r="AM190" s="151">
        <f>IF(AC_Chart_Background_Data[[#This Row],[X]] &lt; EFC_95P-EFC_85P, EFC_85P, MAX(EFC_95P-AC_Chart_Background_Data[[#This Row],[X]],0))</f>
        <v>0</v>
      </c>
      <c r="AN190" s="151">
        <f>IF(AC_Chart_Background_Data[[#This Row],[X]] &lt; EFC_99P-EFC_95P, EFC_95P, MAX(EFC_99P-AC_Chart_Background_Data[[#This Row],[X]],0))</f>
        <v>3</v>
      </c>
      <c r="AO190" s="151">
        <f t="shared" si="8"/>
        <v>190</v>
      </c>
      <c r="BA190" s="8"/>
    </row>
    <row r="191" spans="36:56" x14ac:dyDescent="0.3">
      <c r="AJ191" s="150">
        <f t="shared" si="9"/>
        <v>188</v>
      </c>
      <c r="AK191" s="151">
        <f>IF(AC_Chart_Background_Data[[#This Row],[X]] &lt; EFC_70P-EFC_50P, EFC_50P, MAX(EFC_70P-AC_Chart_Background_Data[[#This Row],[X]],0))</f>
        <v>0</v>
      </c>
      <c r="AL191" s="151">
        <f>IF(AC_Chart_Background_Data[[#This Row],[X]] &lt; EFC_85P-EFC_70P, EFC_70P, MAX(EFC_85P-AC_Chart_Background_Data[[#This Row],[X]],0))</f>
        <v>0</v>
      </c>
      <c r="AM191" s="151">
        <f>IF(AC_Chart_Background_Data[[#This Row],[X]] &lt; EFC_95P-EFC_85P, EFC_85P, MAX(EFC_95P-AC_Chart_Background_Data[[#This Row],[X]],0))</f>
        <v>0</v>
      </c>
      <c r="AN191" s="151">
        <f>IF(AC_Chart_Background_Data[[#This Row],[X]] &lt; EFC_99P-EFC_95P, EFC_95P, MAX(EFC_99P-AC_Chart_Background_Data[[#This Row],[X]],0))</f>
        <v>2</v>
      </c>
      <c r="AO191" s="151">
        <f t="shared" si="8"/>
        <v>190</v>
      </c>
      <c r="BA191" s="8"/>
    </row>
    <row r="192" spans="36:56" x14ac:dyDescent="0.3">
      <c r="AJ192" s="150">
        <f t="shared" si="9"/>
        <v>189</v>
      </c>
      <c r="AK192" s="151">
        <f>IF(AC_Chart_Background_Data[[#This Row],[X]] &lt; EFC_70P-EFC_50P, EFC_50P, MAX(EFC_70P-AC_Chart_Background_Data[[#This Row],[X]],0))</f>
        <v>0</v>
      </c>
      <c r="AL192" s="151">
        <f>IF(AC_Chart_Background_Data[[#This Row],[X]] &lt; EFC_85P-EFC_70P, EFC_70P, MAX(EFC_85P-AC_Chart_Background_Data[[#This Row],[X]],0))</f>
        <v>0</v>
      </c>
      <c r="AM192" s="151">
        <f>IF(AC_Chart_Background_Data[[#This Row],[X]] &lt; EFC_95P-EFC_85P, EFC_85P, MAX(EFC_95P-AC_Chart_Background_Data[[#This Row],[X]],0))</f>
        <v>0</v>
      </c>
      <c r="AN192" s="151">
        <f>IF(AC_Chart_Background_Data[[#This Row],[X]] &lt; EFC_99P-EFC_95P, EFC_95P, MAX(EFC_99P-AC_Chart_Background_Data[[#This Row],[X]],0))</f>
        <v>1</v>
      </c>
      <c r="AO192" s="151">
        <f t="shared" si="8"/>
        <v>190</v>
      </c>
      <c r="BA192" s="8"/>
    </row>
    <row r="193" spans="36:53" x14ac:dyDescent="0.3">
      <c r="AJ193" s="150">
        <f t="shared" si="9"/>
        <v>190</v>
      </c>
      <c r="AK193" s="151">
        <f>IF(AC_Chart_Background_Data[[#This Row],[X]] &lt; EFC_70P-EFC_50P, EFC_50P, MAX(EFC_70P-AC_Chart_Background_Data[[#This Row],[X]],0))</f>
        <v>0</v>
      </c>
      <c r="AL193" s="151">
        <f>IF(AC_Chart_Background_Data[[#This Row],[X]] &lt; EFC_85P-EFC_70P, EFC_70P, MAX(EFC_85P-AC_Chart_Background_Data[[#This Row],[X]],0))</f>
        <v>0</v>
      </c>
      <c r="AM193" s="151">
        <f>IF(AC_Chart_Background_Data[[#This Row],[X]] &lt; EFC_95P-EFC_85P, EFC_85P, MAX(EFC_95P-AC_Chart_Background_Data[[#This Row],[X]],0))</f>
        <v>0</v>
      </c>
      <c r="AN193" s="151">
        <f>IF(AC_Chart_Background_Data[[#This Row],[X]] &lt; EFC_99P-EFC_95P, EFC_95P, MAX(EFC_99P-AC_Chart_Background_Data[[#This Row],[X]],0))</f>
        <v>0</v>
      </c>
      <c r="AO193" s="151">
        <f t="shared" si="8"/>
        <v>190</v>
      </c>
      <c r="BA193" s="8"/>
    </row>
    <row r="194" spans="36:53" x14ac:dyDescent="0.3">
      <c r="AJ194" s="150">
        <f t="shared" si="9"/>
        <v>191</v>
      </c>
      <c r="AK194" s="151">
        <f>IF(AC_Chart_Background_Data[[#This Row],[X]] &lt; EFC_70P-EFC_50P, EFC_50P, MAX(EFC_70P-AC_Chart_Background_Data[[#This Row],[X]],0))</f>
        <v>0</v>
      </c>
      <c r="AL194" s="151">
        <f>IF(AC_Chart_Background_Data[[#This Row],[X]] &lt; EFC_85P-EFC_70P, EFC_70P, MAX(EFC_85P-AC_Chart_Background_Data[[#This Row],[X]],0))</f>
        <v>0</v>
      </c>
      <c r="AM194" s="151">
        <f>IF(AC_Chart_Background_Data[[#This Row],[X]] &lt; EFC_95P-EFC_85P, EFC_85P, MAX(EFC_95P-AC_Chart_Background_Data[[#This Row],[X]],0))</f>
        <v>0</v>
      </c>
      <c r="AN194" s="151">
        <f>IF(AC_Chart_Background_Data[[#This Row],[X]] &lt; EFC_99P-EFC_95P, EFC_95P, MAX(EFC_99P-AC_Chart_Background_Data[[#This Row],[X]],0))</f>
        <v>0</v>
      </c>
      <c r="AO194" s="151">
        <f t="shared" si="8"/>
        <v>190</v>
      </c>
      <c r="BA194" s="8"/>
    </row>
    <row r="195" spans="36:53" x14ac:dyDescent="0.3">
      <c r="AJ195" s="150">
        <f t="shared" si="9"/>
        <v>192</v>
      </c>
      <c r="AK195" s="151">
        <f>IF(AC_Chart_Background_Data[[#This Row],[X]] &lt; EFC_70P-EFC_50P, EFC_50P, MAX(EFC_70P-AC_Chart_Background_Data[[#This Row],[X]],0))</f>
        <v>0</v>
      </c>
      <c r="AL195" s="151">
        <f>IF(AC_Chart_Background_Data[[#This Row],[X]] &lt; EFC_85P-EFC_70P, EFC_70P, MAX(EFC_85P-AC_Chart_Background_Data[[#This Row],[X]],0))</f>
        <v>0</v>
      </c>
      <c r="AM195" s="151">
        <f>IF(AC_Chart_Background_Data[[#This Row],[X]] &lt; EFC_95P-EFC_85P, EFC_85P, MAX(EFC_95P-AC_Chart_Background_Data[[#This Row],[X]],0))</f>
        <v>0</v>
      </c>
      <c r="AN195" s="151">
        <f>IF(AC_Chart_Background_Data[[#This Row],[X]] &lt; EFC_99P-EFC_95P, EFC_95P, MAX(EFC_99P-AC_Chart_Background_Data[[#This Row],[X]],0))</f>
        <v>0</v>
      </c>
      <c r="AO195" s="151">
        <f t="shared" ref="AO195:AO258" si="10">AC_Ymax</f>
        <v>190</v>
      </c>
      <c r="BA195" s="8"/>
    </row>
    <row r="196" spans="36:53" x14ac:dyDescent="0.3">
      <c r="AJ196" s="150">
        <f t="shared" si="9"/>
        <v>193</v>
      </c>
      <c r="AK196" s="151">
        <f>IF(AC_Chart_Background_Data[[#This Row],[X]] &lt; EFC_70P-EFC_50P, EFC_50P, MAX(EFC_70P-AC_Chart_Background_Data[[#This Row],[X]],0))</f>
        <v>0</v>
      </c>
      <c r="AL196" s="151">
        <f>IF(AC_Chart_Background_Data[[#This Row],[X]] &lt; EFC_85P-EFC_70P, EFC_70P, MAX(EFC_85P-AC_Chart_Background_Data[[#This Row],[X]],0))</f>
        <v>0</v>
      </c>
      <c r="AM196" s="151">
        <f>IF(AC_Chart_Background_Data[[#This Row],[X]] &lt; EFC_95P-EFC_85P, EFC_85P, MAX(EFC_95P-AC_Chart_Background_Data[[#This Row],[X]],0))</f>
        <v>0</v>
      </c>
      <c r="AN196" s="151">
        <f>IF(AC_Chart_Background_Data[[#This Row],[X]] &lt; EFC_99P-EFC_95P, EFC_95P, MAX(EFC_99P-AC_Chart_Background_Data[[#This Row],[X]],0))</f>
        <v>0</v>
      </c>
      <c r="AO196" s="151">
        <f t="shared" si="10"/>
        <v>190</v>
      </c>
      <c r="BA196" s="8"/>
    </row>
    <row r="197" spans="36:53" x14ac:dyDescent="0.3">
      <c r="AJ197" s="150">
        <f t="shared" si="9"/>
        <v>194</v>
      </c>
      <c r="AK197" s="151">
        <f>IF(AC_Chart_Background_Data[[#This Row],[X]] &lt; EFC_70P-EFC_50P, EFC_50P, MAX(EFC_70P-AC_Chart_Background_Data[[#This Row],[X]],0))</f>
        <v>0</v>
      </c>
      <c r="AL197" s="151">
        <f>IF(AC_Chart_Background_Data[[#This Row],[X]] &lt; EFC_85P-EFC_70P, EFC_70P, MAX(EFC_85P-AC_Chart_Background_Data[[#This Row],[X]],0))</f>
        <v>0</v>
      </c>
      <c r="AM197" s="151">
        <f>IF(AC_Chart_Background_Data[[#This Row],[X]] &lt; EFC_95P-EFC_85P, EFC_85P, MAX(EFC_95P-AC_Chart_Background_Data[[#This Row],[X]],0))</f>
        <v>0</v>
      </c>
      <c r="AN197" s="151">
        <f>IF(AC_Chart_Background_Data[[#This Row],[X]] &lt; EFC_99P-EFC_95P, EFC_95P, MAX(EFC_99P-AC_Chart_Background_Data[[#This Row],[X]],0))</f>
        <v>0</v>
      </c>
      <c r="AO197" s="151">
        <f t="shared" si="10"/>
        <v>190</v>
      </c>
      <c r="BA197" s="8"/>
    </row>
    <row r="198" spans="36:53" x14ac:dyDescent="0.3">
      <c r="AJ198" s="150">
        <f t="shared" ref="AJ198:AJ261" si="11">AJ197+1</f>
        <v>195</v>
      </c>
      <c r="AK198" s="151">
        <f>IF(AC_Chart_Background_Data[[#This Row],[X]] &lt; EFC_70P-EFC_50P, EFC_50P, MAX(EFC_70P-AC_Chart_Background_Data[[#This Row],[X]],0))</f>
        <v>0</v>
      </c>
      <c r="AL198" s="151">
        <f>IF(AC_Chart_Background_Data[[#This Row],[X]] &lt; EFC_85P-EFC_70P, EFC_70P, MAX(EFC_85P-AC_Chart_Background_Data[[#This Row],[X]],0))</f>
        <v>0</v>
      </c>
      <c r="AM198" s="151">
        <f>IF(AC_Chart_Background_Data[[#This Row],[X]] &lt; EFC_95P-EFC_85P, EFC_85P, MAX(EFC_95P-AC_Chart_Background_Data[[#This Row],[X]],0))</f>
        <v>0</v>
      </c>
      <c r="AN198" s="151">
        <f>IF(AC_Chart_Background_Data[[#This Row],[X]] &lt; EFC_99P-EFC_95P, EFC_95P, MAX(EFC_99P-AC_Chart_Background_Data[[#This Row],[X]],0))</f>
        <v>0</v>
      </c>
      <c r="AO198" s="151">
        <f t="shared" si="10"/>
        <v>190</v>
      </c>
      <c r="BA198" s="8"/>
    </row>
    <row r="199" spans="36:53" x14ac:dyDescent="0.3">
      <c r="AJ199" s="150">
        <f t="shared" si="11"/>
        <v>196</v>
      </c>
      <c r="AK199" s="151">
        <f>IF(AC_Chart_Background_Data[[#This Row],[X]] &lt; EFC_70P-EFC_50P, EFC_50P, MAX(EFC_70P-AC_Chart_Background_Data[[#This Row],[X]],0))</f>
        <v>0</v>
      </c>
      <c r="AL199" s="151">
        <f>IF(AC_Chart_Background_Data[[#This Row],[X]] &lt; EFC_85P-EFC_70P, EFC_70P, MAX(EFC_85P-AC_Chart_Background_Data[[#This Row],[X]],0))</f>
        <v>0</v>
      </c>
      <c r="AM199" s="151">
        <f>IF(AC_Chart_Background_Data[[#This Row],[X]] &lt; EFC_95P-EFC_85P, EFC_85P, MAX(EFC_95P-AC_Chart_Background_Data[[#This Row],[X]],0))</f>
        <v>0</v>
      </c>
      <c r="AN199" s="151">
        <f>IF(AC_Chart_Background_Data[[#This Row],[X]] &lt; EFC_99P-EFC_95P, EFC_95P, MAX(EFC_99P-AC_Chart_Background_Data[[#This Row],[X]],0))</f>
        <v>0</v>
      </c>
      <c r="AO199" s="151">
        <f t="shared" si="10"/>
        <v>190</v>
      </c>
      <c r="BA199" s="8"/>
    </row>
    <row r="200" spans="36:53" x14ac:dyDescent="0.3">
      <c r="AJ200" s="150">
        <f t="shared" si="11"/>
        <v>197</v>
      </c>
      <c r="AK200" s="151">
        <f>IF(AC_Chart_Background_Data[[#This Row],[X]] &lt; EFC_70P-EFC_50P, EFC_50P, MAX(EFC_70P-AC_Chart_Background_Data[[#This Row],[X]],0))</f>
        <v>0</v>
      </c>
      <c r="AL200" s="151">
        <f>IF(AC_Chart_Background_Data[[#This Row],[X]] &lt; EFC_85P-EFC_70P, EFC_70P, MAX(EFC_85P-AC_Chart_Background_Data[[#This Row],[X]],0))</f>
        <v>0</v>
      </c>
      <c r="AM200" s="151">
        <f>IF(AC_Chart_Background_Data[[#This Row],[X]] &lt; EFC_95P-EFC_85P, EFC_85P, MAX(EFC_95P-AC_Chart_Background_Data[[#This Row],[X]],0))</f>
        <v>0</v>
      </c>
      <c r="AN200" s="151">
        <f>IF(AC_Chart_Background_Data[[#This Row],[X]] &lt; EFC_99P-EFC_95P, EFC_95P, MAX(EFC_99P-AC_Chart_Background_Data[[#This Row],[X]],0))</f>
        <v>0</v>
      </c>
      <c r="AO200" s="151">
        <f t="shared" si="10"/>
        <v>190</v>
      </c>
      <c r="BA200" s="8"/>
    </row>
    <row r="201" spans="36:53" x14ac:dyDescent="0.3">
      <c r="AJ201" s="150">
        <f t="shared" si="11"/>
        <v>198</v>
      </c>
      <c r="AK201" s="151">
        <f>IF(AC_Chart_Background_Data[[#This Row],[X]] &lt; EFC_70P-EFC_50P, EFC_50P, MAX(EFC_70P-AC_Chart_Background_Data[[#This Row],[X]],0))</f>
        <v>0</v>
      </c>
      <c r="AL201" s="151">
        <f>IF(AC_Chart_Background_Data[[#This Row],[X]] &lt; EFC_85P-EFC_70P, EFC_70P, MAX(EFC_85P-AC_Chart_Background_Data[[#This Row],[X]],0))</f>
        <v>0</v>
      </c>
      <c r="AM201" s="151">
        <f>IF(AC_Chart_Background_Data[[#This Row],[X]] &lt; EFC_95P-EFC_85P, EFC_85P, MAX(EFC_95P-AC_Chart_Background_Data[[#This Row],[X]],0))</f>
        <v>0</v>
      </c>
      <c r="AN201" s="151">
        <f>IF(AC_Chart_Background_Data[[#This Row],[X]] &lt; EFC_99P-EFC_95P, EFC_95P, MAX(EFC_99P-AC_Chart_Background_Data[[#This Row],[X]],0))</f>
        <v>0</v>
      </c>
      <c r="AO201" s="151">
        <f t="shared" si="10"/>
        <v>190</v>
      </c>
      <c r="BA201" s="8"/>
    </row>
    <row r="202" spans="36:53" x14ac:dyDescent="0.3">
      <c r="AJ202" s="150">
        <f t="shared" si="11"/>
        <v>199</v>
      </c>
      <c r="AK202" s="151">
        <f>IF(AC_Chart_Background_Data[[#This Row],[X]] &lt; EFC_70P-EFC_50P, EFC_50P, MAX(EFC_70P-AC_Chart_Background_Data[[#This Row],[X]],0))</f>
        <v>0</v>
      </c>
      <c r="AL202" s="151">
        <f>IF(AC_Chart_Background_Data[[#This Row],[X]] &lt; EFC_85P-EFC_70P, EFC_70P, MAX(EFC_85P-AC_Chart_Background_Data[[#This Row],[X]],0))</f>
        <v>0</v>
      </c>
      <c r="AM202" s="151">
        <f>IF(AC_Chart_Background_Data[[#This Row],[X]] &lt; EFC_95P-EFC_85P, EFC_85P, MAX(EFC_95P-AC_Chart_Background_Data[[#This Row],[X]],0))</f>
        <v>0</v>
      </c>
      <c r="AN202" s="151">
        <f>IF(AC_Chart_Background_Data[[#This Row],[X]] &lt; EFC_99P-EFC_95P, EFC_95P, MAX(EFC_99P-AC_Chart_Background_Data[[#This Row],[X]],0))</f>
        <v>0</v>
      </c>
      <c r="AO202" s="151">
        <f t="shared" si="10"/>
        <v>190</v>
      </c>
      <c r="BA202" s="8"/>
    </row>
    <row r="203" spans="36:53" x14ac:dyDescent="0.3">
      <c r="AJ203" s="150">
        <f t="shared" si="11"/>
        <v>200</v>
      </c>
      <c r="AK203" s="151">
        <f>IF(AC_Chart_Background_Data[[#This Row],[X]] &lt; EFC_70P-EFC_50P, EFC_50P, MAX(EFC_70P-AC_Chart_Background_Data[[#This Row],[X]],0))</f>
        <v>0</v>
      </c>
      <c r="AL203" s="151">
        <f>IF(AC_Chart_Background_Data[[#This Row],[X]] &lt; EFC_85P-EFC_70P, EFC_70P, MAX(EFC_85P-AC_Chart_Background_Data[[#This Row],[X]],0))</f>
        <v>0</v>
      </c>
      <c r="AM203" s="151">
        <f>IF(AC_Chart_Background_Data[[#This Row],[X]] &lt; EFC_95P-EFC_85P, EFC_85P, MAX(EFC_95P-AC_Chart_Background_Data[[#This Row],[X]],0))</f>
        <v>0</v>
      </c>
      <c r="AN203" s="151">
        <f>IF(AC_Chart_Background_Data[[#This Row],[X]] &lt; EFC_99P-EFC_95P, EFC_95P, MAX(EFC_99P-AC_Chart_Background_Data[[#This Row],[X]],0))</f>
        <v>0</v>
      </c>
      <c r="AO203" s="151">
        <f t="shared" si="10"/>
        <v>190</v>
      </c>
      <c r="BA203" s="8"/>
    </row>
    <row r="204" spans="36:53" x14ac:dyDescent="0.3">
      <c r="AJ204" s="150">
        <f t="shared" si="11"/>
        <v>201</v>
      </c>
      <c r="AK204" s="151">
        <f>IF(AC_Chart_Background_Data[[#This Row],[X]] &lt; EFC_70P-EFC_50P, EFC_50P, MAX(EFC_70P-AC_Chart_Background_Data[[#This Row],[X]],0))</f>
        <v>0</v>
      </c>
      <c r="AL204" s="151">
        <f>IF(AC_Chart_Background_Data[[#This Row],[X]] &lt; EFC_85P-EFC_70P, EFC_70P, MAX(EFC_85P-AC_Chart_Background_Data[[#This Row],[X]],0))</f>
        <v>0</v>
      </c>
      <c r="AM204" s="151">
        <f>IF(AC_Chart_Background_Data[[#This Row],[X]] &lt; EFC_95P-EFC_85P, EFC_85P, MAX(EFC_95P-AC_Chart_Background_Data[[#This Row],[X]],0))</f>
        <v>0</v>
      </c>
      <c r="AN204" s="151">
        <f>IF(AC_Chart_Background_Data[[#This Row],[X]] &lt; EFC_99P-EFC_95P, EFC_95P, MAX(EFC_99P-AC_Chart_Background_Data[[#This Row],[X]],0))</f>
        <v>0</v>
      </c>
      <c r="AO204" s="151">
        <f t="shared" si="10"/>
        <v>190</v>
      </c>
      <c r="BA204" s="8"/>
    </row>
    <row r="205" spans="36:53" x14ac:dyDescent="0.3">
      <c r="AJ205" s="150">
        <f t="shared" si="11"/>
        <v>202</v>
      </c>
      <c r="AK205" s="151">
        <f>IF(AC_Chart_Background_Data[[#This Row],[X]] &lt; EFC_70P-EFC_50P, EFC_50P, MAX(EFC_70P-AC_Chart_Background_Data[[#This Row],[X]],0))</f>
        <v>0</v>
      </c>
      <c r="AL205" s="151">
        <f>IF(AC_Chart_Background_Data[[#This Row],[X]] &lt; EFC_85P-EFC_70P, EFC_70P, MAX(EFC_85P-AC_Chart_Background_Data[[#This Row],[X]],0))</f>
        <v>0</v>
      </c>
      <c r="AM205" s="151">
        <f>IF(AC_Chart_Background_Data[[#This Row],[X]] &lt; EFC_95P-EFC_85P, EFC_85P, MAX(EFC_95P-AC_Chart_Background_Data[[#This Row],[X]],0))</f>
        <v>0</v>
      </c>
      <c r="AN205" s="151">
        <f>IF(AC_Chart_Background_Data[[#This Row],[X]] &lt; EFC_99P-EFC_95P, EFC_95P, MAX(EFC_99P-AC_Chart_Background_Data[[#This Row],[X]],0))</f>
        <v>0</v>
      </c>
      <c r="AO205" s="151">
        <f t="shared" si="10"/>
        <v>190</v>
      </c>
      <c r="BA205" s="8"/>
    </row>
    <row r="206" spans="36:53" x14ac:dyDescent="0.3">
      <c r="AJ206" s="150">
        <f t="shared" si="11"/>
        <v>203</v>
      </c>
      <c r="AK206" s="151">
        <f>IF(AC_Chart_Background_Data[[#This Row],[X]] &lt; EFC_70P-EFC_50P, EFC_50P, MAX(EFC_70P-AC_Chart_Background_Data[[#This Row],[X]],0))</f>
        <v>0</v>
      </c>
      <c r="AL206" s="151">
        <f>IF(AC_Chart_Background_Data[[#This Row],[X]] &lt; EFC_85P-EFC_70P, EFC_70P, MAX(EFC_85P-AC_Chart_Background_Data[[#This Row],[X]],0))</f>
        <v>0</v>
      </c>
      <c r="AM206" s="151">
        <f>IF(AC_Chart_Background_Data[[#This Row],[X]] &lt; EFC_95P-EFC_85P, EFC_85P, MAX(EFC_95P-AC_Chart_Background_Data[[#This Row],[X]],0))</f>
        <v>0</v>
      </c>
      <c r="AN206" s="151">
        <f>IF(AC_Chart_Background_Data[[#This Row],[X]] &lt; EFC_99P-EFC_95P, EFC_95P, MAX(EFC_99P-AC_Chart_Background_Data[[#This Row],[X]],0))</f>
        <v>0</v>
      </c>
      <c r="AO206" s="151">
        <f t="shared" si="10"/>
        <v>190</v>
      </c>
      <c r="BA206" s="8"/>
    </row>
    <row r="207" spans="36:53" x14ac:dyDescent="0.3">
      <c r="AJ207" s="150">
        <f t="shared" si="11"/>
        <v>204</v>
      </c>
      <c r="AK207" s="151">
        <f>IF(AC_Chart_Background_Data[[#This Row],[X]] &lt; EFC_70P-EFC_50P, EFC_50P, MAX(EFC_70P-AC_Chart_Background_Data[[#This Row],[X]],0))</f>
        <v>0</v>
      </c>
      <c r="AL207" s="151">
        <f>IF(AC_Chart_Background_Data[[#This Row],[X]] &lt; EFC_85P-EFC_70P, EFC_70P, MAX(EFC_85P-AC_Chart_Background_Data[[#This Row],[X]],0))</f>
        <v>0</v>
      </c>
      <c r="AM207" s="151">
        <f>IF(AC_Chart_Background_Data[[#This Row],[X]] &lt; EFC_95P-EFC_85P, EFC_85P, MAX(EFC_95P-AC_Chart_Background_Data[[#This Row],[X]],0))</f>
        <v>0</v>
      </c>
      <c r="AN207" s="151">
        <f>IF(AC_Chart_Background_Data[[#This Row],[X]] &lt; EFC_99P-EFC_95P, EFC_95P, MAX(EFC_99P-AC_Chart_Background_Data[[#This Row],[X]],0))</f>
        <v>0</v>
      </c>
      <c r="AO207" s="151">
        <f t="shared" si="10"/>
        <v>190</v>
      </c>
      <c r="BA207" s="8"/>
    </row>
    <row r="208" spans="36:53" x14ac:dyDescent="0.3">
      <c r="AJ208" s="150">
        <f t="shared" si="11"/>
        <v>205</v>
      </c>
      <c r="AK208" s="151">
        <f>IF(AC_Chart_Background_Data[[#This Row],[X]] &lt; EFC_70P-EFC_50P, EFC_50P, MAX(EFC_70P-AC_Chart_Background_Data[[#This Row],[X]],0))</f>
        <v>0</v>
      </c>
      <c r="AL208" s="151">
        <f>IF(AC_Chart_Background_Data[[#This Row],[X]] &lt; EFC_85P-EFC_70P, EFC_70P, MAX(EFC_85P-AC_Chart_Background_Data[[#This Row],[X]],0))</f>
        <v>0</v>
      </c>
      <c r="AM208" s="151">
        <f>IF(AC_Chart_Background_Data[[#This Row],[X]] &lt; EFC_95P-EFC_85P, EFC_85P, MAX(EFC_95P-AC_Chart_Background_Data[[#This Row],[X]],0))</f>
        <v>0</v>
      </c>
      <c r="AN208" s="151">
        <f>IF(AC_Chart_Background_Data[[#This Row],[X]] &lt; EFC_99P-EFC_95P, EFC_95P, MAX(EFC_99P-AC_Chart_Background_Data[[#This Row],[X]],0))</f>
        <v>0</v>
      </c>
      <c r="AO208" s="151">
        <f t="shared" si="10"/>
        <v>190</v>
      </c>
      <c r="BA208" s="8"/>
    </row>
    <row r="209" spans="36:53" x14ac:dyDescent="0.3">
      <c r="AJ209" s="150">
        <f t="shared" si="11"/>
        <v>206</v>
      </c>
      <c r="AK209" s="151">
        <f>IF(AC_Chart_Background_Data[[#This Row],[X]] &lt; EFC_70P-EFC_50P, EFC_50P, MAX(EFC_70P-AC_Chart_Background_Data[[#This Row],[X]],0))</f>
        <v>0</v>
      </c>
      <c r="AL209" s="151">
        <f>IF(AC_Chart_Background_Data[[#This Row],[X]] &lt; EFC_85P-EFC_70P, EFC_70P, MAX(EFC_85P-AC_Chart_Background_Data[[#This Row],[X]],0))</f>
        <v>0</v>
      </c>
      <c r="AM209" s="151">
        <f>IF(AC_Chart_Background_Data[[#This Row],[X]] &lt; EFC_95P-EFC_85P, EFC_85P, MAX(EFC_95P-AC_Chart_Background_Data[[#This Row],[X]],0))</f>
        <v>0</v>
      </c>
      <c r="AN209" s="151">
        <f>IF(AC_Chart_Background_Data[[#This Row],[X]] &lt; EFC_99P-EFC_95P, EFC_95P, MAX(EFC_99P-AC_Chart_Background_Data[[#This Row],[X]],0))</f>
        <v>0</v>
      </c>
      <c r="AO209" s="151">
        <f t="shared" si="10"/>
        <v>190</v>
      </c>
      <c r="BA209" s="8"/>
    </row>
    <row r="210" spans="36:53" x14ac:dyDescent="0.3">
      <c r="AJ210" s="150">
        <f t="shared" si="11"/>
        <v>207</v>
      </c>
      <c r="AK210" s="151">
        <f>IF(AC_Chart_Background_Data[[#This Row],[X]] &lt; EFC_70P-EFC_50P, EFC_50P, MAX(EFC_70P-AC_Chart_Background_Data[[#This Row],[X]],0))</f>
        <v>0</v>
      </c>
      <c r="AL210" s="151">
        <f>IF(AC_Chart_Background_Data[[#This Row],[X]] &lt; EFC_85P-EFC_70P, EFC_70P, MAX(EFC_85P-AC_Chart_Background_Data[[#This Row],[X]],0))</f>
        <v>0</v>
      </c>
      <c r="AM210" s="151">
        <f>IF(AC_Chart_Background_Data[[#This Row],[X]] &lt; EFC_95P-EFC_85P, EFC_85P, MAX(EFC_95P-AC_Chart_Background_Data[[#This Row],[X]],0))</f>
        <v>0</v>
      </c>
      <c r="AN210" s="151">
        <f>IF(AC_Chart_Background_Data[[#This Row],[X]] &lt; EFC_99P-EFC_95P, EFC_95P, MAX(EFC_99P-AC_Chart_Background_Data[[#This Row],[X]],0))</f>
        <v>0</v>
      </c>
      <c r="AO210" s="151">
        <f t="shared" si="10"/>
        <v>190</v>
      </c>
      <c r="BA210" s="8"/>
    </row>
    <row r="211" spans="36:53" x14ac:dyDescent="0.3">
      <c r="AJ211" s="150">
        <f t="shared" si="11"/>
        <v>208</v>
      </c>
      <c r="AK211" s="151">
        <f>IF(AC_Chart_Background_Data[[#This Row],[X]] &lt; EFC_70P-EFC_50P, EFC_50P, MAX(EFC_70P-AC_Chart_Background_Data[[#This Row],[X]],0))</f>
        <v>0</v>
      </c>
      <c r="AL211" s="151">
        <f>IF(AC_Chart_Background_Data[[#This Row],[X]] &lt; EFC_85P-EFC_70P, EFC_70P, MAX(EFC_85P-AC_Chart_Background_Data[[#This Row],[X]],0))</f>
        <v>0</v>
      </c>
      <c r="AM211" s="151">
        <f>IF(AC_Chart_Background_Data[[#This Row],[X]] &lt; EFC_95P-EFC_85P, EFC_85P, MAX(EFC_95P-AC_Chart_Background_Data[[#This Row],[X]],0))</f>
        <v>0</v>
      </c>
      <c r="AN211" s="151">
        <f>IF(AC_Chart_Background_Data[[#This Row],[X]] &lt; EFC_99P-EFC_95P, EFC_95P, MAX(EFC_99P-AC_Chart_Background_Data[[#This Row],[X]],0))</f>
        <v>0</v>
      </c>
      <c r="AO211" s="151">
        <f t="shared" si="10"/>
        <v>190</v>
      </c>
      <c r="BA211" s="8"/>
    </row>
    <row r="212" spans="36:53" x14ac:dyDescent="0.3">
      <c r="AJ212" s="150">
        <f t="shared" si="11"/>
        <v>209</v>
      </c>
      <c r="AK212" s="151">
        <f>IF(AC_Chart_Background_Data[[#This Row],[X]] &lt; EFC_70P-EFC_50P, EFC_50P, MAX(EFC_70P-AC_Chart_Background_Data[[#This Row],[X]],0))</f>
        <v>0</v>
      </c>
      <c r="AL212" s="151">
        <f>IF(AC_Chart_Background_Data[[#This Row],[X]] &lt; EFC_85P-EFC_70P, EFC_70P, MAX(EFC_85P-AC_Chart_Background_Data[[#This Row],[X]],0))</f>
        <v>0</v>
      </c>
      <c r="AM212" s="151">
        <f>IF(AC_Chart_Background_Data[[#This Row],[X]] &lt; EFC_95P-EFC_85P, EFC_85P, MAX(EFC_95P-AC_Chart_Background_Data[[#This Row],[X]],0))</f>
        <v>0</v>
      </c>
      <c r="AN212" s="151">
        <f>IF(AC_Chart_Background_Data[[#This Row],[X]] &lt; EFC_99P-EFC_95P, EFC_95P, MAX(EFC_99P-AC_Chart_Background_Data[[#This Row],[X]],0))</f>
        <v>0</v>
      </c>
      <c r="AO212" s="151">
        <f t="shared" si="10"/>
        <v>190</v>
      </c>
      <c r="BA212" s="8"/>
    </row>
    <row r="213" spans="36:53" x14ac:dyDescent="0.3">
      <c r="AJ213" s="150">
        <f t="shared" si="11"/>
        <v>210</v>
      </c>
      <c r="AK213" s="151">
        <f>IF(AC_Chart_Background_Data[[#This Row],[X]] &lt; EFC_70P-EFC_50P, EFC_50P, MAX(EFC_70P-AC_Chart_Background_Data[[#This Row],[X]],0))</f>
        <v>0</v>
      </c>
      <c r="AL213" s="151">
        <f>IF(AC_Chart_Background_Data[[#This Row],[X]] &lt; EFC_85P-EFC_70P, EFC_70P, MAX(EFC_85P-AC_Chart_Background_Data[[#This Row],[X]],0))</f>
        <v>0</v>
      </c>
      <c r="AM213" s="151">
        <f>IF(AC_Chart_Background_Data[[#This Row],[X]] &lt; EFC_95P-EFC_85P, EFC_85P, MAX(EFC_95P-AC_Chart_Background_Data[[#This Row],[X]],0))</f>
        <v>0</v>
      </c>
      <c r="AN213" s="151">
        <f>IF(AC_Chart_Background_Data[[#This Row],[X]] &lt; EFC_99P-EFC_95P, EFC_95P, MAX(EFC_99P-AC_Chart_Background_Data[[#This Row],[X]],0))</f>
        <v>0</v>
      </c>
      <c r="AO213" s="151">
        <f t="shared" si="10"/>
        <v>190</v>
      </c>
      <c r="BA213" s="8"/>
    </row>
    <row r="214" spans="36:53" x14ac:dyDescent="0.3">
      <c r="AJ214" s="150">
        <f t="shared" si="11"/>
        <v>211</v>
      </c>
      <c r="AK214" s="151">
        <f>IF(AC_Chart_Background_Data[[#This Row],[X]] &lt; EFC_70P-EFC_50P, EFC_50P, MAX(EFC_70P-AC_Chart_Background_Data[[#This Row],[X]],0))</f>
        <v>0</v>
      </c>
      <c r="AL214" s="151">
        <f>IF(AC_Chart_Background_Data[[#This Row],[X]] &lt; EFC_85P-EFC_70P, EFC_70P, MAX(EFC_85P-AC_Chart_Background_Data[[#This Row],[X]],0))</f>
        <v>0</v>
      </c>
      <c r="AM214" s="151">
        <f>IF(AC_Chart_Background_Data[[#This Row],[X]] &lt; EFC_95P-EFC_85P, EFC_85P, MAX(EFC_95P-AC_Chart_Background_Data[[#This Row],[X]],0))</f>
        <v>0</v>
      </c>
      <c r="AN214" s="151">
        <f>IF(AC_Chart_Background_Data[[#This Row],[X]] &lt; EFC_99P-EFC_95P, EFC_95P, MAX(EFC_99P-AC_Chart_Background_Data[[#This Row],[X]],0))</f>
        <v>0</v>
      </c>
      <c r="AO214" s="151">
        <f t="shared" si="10"/>
        <v>190</v>
      </c>
      <c r="BA214" s="8"/>
    </row>
    <row r="215" spans="36:53" x14ac:dyDescent="0.3">
      <c r="AJ215" s="150">
        <f t="shared" si="11"/>
        <v>212</v>
      </c>
      <c r="AK215" s="151">
        <f>IF(AC_Chart_Background_Data[[#This Row],[X]] &lt; EFC_70P-EFC_50P, EFC_50P, MAX(EFC_70P-AC_Chart_Background_Data[[#This Row],[X]],0))</f>
        <v>0</v>
      </c>
      <c r="AL215" s="151">
        <f>IF(AC_Chart_Background_Data[[#This Row],[X]] &lt; EFC_85P-EFC_70P, EFC_70P, MAX(EFC_85P-AC_Chart_Background_Data[[#This Row],[X]],0))</f>
        <v>0</v>
      </c>
      <c r="AM215" s="151">
        <f>IF(AC_Chart_Background_Data[[#This Row],[X]] &lt; EFC_95P-EFC_85P, EFC_85P, MAX(EFC_95P-AC_Chart_Background_Data[[#This Row],[X]],0))</f>
        <v>0</v>
      </c>
      <c r="AN215" s="151">
        <f>IF(AC_Chart_Background_Data[[#This Row],[X]] &lt; EFC_99P-EFC_95P, EFC_95P, MAX(EFC_99P-AC_Chart_Background_Data[[#This Row],[X]],0))</f>
        <v>0</v>
      </c>
      <c r="AO215" s="151">
        <f t="shared" si="10"/>
        <v>190</v>
      </c>
      <c r="BA215" s="8"/>
    </row>
    <row r="216" spans="36:53" x14ac:dyDescent="0.3">
      <c r="AJ216" s="150">
        <f t="shared" si="11"/>
        <v>213</v>
      </c>
      <c r="AK216" s="151">
        <f>IF(AC_Chart_Background_Data[[#This Row],[X]] &lt; EFC_70P-EFC_50P, EFC_50P, MAX(EFC_70P-AC_Chart_Background_Data[[#This Row],[X]],0))</f>
        <v>0</v>
      </c>
      <c r="AL216" s="151">
        <f>IF(AC_Chart_Background_Data[[#This Row],[X]] &lt; EFC_85P-EFC_70P, EFC_70P, MAX(EFC_85P-AC_Chart_Background_Data[[#This Row],[X]],0))</f>
        <v>0</v>
      </c>
      <c r="AM216" s="151">
        <f>IF(AC_Chart_Background_Data[[#This Row],[X]] &lt; EFC_95P-EFC_85P, EFC_85P, MAX(EFC_95P-AC_Chart_Background_Data[[#This Row],[X]],0))</f>
        <v>0</v>
      </c>
      <c r="AN216" s="151">
        <f>IF(AC_Chart_Background_Data[[#This Row],[X]] &lt; EFC_99P-EFC_95P, EFC_95P, MAX(EFC_99P-AC_Chart_Background_Data[[#This Row],[X]],0))</f>
        <v>0</v>
      </c>
      <c r="AO216" s="151">
        <f t="shared" si="10"/>
        <v>190</v>
      </c>
      <c r="BA216" s="8"/>
    </row>
    <row r="217" spans="36:53" x14ac:dyDescent="0.3">
      <c r="AJ217" s="150">
        <f t="shared" si="11"/>
        <v>214</v>
      </c>
      <c r="AK217" s="151">
        <f>IF(AC_Chart_Background_Data[[#This Row],[X]] &lt; EFC_70P-EFC_50P, EFC_50P, MAX(EFC_70P-AC_Chart_Background_Data[[#This Row],[X]],0))</f>
        <v>0</v>
      </c>
      <c r="AL217" s="151">
        <f>IF(AC_Chart_Background_Data[[#This Row],[X]] &lt; EFC_85P-EFC_70P, EFC_70P, MAX(EFC_85P-AC_Chart_Background_Data[[#This Row],[X]],0))</f>
        <v>0</v>
      </c>
      <c r="AM217" s="151">
        <f>IF(AC_Chart_Background_Data[[#This Row],[X]] &lt; EFC_95P-EFC_85P, EFC_85P, MAX(EFC_95P-AC_Chart_Background_Data[[#This Row],[X]],0))</f>
        <v>0</v>
      </c>
      <c r="AN217" s="151">
        <f>IF(AC_Chart_Background_Data[[#This Row],[X]] &lt; EFC_99P-EFC_95P, EFC_95P, MAX(EFC_99P-AC_Chart_Background_Data[[#This Row],[X]],0))</f>
        <v>0</v>
      </c>
      <c r="AO217" s="151">
        <f t="shared" si="10"/>
        <v>190</v>
      </c>
      <c r="BA217" s="8"/>
    </row>
    <row r="218" spans="36:53" x14ac:dyDescent="0.3">
      <c r="AJ218" s="150">
        <f t="shared" si="11"/>
        <v>215</v>
      </c>
      <c r="AK218" s="151">
        <f>IF(AC_Chart_Background_Data[[#This Row],[X]] &lt; EFC_70P-EFC_50P, EFC_50P, MAX(EFC_70P-AC_Chart_Background_Data[[#This Row],[X]],0))</f>
        <v>0</v>
      </c>
      <c r="AL218" s="151">
        <f>IF(AC_Chart_Background_Data[[#This Row],[X]] &lt; EFC_85P-EFC_70P, EFC_70P, MAX(EFC_85P-AC_Chart_Background_Data[[#This Row],[X]],0))</f>
        <v>0</v>
      </c>
      <c r="AM218" s="151">
        <f>IF(AC_Chart_Background_Data[[#This Row],[X]] &lt; EFC_95P-EFC_85P, EFC_85P, MAX(EFC_95P-AC_Chart_Background_Data[[#This Row],[X]],0))</f>
        <v>0</v>
      </c>
      <c r="AN218" s="151">
        <f>IF(AC_Chart_Background_Data[[#This Row],[X]] &lt; EFC_99P-EFC_95P, EFC_95P, MAX(EFC_99P-AC_Chart_Background_Data[[#This Row],[X]],0))</f>
        <v>0</v>
      </c>
      <c r="AO218" s="151">
        <f t="shared" si="10"/>
        <v>190</v>
      </c>
      <c r="BA218" s="8"/>
    </row>
    <row r="219" spans="36:53" x14ac:dyDescent="0.3">
      <c r="AJ219" s="150">
        <f t="shared" si="11"/>
        <v>216</v>
      </c>
      <c r="AK219" s="151">
        <f>IF(AC_Chart_Background_Data[[#This Row],[X]] &lt; EFC_70P-EFC_50P, EFC_50P, MAX(EFC_70P-AC_Chart_Background_Data[[#This Row],[X]],0))</f>
        <v>0</v>
      </c>
      <c r="AL219" s="151">
        <f>IF(AC_Chart_Background_Data[[#This Row],[X]] &lt; EFC_85P-EFC_70P, EFC_70P, MAX(EFC_85P-AC_Chart_Background_Data[[#This Row],[X]],0))</f>
        <v>0</v>
      </c>
      <c r="AM219" s="151">
        <f>IF(AC_Chart_Background_Data[[#This Row],[X]] &lt; EFC_95P-EFC_85P, EFC_85P, MAX(EFC_95P-AC_Chart_Background_Data[[#This Row],[X]],0))</f>
        <v>0</v>
      </c>
      <c r="AN219" s="151">
        <f>IF(AC_Chart_Background_Data[[#This Row],[X]] &lt; EFC_99P-EFC_95P, EFC_95P, MAX(EFC_99P-AC_Chart_Background_Data[[#This Row],[X]],0))</f>
        <v>0</v>
      </c>
      <c r="AO219" s="151">
        <f t="shared" si="10"/>
        <v>190</v>
      </c>
      <c r="BA219" s="8"/>
    </row>
    <row r="220" spans="36:53" x14ac:dyDescent="0.3">
      <c r="AJ220" s="150">
        <f t="shared" si="11"/>
        <v>217</v>
      </c>
      <c r="AK220" s="151">
        <f>IF(AC_Chart_Background_Data[[#This Row],[X]] &lt; EFC_70P-EFC_50P, EFC_50P, MAX(EFC_70P-AC_Chart_Background_Data[[#This Row],[X]],0))</f>
        <v>0</v>
      </c>
      <c r="AL220" s="151">
        <f>IF(AC_Chart_Background_Data[[#This Row],[X]] &lt; EFC_85P-EFC_70P, EFC_70P, MAX(EFC_85P-AC_Chart_Background_Data[[#This Row],[X]],0))</f>
        <v>0</v>
      </c>
      <c r="AM220" s="151">
        <f>IF(AC_Chart_Background_Data[[#This Row],[X]] &lt; EFC_95P-EFC_85P, EFC_85P, MAX(EFC_95P-AC_Chart_Background_Data[[#This Row],[X]],0))</f>
        <v>0</v>
      </c>
      <c r="AN220" s="151">
        <f>IF(AC_Chart_Background_Data[[#This Row],[X]] &lt; EFC_99P-EFC_95P, EFC_95P, MAX(EFC_99P-AC_Chart_Background_Data[[#This Row],[X]],0))</f>
        <v>0</v>
      </c>
      <c r="AO220" s="151">
        <f t="shared" si="10"/>
        <v>190</v>
      </c>
      <c r="BA220" s="8"/>
    </row>
    <row r="221" spans="36:53" x14ac:dyDescent="0.3">
      <c r="AJ221" s="150">
        <f t="shared" si="11"/>
        <v>218</v>
      </c>
      <c r="AK221" s="151">
        <f>IF(AC_Chart_Background_Data[[#This Row],[X]] &lt; EFC_70P-EFC_50P, EFC_50P, MAX(EFC_70P-AC_Chart_Background_Data[[#This Row],[X]],0))</f>
        <v>0</v>
      </c>
      <c r="AL221" s="151">
        <f>IF(AC_Chart_Background_Data[[#This Row],[X]] &lt; EFC_85P-EFC_70P, EFC_70P, MAX(EFC_85P-AC_Chart_Background_Data[[#This Row],[X]],0))</f>
        <v>0</v>
      </c>
      <c r="AM221" s="151">
        <f>IF(AC_Chart_Background_Data[[#This Row],[X]] &lt; EFC_95P-EFC_85P, EFC_85P, MAX(EFC_95P-AC_Chart_Background_Data[[#This Row],[X]],0))</f>
        <v>0</v>
      </c>
      <c r="AN221" s="151">
        <f>IF(AC_Chart_Background_Data[[#This Row],[X]] &lt; EFC_99P-EFC_95P, EFC_95P, MAX(EFC_99P-AC_Chart_Background_Data[[#This Row],[X]],0))</f>
        <v>0</v>
      </c>
      <c r="AO221" s="151">
        <f t="shared" si="10"/>
        <v>190</v>
      </c>
      <c r="BA221" s="8"/>
    </row>
    <row r="222" spans="36:53" x14ac:dyDescent="0.3">
      <c r="AJ222" s="150">
        <f t="shared" si="11"/>
        <v>219</v>
      </c>
      <c r="AK222" s="151">
        <f>IF(AC_Chart_Background_Data[[#This Row],[X]] &lt; EFC_70P-EFC_50P, EFC_50P, MAX(EFC_70P-AC_Chart_Background_Data[[#This Row],[X]],0))</f>
        <v>0</v>
      </c>
      <c r="AL222" s="151">
        <f>IF(AC_Chart_Background_Data[[#This Row],[X]] &lt; EFC_85P-EFC_70P, EFC_70P, MAX(EFC_85P-AC_Chart_Background_Data[[#This Row],[X]],0))</f>
        <v>0</v>
      </c>
      <c r="AM222" s="151">
        <f>IF(AC_Chart_Background_Data[[#This Row],[X]] &lt; EFC_95P-EFC_85P, EFC_85P, MAX(EFC_95P-AC_Chart_Background_Data[[#This Row],[X]],0))</f>
        <v>0</v>
      </c>
      <c r="AN222" s="151">
        <f>IF(AC_Chart_Background_Data[[#This Row],[X]] &lt; EFC_99P-EFC_95P, EFC_95P, MAX(EFC_99P-AC_Chart_Background_Data[[#This Row],[X]],0))</f>
        <v>0</v>
      </c>
      <c r="AO222" s="151">
        <f t="shared" si="10"/>
        <v>190</v>
      </c>
      <c r="BA222" s="8"/>
    </row>
    <row r="223" spans="36:53" x14ac:dyDescent="0.3">
      <c r="AJ223" s="150">
        <f t="shared" si="11"/>
        <v>220</v>
      </c>
      <c r="AK223" s="151">
        <f>IF(AC_Chart_Background_Data[[#This Row],[X]] &lt; EFC_70P-EFC_50P, EFC_50P, MAX(EFC_70P-AC_Chart_Background_Data[[#This Row],[X]],0))</f>
        <v>0</v>
      </c>
      <c r="AL223" s="151">
        <f>IF(AC_Chart_Background_Data[[#This Row],[X]] &lt; EFC_85P-EFC_70P, EFC_70P, MAX(EFC_85P-AC_Chart_Background_Data[[#This Row],[X]],0))</f>
        <v>0</v>
      </c>
      <c r="AM223" s="151">
        <f>IF(AC_Chart_Background_Data[[#This Row],[X]] &lt; EFC_95P-EFC_85P, EFC_85P, MAX(EFC_95P-AC_Chart_Background_Data[[#This Row],[X]],0))</f>
        <v>0</v>
      </c>
      <c r="AN223" s="151">
        <f>IF(AC_Chart_Background_Data[[#This Row],[X]] &lt; EFC_99P-EFC_95P, EFC_95P, MAX(EFC_99P-AC_Chart_Background_Data[[#This Row],[X]],0))</f>
        <v>0</v>
      </c>
      <c r="AO223" s="151">
        <f t="shared" si="10"/>
        <v>190</v>
      </c>
      <c r="BA223" s="8"/>
    </row>
    <row r="224" spans="36:53" x14ac:dyDescent="0.3">
      <c r="AJ224" s="150">
        <f t="shared" si="11"/>
        <v>221</v>
      </c>
      <c r="AK224" s="151">
        <f>IF(AC_Chart_Background_Data[[#This Row],[X]] &lt; EFC_70P-EFC_50P, EFC_50P, MAX(EFC_70P-AC_Chart_Background_Data[[#This Row],[X]],0))</f>
        <v>0</v>
      </c>
      <c r="AL224" s="151">
        <f>IF(AC_Chart_Background_Data[[#This Row],[X]] &lt; EFC_85P-EFC_70P, EFC_70P, MAX(EFC_85P-AC_Chart_Background_Data[[#This Row],[X]],0))</f>
        <v>0</v>
      </c>
      <c r="AM224" s="151">
        <f>IF(AC_Chart_Background_Data[[#This Row],[X]] &lt; EFC_95P-EFC_85P, EFC_85P, MAX(EFC_95P-AC_Chart_Background_Data[[#This Row],[X]],0))</f>
        <v>0</v>
      </c>
      <c r="AN224" s="151">
        <f>IF(AC_Chart_Background_Data[[#This Row],[X]] &lt; EFC_99P-EFC_95P, EFC_95P, MAX(EFC_99P-AC_Chart_Background_Data[[#This Row],[X]],0))</f>
        <v>0</v>
      </c>
      <c r="AO224" s="151">
        <f t="shared" si="10"/>
        <v>190</v>
      </c>
      <c r="BA224" s="8"/>
    </row>
    <row r="225" spans="36:53" x14ac:dyDescent="0.3">
      <c r="AJ225" s="150">
        <f t="shared" si="11"/>
        <v>222</v>
      </c>
      <c r="AK225" s="151">
        <f>IF(AC_Chart_Background_Data[[#This Row],[X]] &lt; EFC_70P-EFC_50P, EFC_50P, MAX(EFC_70P-AC_Chart_Background_Data[[#This Row],[X]],0))</f>
        <v>0</v>
      </c>
      <c r="AL225" s="151">
        <f>IF(AC_Chart_Background_Data[[#This Row],[X]] &lt; EFC_85P-EFC_70P, EFC_70P, MAX(EFC_85P-AC_Chart_Background_Data[[#This Row],[X]],0))</f>
        <v>0</v>
      </c>
      <c r="AM225" s="151">
        <f>IF(AC_Chart_Background_Data[[#This Row],[X]] &lt; EFC_95P-EFC_85P, EFC_85P, MAX(EFC_95P-AC_Chart_Background_Data[[#This Row],[X]],0))</f>
        <v>0</v>
      </c>
      <c r="AN225" s="151">
        <f>IF(AC_Chart_Background_Data[[#This Row],[X]] &lt; EFC_99P-EFC_95P, EFC_95P, MAX(EFC_99P-AC_Chart_Background_Data[[#This Row],[X]],0))</f>
        <v>0</v>
      </c>
      <c r="AO225" s="151">
        <f t="shared" si="10"/>
        <v>190</v>
      </c>
      <c r="BA225" s="8"/>
    </row>
    <row r="226" spans="36:53" x14ac:dyDescent="0.3">
      <c r="AJ226" s="150">
        <f t="shared" si="11"/>
        <v>223</v>
      </c>
      <c r="AK226" s="151">
        <f>IF(AC_Chart_Background_Data[[#This Row],[X]] &lt; EFC_70P-EFC_50P, EFC_50P, MAX(EFC_70P-AC_Chart_Background_Data[[#This Row],[X]],0))</f>
        <v>0</v>
      </c>
      <c r="AL226" s="151">
        <f>IF(AC_Chart_Background_Data[[#This Row],[X]] &lt; EFC_85P-EFC_70P, EFC_70P, MAX(EFC_85P-AC_Chart_Background_Data[[#This Row],[X]],0))</f>
        <v>0</v>
      </c>
      <c r="AM226" s="151">
        <f>IF(AC_Chart_Background_Data[[#This Row],[X]] &lt; EFC_95P-EFC_85P, EFC_85P, MAX(EFC_95P-AC_Chart_Background_Data[[#This Row],[X]],0))</f>
        <v>0</v>
      </c>
      <c r="AN226" s="151">
        <f>IF(AC_Chart_Background_Data[[#This Row],[X]] &lt; EFC_99P-EFC_95P, EFC_95P, MAX(EFC_99P-AC_Chart_Background_Data[[#This Row],[X]],0))</f>
        <v>0</v>
      </c>
      <c r="AO226" s="151">
        <f t="shared" si="10"/>
        <v>190</v>
      </c>
      <c r="BA226" s="8"/>
    </row>
    <row r="227" spans="36:53" x14ac:dyDescent="0.3">
      <c r="AJ227" s="150">
        <f t="shared" si="11"/>
        <v>224</v>
      </c>
      <c r="AK227" s="151">
        <f>IF(AC_Chart_Background_Data[[#This Row],[X]] &lt; EFC_70P-EFC_50P, EFC_50P, MAX(EFC_70P-AC_Chart_Background_Data[[#This Row],[X]],0))</f>
        <v>0</v>
      </c>
      <c r="AL227" s="151">
        <f>IF(AC_Chart_Background_Data[[#This Row],[X]] &lt; EFC_85P-EFC_70P, EFC_70P, MAX(EFC_85P-AC_Chart_Background_Data[[#This Row],[X]],0))</f>
        <v>0</v>
      </c>
      <c r="AM227" s="151">
        <f>IF(AC_Chart_Background_Data[[#This Row],[X]] &lt; EFC_95P-EFC_85P, EFC_85P, MAX(EFC_95P-AC_Chart_Background_Data[[#This Row],[X]],0))</f>
        <v>0</v>
      </c>
      <c r="AN227" s="151">
        <f>IF(AC_Chart_Background_Data[[#This Row],[X]] &lt; EFC_99P-EFC_95P, EFC_95P, MAX(EFC_99P-AC_Chart_Background_Data[[#This Row],[X]],0))</f>
        <v>0</v>
      </c>
      <c r="AO227" s="151">
        <f t="shared" si="10"/>
        <v>190</v>
      </c>
      <c r="BA227" s="8"/>
    </row>
    <row r="228" spans="36:53" x14ac:dyDescent="0.3">
      <c r="AJ228" s="150">
        <f t="shared" si="11"/>
        <v>225</v>
      </c>
      <c r="AK228" s="151">
        <f>IF(AC_Chart_Background_Data[[#This Row],[X]] &lt; EFC_70P-EFC_50P, EFC_50P, MAX(EFC_70P-AC_Chart_Background_Data[[#This Row],[X]],0))</f>
        <v>0</v>
      </c>
      <c r="AL228" s="151">
        <f>IF(AC_Chart_Background_Data[[#This Row],[X]] &lt; EFC_85P-EFC_70P, EFC_70P, MAX(EFC_85P-AC_Chart_Background_Data[[#This Row],[X]],0))</f>
        <v>0</v>
      </c>
      <c r="AM228" s="151">
        <f>IF(AC_Chart_Background_Data[[#This Row],[X]] &lt; EFC_95P-EFC_85P, EFC_85P, MAX(EFC_95P-AC_Chart_Background_Data[[#This Row],[X]],0))</f>
        <v>0</v>
      </c>
      <c r="AN228" s="151">
        <f>IF(AC_Chart_Background_Data[[#This Row],[X]] &lt; EFC_99P-EFC_95P, EFC_95P, MAX(EFC_99P-AC_Chart_Background_Data[[#This Row],[X]],0))</f>
        <v>0</v>
      </c>
      <c r="AO228" s="151">
        <f t="shared" si="10"/>
        <v>190</v>
      </c>
      <c r="BA228" s="8"/>
    </row>
    <row r="229" spans="36:53" x14ac:dyDescent="0.3">
      <c r="AJ229" s="150">
        <f t="shared" si="11"/>
        <v>226</v>
      </c>
      <c r="AK229" s="151">
        <f>IF(AC_Chart_Background_Data[[#This Row],[X]] &lt; EFC_70P-EFC_50P, EFC_50P, MAX(EFC_70P-AC_Chart_Background_Data[[#This Row],[X]],0))</f>
        <v>0</v>
      </c>
      <c r="AL229" s="151">
        <f>IF(AC_Chart_Background_Data[[#This Row],[X]] &lt; EFC_85P-EFC_70P, EFC_70P, MAX(EFC_85P-AC_Chart_Background_Data[[#This Row],[X]],0))</f>
        <v>0</v>
      </c>
      <c r="AM229" s="151">
        <f>IF(AC_Chart_Background_Data[[#This Row],[X]] &lt; EFC_95P-EFC_85P, EFC_85P, MAX(EFC_95P-AC_Chart_Background_Data[[#This Row],[X]],0))</f>
        <v>0</v>
      </c>
      <c r="AN229" s="151">
        <f>IF(AC_Chart_Background_Data[[#This Row],[X]] &lt; EFC_99P-EFC_95P, EFC_95P, MAX(EFC_99P-AC_Chart_Background_Data[[#This Row],[X]],0))</f>
        <v>0</v>
      </c>
      <c r="AO229" s="151">
        <f t="shared" si="10"/>
        <v>190</v>
      </c>
      <c r="BA229" s="8"/>
    </row>
    <row r="230" spans="36:53" x14ac:dyDescent="0.3">
      <c r="AJ230" s="150">
        <f t="shared" si="11"/>
        <v>227</v>
      </c>
      <c r="AK230" s="151">
        <f>IF(AC_Chart_Background_Data[[#This Row],[X]] &lt; EFC_70P-EFC_50P, EFC_50P, MAX(EFC_70P-AC_Chart_Background_Data[[#This Row],[X]],0))</f>
        <v>0</v>
      </c>
      <c r="AL230" s="151">
        <f>IF(AC_Chart_Background_Data[[#This Row],[X]] &lt; EFC_85P-EFC_70P, EFC_70P, MAX(EFC_85P-AC_Chart_Background_Data[[#This Row],[X]],0))</f>
        <v>0</v>
      </c>
      <c r="AM230" s="151">
        <f>IF(AC_Chart_Background_Data[[#This Row],[X]] &lt; EFC_95P-EFC_85P, EFC_85P, MAX(EFC_95P-AC_Chart_Background_Data[[#This Row],[X]],0))</f>
        <v>0</v>
      </c>
      <c r="AN230" s="151">
        <f>IF(AC_Chart_Background_Data[[#This Row],[X]] &lt; EFC_99P-EFC_95P, EFC_95P, MAX(EFC_99P-AC_Chart_Background_Data[[#This Row],[X]],0))</f>
        <v>0</v>
      </c>
      <c r="AO230" s="151">
        <f t="shared" si="10"/>
        <v>190</v>
      </c>
      <c r="BA230" s="8"/>
    </row>
    <row r="231" spans="36:53" x14ac:dyDescent="0.3">
      <c r="AJ231" s="150">
        <f t="shared" si="11"/>
        <v>228</v>
      </c>
      <c r="AK231" s="151">
        <f>IF(AC_Chart_Background_Data[[#This Row],[X]] &lt; EFC_70P-EFC_50P, EFC_50P, MAX(EFC_70P-AC_Chart_Background_Data[[#This Row],[X]],0))</f>
        <v>0</v>
      </c>
      <c r="AL231" s="151">
        <f>IF(AC_Chart_Background_Data[[#This Row],[X]] &lt; EFC_85P-EFC_70P, EFC_70P, MAX(EFC_85P-AC_Chart_Background_Data[[#This Row],[X]],0))</f>
        <v>0</v>
      </c>
      <c r="AM231" s="151">
        <f>IF(AC_Chart_Background_Data[[#This Row],[X]] &lt; EFC_95P-EFC_85P, EFC_85P, MAX(EFC_95P-AC_Chart_Background_Data[[#This Row],[X]],0))</f>
        <v>0</v>
      </c>
      <c r="AN231" s="151">
        <f>IF(AC_Chart_Background_Data[[#This Row],[X]] &lt; EFC_99P-EFC_95P, EFC_95P, MAX(EFC_99P-AC_Chart_Background_Data[[#This Row],[X]],0))</f>
        <v>0</v>
      </c>
      <c r="AO231" s="151">
        <f t="shared" si="10"/>
        <v>190</v>
      </c>
      <c r="BA231" s="8"/>
    </row>
    <row r="232" spans="36:53" x14ac:dyDescent="0.3">
      <c r="AJ232" s="150">
        <f t="shared" si="11"/>
        <v>229</v>
      </c>
      <c r="AK232" s="151">
        <f>IF(AC_Chart_Background_Data[[#This Row],[X]] &lt; EFC_70P-EFC_50P, EFC_50P, MAX(EFC_70P-AC_Chart_Background_Data[[#This Row],[X]],0))</f>
        <v>0</v>
      </c>
      <c r="AL232" s="151">
        <f>IF(AC_Chart_Background_Data[[#This Row],[X]] &lt; EFC_85P-EFC_70P, EFC_70P, MAX(EFC_85P-AC_Chart_Background_Data[[#This Row],[X]],0))</f>
        <v>0</v>
      </c>
      <c r="AM232" s="151">
        <f>IF(AC_Chart_Background_Data[[#This Row],[X]] &lt; EFC_95P-EFC_85P, EFC_85P, MAX(EFC_95P-AC_Chart_Background_Data[[#This Row],[X]],0))</f>
        <v>0</v>
      </c>
      <c r="AN232" s="151">
        <f>IF(AC_Chart_Background_Data[[#This Row],[X]] &lt; EFC_99P-EFC_95P, EFC_95P, MAX(EFC_99P-AC_Chart_Background_Data[[#This Row],[X]],0))</f>
        <v>0</v>
      </c>
      <c r="AO232" s="151">
        <f t="shared" si="10"/>
        <v>190</v>
      </c>
      <c r="BA232" s="8"/>
    </row>
    <row r="233" spans="36:53" x14ac:dyDescent="0.3">
      <c r="AJ233" s="150">
        <f t="shared" si="11"/>
        <v>230</v>
      </c>
      <c r="AK233" s="151">
        <f>IF(AC_Chart_Background_Data[[#This Row],[X]] &lt; EFC_70P-EFC_50P, EFC_50P, MAX(EFC_70P-AC_Chart_Background_Data[[#This Row],[X]],0))</f>
        <v>0</v>
      </c>
      <c r="AL233" s="151">
        <f>IF(AC_Chart_Background_Data[[#This Row],[X]] &lt; EFC_85P-EFC_70P, EFC_70P, MAX(EFC_85P-AC_Chart_Background_Data[[#This Row],[X]],0))</f>
        <v>0</v>
      </c>
      <c r="AM233" s="151">
        <f>IF(AC_Chart_Background_Data[[#This Row],[X]] &lt; EFC_95P-EFC_85P, EFC_85P, MAX(EFC_95P-AC_Chart_Background_Data[[#This Row],[X]],0))</f>
        <v>0</v>
      </c>
      <c r="AN233" s="151">
        <f>IF(AC_Chart_Background_Data[[#This Row],[X]] &lt; EFC_99P-EFC_95P, EFC_95P, MAX(EFC_99P-AC_Chart_Background_Data[[#This Row],[X]],0))</f>
        <v>0</v>
      </c>
      <c r="AO233" s="151">
        <f t="shared" si="10"/>
        <v>190</v>
      </c>
      <c r="BA233" s="8"/>
    </row>
    <row r="234" spans="36:53" x14ac:dyDescent="0.3">
      <c r="AJ234" s="150">
        <f t="shared" si="11"/>
        <v>231</v>
      </c>
      <c r="AK234" s="151">
        <f>IF(AC_Chart_Background_Data[[#This Row],[X]] &lt; EFC_70P-EFC_50P, EFC_50P, MAX(EFC_70P-AC_Chart_Background_Data[[#This Row],[X]],0))</f>
        <v>0</v>
      </c>
      <c r="AL234" s="151">
        <f>IF(AC_Chart_Background_Data[[#This Row],[X]] &lt; EFC_85P-EFC_70P, EFC_70P, MAX(EFC_85P-AC_Chart_Background_Data[[#This Row],[X]],0))</f>
        <v>0</v>
      </c>
      <c r="AM234" s="151">
        <f>IF(AC_Chart_Background_Data[[#This Row],[X]] &lt; EFC_95P-EFC_85P, EFC_85P, MAX(EFC_95P-AC_Chart_Background_Data[[#This Row],[X]],0))</f>
        <v>0</v>
      </c>
      <c r="AN234" s="151">
        <f>IF(AC_Chart_Background_Data[[#This Row],[X]] &lt; EFC_99P-EFC_95P, EFC_95P, MAX(EFC_99P-AC_Chart_Background_Data[[#This Row],[X]],0))</f>
        <v>0</v>
      </c>
      <c r="AO234" s="151">
        <f t="shared" si="10"/>
        <v>190</v>
      </c>
      <c r="BA234" s="8"/>
    </row>
    <row r="235" spans="36:53" x14ac:dyDescent="0.3">
      <c r="AJ235" s="150">
        <f t="shared" si="11"/>
        <v>232</v>
      </c>
      <c r="AK235" s="151">
        <f>IF(AC_Chart_Background_Data[[#This Row],[X]] &lt; EFC_70P-EFC_50P, EFC_50P, MAX(EFC_70P-AC_Chart_Background_Data[[#This Row],[X]],0))</f>
        <v>0</v>
      </c>
      <c r="AL235" s="151">
        <f>IF(AC_Chart_Background_Data[[#This Row],[X]] &lt; EFC_85P-EFC_70P, EFC_70P, MAX(EFC_85P-AC_Chart_Background_Data[[#This Row],[X]],0))</f>
        <v>0</v>
      </c>
      <c r="AM235" s="151">
        <f>IF(AC_Chart_Background_Data[[#This Row],[X]] &lt; EFC_95P-EFC_85P, EFC_85P, MAX(EFC_95P-AC_Chart_Background_Data[[#This Row],[X]],0))</f>
        <v>0</v>
      </c>
      <c r="AN235" s="151">
        <f>IF(AC_Chart_Background_Data[[#This Row],[X]] &lt; EFC_99P-EFC_95P, EFC_95P, MAX(EFC_99P-AC_Chart_Background_Data[[#This Row],[X]],0))</f>
        <v>0</v>
      </c>
      <c r="AO235" s="151">
        <f t="shared" si="10"/>
        <v>190</v>
      </c>
      <c r="BA235" s="8"/>
    </row>
    <row r="236" spans="36:53" x14ac:dyDescent="0.3">
      <c r="AJ236" s="150">
        <f t="shared" si="11"/>
        <v>233</v>
      </c>
      <c r="AK236" s="151">
        <f>IF(AC_Chart_Background_Data[[#This Row],[X]] &lt; EFC_70P-EFC_50P, EFC_50P, MAX(EFC_70P-AC_Chart_Background_Data[[#This Row],[X]],0))</f>
        <v>0</v>
      </c>
      <c r="AL236" s="151">
        <f>IF(AC_Chart_Background_Data[[#This Row],[X]] &lt; EFC_85P-EFC_70P, EFC_70P, MAX(EFC_85P-AC_Chart_Background_Data[[#This Row],[X]],0))</f>
        <v>0</v>
      </c>
      <c r="AM236" s="151">
        <f>IF(AC_Chart_Background_Data[[#This Row],[X]] &lt; EFC_95P-EFC_85P, EFC_85P, MAX(EFC_95P-AC_Chart_Background_Data[[#This Row],[X]],0))</f>
        <v>0</v>
      </c>
      <c r="AN236" s="151">
        <f>IF(AC_Chart_Background_Data[[#This Row],[X]] &lt; EFC_99P-EFC_95P, EFC_95P, MAX(EFC_99P-AC_Chart_Background_Data[[#This Row],[X]],0))</f>
        <v>0</v>
      </c>
      <c r="AO236" s="151">
        <f t="shared" si="10"/>
        <v>190</v>
      </c>
      <c r="BA236" s="8"/>
    </row>
    <row r="237" spans="36:53" x14ac:dyDescent="0.3">
      <c r="AJ237" s="150">
        <f t="shared" si="11"/>
        <v>234</v>
      </c>
      <c r="AK237" s="151">
        <f>IF(AC_Chart_Background_Data[[#This Row],[X]] &lt; EFC_70P-EFC_50P, EFC_50P, MAX(EFC_70P-AC_Chart_Background_Data[[#This Row],[X]],0))</f>
        <v>0</v>
      </c>
      <c r="AL237" s="151">
        <f>IF(AC_Chart_Background_Data[[#This Row],[X]] &lt; EFC_85P-EFC_70P, EFC_70P, MAX(EFC_85P-AC_Chart_Background_Data[[#This Row],[X]],0))</f>
        <v>0</v>
      </c>
      <c r="AM237" s="151">
        <f>IF(AC_Chart_Background_Data[[#This Row],[X]] &lt; EFC_95P-EFC_85P, EFC_85P, MAX(EFC_95P-AC_Chart_Background_Data[[#This Row],[X]],0))</f>
        <v>0</v>
      </c>
      <c r="AN237" s="151">
        <f>IF(AC_Chart_Background_Data[[#This Row],[X]] &lt; EFC_99P-EFC_95P, EFC_95P, MAX(EFC_99P-AC_Chart_Background_Data[[#This Row],[X]],0))</f>
        <v>0</v>
      </c>
      <c r="AO237" s="151">
        <f t="shared" si="10"/>
        <v>190</v>
      </c>
      <c r="BA237" s="8"/>
    </row>
    <row r="238" spans="36:53" x14ac:dyDescent="0.3">
      <c r="AJ238" s="150">
        <f t="shared" si="11"/>
        <v>235</v>
      </c>
      <c r="AK238" s="151">
        <f>IF(AC_Chart_Background_Data[[#This Row],[X]] &lt; EFC_70P-EFC_50P, EFC_50P, MAX(EFC_70P-AC_Chart_Background_Data[[#This Row],[X]],0))</f>
        <v>0</v>
      </c>
      <c r="AL238" s="151">
        <f>IF(AC_Chart_Background_Data[[#This Row],[X]] &lt; EFC_85P-EFC_70P, EFC_70P, MAX(EFC_85P-AC_Chart_Background_Data[[#This Row],[X]],0))</f>
        <v>0</v>
      </c>
      <c r="AM238" s="151">
        <f>IF(AC_Chart_Background_Data[[#This Row],[X]] &lt; EFC_95P-EFC_85P, EFC_85P, MAX(EFC_95P-AC_Chart_Background_Data[[#This Row],[X]],0))</f>
        <v>0</v>
      </c>
      <c r="AN238" s="151">
        <f>IF(AC_Chart_Background_Data[[#This Row],[X]] &lt; EFC_99P-EFC_95P, EFC_95P, MAX(EFC_99P-AC_Chart_Background_Data[[#This Row],[X]],0))</f>
        <v>0</v>
      </c>
      <c r="AO238" s="151">
        <f t="shared" si="10"/>
        <v>190</v>
      </c>
      <c r="BA238" s="8"/>
    </row>
    <row r="239" spans="36:53" x14ac:dyDescent="0.3">
      <c r="AJ239" s="150">
        <f t="shared" si="11"/>
        <v>236</v>
      </c>
      <c r="AK239" s="151">
        <f>IF(AC_Chart_Background_Data[[#This Row],[X]] &lt; EFC_70P-EFC_50P, EFC_50P, MAX(EFC_70P-AC_Chart_Background_Data[[#This Row],[X]],0))</f>
        <v>0</v>
      </c>
      <c r="AL239" s="151">
        <f>IF(AC_Chart_Background_Data[[#This Row],[X]] &lt; EFC_85P-EFC_70P, EFC_70P, MAX(EFC_85P-AC_Chart_Background_Data[[#This Row],[X]],0))</f>
        <v>0</v>
      </c>
      <c r="AM239" s="151">
        <f>IF(AC_Chart_Background_Data[[#This Row],[X]] &lt; EFC_95P-EFC_85P, EFC_85P, MAX(EFC_95P-AC_Chart_Background_Data[[#This Row],[X]],0))</f>
        <v>0</v>
      </c>
      <c r="AN239" s="151">
        <f>IF(AC_Chart_Background_Data[[#This Row],[X]] &lt; EFC_99P-EFC_95P, EFC_95P, MAX(EFC_99P-AC_Chart_Background_Data[[#This Row],[X]],0))</f>
        <v>0</v>
      </c>
      <c r="AO239" s="151">
        <f t="shared" si="10"/>
        <v>190</v>
      </c>
      <c r="BA239" s="8"/>
    </row>
    <row r="240" spans="36:53" x14ac:dyDescent="0.3">
      <c r="AJ240" s="150">
        <f t="shared" si="11"/>
        <v>237</v>
      </c>
      <c r="AK240" s="151">
        <f>IF(AC_Chart_Background_Data[[#This Row],[X]] &lt; EFC_70P-EFC_50P, EFC_50P, MAX(EFC_70P-AC_Chart_Background_Data[[#This Row],[X]],0))</f>
        <v>0</v>
      </c>
      <c r="AL240" s="151">
        <f>IF(AC_Chart_Background_Data[[#This Row],[X]] &lt; EFC_85P-EFC_70P, EFC_70P, MAX(EFC_85P-AC_Chart_Background_Data[[#This Row],[X]],0))</f>
        <v>0</v>
      </c>
      <c r="AM240" s="151">
        <f>IF(AC_Chart_Background_Data[[#This Row],[X]] &lt; EFC_95P-EFC_85P, EFC_85P, MAX(EFC_95P-AC_Chart_Background_Data[[#This Row],[X]],0))</f>
        <v>0</v>
      </c>
      <c r="AN240" s="151">
        <f>IF(AC_Chart_Background_Data[[#This Row],[X]] &lt; EFC_99P-EFC_95P, EFC_95P, MAX(EFC_99P-AC_Chart_Background_Data[[#This Row],[X]],0))</f>
        <v>0</v>
      </c>
      <c r="AO240" s="151">
        <f t="shared" si="10"/>
        <v>190</v>
      </c>
      <c r="BA240" s="8"/>
    </row>
    <row r="241" spans="36:53" x14ac:dyDescent="0.3">
      <c r="AJ241" s="150">
        <f t="shared" si="11"/>
        <v>238</v>
      </c>
      <c r="AK241" s="151">
        <f>IF(AC_Chart_Background_Data[[#This Row],[X]] &lt; EFC_70P-EFC_50P, EFC_50P, MAX(EFC_70P-AC_Chart_Background_Data[[#This Row],[X]],0))</f>
        <v>0</v>
      </c>
      <c r="AL241" s="151">
        <f>IF(AC_Chart_Background_Data[[#This Row],[X]] &lt; EFC_85P-EFC_70P, EFC_70P, MAX(EFC_85P-AC_Chart_Background_Data[[#This Row],[X]],0))</f>
        <v>0</v>
      </c>
      <c r="AM241" s="151">
        <f>IF(AC_Chart_Background_Data[[#This Row],[X]] &lt; EFC_95P-EFC_85P, EFC_85P, MAX(EFC_95P-AC_Chart_Background_Data[[#This Row],[X]],0))</f>
        <v>0</v>
      </c>
      <c r="AN241" s="151">
        <f>IF(AC_Chart_Background_Data[[#This Row],[X]] &lt; EFC_99P-EFC_95P, EFC_95P, MAX(EFC_99P-AC_Chart_Background_Data[[#This Row],[X]],0))</f>
        <v>0</v>
      </c>
      <c r="AO241" s="151">
        <f t="shared" si="10"/>
        <v>190</v>
      </c>
      <c r="BA241" s="8"/>
    </row>
    <row r="242" spans="36:53" x14ac:dyDescent="0.3">
      <c r="AJ242" s="150">
        <f t="shared" si="11"/>
        <v>239</v>
      </c>
      <c r="AK242" s="151">
        <f>IF(AC_Chart_Background_Data[[#This Row],[X]] &lt; EFC_70P-EFC_50P, EFC_50P, MAX(EFC_70P-AC_Chart_Background_Data[[#This Row],[X]],0))</f>
        <v>0</v>
      </c>
      <c r="AL242" s="151">
        <f>IF(AC_Chart_Background_Data[[#This Row],[X]] &lt; EFC_85P-EFC_70P, EFC_70P, MAX(EFC_85P-AC_Chart_Background_Data[[#This Row],[X]],0))</f>
        <v>0</v>
      </c>
      <c r="AM242" s="151">
        <f>IF(AC_Chart_Background_Data[[#This Row],[X]] &lt; EFC_95P-EFC_85P, EFC_85P, MAX(EFC_95P-AC_Chart_Background_Data[[#This Row],[X]],0))</f>
        <v>0</v>
      </c>
      <c r="AN242" s="151">
        <f>IF(AC_Chart_Background_Data[[#This Row],[X]] &lt; EFC_99P-EFC_95P, EFC_95P, MAX(EFC_99P-AC_Chart_Background_Data[[#This Row],[X]],0))</f>
        <v>0</v>
      </c>
      <c r="AO242" s="151">
        <f t="shared" si="10"/>
        <v>190</v>
      </c>
      <c r="BA242" s="8"/>
    </row>
    <row r="243" spans="36:53" x14ac:dyDescent="0.3">
      <c r="AJ243" s="150">
        <f t="shared" si="11"/>
        <v>240</v>
      </c>
      <c r="AK243" s="151">
        <f>IF(AC_Chart_Background_Data[[#This Row],[X]] &lt; EFC_70P-EFC_50P, EFC_50P, MAX(EFC_70P-AC_Chart_Background_Data[[#This Row],[X]],0))</f>
        <v>0</v>
      </c>
      <c r="AL243" s="151">
        <f>IF(AC_Chart_Background_Data[[#This Row],[X]] &lt; EFC_85P-EFC_70P, EFC_70P, MAX(EFC_85P-AC_Chart_Background_Data[[#This Row],[X]],0))</f>
        <v>0</v>
      </c>
      <c r="AM243" s="151">
        <f>IF(AC_Chart_Background_Data[[#This Row],[X]] &lt; EFC_95P-EFC_85P, EFC_85P, MAX(EFC_95P-AC_Chart_Background_Data[[#This Row],[X]],0))</f>
        <v>0</v>
      </c>
      <c r="AN243" s="151">
        <f>IF(AC_Chart_Background_Data[[#This Row],[X]] &lt; EFC_99P-EFC_95P, EFC_95P, MAX(EFC_99P-AC_Chart_Background_Data[[#This Row],[X]],0))</f>
        <v>0</v>
      </c>
      <c r="AO243" s="151">
        <f t="shared" si="10"/>
        <v>190</v>
      </c>
      <c r="BA243" s="8"/>
    </row>
    <row r="244" spans="36:53" x14ac:dyDescent="0.3">
      <c r="AJ244" s="150">
        <f t="shared" si="11"/>
        <v>241</v>
      </c>
      <c r="AK244" s="151">
        <f>IF(AC_Chart_Background_Data[[#This Row],[X]] &lt; EFC_70P-EFC_50P, EFC_50P, MAX(EFC_70P-AC_Chart_Background_Data[[#This Row],[X]],0))</f>
        <v>0</v>
      </c>
      <c r="AL244" s="151">
        <f>IF(AC_Chart_Background_Data[[#This Row],[X]] &lt; EFC_85P-EFC_70P, EFC_70P, MAX(EFC_85P-AC_Chart_Background_Data[[#This Row],[X]],0))</f>
        <v>0</v>
      </c>
      <c r="AM244" s="151">
        <f>IF(AC_Chart_Background_Data[[#This Row],[X]] &lt; EFC_95P-EFC_85P, EFC_85P, MAX(EFC_95P-AC_Chart_Background_Data[[#This Row],[X]],0))</f>
        <v>0</v>
      </c>
      <c r="AN244" s="151">
        <f>IF(AC_Chart_Background_Data[[#This Row],[X]] &lt; EFC_99P-EFC_95P, EFC_95P, MAX(EFC_99P-AC_Chart_Background_Data[[#This Row],[X]],0))</f>
        <v>0</v>
      </c>
      <c r="AO244" s="151">
        <f t="shared" si="10"/>
        <v>190</v>
      </c>
      <c r="BA244" s="8"/>
    </row>
    <row r="245" spans="36:53" x14ac:dyDescent="0.3">
      <c r="AJ245" s="150">
        <f t="shared" si="11"/>
        <v>242</v>
      </c>
      <c r="AK245" s="151">
        <f>IF(AC_Chart_Background_Data[[#This Row],[X]] &lt; EFC_70P-EFC_50P, EFC_50P, MAX(EFC_70P-AC_Chart_Background_Data[[#This Row],[X]],0))</f>
        <v>0</v>
      </c>
      <c r="AL245" s="151">
        <f>IF(AC_Chart_Background_Data[[#This Row],[X]] &lt; EFC_85P-EFC_70P, EFC_70P, MAX(EFC_85P-AC_Chart_Background_Data[[#This Row],[X]],0))</f>
        <v>0</v>
      </c>
      <c r="AM245" s="151">
        <f>IF(AC_Chart_Background_Data[[#This Row],[X]] &lt; EFC_95P-EFC_85P, EFC_85P, MAX(EFC_95P-AC_Chart_Background_Data[[#This Row],[X]],0))</f>
        <v>0</v>
      </c>
      <c r="AN245" s="151">
        <f>IF(AC_Chart_Background_Data[[#This Row],[X]] &lt; EFC_99P-EFC_95P, EFC_95P, MAX(EFC_99P-AC_Chart_Background_Data[[#This Row],[X]],0))</f>
        <v>0</v>
      </c>
      <c r="AO245" s="151">
        <f t="shared" si="10"/>
        <v>190</v>
      </c>
      <c r="BA245" s="8"/>
    </row>
    <row r="246" spans="36:53" x14ac:dyDescent="0.3">
      <c r="AJ246" s="150">
        <f t="shared" si="11"/>
        <v>243</v>
      </c>
      <c r="AK246" s="151">
        <f>IF(AC_Chart_Background_Data[[#This Row],[X]] &lt; EFC_70P-EFC_50P, EFC_50P, MAX(EFC_70P-AC_Chart_Background_Data[[#This Row],[X]],0))</f>
        <v>0</v>
      </c>
      <c r="AL246" s="151">
        <f>IF(AC_Chart_Background_Data[[#This Row],[X]] &lt; EFC_85P-EFC_70P, EFC_70P, MAX(EFC_85P-AC_Chart_Background_Data[[#This Row],[X]],0))</f>
        <v>0</v>
      </c>
      <c r="AM246" s="151">
        <f>IF(AC_Chart_Background_Data[[#This Row],[X]] &lt; EFC_95P-EFC_85P, EFC_85P, MAX(EFC_95P-AC_Chart_Background_Data[[#This Row],[X]],0))</f>
        <v>0</v>
      </c>
      <c r="AN246" s="151">
        <f>IF(AC_Chart_Background_Data[[#This Row],[X]] &lt; EFC_99P-EFC_95P, EFC_95P, MAX(EFC_99P-AC_Chart_Background_Data[[#This Row],[X]],0))</f>
        <v>0</v>
      </c>
      <c r="AO246" s="151">
        <f t="shared" si="10"/>
        <v>190</v>
      </c>
      <c r="BA246" s="8"/>
    </row>
    <row r="247" spans="36:53" x14ac:dyDescent="0.3">
      <c r="AJ247" s="150">
        <f t="shared" si="11"/>
        <v>244</v>
      </c>
      <c r="AK247" s="151">
        <f>IF(AC_Chart_Background_Data[[#This Row],[X]] &lt; EFC_70P-EFC_50P, EFC_50P, MAX(EFC_70P-AC_Chart_Background_Data[[#This Row],[X]],0))</f>
        <v>0</v>
      </c>
      <c r="AL247" s="151">
        <f>IF(AC_Chart_Background_Data[[#This Row],[X]] &lt; EFC_85P-EFC_70P, EFC_70P, MAX(EFC_85P-AC_Chart_Background_Data[[#This Row],[X]],0))</f>
        <v>0</v>
      </c>
      <c r="AM247" s="151">
        <f>IF(AC_Chart_Background_Data[[#This Row],[X]] &lt; EFC_95P-EFC_85P, EFC_85P, MAX(EFC_95P-AC_Chart_Background_Data[[#This Row],[X]],0))</f>
        <v>0</v>
      </c>
      <c r="AN247" s="151">
        <f>IF(AC_Chart_Background_Data[[#This Row],[X]] &lt; EFC_99P-EFC_95P, EFC_95P, MAX(EFC_99P-AC_Chart_Background_Data[[#This Row],[X]],0))</f>
        <v>0</v>
      </c>
      <c r="AO247" s="151">
        <f t="shared" si="10"/>
        <v>190</v>
      </c>
      <c r="BA247" s="8"/>
    </row>
    <row r="248" spans="36:53" x14ac:dyDescent="0.3">
      <c r="AJ248" s="150">
        <f t="shared" si="11"/>
        <v>245</v>
      </c>
      <c r="AK248" s="151">
        <f>IF(AC_Chart_Background_Data[[#This Row],[X]] &lt; EFC_70P-EFC_50P, EFC_50P, MAX(EFC_70P-AC_Chart_Background_Data[[#This Row],[X]],0))</f>
        <v>0</v>
      </c>
      <c r="AL248" s="151">
        <f>IF(AC_Chart_Background_Data[[#This Row],[X]] &lt; EFC_85P-EFC_70P, EFC_70P, MAX(EFC_85P-AC_Chart_Background_Data[[#This Row],[X]],0))</f>
        <v>0</v>
      </c>
      <c r="AM248" s="151">
        <f>IF(AC_Chart_Background_Data[[#This Row],[X]] &lt; EFC_95P-EFC_85P, EFC_85P, MAX(EFC_95P-AC_Chart_Background_Data[[#This Row],[X]],0))</f>
        <v>0</v>
      </c>
      <c r="AN248" s="151">
        <f>IF(AC_Chart_Background_Data[[#This Row],[X]] &lt; EFC_99P-EFC_95P, EFC_95P, MAX(EFC_99P-AC_Chart_Background_Data[[#This Row],[X]],0))</f>
        <v>0</v>
      </c>
      <c r="AO248" s="151">
        <f t="shared" si="10"/>
        <v>190</v>
      </c>
      <c r="BA248" s="8"/>
    </row>
    <row r="249" spans="36:53" x14ac:dyDescent="0.3">
      <c r="AJ249" s="150">
        <f t="shared" si="11"/>
        <v>246</v>
      </c>
      <c r="AK249" s="151">
        <f>IF(AC_Chart_Background_Data[[#This Row],[X]] &lt; EFC_70P-EFC_50P, EFC_50P, MAX(EFC_70P-AC_Chart_Background_Data[[#This Row],[X]],0))</f>
        <v>0</v>
      </c>
      <c r="AL249" s="151">
        <f>IF(AC_Chart_Background_Data[[#This Row],[X]] &lt; EFC_85P-EFC_70P, EFC_70P, MAX(EFC_85P-AC_Chart_Background_Data[[#This Row],[X]],0))</f>
        <v>0</v>
      </c>
      <c r="AM249" s="151">
        <f>IF(AC_Chart_Background_Data[[#This Row],[X]] &lt; EFC_95P-EFC_85P, EFC_85P, MAX(EFC_95P-AC_Chart_Background_Data[[#This Row],[X]],0))</f>
        <v>0</v>
      </c>
      <c r="AN249" s="151">
        <f>IF(AC_Chart_Background_Data[[#This Row],[X]] &lt; EFC_99P-EFC_95P, EFC_95P, MAX(EFC_99P-AC_Chart_Background_Data[[#This Row],[X]],0))</f>
        <v>0</v>
      </c>
      <c r="AO249" s="151">
        <f t="shared" si="10"/>
        <v>190</v>
      </c>
      <c r="BA249" s="8"/>
    </row>
    <row r="250" spans="36:53" x14ac:dyDescent="0.3">
      <c r="AJ250" s="150">
        <f t="shared" si="11"/>
        <v>247</v>
      </c>
      <c r="AK250" s="151">
        <f>IF(AC_Chart_Background_Data[[#This Row],[X]] &lt; EFC_70P-EFC_50P, EFC_50P, MAX(EFC_70P-AC_Chart_Background_Data[[#This Row],[X]],0))</f>
        <v>0</v>
      </c>
      <c r="AL250" s="151">
        <f>IF(AC_Chart_Background_Data[[#This Row],[X]] &lt; EFC_85P-EFC_70P, EFC_70P, MAX(EFC_85P-AC_Chart_Background_Data[[#This Row],[X]],0))</f>
        <v>0</v>
      </c>
      <c r="AM250" s="151">
        <f>IF(AC_Chart_Background_Data[[#This Row],[X]] &lt; EFC_95P-EFC_85P, EFC_85P, MAX(EFC_95P-AC_Chart_Background_Data[[#This Row],[X]],0))</f>
        <v>0</v>
      </c>
      <c r="AN250" s="151">
        <f>IF(AC_Chart_Background_Data[[#This Row],[X]] &lt; EFC_99P-EFC_95P, EFC_95P, MAX(EFC_99P-AC_Chart_Background_Data[[#This Row],[X]],0))</f>
        <v>0</v>
      </c>
      <c r="AO250" s="151">
        <f t="shared" si="10"/>
        <v>190</v>
      </c>
      <c r="BA250" s="8"/>
    </row>
    <row r="251" spans="36:53" x14ac:dyDescent="0.3">
      <c r="AJ251" s="150">
        <f t="shared" si="11"/>
        <v>248</v>
      </c>
      <c r="AK251" s="151">
        <f>IF(AC_Chart_Background_Data[[#This Row],[X]] &lt; EFC_70P-EFC_50P, EFC_50P, MAX(EFC_70P-AC_Chart_Background_Data[[#This Row],[X]],0))</f>
        <v>0</v>
      </c>
      <c r="AL251" s="151">
        <f>IF(AC_Chart_Background_Data[[#This Row],[X]] &lt; EFC_85P-EFC_70P, EFC_70P, MAX(EFC_85P-AC_Chart_Background_Data[[#This Row],[X]],0))</f>
        <v>0</v>
      </c>
      <c r="AM251" s="151">
        <f>IF(AC_Chart_Background_Data[[#This Row],[X]] &lt; EFC_95P-EFC_85P, EFC_85P, MAX(EFC_95P-AC_Chart_Background_Data[[#This Row],[X]],0))</f>
        <v>0</v>
      </c>
      <c r="AN251" s="151">
        <f>IF(AC_Chart_Background_Data[[#This Row],[X]] &lt; EFC_99P-EFC_95P, EFC_95P, MAX(EFC_99P-AC_Chart_Background_Data[[#This Row],[X]],0))</f>
        <v>0</v>
      </c>
      <c r="AO251" s="151">
        <f t="shared" si="10"/>
        <v>190</v>
      </c>
      <c r="BA251" s="8"/>
    </row>
    <row r="252" spans="36:53" x14ac:dyDescent="0.3">
      <c r="AJ252" s="150">
        <f t="shared" si="11"/>
        <v>249</v>
      </c>
      <c r="AK252" s="151">
        <f>IF(AC_Chart_Background_Data[[#This Row],[X]] &lt; EFC_70P-EFC_50P, EFC_50P, MAX(EFC_70P-AC_Chart_Background_Data[[#This Row],[X]],0))</f>
        <v>0</v>
      </c>
      <c r="AL252" s="151">
        <f>IF(AC_Chart_Background_Data[[#This Row],[X]] &lt; EFC_85P-EFC_70P, EFC_70P, MAX(EFC_85P-AC_Chart_Background_Data[[#This Row],[X]],0))</f>
        <v>0</v>
      </c>
      <c r="AM252" s="151">
        <f>IF(AC_Chart_Background_Data[[#This Row],[X]] &lt; EFC_95P-EFC_85P, EFC_85P, MAX(EFC_95P-AC_Chart_Background_Data[[#This Row],[X]],0))</f>
        <v>0</v>
      </c>
      <c r="AN252" s="151">
        <f>IF(AC_Chart_Background_Data[[#This Row],[X]] &lt; EFC_99P-EFC_95P, EFC_95P, MAX(EFC_99P-AC_Chart_Background_Data[[#This Row],[X]],0))</f>
        <v>0</v>
      </c>
      <c r="AO252" s="151">
        <f t="shared" si="10"/>
        <v>190</v>
      </c>
      <c r="BA252" s="8"/>
    </row>
    <row r="253" spans="36:53" x14ac:dyDescent="0.3">
      <c r="AJ253" s="150">
        <f t="shared" si="11"/>
        <v>250</v>
      </c>
      <c r="AK253" s="151">
        <f>IF(AC_Chart_Background_Data[[#This Row],[X]] &lt; EFC_70P-EFC_50P, EFC_50P, MAX(EFC_70P-AC_Chart_Background_Data[[#This Row],[X]],0))</f>
        <v>0</v>
      </c>
      <c r="AL253" s="151">
        <f>IF(AC_Chart_Background_Data[[#This Row],[X]] &lt; EFC_85P-EFC_70P, EFC_70P, MAX(EFC_85P-AC_Chart_Background_Data[[#This Row],[X]],0))</f>
        <v>0</v>
      </c>
      <c r="AM253" s="151">
        <f>IF(AC_Chart_Background_Data[[#This Row],[X]] &lt; EFC_95P-EFC_85P, EFC_85P, MAX(EFC_95P-AC_Chart_Background_Data[[#This Row],[X]],0))</f>
        <v>0</v>
      </c>
      <c r="AN253" s="151">
        <f>IF(AC_Chart_Background_Data[[#This Row],[X]] &lt; EFC_99P-EFC_95P, EFC_95P, MAX(EFC_99P-AC_Chart_Background_Data[[#This Row],[X]],0))</f>
        <v>0</v>
      </c>
      <c r="AO253" s="151">
        <f t="shared" si="10"/>
        <v>190</v>
      </c>
      <c r="BA253" s="8"/>
    </row>
    <row r="254" spans="36:53" x14ac:dyDescent="0.3">
      <c r="AJ254" s="150">
        <f t="shared" si="11"/>
        <v>251</v>
      </c>
      <c r="AK254" s="151">
        <f>IF(AC_Chart_Background_Data[[#This Row],[X]] &lt; EFC_70P-EFC_50P, EFC_50P, MAX(EFC_70P-AC_Chart_Background_Data[[#This Row],[X]],0))</f>
        <v>0</v>
      </c>
      <c r="AL254" s="151">
        <f>IF(AC_Chart_Background_Data[[#This Row],[X]] &lt; EFC_85P-EFC_70P, EFC_70P, MAX(EFC_85P-AC_Chart_Background_Data[[#This Row],[X]],0))</f>
        <v>0</v>
      </c>
      <c r="AM254" s="151">
        <f>IF(AC_Chart_Background_Data[[#This Row],[X]] &lt; EFC_95P-EFC_85P, EFC_85P, MAX(EFC_95P-AC_Chart_Background_Data[[#This Row],[X]],0))</f>
        <v>0</v>
      </c>
      <c r="AN254" s="151">
        <f>IF(AC_Chart_Background_Data[[#This Row],[X]] &lt; EFC_99P-EFC_95P, EFC_95P, MAX(EFC_99P-AC_Chart_Background_Data[[#This Row],[X]],0))</f>
        <v>0</v>
      </c>
      <c r="AO254" s="151">
        <f t="shared" si="10"/>
        <v>190</v>
      </c>
      <c r="BA254" s="8"/>
    </row>
    <row r="255" spans="36:53" x14ac:dyDescent="0.3">
      <c r="AJ255" s="150">
        <f t="shared" si="11"/>
        <v>252</v>
      </c>
      <c r="AK255" s="151">
        <f>IF(AC_Chart_Background_Data[[#This Row],[X]] &lt; EFC_70P-EFC_50P, EFC_50P, MAX(EFC_70P-AC_Chart_Background_Data[[#This Row],[X]],0))</f>
        <v>0</v>
      </c>
      <c r="AL255" s="151">
        <f>IF(AC_Chart_Background_Data[[#This Row],[X]] &lt; EFC_85P-EFC_70P, EFC_70P, MAX(EFC_85P-AC_Chart_Background_Data[[#This Row],[X]],0))</f>
        <v>0</v>
      </c>
      <c r="AM255" s="151">
        <f>IF(AC_Chart_Background_Data[[#This Row],[X]] &lt; EFC_95P-EFC_85P, EFC_85P, MAX(EFC_95P-AC_Chart_Background_Data[[#This Row],[X]],0))</f>
        <v>0</v>
      </c>
      <c r="AN255" s="151">
        <f>IF(AC_Chart_Background_Data[[#This Row],[X]] &lt; EFC_99P-EFC_95P, EFC_95P, MAX(EFC_99P-AC_Chart_Background_Data[[#This Row],[X]],0))</f>
        <v>0</v>
      </c>
      <c r="AO255" s="151">
        <f t="shared" si="10"/>
        <v>190</v>
      </c>
      <c r="BA255" s="8"/>
    </row>
    <row r="256" spans="36:53" x14ac:dyDescent="0.3">
      <c r="AJ256" s="150">
        <f t="shared" si="11"/>
        <v>253</v>
      </c>
      <c r="AK256" s="151">
        <f>IF(AC_Chart_Background_Data[[#This Row],[X]] &lt; EFC_70P-EFC_50P, EFC_50P, MAX(EFC_70P-AC_Chart_Background_Data[[#This Row],[X]],0))</f>
        <v>0</v>
      </c>
      <c r="AL256" s="151">
        <f>IF(AC_Chart_Background_Data[[#This Row],[X]] &lt; EFC_85P-EFC_70P, EFC_70P, MAX(EFC_85P-AC_Chart_Background_Data[[#This Row],[X]],0))</f>
        <v>0</v>
      </c>
      <c r="AM256" s="151">
        <f>IF(AC_Chart_Background_Data[[#This Row],[X]] &lt; EFC_95P-EFC_85P, EFC_85P, MAX(EFC_95P-AC_Chart_Background_Data[[#This Row],[X]],0))</f>
        <v>0</v>
      </c>
      <c r="AN256" s="151">
        <f>IF(AC_Chart_Background_Data[[#This Row],[X]] &lt; EFC_99P-EFC_95P, EFC_95P, MAX(EFC_99P-AC_Chart_Background_Data[[#This Row],[X]],0))</f>
        <v>0</v>
      </c>
      <c r="AO256" s="151">
        <f t="shared" si="10"/>
        <v>190</v>
      </c>
      <c r="BA256" s="8"/>
    </row>
    <row r="257" spans="36:53" x14ac:dyDescent="0.3">
      <c r="AJ257" s="150">
        <f t="shared" si="11"/>
        <v>254</v>
      </c>
      <c r="AK257" s="151">
        <f>IF(AC_Chart_Background_Data[[#This Row],[X]] &lt; EFC_70P-EFC_50P, EFC_50P, MAX(EFC_70P-AC_Chart_Background_Data[[#This Row],[X]],0))</f>
        <v>0</v>
      </c>
      <c r="AL257" s="151">
        <f>IF(AC_Chart_Background_Data[[#This Row],[X]] &lt; EFC_85P-EFC_70P, EFC_70P, MAX(EFC_85P-AC_Chart_Background_Data[[#This Row],[X]],0))</f>
        <v>0</v>
      </c>
      <c r="AM257" s="151">
        <f>IF(AC_Chart_Background_Data[[#This Row],[X]] &lt; EFC_95P-EFC_85P, EFC_85P, MAX(EFC_95P-AC_Chart_Background_Data[[#This Row],[X]],0))</f>
        <v>0</v>
      </c>
      <c r="AN257" s="151">
        <f>IF(AC_Chart_Background_Data[[#This Row],[X]] &lt; EFC_99P-EFC_95P, EFC_95P, MAX(EFC_99P-AC_Chart_Background_Data[[#This Row],[X]],0))</f>
        <v>0</v>
      </c>
      <c r="AO257" s="151">
        <f t="shared" si="10"/>
        <v>190</v>
      </c>
      <c r="BA257" s="8"/>
    </row>
    <row r="258" spans="36:53" x14ac:dyDescent="0.3">
      <c r="AJ258" s="150">
        <f t="shared" si="11"/>
        <v>255</v>
      </c>
      <c r="AK258" s="151">
        <f>IF(AC_Chart_Background_Data[[#This Row],[X]] &lt; EFC_70P-EFC_50P, EFC_50P, MAX(EFC_70P-AC_Chart_Background_Data[[#This Row],[X]],0))</f>
        <v>0</v>
      </c>
      <c r="AL258" s="151">
        <f>IF(AC_Chart_Background_Data[[#This Row],[X]] &lt; EFC_85P-EFC_70P, EFC_70P, MAX(EFC_85P-AC_Chart_Background_Data[[#This Row],[X]],0))</f>
        <v>0</v>
      </c>
      <c r="AM258" s="151">
        <f>IF(AC_Chart_Background_Data[[#This Row],[X]] &lt; EFC_95P-EFC_85P, EFC_85P, MAX(EFC_95P-AC_Chart_Background_Data[[#This Row],[X]],0))</f>
        <v>0</v>
      </c>
      <c r="AN258" s="151">
        <f>IF(AC_Chart_Background_Data[[#This Row],[X]] &lt; EFC_99P-EFC_95P, EFC_95P, MAX(EFC_99P-AC_Chart_Background_Data[[#This Row],[X]],0))</f>
        <v>0</v>
      </c>
      <c r="AO258" s="151">
        <f t="shared" si="10"/>
        <v>190</v>
      </c>
      <c r="BA258" s="8"/>
    </row>
    <row r="259" spans="36:53" x14ac:dyDescent="0.3">
      <c r="AJ259" s="150">
        <f t="shared" si="11"/>
        <v>256</v>
      </c>
      <c r="AK259" s="151">
        <f>IF(AC_Chart_Background_Data[[#This Row],[X]] &lt; EFC_70P-EFC_50P, EFC_50P, MAX(EFC_70P-AC_Chart_Background_Data[[#This Row],[X]],0))</f>
        <v>0</v>
      </c>
      <c r="AL259" s="151">
        <f>IF(AC_Chart_Background_Data[[#This Row],[X]] &lt; EFC_85P-EFC_70P, EFC_70P, MAX(EFC_85P-AC_Chart_Background_Data[[#This Row],[X]],0))</f>
        <v>0</v>
      </c>
      <c r="AM259" s="151">
        <f>IF(AC_Chart_Background_Data[[#This Row],[X]] &lt; EFC_95P-EFC_85P, EFC_85P, MAX(EFC_95P-AC_Chart_Background_Data[[#This Row],[X]],0))</f>
        <v>0</v>
      </c>
      <c r="AN259" s="151">
        <f>IF(AC_Chart_Background_Data[[#This Row],[X]] &lt; EFC_99P-EFC_95P, EFC_95P, MAX(EFC_99P-AC_Chart_Background_Data[[#This Row],[X]],0))</f>
        <v>0</v>
      </c>
      <c r="AO259" s="151">
        <f t="shared" ref="AO259:AO303" si="12">AC_Ymax</f>
        <v>190</v>
      </c>
      <c r="BA259" s="8"/>
    </row>
    <row r="260" spans="36:53" x14ac:dyDescent="0.3">
      <c r="AJ260" s="150">
        <f t="shared" si="11"/>
        <v>257</v>
      </c>
      <c r="AK260" s="151">
        <f>IF(AC_Chart_Background_Data[[#This Row],[X]] &lt; EFC_70P-EFC_50P, EFC_50P, MAX(EFC_70P-AC_Chart_Background_Data[[#This Row],[X]],0))</f>
        <v>0</v>
      </c>
      <c r="AL260" s="151">
        <f>IF(AC_Chart_Background_Data[[#This Row],[X]] &lt; EFC_85P-EFC_70P, EFC_70P, MAX(EFC_85P-AC_Chart_Background_Data[[#This Row],[X]],0))</f>
        <v>0</v>
      </c>
      <c r="AM260" s="151">
        <f>IF(AC_Chart_Background_Data[[#This Row],[X]] &lt; EFC_95P-EFC_85P, EFC_85P, MAX(EFC_95P-AC_Chart_Background_Data[[#This Row],[X]],0))</f>
        <v>0</v>
      </c>
      <c r="AN260" s="151">
        <f>IF(AC_Chart_Background_Data[[#This Row],[X]] &lt; EFC_99P-EFC_95P, EFC_95P, MAX(EFC_99P-AC_Chart_Background_Data[[#This Row],[X]],0))</f>
        <v>0</v>
      </c>
      <c r="AO260" s="151">
        <f t="shared" si="12"/>
        <v>190</v>
      </c>
      <c r="BA260" s="8"/>
    </row>
    <row r="261" spans="36:53" x14ac:dyDescent="0.3">
      <c r="AJ261" s="150">
        <f t="shared" si="11"/>
        <v>258</v>
      </c>
      <c r="AK261" s="151">
        <f>IF(AC_Chart_Background_Data[[#This Row],[X]] &lt; EFC_70P-EFC_50P, EFC_50P, MAX(EFC_70P-AC_Chart_Background_Data[[#This Row],[X]],0))</f>
        <v>0</v>
      </c>
      <c r="AL261" s="151">
        <f>IF(AC_Chart_Background_Data[[#This Row],[X]] &lt; EFC_85P-EFC_70P, EFC_70P, MAX(EFC_85P-AC_Chart_Background_Data[[#This Row],[X]],0))</f>
        <v>0</v>
      </c>
      <c r="AM261" s="151">
        <f>IF(AC_Chart_Background_Data[[#This Row],[X]] &lt; EFC_95P-EFC_85P, EFC_85P, MAX(EFC_95P-AC_Chart_Background_Data[[#This Row],[X]],0))</f>
        <v>0</v>
      </c>
      <c r="AN261" s="151">
        <f>IF(AC_Chart_Background_Data[[#This Row],[X]] &lt; EFC_99P-EFC_95P, EFC_95P, MAX(EFC_99P-AC_Chart_Background_Data[[#This Row],[X]],0))</f>
        <v>0</v>
      </c>
      <c r="AO261" s="151">
        <f t="shared" si="12"/>
        <v>190</v>
      </c>
      <c r="BA261" s="8"/>
    </row>
    <row r="262" spans="36:53" x14ac:dyDescent="0.3">
      <c r="AJ262" s="150">
        <f t="shared" ref="AJ262:AJ303" si="13">AJ261+1</f>
        <v>259</v>
      </c>
      <c r="AK262" s="151">
        <f>IF(AC_Chart_Background_Data[[#This Row],[X]] &lt; EFC_70P-EFC_50P, EFC_50P, MAX(EFC_70P-AC_Chart_Background_Data[[#This Row],[X]],0))</f>
        <v>0</v>
      </c>
      <c r="AL262" s="151">
        <f>IF(AC_Chart_Background_Data[[#This Row],[X]] &lt; EFC_85P-EFC_70P, EFC_70P, MAX(EFC_85P-AC_Chart_Background_Data[[#This Row],[X]],0))</f>
        <v>0</v>
      </c>
      <c r="AM262" s="151">
        <f>IF(AC_Chart_Background_Data[[#This Row],[X]] &lt; EFC_95P-EFC_85P, EFC_85P, MAX(EFC_95P-AC_Chart_Background_Data[[#This Row],[X]],0))</f>
        <v>0</v>
      </c>
      <c r="AN262" s="151">
        <f>IF(AC_Chart_Background_Data[[#This Row],[X]] &lt; EFC_99P-EFC_95P, EFC_95P, MAX(EFC_99P-AC_Chart_Background_Data[[#This Row],[X]],0))</f>
        <v>0</v>
      </c>
      <c r="AO262" s="151">
        <f t="shared" si="12"/>
        <v>190</v>
      </c>
      <c r="BA262" s="8"/>
    </row>
    <row r="263" spans="36:53" x14ac:dyDescent="0.3">
      <c r="AJ263" s="150">
        <f t="shared" si="13"/>
        <v>260</v>
      </c>
      <c r="AK263" s="151">
        <f>IF(AC_Chart_Background_Data[[#This Row],[X]] &lt; EFC_70P-EFC_50P, EFC_50P, MAX(EFC_70P-AC_Chart_Background_Data[[#This Row],[X]],0))</f>
        <v>0</v>
      </c>
      <c r="AL263" s="151">
        <f>IF(AC_Chart_Background_Data[[#This Row],[X]] &lt; EFC_85P-EFC_70P, EFC_70P, MAX(EFC_85P-AC_Chart_Background_Data[[#This Row],[X]],0))</f>
        <v>0</v>
      </c>
      <c r="AM263" s="151">
        <f>IF(AC_Chart_Background_Data[[#This Row],[X]] &lt; EFC_95P-EFC_85P, EFC_85P, MAX(EFC_95P-AC_Chart_Background_Data[[#This Row],[X]],0))</f>
        <v>0</v>
      </c>
      <c r="AN263" s="151">
        <f>IF(AC_Chart_Background_Data[[#This Row],[X]] &lt; EFC_99P-EFC_95P, EFC_95P, MAX(EFC_99P-AC_Chart_Background_Data[[#This Row],[X]],0))</f>
        <v>0</v>
      </c>
      <c r="AO263" s="151">
        <f t="shared" si="12"/>
        <v>190</v>
      </c>
      <c r="BA263" s="8"/>
    </row>
    <row r="264" spans="36:53" x14ac:dyDescent="0.3">
      <c r="AJ264" s="150">
        <f t="shared" si="13"/>
        <v>261</v>
      </c>
      <c r="AK264" s="151">
        <f>IF(AC_Chart_Background_Data[[#This Row],[X]] &lt; EFC_70P-EFC_50P, EFC_50P, MAX(EFC_70P-AC_Chart_Background_Data[[#This Row],[X]],0))</f>
        <v>0</v>
      </c>
      <c r="AL264" s="151">
        <f>IF(AC_Chart_Background_Data[[#This Row],[X]] &lt; EFC_85P-EFC_70P, EFC_70P, MAX(EFC_85P-AC_Chart_Background_Data[[#This Row],[X]],0))</f>
        <v>0</v>
      </c>
      <c r="AM264" s="151">
        <f>IF(AC_Chart_Background_Data[[#This Row],[X]] &lt; EFC_95P-EFC_85P, EFC_85P, MAX(EFC_95P-AC_Chart_Background_Data[[#This Row],[X]],0))</f>
        <v>0</v>
      </c>
      <c r="AN264" s="151">
        <f>IF(AC_Chart_Background_Data[[#This Row],[X]] &lt; EFC_99P-EFC_95P, EFC_95P, MAX(EFC_99P-AC_Chart_Background_Data[[#This Row],[X]],0))</f>
        <v>0</v>
      </c>
      <c r="AO264" s="151">
        <f t="shared" si="12"/>
        <v>190</v>
      </c>
      <c r="BA264" s="8"/>
    </row>
    <row r="265" spans="36:53" x14ac:dyDescent="0.3">
      <c r="AJ265" s="150">
        <f t="shared" si="13"/>
        <v>262</v>
      </c>
      <c r="AK265" s="151">
        <f>IF(AC_Chart_Background_Data[[#This Row],[X]] &lt; EFC_70P-EFC_50P, EFC_50P, MAX(EFC_70P-AC_Chart_Background_Data[[#This Row],[X]],0))</f>
        <v>0</v>
      </c>
      <c r="AL265" s="151">
        <f>IF(AC_Chart_Background_Data[[#This Row],[X]] &lt; EFC_85P-EFC_70P, EFC_70P, MAX(EFC_85P-AC_Chart_Background_Data[[#This Row],[X]],0))</f>
        <v>0</v>
      </c>
      <c r="AM265" s="151">
        <f>IF(AC_Chart_Background_Data[[#This Row],[X]] &lt; EFC_95P-EFC_85P, EFC_85P, MAX(EFC_95P-AC_Chart_Background_Data[[#This Row],[X]],0))</f>
        <v>0</v>
      </c>
      <c r="AN265" s="151">
        <f>IF(AC_Chart_Background_Data[[#This Row],[X]] &lt; EFC_99P-EFC_95P, EFC_95P, MAX(EFC_99P-AC_Chart_Background_Data[[#This Row],[X]],0))</f>
        <v>0</v>
      </c>
      <c r="AO265" s="151">
        <f t="shared" si="12"/>
        <v>190</v>
      </c>
      <c r="BA265" s="8"/>
    </row>
    <row r="266" spans="36:53" x14ac:dyDescent="0.3">
      <c r="AJ266" s="150">
        <f t="shared" si="13"/>
        <v>263</v>
      </c>
      <c r="AK266" s="151">
        <f>IF(AC_Chart_Background_Data[[#This Row],[X]] &lt; EFC_70P-EFC_50P, EFC_50P, MAX(EFC_70P-AC_Chart_Background_Data[[#This Row],[X]],0))</f>
        <v>0</v>
      </c>
      <c r="AL266" s="151">
        <f>IF(AC_Chart_Background_Data[[#This Row],[X]] &lt; EFC_85P-EFC_70P, EFC_70P, MAX(EFC_85P-AC_Chart_Background_Data[[#This Row],[X]],0))</f>
        <v>0</v>
      </c>
      <c r="AM266" s="151">
        <f>IF(AC_Chart_Background_Data[[#This Row],[X]] &lt; EFC_95P-EFC_85P, EFC_85P, MAX(EFC_95P-AC_Chart_Background_Data[[#This Row],[X]],0))</f>
        <v>0</v>
      </c>
      <c r="AN266" s="151">
        <f>IF(AC_Chart_Background_Data[[#This Row],[X]] &lt; EFC_99P-EFC_95P, EFC_95P, MAX(EFC_99P-AC_Chart_Background_Data[[#This Row],[X]],0))</f>
        <v>0</v>
      </c>
      <c r="AO266" s="151">
        <f t="shared" si="12"/>
        <v>190</v>
      </c>
      <c r="BA266" s="8"/>
    </row>
    <row r="267" spans="36:53" x14ac:dyDescent="0.3">
      <c r="AJ267" s="150">
        <f t="shared" si="13"/>
        <v>264</v>
      </c>
      <c r="AK267" s="151">
        <f>IF(AC_Chart_Background_Data[[#This Row],[X]] &lt; EFC_70P-EFC_50P, EFC_50P, MAX(EFC_70P-AC_Chart_Background_Data[[#This Row],[X]],0))</f>
        <v>0</v>
      </c>
      <c r="AL267" s="151">
        <f>IF(AC_Chart_Background_Data[[#This Row],[X]] &lt; EFC_85P-EFC_70P, EFC_70P, MAX(EFC_85P-AC_Chart_Background_Data[[#This Row],[X]],0))</f>
        <v>0</v>
      </c>
      <c r="AM267" s="151">
        <f>IF(AC_Chart_Background_Data[[#This Row],[X]] &lt; EFC_95P-EFC_85P, EFC_85P, MAX(EFC_95P-AC_Chart_Background_Data[[#This Row],[X]],0))</f>
        <v>0</v>
      </c>
      <c r="AN267" s="151">
        <f>IF(AC_Chart_Background_Data[[#This Row],[X]] &lt; EFC_99P-EFC_95P, EFC_95P, MAX(EFC_99P-AC_Chart_Background_Data[[#This Row],[X]],0))</f>
        <v>0</v>
      </c>
      <c r="AO267" s="151">
        <f t="shared" si="12"/>
        <v>190</v>
      </c>
      <c r="BA267" s="8"/>
    </row>
    <row r="268" spans="36:53" x14ac:dyDescent="0.3">
      <c r="AJ268" s="150">
        <f t="shared" si="13"/>
        <v>265</v>
      </c>
      <c r="AK268" s="151">
        <f>IF(AC_Chart_Background_Data[[#This Row],[X]] &lt; EFC_70P-EFC_50P, EFC_50P, MAX(EFC_70P-AC_Chart_Background_Data[[#This Row],[X]],0))</f>
        <v>0</v>
      </c>
      <c r="AL268" s="151">
        <f>IF(AC_Chart_Background_Data[[#This Row],[X]] &lt; EFC_85P-EFC_70P, EFC_70P, MAX(EFC_85P-AC_Chart_Background_Data[[#This Row],[X]],0))</f>
        <v>0</v>
      </c>
      <c r="AM268" s="151">
        <f>IF(AC_Chart_Background_Data[[#This Row],[X]] &lt; EFC_95P-EFC_85P, EFC_85P, MAX(EFC_95P-AC_Chart_Background_Data[[#This Row],[X]],0))</f>
        <v>0</v>
      </c>
      <c r="AN268" s="151">
        <f>IF(AC_Chart_Background_Data[[#This Row],[X]] &lt; EFC_99P-EFC_95P, EFC_95P, MAX(EFC_99P-AC_Chart_Background_Data[[#This Row],[X]],0))</f>
        <v>0</v>
      </c>
      <c r="AO268" s="151">
        <f t="shared" si="12"/>
        <v>190</v>
      </c>
      <c r="BA268" s="8"/>
    </row>
    <row r="269" spans="36:53" x14ac:dyDescent="0.3">
      <c r="AJ269" s="150">
        <f t="shared" si="13"/>
        <v>266</v>
      </c>
      <c r="AK269" s="151">
        <f>IF(AC_Chart_Background_Data[[#This Row],[X]] &lt; EFC_70P-EFC_50P, EFC_50P, MAX(EFC_70P-AC_Chart_Background_Data[[#This Row],[X]],0))</f>
        <v>0</v>
      </c>
      <c r="AL269" s="151">
        <f>IF(AC_Chart_Background_Data[[#This Row],[X]] &lt; EFC_85P-EFC_70P, EFC_70P, MAX(EFC_85P-AC_Chart_Background_Data[[#This Row],[X]],0))</f>
        <v>0</v>
      </c>
      <c r="AM269" s="151">
        <f>IF(AC_Chart_Background_Data[[#This Row],[X]] &lt; EFC_95P-EFC_85P, EFC_85P, MAX(EFC_95P-AC_Chart_Background_Data[[#This Row],[X]],0))</f>
        <v>0</v>
      </c>
      <c r="AN269" s="151">
        <f>IF(AC_Chart_Background_Data[[#This Row],[X]] &lt; EFC_99P-EFC_95P, EFC_95P, MAX(EFC_99P-AC_Chart_Background_Data[[#This Row],[X]],0))</f>
        <v>0</v>
      </c>
      <c r="AO269" s="151">
        <f t="shared" si="12"/>
        <v>190</v>
      </c>
      <c r="BA269" s="8"/>
    </row>
    <row r="270" spans="36:53" x14ac:dyDescent="0.3">
      <c r="AJ270" s="150">
        <f t="shared" si="13"/>
        <v>267</v>
      </c>
      <c r="AK270" s="151">
        <f>IF(AC_Chart_Background_Data[[#This Row],[X]] &lt; EFC_70P-EFC_50P, EFC_50P, MAX(EFC_70P-AC_Chart_Background_Data[[#This Row],[X]],0))</f>
        <v>0</v>
      </c>
      <c r="AL270" s="151">
        <f>IF(AC_Chart_Background_Data[[#This Row],[X]] &lt; EFC_85P-EFC_70P, EFC_70P, MAX(EFC_85P-AC_Chart_Background_Data[[#This Row],[X]],0))</f>
        <v>0</v>
      </c>
      <c r="AM270" s="151">
        <f>IF(AC_Chart_Background_Data[[#This Row],[X]] &lt; EFC_95P-EFC_85P, EFC_85P, MAX(EFC_95P-AC_Chart_Background_Data[[#This Row],[X]],0))</f>
        <v>0</v>
      </c>
      <c r="AN270" s="151">
        <f>IF(AC_Chart_Background_Data[[#This Row],[X]] &lt; EFC_99P-EFC_95P, EFC_95P, MAX(EFC_99P-AC_Chart_Background_Data[[#This Row],[X]],0))</f>
        <v>0</v>
      </c>
      <c r="AO270" s="151">
        <f t="shared" si="12"/>
        <v>190</v>
      </c>
      <c r="BA270" s="8"/>
    </row>
    <row r="271" spans="36:53" x14ac:dyDescent="0.3">
      <c r="AJ271" s="150">
        <f t="shared" si="13"/>
        <v>268</v>
      </c>
      <c r="AK271" s="151">
        <f>IF(AC_Chart_Background_Data[[#This Row],[X]] &lt; EFC_70P-EFC_50P, EFC_50P, MAX(EFC_70P-AC_Chart_Background_Data[[#This Row],[X]],0))</f>
        <v>0</v>
      </c>
      <c r="AL271" s="151">
        <f>IF(AC_Chart_Background_Data[[#This Row],[X]] &lt; EFC_85P-EFC_70P, EFC_70P, MAX(EFC_85P-AC_Chart_Background_Data[[#This Row],[X]],0))</f>
        <v>0</v>
      </c>
      <c r="AM271" s="151">
        <f>IF(AC_Chart_Background_Data[[#This Row],[X]] &lt; EFC_95P-EFC_85P, EFC_85P, MAX(EFC_95P-AC_Chart_Background_Data[[#This Row],[X]],0))</f>
        <v>0</v>
      </c>
      <c r="AN271" s="151">
        <f>IF(AC_Chart_Background_Data[[#This Row],[X]] &lt; EFC_99P-EFC_95P, EFC_95P, MAX(EFC_99P-AC_Chart_Background_Data[[#This Row],[X]],0))</f>
        <v>0</v>
      </c>
      <c r="AO271" s="151">
        <f t="shared" si="12"/>
        <v>190</v>
      </c>
      <c r="BA271" s="8"/>
    </row>
    <row r="272" spans="36:53" x14ac:dyDescent="0.3">
      <c r="AJ272" s="150">
        <f t="shared" si="13"/>
        <v>269</v>
      </c>
      <c r="AK272" s="151">
        <f>IF(AC_Chart_Background_Data[[#This Row],[X]] &lt; EFC_70P-EFC_50P, EFC_50P, MAX(EFC_70P-AC_Chart_Background_Data[[#This Row],[X]],0))</f>
        <v>0</v>
      </c>
      <c r="AL272" s="151">
        <f>IF(AC_Chart_Background_Data[[#This Row],[X]] &lt; EFC_85P-EFC_70P, EFC_70P, MAX(EFC_85P-AC_Chart_Background_Data[[#This Row],[X]],0))</f>
        <v>0</v>
      </c>
      <c r="AM272" s="151">
        <f>IF(AC_Chart_Background_Data[[#This Row],[X]] &lt; EFC_95P-EFC_85P, EFC_85P, MAX(EFC_95P-AC_Chart_Background_Data[[#This Row],[X]],0))</f>
        <v>0</v>
      </c>
      <c r="AN272" s="151">
        <f>IF(AC_Chart_Background_Data[[#This Row],[X]] &lt; EFC_99P-EFC_95P, EFC_95P, MAX(EFC_99P-AC_Chart_Background_Data[[#This Row],[X]],0))</f>
        <v>0</v>
      </c>
      <c r="AO272" s="151">
        <f t="shared" si="12"/>
        <v>190</v>
      </c>
      <c r="BA272" s="8"/>
    </row>
    <row r="273" spans="36:53" x14ac:dyDescent="0.3">
      <c r="AJ273" s="150">
        <f t="shared" si="13"/>
        <v>270</v>
      </c>
      <c r="AK273" s="151">
        <f>IF(AC_Chart_Background_Data[[#This Row],[X]] &lt; EFC_70P-EFC_50P, EFC_50P, MAX(EFC_70P-AC_Chart_Background_Data[[#This Row],[X]],0))</f>
        <v>0</v>
      </c>
      <c r="AL273" s="151">
        <f>IF(AC_Chart_Background_Data[[#This Row],[X]] &lt; EFC_85P-EFC_70P, EFC_70P, MAX(EFC_85P-AC_Chart_Background_Data[[#This Row],[X]],0))</f>
        <v>0</v>
      </c>
      <c r="AM273" s="151">
        <f>IF(AC_Chart_Background_Data[[#This Row],[X]] &lt; EFC_95P-EFC_85P, EFC_85P, MAX(EFC_95P-AC_Chart_Background_Data[[#This Row],[X]],0))</f>
        <v>0</v>
      </c>
      <c r="AN273" s="151">
        <f>IF(AC_Chart_Background_Data[[#This Row],[X]] &lt; EFC_99P-EFC_95P, EFC_95P, MAX(EFC_99P-AC_Chart_Background_Data[[#This Row],[X]],0))</f>
        <v>0</v>
      </c>
      <c r="AO273" s="151">
        <f t="shared" si="12"/>
        <v>190</v>
      </c>
      <c r="BA273" s="8"/>
    </row>
    <row r="274" spans="36:53" x14ac:dyDescent="0.3">
      <c r="AJ274" s="150">
        <f t="shared" si="13"/>
        <v>271</v>
      </c>
      <c r="AK274" s="151">
        <f>IF(AC_Chart_Background_Data[[#This Row],[X]] &lt; EFC_70P-EFC_50P, EFC_50P, MAX(EFC_70P-AC_Chart_Background_Data[[#This Row],[X]],0))</f>
        <v>0</v>
      </c>
      <c r="AL274" s="151">
        <f>IF(AC_Chart_Background_Data[[#This Row],[X]] &lt; EFC_85P-EFC_70P, EFC_70P, MAX(EFC_85P-AC_Chart_Background_Data[[#This Row],[X]],0))</f>
        <v>0</v>
      </c>
      <c r="AM274" s="151">
        <f>IF(AC_Chart_Background_Data[[#This Row],[X]] &lt; EFC_95P-EFC_85P, EFC_85P, MAX(EFC_95P-AC_Chart_Background_Data[[#This Row],[X]],0))</f>
        <v>0</v>
      </c>
      <c r="AN274" s="151">
        <f>IF(AC_Chart_Background_Data[[#This Row],[X]] &lt; EFC_99P-EFC_95P, EFC_95P, MAX(EFC_99P-AC_Chart_Background_Data[[#This Row],[X]],0))</f>
        <v>0</v>
      </c>
      <c r="AO274" s="151">
        <f t="shared" si="12"/>
        <v>190</v>
      </c>
      <c r="BA274" s="8"/>
    </row>
    <row r="275" spans="36:53" x14ac:dyDescent="0.3">
      <c r="AJ275" s="150">
        <f t="shared" si="13"/>
        <v>272</v>
      </c>
      <c r="AK275" s="151">
        <f>IF(AC_Chart_Background_Data[[#This Row],[X]] &lt; EFC_70P-EFC_50P, EFC_50P, MAX(EFC_70P-AC_Chart_Background_Data[[#This Row],[X]],0))</f>
        <v>0</v>
      </c>
      <c r="AL275" s="151">
        <f>IF(AC_Chart_Background_Data[[#This Row],[X]] &lt; EFC_85P-EFC_70P, EFC_70P, MAX(EFC_85P-AC_Chart_Background_Data[[#This Row],[X]],0))</f>
        <v>0</v>
      </c>
      <c r="AM275" s="151">
        <f>IF(AC_Chart_Background_Data[[#This Row],[X]] &lt; EFC_95P-EFC_85P, EFC_85P, MAX(EFC_95P-AC_Chart_Background_Data[[#This Row],[X]],0))</f>
        <v>0</v>
      </c>
      <c r="AN275" s="151">
        <f>IF(AC_Chart_Background_Data[[#This Row],[X]] &lt; EFC_99P-EFC_95P, EFC_95P, MAX(EFC_99P-AC_Chart_Background_Data[[#This Row],[X]],0))</f>
        <v>0</v>
      </c>
      <c r="AO275" s="151">
        <f t="shared" si="12"/>
        <v>190</v>
      </c>
      <c r="BA275" s="8"/>
    </row>
    <row r="276" spans="36:53" x14ac:dyDescent="0.3">
      <c r="AJ276" s="150">
        <f t="shared" si="13"/>
        <v>273</v>
      </c>
      <c r="AK276" s="151">
        <f>IF(AC_Chart_Background_Data[[#This Row],[X]] &lt; EFC_70P-EFC_50P, EFC_50P, MAX(EFC_70P-AC_Chart_Background_Data[[#This Row],[X]],0))</f>
        <v>0</v>
      </c>
      <c r="AL276" s="151">
        <f>IF(AC_Chart_Background_Data[[#This Row],[X]] &lt; EFC_85P-EFC_70P, EFC_70P, MAX(EFC_85P-AC_Chart_Background_Data[[#This Row],[X]],0))</f>
        <v>0</v>
      </c>
      <c r="AM276" s="151">
        <f>IF(AC_Chart_Background_Data[[#This Row],[X]] &lt; EFC_95P-EFC_85P, EFC_85P, MAX(EFC_95P-AC_Chart_Background_Data[[#This Row],[X]],0))</f>
        <v>0</v>
      </c>
      <c r="AN276" s="151">
        <f>IF(AC_Chart_Background_Data[[#This Row],[X]] &lt; EFC_99P-EFC_95P, EFC_95P, MAX(EFC_99P-AC_Chart_Background_Data[[#This Row],[X]],0))</f>
        <v>0</v>
      </c>
      <c r="AO276" s="151">
        <f t="shared" si="12"/>
        <v>190</v>
      </c>
      <c r="BA276" s="8"/>
    </row>
    <row r="277" spans="36:53" x14ac:dyDescent="0.3">
      <c r="AJ277" s="150">
        <f t="shared" si="13"/>
        <v>274</v>
      </c>
      <c r="AK277" s="151">
        <f>IF(AC_Chart_Background_Data[[#This Row],[X]] &lt; EFC_70P-EFC_50P, EFC_50P, MAX(EFC_70P-AC_Chart_Background_Data[[#This Row],[X]],0))</f>
        <v>0</v>
      </c>
      <c r="AL277" s="151">
        <f>IF(AC_Chart_Background_Data[[#This Row],[X]] &lt; EFC_85P-EFC_70P, EFC_70P, MAX(EFC_85P-AC_Chart_Background_Data[[#This Row],[X]],0))</f>
        <v>0</v>
      </c>
      <c r="AM277" s="151">
        <f>IF(AC_Chart_Background_Data[[#This Row],[X]] &lt; EFC_95P-EFC_85P, EFC_85P, MAX(EFC_95P-AC_Chart_Background_Data[[#This Row],[X]],0))</f>
        <v>0</v>
      </c>
      <c r="AN277" s="151">
        <f>IF(AC_Chart_Background_Data[[#This Row],[X]] &lt; EFC_99P-EFC_95P, EFC_95P, MAX(EFC_99P-AC_Chart_Background_Data[[#This Row],[X]],0))</f>
        <v>0</v>
      </c>
      <c r="AO277" s="151">
        <f t="shared" si="12"/>
        <v>190</v>
      </c>
      <c r="BA277" s="8"/>
    </row>
    <row r="278" spans="36:53" x14ac:dyDescent="0.3">
      <c r="AJ278" s="150">
        <f t="shared" si="13"/>
        <v>275</v>
      </c>
      <c r="AK278" s="151">
        <f>IF(AC_Chart_Background_Data[[#This Row],[X]] &lt; EFC_70P-EFC_50P, EFC_50P, MAX(EFC_70P-AC_Chart_Background_Data[[#This Row],[X]],0))</f>
        <v>0</v>
      </c>
      <c r="AL278" s="151">
        <f>IF(AC_Chart_Background_Data[[#This Row],[X]] &lt; EFC_85P-EFC_70P, EFC_70P, MAX(EFC_85P-AC_Chart_Background_Data[[#This Row],[X]],0))</f>
        <v>0</v>
      </c>
      <c r="AM278" s="151">
        <f>IF(AC_Chart_Background_Data[[#This Row],[X]] &lt; EFC_95P-EFC_85P, EFC_85P, MAX(EFC_95P-AC_Chart_Background_Data[[#This Row],[X]],0))</f>
        <v>0</v>
      </c>
      <c r="AN278" s="151">
        <f>IF(AC_Chart_Background_Data[[#This Row],[X]] &lt; EFC_99P-EFC_95P, EFC_95P, MAX(EFC_99P-AC_Chart_Background_Data[[#This Row],[X]],0))</f>
        <v>0</v>
      </c>
      <c r="AO278" s="151">
        <f t="shared" si="12"/>
        <v>190</v>
      </c>
      <c r="BA278" s="8"/>
    </row>
    <row r="279" spans="36:53" x14ac:dyDescent="0.3">
      <c r="AJ279" s="150">
        <f t="shared" si="13"/>
        <v>276</v>
      </c>
      <c r="AK279" s="151">
        <f>IF(AC_Chart_Background_Data[[#This Row],[X]] &lt; EFC_70P-EFC_50P, EFC_50P, MAX(EFC_70P-AC_Chart_Background_Data[[#This Row],[X]],0))</f>
        <v>0</v>
      </c>
      <c r="AL279" s="151">
        <f>IF(AC_Chart_Background_Data[[#This Row],[X]] &lt; EFC_85P-EFC_70P, EFC_70P, MAX(EFC_85P-AC_Chart_Background_Data[[#This Row],[X]],0))</f>
        <v>0</v>
      </c>
      <c r="AM279" s="151">
        <f>IF(AC_Chart_Background_Data[[#This Row],[X]] &lt; EFC_95P-EFC_85P, EFC_85P, MAX(EFC_95P-AC_Chart_Background_Data[[#This Row],[X]],0))</f>
        <v>0</v>
      </c>
      <c r="AN279" s="151">
        <f>IF(AC_Chart_Background_Data[[#This Row],[X]] &lt; EFC_99P-EFC_95P, EFC_95P, MAX(EFC_99P-AC_Chart_Background_Data[[#This Row],[X]],0))</f>
        <v>0</v>
      </c>
      <c r="AO279" s="151">
        <f t="shared" si="12"/>
        <v>190</v>
      </c>
      <c r="BA279" s="8"/>
    </row>
    <row r="280" spans="36:53" x14ac:dyDescent="0.3">
      <c r="AJ280" s="150">
        <f t="shared" si="13"/>
        <v>277</v>
      </c>
      <c r="AK280" s="151">
        <f>IF(AC_Chart_Background_Data[[#This Row],[X]] &lt; EFC_70P-EFC_50P, EFC_50P, MAX(EFC_70P-AC_Chart_Background_Data[[#This Row],[X]],0))</f>
        <v>0</v>
      </c>
      <c r="AL280" s="151">
        <f>IF(AC_Chart_Background_Data[[#This Row],[X]] &lt; EFC_85P-EFC_70P, EFC_70P, MAX(EFC_85P-AC_Chart_Background_Data[[#This Row],[X]],0))</f>
        <v>0</v>
      </c>
      <c r="AM280" s="151">
        <f>IF(AC_Chart_Background_Data[[#This Row],[X]] &lt; EFC_95P-EFC_85P, EFC_85P, MAX(EFC_95P-AC_Chart_Background_Data[[#This Row],[X]],0))</f>
        <v>0</v>
      </c>
      <c r="AN280" s="151">
        <f>IF(AC_Chart_Background_Data[[#This Row],[X]] &lt; EFC_99P-EFC_95P, EFC_95P, MAX(EFC_99P-AC_Chart_Background_Data[[#This Row],[X]],0))</f>
        <v>0</v>
      </c>
      <c r="AO280" s="151">
        <f t="shared" si="12"/>
        <v>190</v>
      </c>
      <c r="BA280" s="8"/>
    </row>
    <row r="281" spans="36:53" x14ac:dyDescent="0.3">
      <c r="AJ281" s="150">
        <f t="shared" si="13"/>
        <v>278</v>
      </c>
      <c r="AK281" s="151">
        <f>IF(AC_Chart_Background_Data[[#This Row],[X]] &lt; EFC_70P-EFC_50P, EFC_50P, MAX(EFC_70P-AC_Chart_Background_Data[[#This Row],[X]],0))</f>
        <v>0</v>
      </c>
      <c r="AL281" s="151">
        <f>IF(AC_Chart_Background_Data[[#This Row],[X]] &lt; EFC_85P-EFC_70P, EFC_70P, MAX(EFC_85P-AC_Chart_Background_Data[[#This Row],[X]],0))</f>
        <v>0</v>
      </c>
      <c r="AM281" s="151">
        <f>IF(AC_Chart_Background_Data[[#This Row],[X]] &lt; EFC_95P-EFC_85P, EFC_85P, MAX(EFC_95P-AC_Chart_Background_Data[[#This Row],[X]],0))</f>
        <v>0</v>
      </c>
      <c r="AN281" s="151">
        <f>IF(AC_Chart_Background_Data[[#This Row],[X]] &lt; EFC_99P-EFC_95P, EFC_95P, MAX(EFC_99P-AC_Chart_Background_Data[[#This Row],[X]],0))</f>
        <v>0</v>
      </c>
      <c r="AO281" s="151">
        <f t="shared" si="12"/>
        <v>190</v>
      </c>
      <c r="BA281" s="8"/>
    </row>
    <row r="282" spans="36:53" x14ac:dyDescent="0.3">
      <c r="AJ282" s="150">
        <f t="shared" si="13"/>
        <v>279</v>
      </c>
      <c r="AK282" s="151">
        <f>IF(AC_Chart_Background_Data[[#This Row],[X]] &lt; EFC_70P-EFC_50P, EFC_50P, MAX(EFC_70P-AC_Chart_Background_Data[[#This Row],[X]],0))</f>
        <v>0</v>
      </c>
      <c r="AL282" s="151">
        <f>IF(AC_Chart_Background_Data[[#This Row],[X]] &lt; EFC_85P-EFC_70P, EFC_70P, MAX(EFC_85P-AC_Chart_Background_Data[[#This Row],[X]],0))</f>
        <v>0</v>
      </c>
      <c r="AM282" s="151">
        <f>IF(AC_Chart_Background_Data[[#This Row],[X]] &lt; EFC_95P-EFC_85P, EFC_85P, MAX(EFC_95P-AC_Chart_Background_Data[[#This Row],[X]],0))</f>
        <v>0</v>
      </c>
      <c r="AN282" s="151">
        <f>IF(AC_Chart_Background_Data[[#This Row],[X]] &lt; EFC_99P-EFC_95P, EFC_95P, MAX(EFC_99P-AC_Chart_Background_Data[[#This Row],[X]],0))</f>
        <v>0</v>
      </c>
      <c r="AO282" s="151">
        <f t="shared" si="12"/>
        <v>190</v>
      </c>
      <c r="BA282" s="8"/>
    </row>
    <row r="283" spans="36:53" x14ac:dyDescent="0.3">
      <c r="AJ283" s="150">
        <f t="shared" si="13"/>
        <v>280</v>
      </c>
      <c r="AK283" s="151">
        <f>IF(AC_Chart_Background_Data[[#This Row],[X]] &lt; EFC_70P-EFC_50P, EFC_50P, MAX(EFC_70P-AC_Chart_Background_Data[[#This Row],[X]],0))</f>
        <v>0</v>
      </c>
      <c r="AL283" s="151">
        <f>IF(AC_Chart_Background_Data[[#This Row],[X]] &lt; EFC_85P-EFC_70P, EFC_70P, MAX(EFC_85P-AC_Chart_Background_Data[[#This Row],[X]],0))</f>
        <v>0</v>
      </c>
      <c r="AM283" s="151">
        <f>IF(AC_Chart_Background_Data[[#This Row],[X]] &lt; EFC_95P-EFC_85P, EFC_85P, MAX(EFC_95P-AC_Chart_Background_Data[[#This Row],[X]],0))</f>
        <v>0</v>
      </c>
      <c r="AN283" s="151">
        <f>IF(AC_Chart_Background_Data[[#This Row],[X]] &lt; EFC_99P-EFC_95P, EFC_95P, MAX(EFC_99P-AC_Chart_Background_Data[[#This Row],[X]],0))</f>
        <v>0</v>
      </c>
      <c r="AO283" s="151">
        <f t="shared" si="12"/>
        <v>190</v>
      </c>
      <c r="BA283" s="8"/>
    </row>
    <row r="284" spans="36:53" x14ac:dyDescent="0.3">
      <c r="AJ284" s="150">
        <f t="shared" si="13"/>
        <v>281</v>
      </c>
      <c r="AK284" s="151">
        <f>IF(AC_Chart_Background_Data[[#This Row],[X]] &lt; EFC_70P-EFC_50P, EFC_50P, MAX(EFC_70P-AC_Chart_Background_Data[[#This Row],[X]],0))</f>
        <v>0</v>
      </c>
      <c r="AL284" s="151">
        <f>IF(AC_Chart_Background_Data[[#This Row],[X]] &lt; EFC_85P-EFC_70P, EFC_70P, MAX(EFC_85P-AC_Chart_Background_Data[[#This Row],[X]],0))</f>
        <v>0</v>
      </c>
      <c r="AM284" s="151">
        <f>IF(AC_Chart_Background_Data[[#This Row],[X]] &lt; EFC_95P-EFC_85P, EFC_85P, MAX(EFC_95P-AC_Chart_Background_Data[[#This Row],[X]],0))</f>
        <v>0</v>
      </c>
      <c r="AN284" s="151">
        <f>IF(AC_Chart_Background_Data[[#This Row],[X]] &lt; EFC_99P-EFC_95P, EFC_95P, MAX(EFC_99P-AC_Chart_Background_Data[[#This Row],[X]],0))</f>
        <v>0</v>
      </c>
      <c r="AO284" s="151">
        <f t="shared" si="12"/>
        <v>190</v>
      </c>
      <c r="BA284" s="8"/>
    </row>
    <row r="285" spans="36:53" x14ac:dyDescent="0.3">
      <c r="AJ285" s="150">
        <f t="shared" si="13"/>
        <v>282</v>
      </c>
      <c r="AK285" s="151">
        <f>IF(AC_Chart_Background_Data[[#This Row],[X]] &lt; EFC_70P-EFC_50P, EFC_50P, MAX(EFC_70P-AC_Chart_Background_Data[[#This Row],[X]],0))</f>
        <v>0</v>
      </c>
      <c r="AL285" s="151">
        <f>IF(AC_Chart_Background_Data[[#This Row],[X]] &lt; EFC_85P-EFC_70P, EFC_70P, MAX(EFC_85P-AC_Chart_Background_Data[[#This Row],[X]],0))</f>
        <v>0</v>
      </c>
      <c r="AM285" s="151">
        <f>IF(AC_Chart_Background_Data[[#This Row],[X]] &lt; EFC_95P-EFC_85P, EFC_85P, MAX(EFC_95P-AC_Chart_Background_Data[[#This Row],[X]],0))</f>
        <v>0</v>
      </c>
      <c r="AN285" s="151">
        <f>IF(AC_Chart_Background_Data[[#This Row],[X]] &lt; EFC_99P-EFC_95P, EFC_95P, MAX(EFC_99P-AC_Chart_Background_Data[[#This Row],[X]],0))</f>
        <v>0</v>
      </c>
      <c r="AO285" s="151">
        <f t="shared" si="12"/>
        <v>190</v>
      </c>
      <c r="BA285" s="8"/>
    </row>
    <row r="286" spans="36:53" x14ac:dyDescent="0.3">
      <c r="AJ286" s="150">
        <f t="shared" si="13"/>
        <v>283</v>
      </c>
      <c r="AK286" s="151">
        <f>IF(AC_Chart_Background_Data[[#This Row],[X]] &lt; EFC_70P-EFC_50P, EFC_50P, MAX(EFC_70P-AC_Chart_Background_Data[[#This Row],[X]],0))</f>
        <v>0</v>
      </c>
      <c r="AL286" s="151">
        <f>IF(AC_Chart_Background_Data[[#This Row],[X]] &lt; EFC_85P-EFC_70P, EFC_70P, MAX(EFC_85P-AC_Chart_Background_Data[[#This Row],[X]],0))</f>
        <v>0</v>
      </c>
      <c r="AM286" s="151">
        <f>IF(AC_Chart_Background_Data[[#This Row],[X]] &lt; EFC_95P-EFC_85P, EFC_85P, MAX(EFC_95P-AC_Chart_Background_Data[[#This Row],[X]],0))</f>
        <v>0</v>
      </c>
      <c r="AN286" s="151">
        <f>IF(AC_Chart_Background_Data[[#This Row],[X]] &lt; EFC_99P-EFC_95P, EFC_95P, MAX(EFC_99P-AC_Chart_Background_Data[[#This Row],[X]],0))</f>
        <v>0</v>
      </c>
      <c r="AO286" s="151">
        <f t="shared" si="12"/>
        <v>190</v>
      </c>
      <c r="BA286" s="8"/>
    </row>
    <row r="287" spans="36:53" x14ac:dyDescent="0.3">
      <c r="AJ287" s="150">
        <f t="shared" si="13"/>
        <v>284</v>
      </c>
      <c r="AK287" s="151">
        <f>IF(AC_Chart_Background_Data[[#This Row],[X]] &lt; EFC_70P-EFC_50P, EFC_50P, MAX(EFC_70P-AC_Chart_Background_Data[[#This Row],[X]],0))</f>
        <v>0</v>
      </c>
      <c r="AL287" s="151">
        <f>IF(AC_Chart_Background_Data[[#This Row],[X]] &lt; EFC_85P-EFC_70P, EFC_70P, MAX(EFC_85P-AC_Chart_Background_Data[[#This Row],[X]],0))</f>
        <v>0</v>
      </c>
      <c r="AM287" s="151">
        <f>IF(AC_Chart_Background_Data[[#This Row],[X]] &lt; EFC_95P-EFC_85P, EFC_85P, MAX(EFC_95P-AC_Chart_Background_Data[[#This Row],[X]],0))</f>
        <v>0</v>
      </c>
      <c r="AN287" s="151">
        <f>IF(AC_Chart_Background_Data[[#This Row],[X]] &lt; EFC_99P-EFC_95P, EFC_95P, MAX(EFC_99P-AC_Chart_Background_Data[[#This Row],[X]],0))</f>
        <v>0</v>
      </c>
      <c r="AO287" s="151">
        <f t="shared" si="12"/>
        <v>190</v>
      </c>
      <c r="BA287" s="8"/>
    </row>
    <row r="288" spans="36:53" x14ac:dyDescent="0.3">
      <c r="AJ288" s="150">
        <f t="shared" si="13"/>
        <v>285</v>
      </c>
      <c r="AK288" s="151">
        <f>IF(AC_Chart_Background_Data[[#This Row],[X]] &lt; EFC_70P-EFC_50P, EFC_50P, MAX(EFC_70P-AC_Chart_Background_Data[[#This Row],[X]],0))</f>
        <v>0</v>
      </c>
      <c r="AL288" s="151">
        <f>IF(AC_Chart_Background_Data[[#This Row],[X]] &lt; EFC_85P-EFC_70P, EFC_70P, MAX(EFC_85P-AC_Chart_Background_Data[[#This Row],[X]],0))</f>
        <v>0</v>
      </c>
      <c r="AM288" s="151">
        <f>IF(AC_Chart_Background_Data[[#This Row],[X]] &lt; EFC_95P-EFC_85P, EFC_85P, MAX(EFC_95P-AC_Chart_Background_Data[[#This Row],[X]],0))</f>
        <v>0</v>
      </c>
      <c r="AN288" s="151">
        <f>IF(AC_Chart_Background_Data[[#This Row],[X]] &lt; EFC_99P-EFC_95P, EFC_95P, MAX(EFC_99P-AC_Chart_Background_Data[[#This Row],[X]],0))</f>
        <v>0</v>
      </c>
      <c r="AO288" s="151">
        <f t="shared" si="12"/>
        <v>190</v>
      </c>
      <c r="BA288" s="8"/>
    </row>
    <row r="289" spans="36:53" x14ac:dyDescent="0.3">
      <c r="AJ289" s="150">
        <f t="shared" si="13"/>
        <v>286</v>
      </c>
      <c r="AK289" s="151">
        <f>IF(AC_Chart_Background_Data[[#This Row],[X]] &lt; EFC_70P-EFC_50P, EFC_50P, MAX(EFC_70P-AC_Chart_Background_Data[[#This Row],[X]],0))</f>
        <v>0</v>
      </c>
      <c r="AL289" s="151">
        <f>IF(AC_Chart_Background_Data[[#This Row],[X]] &lt; EFC_85P-EFC_70P, EFC_70P, MAX(EFC_85P-AC_Chart_Background_Data[[#This Row],[X]],0))</f>
        <v>0</v>
      </c>
      <c r="AM289" s="151">
        <f>IF(AC_Chart_Background_Data[[#This Row],[X]] &lt; EFC_95P-EFC_85P, EFC_85P, MAX(EFC_95P-AC_Chart_Background_Data[[#This Row],[X]],0))</f>
        <v>0</v>
      </c>
      <c r="AN289" s="151">
        <f>IF(AC_Chart_Background_Data[[#This Row],[X]] &lt; EFC_99P-EFC_95P, EFC_95P, MAX(EFC_99P-AC_Chart_Background_Data[[#This Row],[X]],0))</f>
        <v>0</v>
      </c>
      <c r="AO289" s="151">
        <f t="shared" si="12"/>
        <v>190</v>
      </c>
      <c r="BA289" s="8"/>
    </row>
    <row r="290" spans="36:53" x14ac:dyDescent="0.3">
      <c r="AJ290" s="150">
        <f t="shared" si="13"/>
        <v>287</v>
      </c>
      <c r="AK290" s="151">
        <f>IF(AC_Chart_Background_Data[[#This Row],[X]] &lt; EFC_70P-EFC_50P, EFC_50P, MAX(EFC_70P-AC_Chart_Background_Data[[#This Row],[X]],0))</f>
        <v>0</v>
      </c>
      <c r="AL290" s="151">
        <f>IF(AC_Chart_Background_Data[[#This Row],[X]] &lt; EFC_85P-EFC_70P, EFC_70P, MAX(EFC_85P-AC_Chart_Background_Data[[#This Row],[X]],0))</f>
        <v>0</v>
      </c>
      <c r="AM290" s="151">
        <f>IF(AC_Chart_Background_Data[[#This Row],[X]] &lt; EFC_95P-EFC_85P, EFC_85P, MAX(EFC_95P-AC_Chart_Background_Data[[#This Row],[X]],0))</f>
        <v>0</v>
      </c>
      <c r="AN290" s="151">
        <f>IF(AC_Chart_Background_Data[[#This Row],[X]] &lt; EFC_99P-EFC_95P, EFC_95P, MAX(EFC_99P-AC_Chart_Background_Data[[#This Row],[X]],0))</f>
        <v>0</v>
      </c>
      <c r="AO290" s="151">
        <f t="shared" si="12"/>
        <v>190</v>
      </c>
      <c r="BA290" s="8"/>
    </row>
    <row r="291" spans="36:53" x14ac:dyDescent="0.3">
      <c r="AJ291" s="150">
        <f t="shared" si="13"/>
        <v>288</v>
      </c>
      <c r="AK291" s="151">
        <f>IF(AC_Chart_Background_Data[[#This Row],[X]] &lt; EFC_70P-EFC_50P, EFC_50P, MAX(EFC_70P-AC_Chart_Background_Data[[#This Row],[X]],0))</f>
        <v>0</v>
      </c>
      <c r="AL291" s="151">
        <f>IF(AC_Chart_Background_Data[[#This Row],[X]] &lt; EFC_85P-EFC_70P, EFC_70P, MAX(EFC_85P-AC_Chart_Background_Data[[#This Row],[X]],0))</f>
        <v>0</v>
      </c>
      <c r="AM291" s="151">
        <f>IF(AC_Chart_Background_Data[[#This Row],[X]] &lt; EFC_95P-EFC_85P, EFC_85P, MAX(EFC_95P-AC_Chart_Background_Data[[#This Row],[X]],0))</f>
        <v>0</v>
      </c>
      <c r="AN291" s="151">
        <f>IF(AC_Chart_Background_Data[[#This Row],[X]] &lt; EFC_99P-EFC_95P, EFC_95P, MAX(EFC_99P-AC_Chart_Background_Data[[#This Row],[X]],0))</f>
        <v>0</v>
      </c>
      <c r="AO291" s="151">
        <f t="shared" si="12"/>
        <v>190</v>
      </c>
      <c r="BA291" s="8"/>
    </row>
    <row r="292" spans="36:53" x14ac:dyDescent="0.3">
      <c r="AJ292" s="150">
        <f t="shared" si="13"/>
        <v>289</v>
      </c>
      <c r="AK292" s="151">
        <f>IF(AC_Chart_Background_Data[[#This Row],[X]] &lt; EFC_70P-EFC_50P, EFC_50P, MAX(EFC_70P-AC_Chart_Background_Data[[#This Row],[X]],0))</f>
        <v>0</v>
      </c>
      <c r="AL292" s="151">
        <f>IF(AC_Chart_Background_Data[[#This Row],[X]] &lt; EFC_85P-EFC_70P, EFC_70P, MAX(EFC_85P-AC_Chart_Background_Data[[#This Row],[X]],0))</f>
        <v>0</v>
      </c>
      <c r="AM292" s="151">
        <f>IF(AC_Chart_Background_Data[[#This Row],[X]] &lt; EFC_95P-EFC_85P, EFC_85P, MAX(EFC_95P-AC_Chart_Background_Data[[#This Row],[X]],0))</f>
        <v>0</v>
      </c>
      <c r="AN292" s="151">
        <f>IF(AC_Chart_Background_Data[[#This Row],[X]] &lt; EFC_99P-EFC_95P, EFC_95P, MAX(EFC_99P-AC_Chart_Background_Data[[#This Row],[X]],0))</f>
        <v>0</v>
      </c>
      <c r="AO292" s="151">
        <f t="shared" si="12"/>
        <v>190</v>
      </c>
      <c r="BA292" s="8"/>
    </row>
    <row r="293" spans="36:53" x14ac:dyDescent="0.3">
      <c r="AJ293" s="150">
        <f t="shared" si="13"/>
        <v>290</v>
      </c>
      <c r="AK293" s="151">
        <f>IF(AC_Chart_Background_Data[[#This Row],[X]] &lt; EFC_70P-EFC_50P, EFC_50P, MAX(EFC_70P-AC_Chart_Background_Data[[#This Row],[X]],0))</f>
        <v>0</v>
      </c>
      <c r="AL293" s="151">
        <f>IF(AC_Chart_Background_Data[[#This Row],[X]] &lt; EFC_85P-EFC_70P, EFC_70P, MAX(EFC_85P-AC_Chart_Background_Data[[#This Row],[X]],0))</f>
        <v>0</v>
      </c>
      <c r="AM293" s="151">
        <f>IF(AC_Chart_Background_Data[[#This Row],[X]] &lt; EFC_95P-EFC_85P, EFC_85P, MAX(EFC_95P-AC_Chart_Background_Data[[#This Row],[X]],0))</f>
        <v>0</v>
      </c>
      <c r="AN293" s="151">
        <f>IF(AC_Chart_Background_Data[[#This Row],[X]] &lt; EFC_99P-EFC_95P, EFC_95P, MAX(EFC_99P-AC_Chart_Background_Data[[#This Row],[X]],0))</f>
        <v>0</v>
      </c>
      <c r="AO293" s="151">
        <f t="shared" si="12"/>
        <v>190</v>
      </c>
      <c r="BA293" s="8"/>
    </row>
    <row r="294" spans="36:53" x14ac:dyDescent="0.3">
      <c r="AJ294" s="150">
        <f t="shared" si="13"/>
        <v>291</v>
      </c>
      <c r="AK294" s="151">
        <f>IF(AC_Chart_Background_Data[[#This Row],[X]] &lt; EFC_70P-EFC_50P, EFC_50P, MAX(EFC_70P-AC_Chart_Background_Data[[#This Row],[X]],0))</f>
        <v>0</v>
      </c>
      <c r="AL294" s="151">
        <f>IF(AC_Chart_Background_Data[[#This Row],[X]] &lt; EFC_85P-EFC_70P, EFC_70P, MAX(EFC_85P-AC_Chart_Background_Data[[#This Row],[X]],0))</f>
        <v>0</v>
      </c>
      <c r="AM294" s="151">
        <f>IF(AC_Chart_Background_Data[[#This Row],[X]] &lt; EFC_95P-EFC_85P, EFC_85P, MAX(EFC_95P-AC_Chart_Background_Data[[#This Row],[X]],0))</f>
        <v>0</v>
      </c>
      <c r="AN294" s="151">
        <f>IF(AC_Chart_Background_Data[[#This Row],[X]] &lt; EFC_99P-EFC_95P, EFC_95P, MAX(EFC_99P-AC_Chart_Background_Data[[#This Row],[X]],0))</f>
        <v>0</v>
      </c>
      <c r="AO294" s="151">
        <f t="shared" si="12"/>
        <v>190</v>
      </c>
      <c r="BA294" s="8"/>
    </row>
    <row r="295" spans="36:53" x14ac:dyDescent="0.3">
      <c r="AJ295" s="150">
        <f t="shared" si="13"/>
        <v>292</v>
      </c>
      <c r="AK295" s="151">
        <f>IF(AC_Chart_Background_Data[[#This Row],[X]] &lt; EFC_70P-EFC_50P, EFC_50P, MAX(EFC_70P-AC_Chart_Background_Data[[#This Row],[X]],0))</f>
        <v>0</v>
      </c>
      <c r="AL295" s="151">
        <f>IF(AC_Chart_Background_Data[[#This Row],[X]] &lt; EFC_85P-EFC_70P, EFC_70P, MAX(EFC_85P-AC_Chart_Background_Data[[#This Row],[X]],0))</f>
        <v>0</v>
      </c>
      <c r="AM295" s="151">
        <f>IF(AC_Chart_Background_Data[[#This Row],[X]] &lt; EFC_95P-EFC_85P, EFC_85P, MAX(EFC_95P-AC_Chart_Background_Data[[#This Row],[X]],0))</f>
        <v>0</v>
      </c>
      <c r="AN295" s="151">
        <f>IF(AC_Chart_Background_Data[[#This Row],[X]] &lt; EFC_99P-EFC_95P, EFC_95P, MAX(EFC_99P-AC_Chart_Background_Data[[#This Row],[X]],0))</f>
        <v>0</v>
      </c>
      <c r="AO295" s="151">
        <f t="shared" si="12"/>
        <v>190</v>
      </c>
      <c r="BA295" s="8"/>
    </row>
    <row r="296" spans="36:53" x14ac:dyDescent="0.3">
      <c r="AJ296" s="150">
        <f t="shared" si="13"/>
        <v>293</v>
      </c>
      <c r="AK296" s="151">
        <f>IF(AC_Chart_Background_Data[[#This Row],[X]] &lt; EFC_70P-EFC_50P, EFC_50P, MAX(EFC_70P-AC_Chart_Background_Data[[#This Row],[X]],0))</f>
        <v>0</v>
      </c>
      <c r="AL296" s="151">
        <f>IF(AC_Chart_Background_Data[[#This Row],[X]] &lt; EFC_85P-EFC_70P, EFC_70P, MAX(EFC_85P-AC_Chart_Background_Data[[#This Row],[X]],0))</f>
        <v>0</v>
      </c>
      <c r="AM296" s="151">
        <f>IF(AC_Chart_Background_Data[[#This Row],[X]] &lt; EFC_95P-EFC_85P, EFC_85P, MAX(EFC_95P-AC_Chart_Background_Data[[#This Row],[X]],0))</f>
        <v>0</v>
      </c>
      <c r="AN296" s="151">
        <f>IF(AC_Chart_Background_Data[[#This Row],[X]] &lt; EFC_99P-EFC_95P, EFC_95P, MAX(EFC_99P-AC_Chart_Background_Data[[#This Row],[X]],0))</f>
        <v>0</v>
      </c>
      <c r="AO296" s="151">
        <f t="shared" si="12"/>
        <v>190</v>
      </c>
      <c r="BA296" s="8"/>
    </row>
    <row r="297" spans="36:53" x14ac:dyDescent="0.3">
      <c r="AJ297" s="150">
        <f t="shared" si="13"/>
        <v>294</v>
      </c>
      <c r="AK297" s="151">
        <f>IF(AC_Chart_Background_Data[[#This Row],[X]] &lt; EFC_70P-EFC_50P, EFC_50P, MAX(EFC_70P-AC_Chart_Background_Data[[#This Row],[X]],0))</f>
        <v>0</v>
      </c>
      <c r="AL297" s="151">
        <f>IF(AC_Chart_Background_Data[[#This Row],[X]] &lt; EFC_85P-EFC_70P, EFC_70P, MAX(EFC_85P-AC_Chart_Background_Data[[#This Row],[X]],0))</f>
        <v>0</v>
      </c>
      <c r="AM297" s="151">
        <f>IF(AC_Chart_Background_Data[[#This Row],[X]] &lt; EFC_95P-EFC_85P, EFC_85P, MAX(EFC_95P-AC_Chart_Background_Data[[#This Row],[X]],0))</f>
        <v>0</v>
      </c>
      <c r="AN297" s="151">
        <f>IF(AC_Chart_Background_Data[[#This Row],[X]] &lt; EFC_99P-EFC_95P, EFC_95P, MAX(EFC_99P-AC_Chart_Background_Data[[#This Row],[X]],0))</f>
        <v>0</v>
      </c>
      <c r="AO297" s="151">
        <f t="shared" si="12"/>
        <v>190</v>
      </c>
      <c r="BA297" s="8"/>
    </row>
    <row r="298" spans="36:53" x14ac:dyDescent="0.3">
      <c r="AJ298" s="150">
        <f t="shared" si="13"/>
        <v>295</v>
      </c>
      <c r="AK298" s="151">
        <f>IF(AC_Chart_Background_Data[[#This Row],[X]] &lt; EFC_70P-EFC_50P, EFC_50P, MAX(EFC_70P-AC_Chart_Background_Data[[#This Row],[X]],0))</f>
        <v>0</v>
      </c>
      <c r="AL298" s="151">
        <f>IF(AC_Chart_Background_Data[[#This Row],[X]] &lt; EFC_85P-EFC_70P, EFC_70P, MAX(EFC_85P-AC_Chart_Background_Data[[#This Row],[X]],0))</f>
        <v>0</v>
      </c>
      <c r="AM298" s="151">
        <f>IF(AC_Chart_Background_Data[[#This Row],[X]] &lt; EFC_95P-EFC_85P, EFC_85P, MAX(EFC_95P-AC_Chart_Background_Data[[#This Row],[X]],0))</f>
        <v>0</v>
      </c>
      <c r="AN298" s="151">
        <f>IF(AC_Chart_Background_Data[[#This Row],[X]] &lt; EFC_99P-EFC_95P, EFC_95P, MAX(EFC_99P-AC_Chart_Background_Data[[#This Row],[X]],0))</f>
        <v>0</v>
      </c>
      <c r="AO298" s="151">
        <f t="shared" si="12"/>
        <v>190</v>
      </c>
      <c r="BA298" s="8"/>
    </row>
    <row r="299" spans="36:53" x14ac:dyDescent="0.3">
      <c r="AJ299" s="150">
        <f t="shared" si="13"/>
        <v>296</v>
      </c>
      <c r="AK299" s="151">
        <f>IF(AC_Chart_Background_Data[[#This Row],[X]] &lt; EFC_70P-EFC_50P, EFC_50P, MAX(EFC_70P-AC_Chart_Background_Data[[#This Row],[X]],0))</f>
        <v>0</v>
      </c>
      <c r="AL299" s="151">
        <f>IF(AC_Chart_Background_Data[[#This Row],[X]] &lt; EFC_85P-EFC_70P, EFC_70P, MAX(EFC_85P-AC_Chart_Background_Data[[#This Row],[X]],0))</f>
        <v>0</v>
      </c>
      <c r="AM299" s="151">
        <f>IF(AC_Chart_Background_Data[[#This Row],[X]] &lt; EFC_95P-EFC_85P, EFC_85P, MAX(EFC_95P-AC_Chart_Background_Data[[#This Row],[X]],0))</f>
        <v>0</v>
      </c>
      <c r="AN299" s="151">
        <f>IF(AC_Chart_Background_Data[[#This Row],[X]] &lt; EFC_99P-EFC_95P, EFC_95P, MAX(EFC_99P-AC_Chart_Background_Data[[#This Row],[X]],0))</f>
        <v>0</v>
      </c>
      <c r="AO299" s="151">
        <f t="shared" si="12"/>
        <v>190</v>
      </c>
      <c r="BA299" s="8"/>
    </row>
    <row r="300" spans="36:53" x14ac:dyDescent="0.3">
      <c r="AJ300" s="150">
        <f t="shared" si="13"/>
        <v>297</v>
      </c>
      <c r="AK300" s="151">
        <f>IF(AC_Chart_Background_Data[[#This Row],[X]] &lt; EFC_70P-EFC_50P, EFC_50P, MAX(EFC_70P-AC_Chart_Background_Data[[#This Row],[X]],0))</f>
        <v>0</v>
      </c>
      <c r="AL300" s="151">
        <f>IF(AC_Chart_Background_Data[[#This Row],[X]] &lt; EFC_85P-EFC_70P, EFC_70P, MAX(EFC_85P-AC_Chart_Background_Data[[#This Row],[X]],0))</f>
        <v>0</v>
      </c>
      <c r="AM300" s="151">
        <f>IF(AC_Chart_Background_Data[[#This Row],[X]] &lt; EFC_95P-EFC_85P, EFC_85P, MAX(EFC_95P-AC_Chart_Background_Data[[#This Row],[X]],0))</f>
        <v>0</v>
      </c>
      <c r="AN300" s="151">
        <f>IF(AC_Chart_Background_Data[[#This Row],[X]] &lt; EFC_99P-EFC_95P, EFC_95P, MAX(EFC_99P-AC_Chart_Background_Data[[#This Row],[X]],0))</f>
        <v>0</v>
      </c>
      <c r="AO300" s="151">
        <f t="shared" si="12"/>
        <v>190</v>
      </c>
      <c r="BA300" s="8"/>
    </row>
    <row r="301" spans="36:53" x14ac:dyDescent="0.3">
      <c r="AJ301" s="150">
        <f t="shared" si="13"/>
        <v>298</v>
      </c>
      <c r="AK301" s="151">
        <f>IF(AC_Chart_Background_Data[[#This Row],[X]] &lt; EFC_70P-EFC_50P, EFC_50P, MAX(EFC_70P-AC_Chart_Background_Data[[#This Row],[X]],0))</f>
        <v>0</v>
      </c>
      <c r="AL301" s="151">
        <f>IF(AC_Chart_Background_Data[[#This Row],[X]] &lt; EFC_85P-EFC_70P, EFC_70P, MAX(EFC_85P-AC_Chart_Background_Data[[#This Row],[X]],0))</f>
        <v>0</v>
      </c>
      <c r="AM301" s="151">
        <f>IF(AC_Chart_Background_Data[[#This Row],[X]] &lt; EFC_95P-EFC_85P, EFC_85P, MAX(EFC_95P-AC_Chart_Background_Data[[#This Row],[X]],0))</f>
        <v>0</v>
      </c>
      <c r="AN301" s="151">
        <f>IF(AC_Chart_Background_Data[[#This Row],[X]] &lt; EFC_99P-EFC_95P, EFC_95P, MAX(EFC_99P-AC_Chart_Background_Data[[#This Row],[X]],0))</f>
        <v>0</v>
      </c>
      <c r="AO301" s="151">
        <f t="shared" si="12"/>
        <v>190</v>
      </c>
      <c r="BA301" s="8"/>
    </row>
    <row r="302" spans="36:53" x14ac:dyDescent="0.3">
      <c r="AJ302" s="150">
        <f t="shared" si="13"/>
        <v>299</v>
      </c>
      <c r="AK302" s="151">
        <f>IF(AC_Chart_Background_Data[[#This Row],[X]] &lt; EFC_70P-EFC_50P, EFC_50P, MAX(EFC_70P-AC_Chart_Background_Data[[#This Row],[X]],0))</f>
        <v>0</v>
      </c>
      <c r="AL302" s="151">
        <f>IF(AC_Chart_Background_Data[[#This Row],[X]] &lt; EFC_85P-EFC_70P, EFC_70P, MAX(EFC_85P-AC_Chart_Background_Data[[#This Row],[X]],0))</f>
        <v>0</v>
      </c>
      <c r="AM302" s="151">
        <f>IF(AC_Chart_Background_Data[[#This Row],[X]] &lt; EFC_95P-EFC_85P, EFC_85P, MAX(EFC_95P-AC_Chart_Background_Data[[#This Row],[X]],0))</f>
        <v>0</v>
      </c>
      <c r="AN302" s="151">
        <f>IF(AC_Chart_Background_Data[[#This Row],[X]] &lt; EFC_99P-EFC_95P, EFC_95P, MAX(EFC_99P-AC_Chart_Background_Data[[#This Row],[X]],0))</f>
        <v>0</v>
      </c>
      <c r="AO302" s="151">
        <f t="shared" si="12"/>
        <v>190</v>
      </c>
      <c r="BA302" s="8"/>
    </row>
    <row r="303" spans="36:53" x14ac:dyDescent="0.3">
      <c r="AJ303" s="150">
        <f t="shared" si="13"/>
        <v>300</v>
      </c>
      <c r="AK303" s="151">
        <f>IF(AC_Chart_Background_Data[[#This Row],[X]] &lt; EFC_70P-EFC_50P, EFC_50P, MAX(EFC_70P-AC_Chart_Background_Data[[#This Row],[X]],0))</f>
        <v>0</v>
      </c>
      <c r="AL303" s="151">
        <f>IF(AC_Chart_Background_Data[[#This Row],[X]] &lt; EFC_85P-EFC_70P, EFC_70P, MAX(EFC_85P-AC_Chart_Background_Data[[#This Row],[X]],0))</f>
        <v>0</v>
      </c>
      <c r="AM303" s="151">
        <f>IF(AC_Chart_Background_Data[[#This Row],[X]] &lt; EFC_95P-EFC_85P, EFC_85P, MAX(EFC_95P-AC_Chart_Background_Data[[#This Row],[X]],0))</f>
        <v>0</v>
      </c>
      <c r="AN303" s="151">
        <f>IF(AC_Chart_Background_Data[[#This Row],[X]] &lt; EFC_99P-EFC_95P, EFC_95P, MAX(EFC_99P-AC_Chart_Background_Data[[#This Row],[X]],0))</f>
        <v>0</v>
      </c>
      <c r="AO303" s="151">
        <f t="shared" si="12"/>
        <v>190</v>
      </c>
      <c r="BA303" s="8"/>
    </row>
    <row r="304" spans="36:53" x14ac:dyDescent="0.3">
      <c r="AJ304" s="147"/>
      <c r="AK304" s="147"/>
      <c r="AL304" s="147"/>
      <c r="AM304" s="147"/>
      <c r="AN304" s="147"/>
      <c r="AO304" s="147"/>
      <c r="BA304" s="8"/>
    </row>
    <row r="305" spans="36:53" x14ac:dyDescent="0.3">
      <c r="AJ305" s="147"/>
      <c r="AK305" s="147"/>
      <c r="AL305" s="147"/>
      <c r="AM305" s="147"/>
      <c r="AN305" s="147"/>
      <c r="AO305" s="147"/>
      <c r="BA305" s="8"/>
    </row>
    <row r="306" spans="36:53" x14ac:dyDescent="0.3">
      <c r="AJ306" s="147"/>
      <c r="AK306" s="147"/>
      <c r="AL306" s="147"/>
      <c r="AM306" s="147"/>
      <c r="AN306" s="147"/>
      <c r="AO306" s="147"/>
      <c r="BA306" s="8"/>
    </row>
    <row r="307" spans="36:53" x14ac:dyDescent="0.3">
      <c r="AJ307" s="147"/>
      <c r="AK307" s="147"/>
      <c r="AL307" s="147"/>
      <c r="AM307" s="147"/>
      <c r="AN307" s="147"/>
      <c r="AO307" s="147"/>
      <c r="BA307" s="8"/>
    </row>
    <row r="308" spans="36:53" x14ac:dyDescent="0.3">
      <c r="AJ308" s="147"/>
      <c r="AK308" s="147"/>
      <c r="AL308" s="147"/>
      <c r="AM308" s="147"/>
      <c r="AN308" s="147"/>
      <c r="AO308" s="147"/>
      <c r="BA308" s="8"/>
    </row>
    <row r="309" spans="36:53" x14ac:dyDescent="0.3">
      <c r="AJ309" s="147"/>
      <c r="AK309" s="147"/>
      <c r="AL309" s="147"/>
      <c r="AM309" s="147"/>
      <c r="AN309" s="147"/>
      <c r="AO309" s="147"/>
      <c r="BA309" s="8"/>
    </row>
    <row r="310" spans="36:53" x14ac:dyDescent="0.3">
      <c r="AJ310" s="148"/>
      <c r="AK310" s="148"/>
      <c r="AL310" s="148"/>
      <c r="AM310" s="148"/>
      <c r="AN310" s="148"/>
      <c r="AO310" s="148"/>
      <c r="BA310" s="8"/>
    </row>
    <row r="311" spans="36:53" x14ac:dyDescent="0.3">
      <c r="AJ311" s="149"/>
      <c r="AK311" s="149"/>
      <c r="AL311" s="149"/>
      <c r="AM311" s="149"/>
      <c r="AN311" s="149"/>
      <c r="AO311" s="149"/>
      <c r="BA311" s="8"/>
    </row>
    <row r="312" spans="36:53" x14ac:dyDescent="0.3">
      <c r="AJ312" s="8"/>
      <c r="AK312" s="8"/>
      <c r="AL312" s="8"/>
      <c r="AM312" s="8"/>
      <c r="AN312" s="8"/>
      <c r="AO312" s="8"/>
      <c r="BA312" s="8"/>
    </row>
    <row r="313" spans="36:53" x14ac:dyDescent="0.3">
      <c r="AJ313" s="8"/>
      <c r="AK313" s="8"/>
      <c r="AL313" s="8"/>
      <c r="AM313" s="8"/>
      <c r="AN313" s="8"/>
      <c r="AO313" s="8"/>
      <c r="BA313" s="8"/>
    </row>
    <row r="314" spans="36:53" x14ac:dyDescent="0.3">
      <c r="AJ314" s="8"/>
      <c r="AK314" s="8"/>
      <c r="AL314" s="8"/>
      <c r="AM314" s="8"/>
      <c r="AN314" s="8"/>
      <c r="AO314" s="8"/>
      <c r="BA314" s="8"/>
    </row>
    <row r="315" spans="36:53" x14ac:dyDescent="0.3">
      <c r="AJ315" s="8"/>
      <c r="AK315" s="8"/>
      <c r="AL315" s="8"/>
      <c r="AM315" s="8"/>
      <c r="AN315" s="8"/>
      <c r="AO315" s="8"/>
      <c r="BA315" s="8"/>
    </row>
    <row r="316" spans="36:53" x14ac:dyDescent="0.3">
      <c r="AJ316" s="8"/>
      <c r="AK316" s="8"/>
      <c r="AL316" s="8"/>
      <c r="AM316" s="8"/>
      <c r="AN316" s="8"/>
      <c r="AO316" s="8"/>
      <c r="BA316" s="8"/>
    </row>
    <row r="317" spans="36:53" x14ac:dyDescent="0.3">
      <c r="AJ317" s="8"/>
      <c r="AK317" s="8"/>
      <c r="AL317" s="8"/>
      <c r="AM317" s="8"/>
      <c r="AN317" s="8"/>
      <c r="AO317" s="8"/>
      <c r="BA317" s="8"/>
    </row>
    <row r="318" spans="36:53" x14ac:dyDescent="0.3">
      <c r="AJ318" s="8"/>
      <c r="AK318" s="8"/>
      <c r="AL318" s="8"/>
      <c r="AM318" s="8"/>
      <c r="AN318" s="8"/>
      <c r="AO318" s="8"/>
      <c r="BA318" s="8"/>
    </row>
    <row r="319" spans="36:53" x14ac:dyDescent="0.3">
      <c r="AJ319" s="8"/>
      <c r="AK319" s="8"/>
      <c r="AL319" s="8"/>
      <c r="AM319" s="8"/>
      <c r="AN319" s="8"/>
      <c r="AO319" s="8"/>
      <c r="BA319" s="8"/>
    </row>
    <row r="320" spans="36:53" x14ac:dyDescent="0.3">
      <c r="AJ320" s="8"/>
      <c r="AK320" s="8"/>
      <c r="AL320" s="8"/>
      <c r="AM320" s="8"/>
      <c r="AN320" s="8"/>
      <c r="AO320" s="8"/>
      <c r="BA320" s="8"/>
    </row>
    <row r="321" spans="36:53" x14ac:dyDescent="0.3">
      <c r="AJ321" s="8"/>
      <c r="AK321" s="8"/>
      <c r="AL321" s="8"/>
      <c r="AM321" s="8"/>
      <c r="AN321" s="8"/>
      <c r="AO321" s="8"/>
      <c r="BA321" s="8"/>
    </row>
    <row r="322" spans="36:53" x14ac:dyDescent="0.3">
      <c r="AJ322" s="8"/>
      <c r="AK322" s="8"/>
      <c r="AL322" s="8"/>
      <c r="AM322" s="8"/>
      <c r="AN322" s="8"/>
      <c r="AO322" s="8"/>
      <c r="BA322" s="8"/>
    </row>
    <row r="323" spans="36:53" x14ac:dyDescent="0.3">
      <c r="BA323" s="8"/>
    </row>
    <row r="324" spans="36:53" x14ac:dyDescent="0.3">
      <c r="BA324" s="8"/>
    </row>
    <row r="325" spans="36:53" x14ac:dyDescent="0.3">
      <c r="BA325" s="8"/>
    </row>
    <row r="326" spans="36:53" x14ac:dyDescent="0.3">
      <c r="BA326" s="8"/>
    </row>
    <row r="327" spans="36:53" x14ac:dyDescent="0.3">
      <c r="BA327" s="8"/>
    </row>
    <row r="328" spans="36:53" x14ac:dyDescent="0.3">
      <c r="BA328" s="8"/>
    </row>
    <row r="329" spans="36:53" x14ac:dyDescent="0.3">
      <c r="BA329" s="8"/>
    </row>
    <row r="330" spans="36:53" x14ac:dyDescent="0.3">
      <c r="BA330" s="8"/>
    </row>
    <row r="331" spans="36:53" x14ac:dyDescent="0.3">
      <c r="BA331" s="8"/>
    </row>
    <row r="332" spans="36:53" x14ac:dyDescent="0.3">
      <c r="BA332" s="8"/>
    </row>
    <row r="333" spans="36:53" x14ac:dyDescent="0.3">
      <c r="BA333" s="8"/>
    </row>
    <row r="334" spans="36:53" x14ac:dyDescent="0.3">
      <c r="BA334" s="8"/>
    </row>
    <row r="335" spans="36:53" x14ac:dyDescent="0.3">
      <c r="BA335" s="8"/>
    </row>
    <row r="336" spans="36:53" x14ac:dyDescent="0.3">
      <c r="AJ336" s="77"/>
      <c r="AK336" s="77"/>
      <c r="AL336" s="77"/>
      <c r="AM336" s="77"/>
      <c r="AN336" s="77"/>
      <c r="AO336" s="77"/>
      <c r="BA336" s="8"/>
    </row>
    <row r="337" spans="36:53" x14ac:dyDescent="0.3">
      <c r="AJ337" s="8"/>
      <c r="AK337" s="8"/>
      <c r="AL337" s="8"/>
      <c r="AM337" s="8"/>
      <c r="AN337" s="8"/>
      <c r="AO337" s="8"/>
      <c r="BA337" s="8"/>
    </row>
    <row r="338" spans="36:53" x14ac:dyDescent="0.3">
      <c r="AJ338" s="77"/>
      <c r="AK338" s="77"/>
      <c r="AL338" s="77"/>
      <c r="AM338" s="77"/>
      <c r="AN338" s="77"/>
      <c r="AO338" s="77"/>
      <c r="BA338" s="8"/>
    </row>
    <row r="339" spans="36:53" x14ac:dyDescent="0.3">
      <c r="AJ339" s="77"/>
      <c r="AK339" s="77"/>
      <c r="AL339" s="77"/>
      <c r="AM339" s="77"/>
      <c r="AN339" s="77"/>
      <c r="AO339" s="77"/>
      <c r="BA339" s="8"/>
    </row>
    <row r="340" spans="36:53" x14ac:dyDescent="0.3">
      <c r="AJ340" s="77"/>
      <c r="AK340" s="77"/>
      <c r="AL340" s="77"/>
      <c r="AM340" s="77"/>
      <c r="AN340" s="77"/>
      <c r="AO340" s="77"/>
      <c r="BA340" s="8"/>
    </row>
    <row r="341" spans="36:53" x14ac:dyDescent="0.3">
      <c r="AJ341" s="77"/>
      <c r="AK341" s="77"/>
      <c r="AL341" s="77"/>
      <c r="AM341" s="77"/>
      <c r="AN341" s="77"/>
      <c r="AO341" s="77"/>
      <c r="BA341" s="8"/>
    </row>
    <row r="342" spans="36:53" x14ac:dyDescent="0.3">
      <c r="AJ342" s="8"/>
      <c r="AK342" s="8"/>
      <c r="AL342" s="8"/>
      <c r="AM342" s="8"/>
      <c r="AN342" s="8"/>
      <c r="AO342" s="8"/>
      <c r="BA342" s="8"/>
    </row>
    <row r="343" spans="36:53" x14ac:dyDescent="0.3">
      <c r="AJ343" s="8"/>
      <c r="AK343" s="8"/>
      <c r="AL343" s="8"/>
      <c r="AM343" s="8"/>
      <c r="AN343" s="8"/>
      <c r="AO343" s="8"/>
      <c r="BA343" s="8"/>
    </row>
    <row r="344" spans="36:53" x14ac:dyDescent="0.3">
      <c r="AJ344" s="8"/>
      <c r="AK344" s="8"/>
      <c r="AL344" s="8"/>
      <c r="AM344" s="8"/>
      <c r="AN344" s="8"/>
      <c r="AO344" s="8"/>
      <c r="BA344" s="8"/>
    </row>
    <row r="345" spans="36:53" x14ac:dyDescent="0.3">
      <c r="AJ345" s="8"/>
      <c r="AK345" s="8"/>
      <c r="AL345" s="8"/>
      <c r="AM345" s="8"/>
      <c r="AN345" s="8"/>
      <c r="AO345" s="8"/>
      <c r="BA345" s="8"/>
    </row>
    <row r="346" spans="36:53" x14ac:dyDescent="0.3">
      <c r="BA346" s="8"/>
    </row>
    <row r="347" spans="36:53" x14ac:dyDescent="0.3">
      <c r="BA347" s="8"/>
    </row>
    <row r="348" spans="36:53" x14ac:dyDescent="0.3">
      <c r="BA348" s="8"/>
    </row>
    <row r="349" spans="36:53" x14ac:dyDescent="0.3">
      <c r="BA349" s="8"/>
    </row>
    <row r="350" spans="36:53" x14ac:dyDescent="0.3">
      <c r="BA350" s="8"/>
    </row>
    <row r="351" spans="36:53" x14ac:dyDescent="0.3">
      <c r="BA351" s="8"/>
    </row>
    <row r="352" spans="36:53" x14ac:dyDescent="0.3">
      <c r="BA352" s="8"/>
    </row>
    <row r="353" spans="53:53" x14ac:dyDescent="0.3">
      <c r="BA353" s="8"/>
    </row>
    <row r="354" spans="53:53" x14ac:dyDescent="0.3">
      <c r="BA354" s="8"/>
    </row>
    <row r="355" spans="53:53" x14ac:dyDescent="0.3">
      <c r="BA355" s="8"/>
    </row>
    <row r="356" spans="53:53" x14ac:dyDescent="0.3">
      <c r="BA356" s="8"/>
    </row>
    <row r="357" spans="53:53" x14ac:dyDescent="0.3">
      <c r="BA357" s="8"/>
    </row>
    <row r="358" spans="53:53" x14ac:dyDescent="0.3">
      <c r="BA358" s="8"/>
    </row>
    <row r="359" spans="53:53" x14ac:dyDescent="0.3">
      <c r="BA359" s="8"/>
    </row>
    <row r="360" spans="53:53" x14ac:dyDescent="0.3">
      <c r="BA360" s="8"/>
    </row>
    <row r="361" spans="53:53" x14ac:dyDescent="0.3">
      <c r="BA361" s="8"/>
    </row>
    <row r="362" spans="53:53" x14ac:dyDescent="0.3">
      <c r="BA362" s="8"/>
    </row>
    <row r="363" spans="53:53" x14ac:dyDescent="0.3">
      <c r="BA363" s="8"/>
    </row>
    <row r="364" spans="53:53" x14ac:dyDescent="0.3">
      <c r="BA364" s="8"/>
    </row>
    <row r="365" spans="53:53" x14ac:dyDescent="0.3">
      <c r="BA365" s="8"/>
    </row>
    <row r="366" spans="53:53" x14ac:dyDescent="0.3">
      <c r="BA366" s="8"/>
    </row>
    <row r="367" spans="53:53" x14ac:dyDescent="0.3">
      <c r="BA367" s="8"/>
    </row>
    <row r="368" spans="53:53" x14ac:dyDescent="0.3">
      <c r="BA368" s="8"/>
    </row>
    <row r="369" spans="53:53" x14ac:dyDescent="0.3">
      <c r="BA369" s="8"/>
    </row>
    <row r="370" spans="53:53" x14ac:dyDescent="0.3">
      <c r="BA370" s="8"/>
    </row>
    <row r="371" spans="53:53" x14ac:dyDescent="0.3">
      <c r="BA371" s="8"/>
    </row>
    <row r="372" spans="53:53" x14ac:dyDescent="0.3">
      <c r="BA372" s="8"/>
    </row>
    <row r="373" spans="53:53" x14ac:dyDescent="0.3">
      <c r="BA373" s="8"/>
    </row>
    <row r="374" spans="53:53" x14ac:dyDescent="0.3">
      <c r="BA374" s="8"/>
    </row>
    <row r="375" spans="53:53" x14ac:dyDescent="0.3">
      <c r="BA375" s="8"/>
    </row>
    <row r="376" spans="53:53" x14ac:dyDescent="0.3">
      <c r="BA376" s="8"/>
    </row>
    <row r="377" spans="53:53" x14ac:dyDescent="0.3">
      <c r="BA377" s="8"/>
    </row>
    <row r="378" spans="53:53" x14ac:dyDescent="0.3">
      <c r="BA378" s="8"/>
    </row>
    <row r="379" spans="53:53" x14ac:dyDescent="0.3">
      <c r="BA379" s="8"/>
    </row>
    <row r="380" spans="53:53" x14ac:dyDescent="0.3">
      <c r="BA380" s="8"/>
    </row>
    <row r="381" spans="53:53" x14ac:dyDescent="0.3">
      <c r="BA381" s="8"/>
    </row>
    <row r="382" spans="53:53" x14ac:dyDescent="0.3">
      <c r="BA382" s="8"/>
    </row>
    <row r="383" spans="53:53" x14ac:dyDescent="0.3">
      <c r="BA383" s="8"/>
    </row>
    <row r="384" spans="53:53" x14ac:dyDescent="0.3">
      <c r="BA384" s="8"/>
    </row>
    <row r="385" spans="53:53" x14ac:dyDescent="0.3">
      <c r="BA385" s="8"/>
    </row>
    <row r="386" spans="53:53" x14ac:dyDescent="0.3">
      <c r="BA386" s="8"/>
    </row>
    <row r="387" spans="53:53" x14ac:dyDescent="0.3">
      <c r="BA387" s="8"/>
    </row>
    <row r="388" spans="53:53" x14ac:dyDescent="0.3">
      <c r="BA388" s="8"/>
    </row>
    <row r="389" spans="53:53" x14ac:dyDescent="0.3">
      <c r="BA389" s="8"/>
    </row>
    <row r="390" spans="53:53" x14ac:dyDescent="0.3">
      <c r="BA390" s="8"/>
    </row>
  </sheetData>
  <sheetProtection algorithmName="SHA-512" hashValue="7gLCefUsWlOrqn0trzoUfcHFOisP3qFusiYwAlx8tpP621k3YRh1i5sTsc9AT1SpaorK3vBhf2y8LZBkoiD7rQ==" saltValue="m7lduu22Mjcg32WD8y05nw==" spinCount="100000" sheet="1" objects="1" scenarios="1" formatRows="0" insertHyperlinks="0"/>
  <mergeCells count="46">
    <mergeCell ref="A48:B48"/>
    <mergeCell ref="A72:B72"/>
    <mergeCell ref="A73:B77"/>
    <mergeCell ref="B81:F81"/>
    <mergeCell ref="A59:A61"/>
    <mergeCell ref="A70:B71"/>
    <mergeCell ref="A62:A69"/>
    <mergeCell ref="A49:B49"/>
    <mergeCell ref="A50:B50"/>
    <mergeCell ref="A51:B51"/>
    <mergeCell ref="A52:B52"/>
    <mergeCell ref="BB1:BD1"/>
    <mergeCell ref="B4:C4"/>
    <mergeCell ref="A6:C6"/>
    <mergeCell ref="B10:C10"/>
    <mergeCell ref="A31:E31"/>
    <mergeCell ref="AX1:AZ1"/>
    <mergeCell ref="AD21:AD25"/>
    <mergeCell ref="AF21:AF25"/>
    <mergeCell ref="AC1:AG1"/>
    <mergeCell ref="AH21:AH25"/>
    <mergeCell ref="AJ1:AO1"/>
    <mergeCell ref="AQ1:AV1"/>
    <mergeCell ref="F31:H31"/>
    <mergeCell ref="B7:C7"/>
    <mergeCell ref="D7:I8"/>
    <mergeCell ref="B8:C8"/>
    <mergeCell ref="A47:B47"/>
    <mergeCell ref="C47:D47"/>
    <mergeCell ref="A12:C12"/>
    <mergeCell ref="AE21:AE25"/>
    <mergeCell ref="AG21:AG25"/>
    <mergeCell ref="AF35:AG35"/>
    <mergeCell ref="AE33:AH33"/>
    <mergeCell ref="AE32:AF32"/>
    <mergeCell ref="AG32:AH32"/>
    <mergeCell ref="A41:B43"/>
    <mergeCell ref="A46:B46"/>
    <mergeCell ref="C46:D46"/>
    <mergeCell ref="B9:C9"/>
    <mergeCell ref="F15:I16"/>
    <mergeCell ref="A16:E16"/>
    <mergeCell ref="B11:C11"/>
    <mergeCell ref="H21:H24"/>
    <mergeCell ref="I21:I24"/>
    <mergeCell ref="A19:I19"/>
  </mergeCells>
  <phoneticPr fontId="37" type="noConversion"/>
  <conditionalFormatting sqref="A62">
    <cfRule type="expression" dxfId="6" priority="2">
      <formula>LEFT($A$62,8)="Complete"</formula>
    </cfRule>
  </conditionalFormatting>
  <conditionalFormatting sqref="C48">
    <cfRule type="expression" dxfId="5" priority="8">
      <formula>RIGHT($C$48,1)="."</formula>
    </cfRule>
  </conditionalFormatting>
  <conditionalFormatting sqref="C53">
    <cfRule type="expression" dxfId="4" priority="7">
      <formula>RIGHT($C$53,1)="."</formula>
    </cfRule>
  </conditionalFormatting>
  <conditionalFormatting sqref="E46:E47">
    <cfRule type="expression" dxfId="3" priority="5">
      <formula>AND($C$47="Wastewater",LEFT($C$46,3)="Sin")</formula>
    </cfRule>
  </conditionalFormatting>
  <conditionalFormatting sqref="F22">
    <cfRule type="cellIs" dxfId="2" priority="10" operator="equal">
      <formula>"Error: Total must equal 100%."</formula>
    </cfRule>
  </conditionalFormatting>
  <conditionalFormatting sqref="F46:F47">
    <cfRule type="expression" dxfId="1" priority="6">
      <formula>AND(LEFT($C$46,3)="Sin",$C$47="Water")</formula>
    </cfRule>
  </conditionalFormatting>
  <conditionalFormatting sqref="I25:I30">
    <cfRule type="cellIs" dxfId="0"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6:D46" xr:uid="{1279A45F-6C33-42A4-ABF2-C1B5071EB34D}">
      <formula1>$AA$16:$AA$18</formula1>
    </dataValidation>
    <dataValidation type="list" allowBlank="1" showInputMessage="1" showErrorMessage="1" sqref="C47:D47"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2" orientation="portrait" horizontalDpi="1200" verticalDpi="1200" r:id="rId1"/>
  <headerFooter>
    <oddFooter>&amp;L&amp;F&amp;R&amp;D&amp;T</oddFooter>
  </headerFooter>
  <ignoredErrors>
    <ignoredError sqref="B8:C10 B26:E29 F25:F28 A23:E23 A24:B24 C24:E24 B7 B21 B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0</xdr:col>
                    <xdr:colOff>1135380</xdr:colOff>
                    <xdr:row>18</xdr:row>
                    <xdr:rowOff>579120</xdr:rowOff>
                  </from>
                  <to>
                    <xdr:col>0</xdr:col>
                    <xdr:colOff>1699260</xdr:colOff>
                    <xdr:row>20</xdr:row>
                    <xdr:rowOff>30480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0</xdr:col>
                    <xdr:colOff>1623060</xdr:colOff>
                    <xdr:row>18</xdr:row>
                    <xdr:rowOff>579120</xdr:rowOff>
                  </from>
                  <to>
                    <xdr:col>0</xdr:col>
                    <xdr:colOff>2087880</xdr:colOff>
                    <xdr:row>20</xdr:row>
                    <xdr:rowOff>30480</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P656"/>
  <sheetViews>
    <sheetView workbookViewId="0">
      <selection activeCell="A3" sqref="A3"/>
    </sheetView>
  </sheetViews>
  <sheetFormatPr defaultRowHeight="14.4" x14ac:dyDescent="0.3"/>
  <cols>
    <col min="1" max="1" width="27.33203125" bestFit="1" customWidth="1"/>
    <col min="2" max="2" width="13" customWidth="1"/>
    <col min="3" max="3" width="13.5546875" customWidth="1"/>
    <col min="4" max="4" width="13.44140625" customWidth="1"/>
    <col min="5" max="5" width="12.33203125" customWidth="1"/>
    <col min="6" max="6" width="16" customWidth="1"/>
    <col min="7" max="7" width="19.6640625" customWidth="1"/>
    <col min="8" max="8" width="18.44140625" customWidth="1"/>
    <col min="9" max="9" width="18.6640625" customWidth="1"/>
    <col min="10" max="10" width="19.33203125" style="129" customWidth="1"/>
    <col min="11" max="11" width="43.44140625" bestFit="1" customWidth="1"/>
    <col min="12" max="12" width="11.44140625" bestFit="1" customWidth="1"/>
    <col min="13" max="15" width="9.109375" customWidth="1"/>
    <col min="16" max="16" width="25.44140625" style="129" customWidth="1"/>
  </cols>
  <sheetData>
    <row r="1" spans="1:16" ht="57.75" customHeight="1" x14ac:dyDescent="0.3">
      <c r="A1" s="265" t="s">
        <v>1239</v>
      </c>
      <c r="B1" s="171" t="s">
        <v>1232</v>
      </c>
      <c r="C1" s="171" t="s">
        <v>1233</v>
      </c>
      <c r="D1" s="171" t="s">
        <v>1226</v>
      </c>
      <c r="E1" s="170" t="s">
        <v>1227</v>
      </c>
      <c r="F1" s="170" t="s">
        <v>1228</v>
      </c>
      <c r="G1" s="170" t="s">
        <v>830</v>
      </c>
      <c r="H1" s="172" t="s">
        <v>831</v>
      </c>
      <c r="I1" s="129"/>
      <c r="J1"/>
      <c r="N1" s="129"/>
      <c r="P1"/>
    </row>
    <row r="2" spans="1:16" x14ac:dyDescent="0.3">
      <c r="A2" s="266"/>
      <c r="B2" s="160">
        <v>3.31</v>
      </c>
      <c r="C2" s="160">
        <v>5.73</v>
      </c>
      <c r="D2" s="160">
        <v>13</v>
      </c>
      <c r="E2" s="173">
        <v>3.66</v>
      </c>
      <c r="F2" s="174">
        <v>72388</v>
      </c>
      <c r="G2" s="174">
        <v>175480</v>
      </c>
      <c r="H2" s="175">
        <v>170366</v>
      </c>
      <c r="I2" s="129"/>
      <c r="J2"/>
      <c r="N2" s="129"/>
      <c r="P2"/>
    </row>
    <row r="4" spans="1:16" ht="59.25" customHeight="1" x14ac:dyDescent="0.3">
      <c r="A4" s="122" t="s">
        <v>1237</v>
      </c>
      <c r="B4" s="165" t="s">
        <v>1222</v>
      </c>
      <c r="C4" s="165" t="s">
        <v>1223</v>
      </c>
      <c r="D4" s="165" t="s">
        <v>1224</v>
      </c>
      <c r="E4" s="165" t="s">
        <v>1225</v>
      </c>
      <c r="F4" s="166" t="s">
        <v>1226</v>
      </c>
      <c r="G4" s="166" t="s">
        <v>1238</v>
      </c>
      <c r="H4" s="166" t="s">
        <v>1228</v>
      </c>
      <c r="I4" s="167" t="s">
        <v>1229</v>
      </c>
      <c r="J4"/>
      <c r="K4" s="123" t="s">
        <v>0</v>
      </c>
      <c r="L4" s="124" t="s">
        <v>689</v>
      </c>
      <c r="M4" s="124" t="s">
        <v>1234</v>
      </c>
      <c r="N4" s="124" t="s">
        <v>1235</v>
      </c>
      <c r="O4" s="124" t="s">
        <v>1236</v>
      </c>
      <c r="P4" s="123" t="s">
        <v>838</v>
      </c>
    </row>
    <row r="5" spans="1:16" x14ac:dyDescent="0.3">
      <c r="A5" t="s">
        <v>0</v>
      </c>
      <c r="B5" s="117">
        <v>7862</v>
      </c>
      <c r="C5" s="116">
        <v>9228</v>
      </c>
      <c r="D5" s="140">
        <v>8646</v>
      </c>
      <c r="E5" s="116">
        <v>9836</v>
      </c>
      <c r="F5">
        <v>10.5</v>
      </c>
      <c r="G5" s="162">
        <v>3.33</v>
      </c>
      <c r="H5" s="163">
        <v>75078</v>
      </c>
      <c r="I5" s="161">
        <v>1688523937</v>
      </c>
      <c r="J5"/>
      <c r="K5" s="125" t="s">
        <v>1</v>
      </c>
      <c r="L5" s="126" t="s">
        <v>689</v>
      </c>
      <c r="M5" s="127">
        <v>6</v>
      </c>
      <c r="N5" s="126" t="s">
        <v>689</v>
      </c>
      <c r="O5" s="131" t="s">
        <v>689</v>
      </c>
      <c r="P5" s="189" t="s">
        <v>839</v>
      </c>
    </row>
    <row r="6" spans="1:16" x14ac:dyDescent="0.3">
      <c r="A6" t="s">
        <v>1</v>
      </c>
      <c r="B6" s="117">
        <v>4819</v>
      </c>
      <c r="C6" s="117">
        <v>4764</v>
      </c>
      <c r="D6" s="141">
        <v>4965</v>
      </c>
      <c r="E6" s="117">
        <v>4639</v>
      </c>
      <c r="F6">
        <v>27.7</v>
      </c>
      <c r="G6" s="162">
        <v>4.22</v>
      </c>
      <c r="H6" s="164">
        <v>40987</v>
      </c>
      <c r="I6" s="161">
        <v>348270798</v>
      </c>
      <c r="J6"/>
      <c r="K6" s="125" t="s">
        <v>3</v>
      </c>
      <c r="L6" s="126" t="s">
        <v>689</v>
      </c>
      <c r="M6" s="127">
        <v>7</v>
      </c>
      <c r="N6" s="126" t="s">
        <v>689</v>
      </c>
      <c r="O6" s="131" t="s">
        <v>689</v>
      </c>
      <c r="P6" s="189" t="s">
        <v>840</v>
      </c>
    </row>
    <row r="7" spans="1:16" x14ac:dyDescent="0.3">
      <c r="A7" t="s">
        <v>2</v>
      </c>
      <c r="B7" s="117">
        <v>166144</v>
      </c>
      <c r="C7" s="117">
        <v>176893</v>
      </c>
      <c r="D7" s="141">
        <v>171995</v>
      </c>
      <c r="E7" s="117">
        <v>185080</v>
      </c>
      <c r="F7">
        <v>13.4</v>
      </c>
      <c r="G7" s="162">
        <v>3.63</v>
      </c>
      <c r="H7" s="164">
        <v>65651</v>
      </c>
      <c r="I7" s="161">
        <v>25948608025</v>
      </c>
      <c r="J7"/>
      <c r="K7" s="125" t="s">
        <v>4</v>
      </c>
      <c r="L7" s="126" t="s">
        <v>690</v>
      </c>
      <c r="M7" s="127">
        <v>8</v>
      </c>
      <c r="N7" s="126" t="s">
        <v>689</v>
      </c>
      <c r="O7" s="131" t="s">
        <v>689</v>
      </c>
      <c r="P7" s="189" t="s">
        <v>841</v>
      </c>
    </row>
    <row r="8" spans="1:16" x14ac:dyDescent="0.3">
      <c r="A8" t="s">
        <v>3</v>
      </c>
      <c r="B8" s="117">
        <v>1280</v>
      </c>
      <c r="C8" s="117">
        <v>1267</v>
      </c>
      <c r="D8" s="141">
        <v>992</v>
      </c>
      <c r="E8" s="117">
        <v>1058</v>
      </c>
      <c r="F8">
        <v>10.3</v>
      </c>
      <c r="G8" s="162">
        <v>3.63</v>
      </c>
      <c r="H8" s="164">
        <v>99375</v>
      </c>
      <c r="I8" s="161">
        <v>186856272</v>
      </c>
      <c r="J8"/>
      <c r="K8" s="125" t="s">
        <v>5</v>
      </c>
      <c r="L8" s="126" t="s">
        <v>689</v>
      </c>
      <c r="M8" s="127">
        <v>1</v>
      </c>
      <c r="N8" s="126" t="s">
        <v>689</v>
      </c>
      <c r="O8" s="131" t="s">
        <v>689</v>
      </c>
      <c r="P8" s="189" t="s">
        <v>5</v>
      </c>
    </row>
    <row r="9" spans="1:16" x14ac:dyDescent="0.3">
      <c r="A9" t="s">
        <v>4</v>
      </c>
      <c r="B9" s="117">
        <v>16073</v>
      </c>
      <c r="C9" s="117">
        <v>16762</v>
      </c>
      <c r="D9" s="141">
        <v>16394</v>
      </c>
      <c r="E9" s="117">
        <v>17414</v>
      </c>
      <c r="F9">
        <v>24.9</v>
      </c>
      <c r="G9" s="162">
        <v>3.09</v>
      </c>
      <c r="H9" s="164">
        <v>46881</v>
      </c>
      <c r="I9" s="161">
        <v>1501235383</v>
      </c>
      <c r="J9"/>
      <c r="K9" s="125" t="s">
        <v>8</v>
      </c>
      <c r="L9" s="132" t="s">
        <v>690</v>
      </c>
      <c r="M9" s="127">
        <v>10</v>
      </c>
      <c r="N9" s="126" t="s">
        <v>689</v>
      </c>
      <c r="O9" s="131" t="s">
        <v>689</v>
      </c>
      <c r="P9" s="189" t="s">
        <v>842</v>
      </c>
    </row>
    <row r="10" spans="1:16" x14ac:dyDescent="0.3">
      <c r="A10" t="s">
        <v>5</v>
      </c>
      <c r="B10" s="117">
        <v>37271</v>
      </c>
      <c r="C10" s="117">
        <v>36412</v>
      </c>
      <c r="D10" s="141">
        <v>36277</v>
      </c>
      <c r="E10" s="117">
        <v>35958</v>
      </c>
      <c r="F10">
        <v>12.6</v>
      </c>
      <c r="G10" s="162">
        <v>3.73</v>
      </c>
      <c r="H10" s="164">
        <v>65354</v>
      </c>
      <c r="I10" s="161">
        <v>4134003593</v>
      </c>
      <c r="J10"/>
      <c r="K10" s="125" t="s">
        <v>9</v>
      </c>
      <c r="L10" s="126" t="s">
        <v>689</v>
      </c>
      <c r="M10" s="127">
        <v>2</v>
      </c>
      <c r="N10" s="126" t="s">
        <v>689</v>
      </c>
      <c r="O10" s="131" t="s">
        <v>689</v>
      </c>
      <c r="P10" s="189" t="s">
        <v>843</v>
      </c>
    </row>
    <row r="11" spans="1:16" x14ac:dyDescent="0.3">
      <c r="A11" t="s">
        <v>6</v>
      </c>
      <c r="B11" s="117">
        <v>11085</v>
      </c>
      <c r="C11" s="117">
        <v>11174</v>
      </c>
      <c r="D11" s="141">
        <v>10895</v>
      </c>
      <c r="E11" s="117">
        <v>11504</v>
      </c>
      <c r="F11">
        <v>16</v>
      </c>
      <c r="G11" s="162">
        <v>3.74</v>
      </c>
      <c r="H11" s="164">
        <v>47172</v>
      </c>
      <c r="I11" s="161">
        <v>2164312891</v>
      </c>
      <c r="J11"/>
      <c r="K11" s="125" t="s">
        <v>10</v>
      </c>
      <c r="L11" s="126" t="s">
        <v>690</v>
      </c>
      <c r="M11" s="127">
        <v>11</v>
      </c>
      <c r="N11" s="126" t="s">
        <v>689</v>
      </c>
      <c r="O11" s="131" t="s">
        <v>689</v>
      </c>
      <c r="P11" s="189" t="s">
        <v>10</v>
      </c>
    </row>
    <row r="12" spans="1:16" x14ac:dyDescent="0.3">
      <c r="A12" t="s">
        <v>7</v>
      </c>
      <c r="B12" s="117">
        <v>1104</v>
      </c>
      <c r="C12" s="117">
        <v>709</v>
      </c>
      <c r="D12" s="141">
        <v>732</v>
      </c>
      <c r="E12" s="117">
        <v>759</v>
      </c>
      <c r="F12">
        <v>18.2</v>
      </c>
      <c r="G12" s="162">
        <v>3.78</v>
      </c>
      <c r="H12" s="164">
        <v>50341</v>
      </c>
      <c r="I12" s="161">
        <v>71709520</v>
      </c>
      <c r="J12"/>
      <c r="K12" s="125" t="s">
        <v>11</v>
      </c>
      <c r="L12" s="126" t="s">
        <v>689</v>
      </c>
      <c r="M12" s="127">
        <v>8</v>
      </c>
      <c r="N12" s="126" t="s">
        <v>689</v>
      </c>
      <c r="O12" s="131" t="s">
        <v>689</v>
      </c>
      <c r="P12" s="189" t="s">
        <v>844</v>
      </c>
    </row>
    <row r="13" spans="1:16" x14ac:dyDescent="0.3">
      <c r="A13" t="s">
        <v>8</v>
      </c>
      <c r="B13" s="117">
        <v>1915</v>
      </c>
      <c r="C13" s="117">
        <v>1998</v>
      </c>
      <c r="D13" s="141">
        <v>1675</v>
      </c>
      <c r="E13" s="117">
        <v>1720</v>
      </c>
      <c r="F13">
        <v>21.4</v>
      </c>
      <c r="G13" s="162">
        <v>3.86</v>
      </c>
      <c r="H13" s="164">
        <v>37061</v>
      </c>
      <c r="I13" s="161">
        <v>125242868</v>
      </c>
      <c r="J13"/>
      <c r="K13" s="125" t="s">
        <v>12</v>
      </c>
      <c r="L13" s="126" t="s">
        <v>689</v>
      </c>
      <c r="M13" s="127">
        <v>3</v>
      </c>
      <c r="N13" s="126" t="s">
        <v>689</v>
      </c>
      <c r="O13" s="131" t="s">
        <v>689</v>
      </c>
      <c r="P13" s="189" t="s">
        <v>845</v>
      </c>
    </row>
    <row r="14" spans="1:16" x14ac:dyDescent="0.3">
      <c r="A14" t="s">
        <v>9</v>
      </c>
      <c r="B14" s="117">
        <v>5748</v>
      </c>
      <c r="C14" s="117">
        <v>6241</v>
      </c>
      <c r="D14" s="141">
        <v>5770</v>
      </c>
      <c r="E14" s="117">
        <v>7791</v>
      </c>
      <c r="F14">
        <v>10.6</v>
      </c>
      <c r="G14" s="162">
        <v>3.52</v>
      </c>
      <c r="H14" s="164">
        <v>52214</v>
      </c>
      <c r="I14" s="161">
        <v>940750013</v>
      </c>
      <c r="J14"/>
      <c r="K14" s="125" t="s">
        <v>14</v>
      </c>
      <c r="L14" s="126" t="s">
        <v>689</v>
      </c>
      <c r="M14" s="127">
        <v>2</v>
      </c>
      <c r="N14" s="126" t="s">
        <v>689</v>
      </c>
      <c r="O14" s="131" t="s">
        <v>689</v>
      </c>
      <c r="P14" s="189" t="s">
        <v>846</v>
      </c>
    </row>
    <row r="15" spans="1:16" x14ac:dyDescent="0.3">
      <c r="A15" t="s">
        <v>10</v>
      </c>
      <c r="B15" s="117">
        <v>24430</v>
      </c>
      <c r="C15" s="117">
        <v>22289</v>
      </c>
      <c r="D15" s="141">
        <v>21955</v>
      </c>
      <c r="E15" s="117">
        <v>21900</v>
      </c>
      <c r="F15">
        <v>21.7</v>
      </c>
      <c r="G15" s="162">
        <v>4.4400000000000004</v>
      </c>
      <c r="H15" s="164">
        <v>47302</v>
      </c>
      <c r="I15" s="161">
        <v>2319925202</v>
      </c>
      <c r="J15"/>
      <c r="K15" s="125" t="s">
        <v>17</v>
      </c>
      <c r="L15" s="126" t="s">
        <v>689</v>
      </c>
      <c r="M15" s="127">
        <v>4</v>
      </c>
      <c r="N15" s="126" t="s">
        <v>689</v>
      </c>
      <c r="O15" s="131" t="s">
        <v>689</v>
      </c>
      <c r="P15" s="189" t="s">
        <v>847</v>
      </c>
    </row>
    <row r="16" spans="1:16" x14ac:dyDescent="0.3">
      <c r="A16" t="s">
        <v>11</v>
      </c>
      <c r="B16" s="117">
        <v>625</v>
      </c>
      <c r="C16" s="117">
        <v>651</v>
      </c>
      <c r="D16" s="141">
        <v>438</v>
      </c>
      <c r="E16" s="117">
        <v>444</v>
      </c>
      <c r="F16">
        <v>13.5</v>
      </c>
      <c r="G16" s="162">
        <v>4.4400000000000004</v>
      </c>
      <c r="H16" s="164">
        <v>48750</v>
      </c>
      <c r="I16" s="161">
        <v>28404963</v>
      </c>
      <c r="J16"/>
      <c r="K16" s="125" t="s">
        <v>18</v>
      </c>
      <c r="L16" s="126" t="s">
        <v>689</v>
      </c>
      <c r="M16" s="127">
        <v>1</v>
      </c>
      <c r="N16" s="126" t="s">
        <v>689</v>
      </c>
      <c r="O16" s="131" t="s">
        <v>689</v>
      </c>
      <c r="P16" s="189" t="s">
        <v>848</v>
      </c>
    </row>
    <row r="17" spans="1:16" x14ac:dyDescent="0.3">
      <c r="A17" t="s">
        <v>12</v>
      </c>
      <c r="B17" s="117">
        <v>55220</v>
      </c>
      <c r="C17" s="117">
        <v>70630</v>
      </c>
      <c r="D17" s="141">
        <v>66086</v>
      </c>
      <c r="E17" s="117">
        <v>75059</v>
      </c>
      <c r="F17">
        <v>2.2000000000000002</v>
      </c>
      <c r="G17" s="162">
        <v>3.17</v>
      </c>
      <c r="H17" s="164">
        <v>144135</v>
      </c>
      <c r="I17" s="161">
        <v>19670245696</v>
      </c>
      <c r="J17"/>
      <c r="K17" s="125" t="s">
        <v>19</v>
      </c>
      <c r="L17" s="126" t="s">
        <v>690</v>
      </c>
      <c r="M17" s="127">
        <v>6</v>
      </c>
      <c r="N17" s="126" t="s">
        <v>689</v>
      </c>
      <c r="O17" s="131" t="s">
        <v>689</v>
      </c>
      <c r="P17" s="189" t="s">
        <v>849</v>
      </c>
    </row>
    <row r="18" spans="1:16" x14ac:dyDescent="0.3">
      <c r="A18" t="s">
        <v>13</v>
      </c>
      <c r="B18" s="117">
        <v>397</v>
      </c>
      <c r="C18" s="117">
        <v>397</v>
      </c>
      <c r="D18" s="141">
        <v>414</v>
      </c>
      <c r="E18" s="117">
        <v>439</v>
      </c>
      <c r="F18">
        <v>18.5</v>
      </c>
      <c r="G18" s="162">
        <v>3.78</v>
      </c>
      <c r="H18" s="164"/>
      <c r="I18" s="161"/>
      <c r="J18"/>
      <c r="K18" s="125" t="s">
        <v>20</v>
      </c>
      <c r="L18" s="126" t="s">
        <v>689</v>
      </c>
      <c r="M18" s="127">
        <v>6</v>
      </c>
      <c r="N18" s="126" t="s">
        <v>689</v>
      </c>
      <c r="O18" s="131" t="s">
        <v>689</v>
      </c>
      <c r="P18" s="189" t="s">
        <v>850</v>
      </c>
    </row>
    <row r="19" spans="1:16" x14ac:dyDescent="0.3">
      <c r="A19" t="s">
        <v>14</v>
      </c>
      <c r="B19" s="117">
        <v>11738</v>
      </c>
      <c r="C19" s="117">
        <v>12087</v>
      </c>
      <c r="D19" s="141">
        <v>11860</v>
      </c>
      <c r="E19" s="117">
        <v>12169</v>
      </c>
      <c r="F19">
        <v>5.2</v>
      </c>
      <c r="G19" s="162">
        <v>3.83</v>
      </c>
      <c r="H19" s="164">
        <v>64757</v>
      </c>
      <c r="I19" s="161">
        <v>1582800231</v>
      </c>
      <c r="J19"/>
      <c r="K19" s="125" t="s">
        <v>21</v>
      </c>
      <c r="L19" s="126" t="s">
        <v>689</v>
      </c>
      <c r="M19" s="127">
        <v>3</v>
      </c>
      <c r="N19" s="126" t="s">
        <v>689</v>
      </c>
      <c r="O19" s="131" t="s">
        <v>689</v>
      </c>
      <c r="P19" s="189" t="s">
        <v>851</v>
      </c>
    </row>
    <row r="20" spans="1:16" x14ac:dyDescent="0.3">
      <c r="A20" t="s">
        <v>15</v>
      </c>
      <c r="B20" s="117">
        <v>5037</v>
      </c>
      <c r="C20" s="117">
        <v>5186</v>
      </c>
      <c r="D20" s="141">
        <v>4824</v>
      </c>
      <c r="E20" s="117">
        <v>5371</v>
      </c>
      <c r="F20">
        <v>17.399999999999999</v>
      </c>
      <c r="G20" s="162">
        <v>3.11</v>
      </c>
      <c r="H20" s="164">
        <v>91188</v>
      </c>
      <c r="I20" s="161">
        <v>444071170</v>
      </c>
      <c r="J20"/>
      <c r="K20" s="125" t="s">
        <v>22</v>
      </c>
      <c r="L20" s="126" t="s">
        <v>690</v>
      </c>
      <c r="M20" s="127">
        <v>2</v>
      </c>
      <c r="N20" s="126" t="s">
        <v>689</v>
      </c>
      <c r="O20" s="131" t="s">
        <v>689</v>
      </c>
      <c r="P20" s="189" t="s">
        <v>852</v>
      </c>
    </row>
    <row r="21" spans="1:16" x14ac:dyDescent="0.3">
      <c r="A21" t="s">
        <v>16</v>
      </c>
      <c r="B21" s="117">
        <v>27009</v>
      </c>
      <c r="C21" s="117">
        <v>26950</v>
      </c>
      <c r="D21" s="141">
        <v>26502</v>
      </c>
      <c r="E21" s="117">
        <v>26431</v>
      </c>
      <c r="F21">
        <v>13.5</v>
      </c>
      <c r="G21" s="162">
        <v>3.12</v>
      </c>
      <c r="H21" s="164">
        <v>56866</v>
      </c>
      <c r="I21" s="161">
        <v>6093988290</v>
      </c>
      <c r="J21"/>
      <c r="K21" s="125" t="s">
        <v>23</v>
      </c>
      <c r="L21" s="126" t="s">
        <v>690</v>
      </c>
      <c r="M21" s="127">
        <v>2</v>
      </c>
      <c r="N21" s="126" t="s">
        <v>689</v>
      </c>
      <c r="O21" s="131" t="s">
        <v>689</v>
      </c>
      <c r="P21" s="189" t="s">
        <v>853</v>
      </c>
    </row>
    <row r="22" spans="1:16" x14ac:dyDescent="0.3">
      <c r="A22" t="s">
        <v>17</v>
      </c>
      <c r="B22" s="117">
        <v>25877</v>
      </c>
      <c r="C22" s="117">
        <v>27580</v>
      </c>
      <c r="D22" s="141">
        <v>27120</v>
      </c>
      <c r="E22" s="117">
        <v>28051</v>
      </c>
      <c r="F22">
        <v>19.7</v>
      </c>
      <c r="G22" s="162">
        <v>3.54</v>
      </c>
      <c r="H22" s="164">
        <v>47197</v>
      </c>
      <c r="I22" s="161">
        <v>3558901795</v>
      </c>
      <c r="J22"/>
      <c r="K22" s="125" t="s">
        <v>24</v>
      </c>
      <c r="L22" s="126" t="s">
        <v>690</v>
      </c>
      <c r="M22" s="127">
        <v>2</v>
      </c>
      <c r="N22" s="126" t="s">
        <v>689</v>
      </c>
      <c r="O22" s="131" t="s">
        <v>689</v>
      </c>
      <c r="P22" s="189" t="s">
        <v>854</v>
      </c>
    </row>
    <row r="23" spans="1:16" x14ac:dyDescent="0.3">
      <c r="A23" t="s">
        <v>18</v>
      </c>
      <c r="B23" s="117">
        <v>92328</v>
      </c>
      <c r="C23" s="117">
        <v>94535</v>
      </c>
      <c r="D23" s="141">
        <v>94809</v>
      </c>
      <c r="E23" s="117">
        <v>98270</v>
      </c>
      <c r="F23">
        <v>14.3</v>
      </c>
      <c r="G23" s="162">
        <v>4.3899999999999997</v>
      </c>
      <c r="H23" s="164">
        <v>71102</v>
      </c>
      <c r="I23" s="161">
        <v>20790208383</v>
      </c>
      <c r="J23"/>
      <c r="K23" s="125" t="s">
        <v>26</v>
      </c>
      <c r="L23" s="126" t="s">
        <v>690</v>
      </c>
      <c r="M23" s="127">
        <v>6</v>
      </c>
      <c r="N23" s="126" t="s">
        <v>689</v>
      </c>
      <c r="O23" s="131" t="s">
        <v>689</v>
      </c>
      <c r="P23" s="189" t="s">
        <v>855</v>
      </c>
    </row>
    <row r="24" spans="1:16" x14ac:dyDescent="0.3">
      <c r="A24" t="s">
        <v>19</v>
      </c>
      <c r="B24" s="117">
        <v>182</v>
      </c>
      <c r="C24" s="117">
        <v>155</v>
      </c>
      <c r="D24" s="141">
        <v>182</v>
      </c>
      <c r="E24" s="117">
        <v>168</v>
      </c>
      <c r="F24">
        <v>15.5</v>
      </c>
      <c r="G24" s="162">
        <v>4.8499999999999996</v>
      </c>
      <c r="H24" s="164">
        <v>41667</v>
      </c>
      <c r="I24" s="161">
        <v>15513874</v>
      </c>
      <c r="J24"/>
      <c r="K24" s="125" t="s">
        <v>28</v>
      </c>
      <c r="L24" s="126" t="s">
        <v>690</v>
      </c>
      <c r="M24" s="127">
        <v>12</v>
      </c>
      <c r="N24" s="126" t="s">
        <v>689</v>
      </c>
      <c r="O24" s="131" t="s">
        <v>689</v>
      </c>
      <c r="P24" s="189" t="s">
        <v>856</v>
      </c>
    </row>
    <row r="25" spans="1:16" x14ac:dyDescent="0.3">
      <c r="A25" t="s">
        <v>20</v>
      </c>
      <c r="B25" s="117">
        <v>351</v>
      </c>
      <c r="C25" s="117">
        <v>485</v>
      </c>
      <c r="D25" s="141">
        <v>299</v>
      </c>
      <c r="E25" s="117">
        <v>332</v>
      </c>
      <c r="F25">
        <v>13.6</v>
      </c>
      <c r="G25" s="162">
        <v>3.33</v>
      </c>
      <c r="H25" s="164">
        <v>59886</v>
      </c>
      <c r="I25" s="161">
        <v>16569298</v>
      </c>
      <c r="J25"/>
      <c r="K25" s="125" t="s">
        <v>29</v>
      </c>
      <c r="L25" s="126" t="s">
        <v>689</v>
      </c>
      <c r="M25" s="127">
        <v>3</v>
      </c>
      <c r="N25" s="126" t="s">
        <v>689</v>
      </c>
      <c r="O25" s="131" t="s">
        <v>689</v>
      </c>
      <c r="P25" s="189" t="s">
        <v>857</v>
      </c>
    </row>
    <row r="26" spans="1:16" x14ac:dyDescent="0.3">
      <c r="A26" t="s">
        <v>21</v>
      </c>
      <c r="B26" s="117">
        <v>1870</v>
      </c>
      <c r="C26" s="117">
        <v>1719</v>
      </c>
      <c r="D26" s="141">
        <v>1381</v>
      </c>
      <c r="E26" s="117">
        <v>1416</v>
      </c>
      <c r="F26">
        <v>15.6</v>
      </c>
      <c r="G26" s="162">
        <v>3.35</v>
      </c>
      <c r="H26" s="164">
        <v>70402</v>
      </c>
      <c r="I26" s="161">
        <v>1959846333</v>
      </c>
      <c r="J26"/>
      <c r="K26" s="125" t="s">
        <v>30</v>
      </c>
      <c r="L26" s="126" t="s">
        <v>689</v>
      </c>
      <c r="M26" s="127">
        <v>3</v>
      </c>
      <c r="N26" s="126" t="s">
        <v>689</v>
      </c>
      <c r="O26" s="131" t="s">
        <v>689</v>
      </c>
      <c r="P26" s="189" t="s">
        <v>858</v>
      </c>
    </row>
    <row r="27" spans="1:16" x14ac:dyDescent="0.3">
      <c r="A27" t="s">
        <v>22</v>
      </c>
      <c r="B27" s="117">
        <v>965</v>
      </c>
      <c r="C27" s="117">
        <v>689</v>
      </c>
      <c r="D27" s="141">
        <v>752</v>
      </c>
      <c r="E27" s="117">
        <v>702</v>
      </c>
      <c r="F27">
        <v>9.9</v>
      </c>
      <c r="G27" s="162">
        <v>4.8499999999999996</v>
      </c>
      <c r="H27" s="164">
        <v>36689</v>
      </c>
      <c r="I27" s="161">
        <v>31320663</v>
      </c>
      <c r="J27"/>
      <c r="K27" s="125" t="s">
        <v>31</v>
      </c>
      <c r="L27" s="126" t="s">
        <v>689</v>
      </c>
      <c r="M27" s="127">
        <v>2</v>
      </c>
      <c r="N27" s="126" t="s">
        <v>689</v>
      </c>
      <c r="O27" s="131" t="s">
        <v>689</v>
      </c>
      <c r="P27" s="189" t="s">
        <v>859</v>
      </c>
    </row>
    <row r="28" spans="1:16" x14ac:dyDescent="0.3">
      <c r="A28" t="s">
        <v>23</v>
      </c>
      <c r="B28" s="117">
        <v>772</v>
      </c>
      <c r="C28" s="117">
        <v>560</v>
      </c>
      <c r="D28" s="141">
        <v>453</v>
      </c>
      <c r="E28" s="117">
        <v>448</v>
      </c>
      <c r="F28">
        <v>26.2</v>
      </c>
      <c r="G28" s="162">
        <v>3.68</v>
      </c>
      <c r="H28" s="164">
        <v>46131</v>
      </c>
      <c r="I28" s="161">
        <v>25170919</v>
      </c>
      <c r="J28"/>
      <c r="K28" s="125" t="s">
        <v>32</v>
      </c>
      <c r="L28" s="126" t="s">
        <v>690</v>
      </c>
      <c r="M28" s="127">
        <v>11</v>
      </c>
      <c r="N28" s="126" t="s">
        <v>689</v>
      </c>
      <c r="O28" s="131" t="s">
        <v>689</v>
      </c>
      <c r="P28" s="189" t="s">
        <v>860</v>
      </c>
    </row>
    <row r="29" spans="1:16" x14ac:dyDescent="0.3">
      <c r="A29" t="s">
        <v>24</v>
      </c>
      <c r="B29" s="117">
        <v>192</v>
      </c>
      <c r="C29" s="117">
        <v>177</v>
      </c>
      <c r="D29" s="141">
        <v>173</v>
      </c>
      <c r="E29" s="117">
        <v>172</v>
      </c>
      <c r="F29">
        <v>14.5</v>
      </c>
      <c r="G29" s="162">
        <v>3.98</v>
      </c>
      <c r="H29" s="164">
        <v>43636</v>
      </c>
      <c r="I29" s="161">
        <v>28279968</v>
      </c>
      <c r="J29"/>
      <c r="K29" s="125" t="s">
        <v>33</v>
      </c>
      <c r="L29" s="126" t="s">
        <v>690</v>
      </c>
      <c r="M29" s="127">
        <v>8</v>
      </c>
      <c r="N29" s="126" t="s">
        <v>689</v>
      </c>
      <c r="O29" s="131" t="s">
        <v>689</v>
      </c>
      <c r="P29" s="189" t="s">
        <v>33</v>
      </c>
    </row>
    <row r="30" spans="1:16" x14ac:dyDescent="0.3">
      <c r="A30" t="s">
        <v>25</v>
      </c>
      <c r="B30" s="117">
        <v>17510</v>
      </c>
      <c r="C30" s="117">
        <v>17680</v>
      </c>
      <c r="D30" s="141">
        <v>17717</v>
      </c>
      <c r="E30" s="117">
        <v>17752</v>
      </c>
      <c r="F30">
        <v>10.199999999999999</v>
      </c>
      <c r="G30" s="162">
        <v>4.28</v>
      </c>
      <c r="H30" s="164">
        <v>61428</v>
      </c>
      <c r="I30" s="161">
        <v>6357469784</v>
      </c>
      <c r="J30"/>
      <c r="K30" s="125" t="s">
        <v>36</v>
      </c>
      <c r="L30" s="126" t="s">
        <v>689</v>
      </c>
      <c r="M30" s="127">
        <v>2</v>
      </c>
      <c r="N30" s="126" t="s">
        <v>689</v>
      </c>
      <c r="O30" s="131" t="s">
        <v>689</v>
      </c>
      <c r="P30" s="189" t="s">
        <v>36</v>
      </c>
    </row>
    <row r="31" spans="1:16" x14ac:dyDescent="0.3">
      <c r="A31" t="s">
        <v>26</v>
      </c>
      <c r="B31" s="117">
        <v>5138</v>
      </c>
      <c r="C31" s="117">
        <v>5150</v>
      </c>
      <c r="D31" s="141">
        <v>5151</v>
      </c>
      <c r="E31" s="117">
        <v>5573</v>
      </c>
      <c r="F31">
        <v>22.4</v>
      </c>
      <c r="G31" s="162">
        <v>4.0999999999999996</v>
      </c>
      <c r="H31" s="164">
        <v>42413</v>
      </c>
      <c r="I31" s="161">
        <v>501731702</v>
      </c>
      <c r="J31"/>
      <c r="K31" s="125" t="s">
        <v>37</v>
      </c>
      <c r="L31" s="126" t="s">
        <v>689</v>
      </c>
      <c r="M31" s="127">
        <v>4</v>
      </c>
      <c r="N31" s="126" t="s">
        <v>689</v>
      </c>
      <c r="O31" s="131" t="s">
        <v>689</v>
      </c>
      <c r="P31" s="189" t="s">
        <v>861</v>
      </c>
    </row>
    <row r="32" spans="1:16" x14ac:dyDescent="0.3">
      <c r="A32" t="s">
        <v>27</v>
      </c>
      <c r="B32" s="117">
        <v>1976</v>
      </c>
      <c r="C32" s="117">
        <v>2184</v>
      </c>
      <c r="D32" s="141">
        <v>2005</v>
      </c>
      <c r="E32" s="117">
        <v>1913</v>
      </c>
      <c r="F32">
        <v>19.600000000000001</v>
      </c>
      <c r="G32" s="162">
        <v>3.09</v>
      </c>
      <c r="H32" s="164">
        <v>53145</v>
      </c>
      <c r="I32" s="161">
        <v>68262477</v>
      </c>
      <c r="J32"/>
      <c r="K32" s="125" t="s">
        <v>38</v>
      </c>
      <c r="L32" s="126" t="s">
        <v>689</v>
      </c>
      <c r="M32" s="127">
        <v>3</v>
      </c>
      <c r="N32" s="126" t="s">
        <v>689</v>
      </c>
      <c r="O32" s="131" t="s">
        <v>689</v>
      </c>
      <c r="P32" s="189" t="s">
        <v>862</v>
      </c>
    </row>
    <row r="33" spans="1:16" x14ac:dyDescent="0.3">
      <c r="A33" t="s">
        <v>28</v>
      </c>
      <c r="B33" s="117">
        <v>492</v>
      </c>
      <c r="C33" s="117">
        <v>422</v>
      </c>
      <c r="D33" s="141">
        <v>564</v>
      </c>
      <c r="E33" s="117">
        <v>597</v>
      </c>
      <c r="F33">
        <v>17.8</v>
      </c>
      <c r="G33" s="162">
        <v>4.5</v>
      </c>
      <c r="H33" s="164">
        <v>60208</v>
      </c>
      <c r="I33" s="161">
        <v>55286220</v>
      </c>
      <c r="J33"/>
      <c r="K33" s="125" t="s">
        <v>39</v>
      </c>
      <c r="L33" s="126" t="s">
        <v>689</v>
      </c>
      <c r="M33" s="127">
        <v>0</v>
      </c>
      <c r="N33" s="126" t="s">
        <v>689</v>
      </c>
      <c r="O33" s="131" t="s">
        <v>689</v>
      </c>
      <c r="P33" s="189" t="s">
        <v>863</v>
      </c>
    </row>
    <row r="34" spans="1:16" x14ac:dyDescent="0.3">
      <c r="A34" t="s">
        <v>29</v>
      </c>
      <c r="B34" s="117">
        <v>706</v>
      </c>
      <c r="C34" s="117">
        <v>747</v>
      </c>
      <c r="D34" s="141">
        <v>448</v>
      </c>
      <c r="E34" s="117">
        <v>443</v>
      </c>
      <c r="F34">
        <v>22.4</v>
      </c>
      <c r="G34" s="162">
        <v>4.5599999999999996</v>
      </c>
      <c r="H34" s="164">
        <v>50263</v>
      </c>
      <c r="I34" s="161">
        <v>44448012</v>
      </c>
      <c r="J34"/>
      <c r="K34" s="125" t="s">
        <v>40</v>
      </c>
      <c r="L34" s="126" t="s">
        <v>690</v>
      </c>
      <c r="M34" s="127">
        <v>7</v>
      </c>
      <c r="N34" s="126" t="s">
        <v>689</v>
      </c>
      <c r="O34" s="131" t="s">
        <v>689</v>
      </c>
      <c r="P34" s="189" t="s">
        <v>864</v>
      </c>
    </row>
    <row r="35" spans="1:16" x14ac:dyDescent="0.3">
      <c r="A35" t="s">
        <v>30</v>
      </c>
      <c r="B35" s="117">
        <v>209</v>
      </c>
      <c r="C35" s="117">
        <v>190</v>
      </c>
      <c r="D35" s="141">
        <v>268</v>
      </c>
      <c r="E35" s="117">
        <v>318</v>
      </c>
      <c r="F35">
        <v>6.8</v>
      </c>
      <c r="G35" s="162">
        <v>4.04</v>
      </c>
      <c r="H35" s="164">
        <v>209219</v>
      </c>
      <c r="I35" s="161">
        <v>1878293450</v>
      </c>
      <c r="J35"/>
      <c r="K35" s="125" t="s">
        <v>41</v>
      </c>
      <c r="L35" s="126" t="s">
        <v>690</v>
      </c>
      <c r="M35" s="127">
        <v>8</v>
      </c>
      <c r="N35" s="126" t="s">
        <v>689</v>
      </c>
      <c r="O35" s="131" t="s">
        <v>689</v>
      </c>
      <c r="P35" s="189" t="s">
        <v>865</v>
      </c>
    </row>
    <row r="36" spans="1:16" x14ac:dyDescent="0.3">
      <c r="A36" t="s">
        <v>31</v>
      </c>
      <c r="B36" s="117">
        <v>1473</v>
      </c>
      <c r="C36" s="117">
        <v>1473</v>
      </c>
      <c r="D36" s="141">
        <v>1132</v>
      </c>
      <c r="E36" s="117">
        <v>1253</v>
      </c>
      <c r="F36">
        <v>13</v>
      </c>
      <c r="G36" s="162">
        <v>4.28</v>
      </c>
      <c r="H36" s="164">
        <v>86382</v>
      </c>
      <c r="I36" s="161">
        <v>375976948</v>
      </c>
      <c r="J36"/>
      <c r="K36" s="125" t="s">
        <v>44</v>
      </c>
      <c r="L36" s="126" t="s">
        <v>690</v>
      </c>
      <c r="M36" s="127">
        <v>6</v>
      </c>
      <c r="N36" s="126" t="s">
        <v>689</v>
      </c>
      <c r="O36" s="131" t="s">
        <v>689</v>
      </c>
      <c r="P36" s="189" t="s">
        <v>866</v>
      </c>
    </row>
    <row r="37" spans="1:16" x14ac:dyDescent="0.3">
      <c r="A37" t="s">
        <v>32</v>
      </c>
      <c r="B37" s="117">
        <v>220</v>
      </c>
      <c r="C37" s="117">
        <v>391</v>
      </c>
      <c r="D37" s="141">
        <v>243</v>
      </c>
      <c r="E37" s="117">
        <v>241</v>
      </c>
      <c r="F37">
        <v>10</v>
      </c>
      <c r="G37" s="162">
        <v>3.68</v>
      </c>
      <c r="H37" s="164">
        <v>103611</v>
      </c>
      <c r="I37" s="161">
        <v>53049162</v>
      </c>
      <c r="J37"/>
      <c r="K37" s="125" t="s">
        <v>45</v>
      </c>
      <c r="L37" s="126" t="s">
        <v>689</v>
      </c>
      <c r="M37" s="127">
        <v>6</v>
      </c>
      <c r="N37" s="126" t="s">
        <v>689</v>
      </c>
      <c r="O37" s="131" t="s">
        <v>689</v>
      </c>
      <c r="P37" s="189" t="s">
        <v>867</v>
      </c>
    </row>
    <row r="38" spans="1:16" x14ac:dyDescent="0.3">
      <c r="A38" t="s">
        <v>34</v>
      </c>
      <c r="B38" s="117">
        <v>1242</v>
      </c>
      <c r="C38" s="117">
        <v>1266</v>
      </c>
      <c r="D38" s="141">
        <v>1244</v>
      </c>
      <c r="E38" s="117">
        <v>1248</v>
      </c>
      <c r="F38">
        <v>12.2</v>
      </c>
      <c r="G38" s="162">
        <v>3.78</v>
      </c>
      <c r="H38" s="164">
        <v>33636</v>
      </c>
      <c r="I38" s="161">
        <v>46657136</v>
      </c>
      <c r="J38"/>
      <c r="K38" s="125" t="s">
        <v>46</v>
      </c>
      <c r="L38" s="126" t="s">
        <v>690</v>
      </c>
      <c r="M38" s="127">
        <v>2</v>
      </c>
      <c r="N38" s="126" t="s">
        <v>689</v>
      </c>
      <c r="O38" s="131" t="s">
        <v>689</v>
      </c>
      <c r="P38" s="189" t="s">
        <v>46</v>
      </c>
    </row>
    <row r="39" spans="1:16" x14ac:dyDescent="0.3">
      <c r="A39" t="s">
        <v>35</v>
      </c>
      <c r="B39" s="117">
        <v>82</v>
      </c>
      <c r="C39" s="117">
        <v>133</v>
      </c>
      <c r="D39" s="141">
        <v>85</v>
      </c>
      <c r="E39" s="117">
        <v>85</v>
      </c>
      <c r="F39">
        <v>0.8</v>
      </c>
      <c r="G39" s="162">
        <v>4.08</v>
      </c>
      <c r="H39" s="164">
        <v>77679</v>
      </c>
      <c r="I39" s="161">
        <v>5879275</v>
      </c>
      <c r="J39"/>
      <c r="K39" s="125" t="s">
        <v>47</v>
      </c>
      <c r="L39" s="126" t="s">
        <v>689</v>
      </c>
      <c r="M39" s="127">
        <v>5</v>
      </c>
      <c r="N39" s="126" t="s">
        <v>689</v>
      </c>
      <c r="O39" s="131" t="s">
        <v>689</v>
      </c>
      <c r="P39" s="189" t="s">
        <v>868</v>
      </c>
    </row>
    <row r="40" spans="1:16" x14ac:dyDescent="0.3">
      <c r="A40" t="s">
        <v>36</v>
      </c>
      <c r="B40" s="117">
        <v>47160</v>
      </c>
      <c r="C40" s="117">
        <v>44499</v>
      </c>
      <c r="D40" s="141">
        <v>44550</v>
      </c>
      <c r="E40" s="117">
        <v>44216</v>
      </c>
      <c r="F40">
        <v>17.8</v>
      </c>
      <c r="G40" s="162">
        <v>3.68</v>
      </c>
      <c r="H40" s="164">
        <v>58357</v>
      </c>
      <c r="I40" s="161">
        <v>6578265641</v>
      </c>
      <c r="J40"/>
      <c r="K40" s="125" t="s">
        <v>50</v>
      </c>
      <c r="L40" s="126" t="s">
        <v>690</v>
      </c>
      <c r="M40" s="127">
        <v>7</v>
      </c>
      <c r="N40" s="126" t="s">
        <v>689</v>
      </c>
      <c r="O40" s="131" t="s">
        <v>689</v>
      </c>
      <c r="P40" s="189" t="s">
        <v>869</v>
      </c>
    </row>
    <row r="41" spans="1:16" x14ac:dyDescent="0.3">
      <c r="A41" t="s">
        <v>37</v>
      </c>
      <c r="B41" s="117">
        <v>4382</v>
      </c>
      <c r="C41" s="117">
        <v>4689</v>
      </c>
      <c r="D41" s="141">
        <v>4531</v>
      </c>
      <c r="E41" s="117">
        <v>4980</v>
      </c>
      <c r="F41">
        <v>11.2</v>
      </c>
      <c r="G41" s="162">
        <v>3.35</v>
      </c>
      <c r="H41" s="164">
        <v>53321</v>
      </c>
      <c r="I41" s="161">
        <v>1309331442</v>
      </c>
      <c r="J41"/>
      <c r="K41" s="125" t="s">
        <v>51</v>
      </c>
      <c r="L41" s="126" t="s">
        <v>689</v>
      </c>
      <c r="M41" s="127">
        <v>6</v>
      </c>
      <c r="N41" s="126" t="s">
        <v>689</v>
      </c>
      <c r="O41" s="131" t="s">
        <v>689</v>
      </c>
      <c r="P41" s="189" t="s">
        <v>870</v>
      </c>
    </row>
    <row r="42" spans="1:16" x14ac:dyDescent="0.3">
      <c r="A42" t="s">
        <v>38</v>
      </c>
      <c r="B42" s="117">
        <v>766</v>
      </c>
      <c r="C42" s="117">
        <v>987</v>
      </c>
      <c r="D42" s="141">
        <v>668</v>
      </c>
      <c r="E42" s="117">
        <v>717</v>
      </c>
      <c r="F42">
        <v>6.4</v>
      </c>
      <c r="G42" s="162">
        <v>3.85</v>
      </c>
      <c r="H42" s="164">
        <v>90855</v>
      </c>
      <c r="I42" s="161">
        <v>1051231156</v>
      </c>
      <c r="J42"/>
      <c r="K42" s="125" t="s">
        <v>52</v>
      </c>
      <c r="L42" s="126" t="s">
        <v>689</v>
      </c>
      <c r="M42" s="127">
        <v>8</v>
      </c>
      <c r="N42" s="126" t="s">
        <v>689</v>
      </c>
      <c r="O42" s="131" t="s">
        <v>689</v>
      </c>
      <c r="P42" s="189" t="s">
        <v>871</v>
      </c>
    </row>
    <row r="43" spans="1:16" x14ac:dyDescent="0.3">
      <c r="A43" t="s">
        <v>40</v>
      </c>
      <c r="B43" s="117">
        <v>1239</v>
      </c>
      <c r="C43" s="117">
        <v>1577</v>
      </c>
      <c r="D43" s="141">
        <v>1404</v>
      </c>
      <c r="E43" s="117">
        <v>1378</v>
      </c>
      <c r="F43">
        <v>40.299999999999997</v>
      </c>
      <c r="G43" s="162">
        <v>3.68</v>
      </c>
      <c r="H43" s="164">
        <v>32644</v>
      </c>
      <c r="I43" s="161">
        <v>115832569</v>
      </c>
      <c r="J43"/>
      <c r="K43" s="125" t="s">
        <v>53</v>
      </c>
      <c r="L43" s="126" t="s">
        <v>690</v>
      </c>
      <c r="M43" s="127">
        <v>2</v>
      </c>
      <c r="N43" s="126" t="s">
        <v>689</v>
      </c>
      <c r="O43" s="131" t="s">
        <v>689</v>
      </c>
      <c r="P43" s="189" t="s">
        <v>872</v>
      </c>
    </row>
    <row r="44" spans="1:16" x14ac:dyDescent="0.3">
      <c r="A44" t="s">
        <v>41</v>
      </c>
      <c r="B44" s="117">
        <v>12292</v>
      </c>
      <c r="C44" s="117">
        <v>15546</v>
      </c>
      <c r="D44" s="141">
        <v>15314</v>
      </c>
      <c r="E44" s="117">
        <v>17824</v>
      </c>
      <c r="F44">
        <v>7.9</v>
      </c>
      <c r="G44" s="162">
        <v>3.74</v>
      </c>
      <c r="H44" s="164">
        <v>94883</v>
      </c>
      <c r="I44" s="161">
        <v>3550964960</v>
      </c>
      <c r="J44"/>
      <c r="K44" s="125" t="s">
        <v>54</v>
      </c>
      <c r="L44" s="126" t="s">
        <v>689</v>
      </c>
      <c r="M44" s="127">
        <v>2</v>
      </c>
      <c r="N44" s="126" t="s">
        <v>689</v>
      </c>
      <c r="O44" s="131" t="s">
        <v>689</v>
      </c>
      <c r="P44" s="189" t="s">
        <v>873</v>
      </c>
    </row>
    <row r="45" spans="1:16" x14ac:dyDescent="0.3">
      <c r="A45" t="s">
        <v>42</v>
      </c>
      <c r="B45" s="117">
        <v>2696</v>
      </c>
      <c r="C45" s="117">
        <v>2573</v>
      </c>
      <c r="D45" s="141">
        <v>2431</v>
      </c>
      <c r="E45" s="117">
        <v>3105</v>
      </c>
      <c r="F45">
        <v>10.7</v>
      </c>
      <c r="G45" s="162">
        <v>4.04</v>
      </c>
      <c r="H45" s="164">
        <v>81944</v>
      </c>
      <c r="I45" s="161">
        <v>377069830</v>
      </c>
      <c r="J45"/>
      <c r="K45" s="125" t="s">
        <v>55</v>
      </c>
      <c r="L45" s="126" t="s">
        <v>689</v>
      </c>
      <c r="M45" s="127">
        <v>3</v>
      </c>
      <c r="N45" s="126" t="s">
        <v>689</v>
      </c>
      <c r="O45" s="131" t="s">
        <v>689</v>
      </c>
      <c r="P45" s="189" t="s">
        <v>55</v>
      </c>
    </row>
    <row r="46" spans="1:16" x14ac:dyDescent="0.3">
      <c r="A46" t="s">
        <v>43</v>
      </c>
      <c r="B46" s="117">
        <v>1130</v>
      </c>
      <c r="C46" s="117">
        <v>893</v>
      </c>
      <c r="D46" s="141">
        <v>855</v>
      </c>
      <c r="E46" s="117">
        <v>847</v>
      </c>
      <c r="F46">
        <v>14.8</v>
      </c>
      <c r="G46" s="162">
        <v>4.0599999999999996</v>
      </c>
      <c r="H46" s="164">
        <v>51299</v>
      </c>
      <c r="I46" s="161">
        <v>74242910</v>
      </c>
      <c r="J46"/>
      <c r="K46" s="125" t="s">
        <v>56</v>
      </c>
      <c r="L46" s="126" t="s">
        <v>690</v>
      </c>
      <c r="M46" s="127">
        <v>11</v>
      </c>
      <c r="N46" s="126" t="s">
        <v>689</v>
      </c>
      <c r="O46" s="131" t="s">
        <v>689</v>
      </c>
      <c r="P46" s="189" t="s">
        <v>874</v>
      </c>
    </row>
    <row r="47" spans="1:16" x14ac:dyDescent="0.3">
      <c r="A47" t="s">
        <v>44</v>
      </c>
      <c r="B47" s="117">
        <v>3843</v>
      </c>
      <c r="C47" s="117">
        <v>4282</v>
      </c>
      <c r="D47" s="141">
        <v>4010</v>
      </c>
      <c r="E47" s="117">
        <v>4525</v>
      </c>
      <c r="F47">
        <v>14.4</v>
      </c>
      <c r="G47" s="162">
        <v>3.11</v>
      </c>
      <c r="H47" s="164">
        <v>67102</v>
      </c>
      <c r="I47" s="161">
        <v>462609883</v>
      </c>
      <c r="J47"/>
      <c r="K47" s="125" t="s">
        <v>57</v>
      </c>
      <c r="L47" s="126" t="s">
        <v>689</v>
      </c>
      <c r="M47" s="127">
        <v>7</v>
      </c>
      <c r="N47" s="126" t="s">
        <v>689</v>
      </c>
      <c r="O47" s="131" t="s">
        <v>689</v>
      </c>
      <c r="P47" s="189" t="s">
        <v>875</v>
      </c>
    </row>
    <row r="48" spans="1:16" x14ac:dyDescent="0.3">
      <c r="A48" t="s">
        <v>45</v>
      </c>
      <c r="B48" s="117">
        <v>2688</v>
      </c>
      <c r="C48" s="117">
        <v>3211</v>
      </c>
      <c r="D48" s="141">
        <v>3129</v>
      </c>
      <c r="E48" s="117">
        <v>3416</v>
      </c>
      <c r="F48">
        <v>4.5999999999999996</v>
      </c>
      <c r="G48" s="162">
        <v>3.27</v>
      </c>
      <c r="H48" s="164">
        <v>69301</v>
      </c>
      <c r="I48" s="161">
        <v>691106542</v>
      </c>
      <c r="J48"/>
      <c r="K48" s="125" t="s">
        <v>58</v>
      </c>
      <c r="L48" s="126" t="s">
        <v>690</v>
      </c>
      <c r="M48" s="127">
        <v>5</v>
      </c>
      <c r="N48" s="126" t="s">
        <v>689</v>
      </c>
      <c r="O48" s="131" t="s">
        <v>689</v>
      </c>
      <c r="P48" s="189" t="s">
        <v>876</v>
      </c>
    </row>
    <row r="49" spans="1:16" x14ac:dyDescent="0.3">
      <c r="A49" t="s">
        <v>46</v>
      </c>
      <c r="B49" s="117">
        <v>19081</v>
      </c>
      <c r="C49" s="117">
        <v>17170</v>
      </c>
      <c r="D49" s="141">
        <v>17654</v>
      </c>
      <c r="E49" s="117">
        <v>16790</v>
      </c>
      <c r="F49">
        <v>16.100000000000001</v>
      </c>
      <c r="G49" s="162">
        <v>4.8499999999999996</v>
      </c>
      <c r="H49" s="164">
        <v>48750</v>
      </c>
      <c r="I49" s="161">
        <v>1504122719</v>
      </c>
      <c r="J49"/>
      <c r="K49" s="125" t="s">
        <v>61</v>
      </c>
      <c r="L49" s="126" t="s">
        <v>689</v>
      </c>
      <c r="M49" s="127">
        <v>4</v>
      </c>
      <c r="N49" s="126" t="s">
        <v>689</v>
      </c>
      <c r="O49" s="131" t="s">
        <v>689</v>
      </c>
      <c r="P49" s="189" t="s">
        <v>877</v>
      </c>
    </row>
    <row r="50" spans="1:16" x14ac:dyDescent="0.3">
      <c r="A50" t="s">
        <v>47</v>
      </c>
      <c r="B50" s="117">
        <v>5536</v>
      </c>
      <c r="C50" s="117">
        <v>5580</v>
      </c>
      <c r="D50" s="141">
        <v>5457</v>
      </c>
      <c r="E50" s="117">
        <v>5751</v>
      </c>
      <c r="F50">
        <v>16.399999999999999</v>
      </c>
      <c r="G50" s="162">
        <v>3.74</v>
      </c>
      <c r="H50" s="164">
        <v>60300</v>
      </c>
      <c r="I50" s="161">
        <v>886509635</v>
      </c>
      <c r="J50"/>
      <c r="K50" s="125" t="s">
        <v>63</v>
      </c>
      <c r="L50" s="126" t="s">
        <v>690</v>
      </c>
      <c r="M50" s="127">
        <v>6</v>
      </c>
      <c r="N50" s="126" t="s">
        <v>689</v>
      </c>
      <c r="O50" s="131" t="s">
        <v>689</v>
      </c>
      <c r="P50" s="189" t="s">
        <v>878</v>
      </c>
    </row>
    <row r="51" spans="1:16" x14ac:dyDescent="0.3">
      <c r="A51" t="s">
        <v>48</v>
      </c>
      <c r="B51" s="117">
        <v>351</v>
      </c>
      <c r="C51" s="117">
        <v>443</v>
      </c>
      <c r="D51" s="141">
        <v>347</v>
      </c>
      <c r="E51" s="117">
        <v>353</v>
      </c>
      <c r="F51">
        <v>15.6</v>
      </c>
      <c r="G51" s="162">
        <v>3.79</v>
      </c>
      <c r="H51" s="164">
        <v>87866</v>
      </c>
      <c r="I51" s="161">
        <v>44153844</v>
      </c>
      <c r="J51"/>
      <c r="K51" s="125" t="s">
        <v>64</v>
      </c>
      <c r="L51" s="126" t="s">
        <v>689</v>
      </c>
      <c r="M51" s="127">
        <v>2</v>
      </c>
      <c r="N51" s="126" t="s">
        <v>689</v>
      </c>
      <c r="O51" s="131" t="s">
        <v>689</v>
      </c>
      <c r="P51" s="189" t="s">
        <v>879</v>
      </c>
    </row>
    <row r="52" spans="1:16" x14ac:dyDescent="0.3">
      <c r="A52" t="s">
        <v>49</v>
      </c>
      <c r="B52" s="117">
        <v>1987</v>
      </c>
      <c r="C52" s="117">
        <v>1544</v>
      </c>
      <c r="D52" s="141">
        <v>1393</v>
      </c>
      <c r="E52" s="117">
        <v>1418</v>
      </c>
      <c r="F52">
        <v>16.8</v>
      </c>
      <c r="G52" s="162">
        <v>4.0999999999999996</v>
      </c>
      <c r="H52" s="164">
        <v>52961</v>
      </c>
      <c r="I52" s="161">
        <v>115747158</v>
      </c>
      <c r="J52"/>
      <c r="K52" s="125" t="s">
        <v>65</v>
      </c>
      <c r="L52" s="126" t="s">
        <v>689</v>
      </c>
      <c r="M52" s="127">
        <v>7</v>
      </c>
      <c r="N52" s="126" t="s">
        <v>689</v>
      </c>
      <c r="O52" s="131" t="s">
        <v>689</v>
      </c>
      <c r="P52" s="189" t="s">
        <v>880</v>
      </c>
    </row>
    <row r="53" spans="1:16" x14ac:dyDescent="0.3">
      <c r="A53" t="s">
        <v>50</v>
      </c>
      <c r="B53" s="117">
        <v>1666</v>
      </c>
      <c r="C53" s="117">
        <v>1307</v>
      </c>
      <c r="D53" s="141">
        <v>1115</v>
      </c>
      <c r="E53" s="117">
        <v>1120</v>
      </c>
      <c r="F53">
        <v>26.5</v>
      </c>
      <c r="G53" s="162">
        <v>3.26</v>
      </c>
      <c r="H53" s="164">
        <v>37188</v>
      </c>
      <c r="I53" s="161">
        <v>110135440</v>
      </c>
      <c r="J53"/>
      <c r="K53" s="125" t="s">
        <v>66</v>
      </c>
      <c r="L53" s="126" t="s">
        <v>689</v>
      </c>
      <c r="M53" s="127">
        <v>3</v>
      </c>
      <c r="N53" s="126" t="s">
        <v>689</v>
      </c>
      <c r="O53" s="131" t="s">
        <v>689</v>
      </c>
      <c r="P53" s="189" t="s">
        <v>881</v>
      </c>
    </row>
    <row r="54" spans="1:16" x14ac:dyDescent="0.3">
      <c r="A54" t="s">
        <v>51</v>
      </c>
      <c r="B54" s="117">
        <v>1679</v>
      </c>
      <c r="C54" s="117">
        <v>1587</v>
      </c>
      <c r="D54" s="141">
        <v>1397</v>
      </c>
      <c r="E54" s="117">
        <v>1430</v>
      </c>
      <c r="F54">
        <v>2</v>
      </c>
      <c r="G54" s="162">
        <v>4.3899999999999997</v>
      </c>
      <c r="H54" s="164">
        <v>169167</v>
      </c>
      <c r="I54" s="161">
        <v>930350171</v>
      </c>
      <c r="J54"/>
      <c r="K54" s="125" t="s">
        <v>67</v>
      </c>
      <c r="L54" s="126" t="s">
        <v>689</v>
      </c>
      <c r="M54" s="127">
        <v>2</v>
      </c>
      <c r="N54" s="126" t="s">
        <v>689</v>
      </c>
      <c r="O54" s="131" t="s">
        <v>689</v>
      </c>
      <c r="P54" s="189" t="s">
        <v>882</v>
      </c>
    </row>
    <row r="55" spans="1:16" x14ac:dyDescent="0.3">
      <c r="A55" t="s">
        <v>52</v>
      </c>
      <c r="B55" s="117">
        <v>2722</v>
      </c>
      <c r="C55" s="117">
        <v>2116</v>
      </c>
      <c r="D55" s="141">
        <v>1841</v>
      </c>
      <c r="E55" s="117">
        <v>1881</v>
      </c>
      <c r="F55">
        <v>34.9</v>
      </c>
      <c r="G55" s="162">
        <v>3.89</v>
      </c>
      <c r="H55" s="164">
        <v>45190</v>
      </c>
      <c r="I55" s="161">
        <v>187785027</v>
      </c>
      <c r="J55"/>
      <c r="K55" s="125" t="s">
        <v>68</v>
      </c>
      <c r="L55" s="126" t="s">
        <v>690</v>
      </c>
      <c r="M55" s="127">
        <v>11</v>
      </c>
      <c r="N55" s="126" t="s">
        <v>689</v>
      </c>
      <c r="O55" s="131" t="s">
        <v>689</v>
      </c>
      <c r="P55" s="189" t="s">
        <v>883</v>
      </c>
    </row>
    <row r="56" spans="1:16" x14ac:dyDescent="0.3">
      <c r="A56" t="s">
        <v>53</v>
      </c>
      <c r="B56" s="117">
        <v>932</v>
      </c>
      <c r="C56" s="117">
        <v>749</v>
      </c>
      <c r="D56" s="141">
        <v>685</v>
      </c>
      <c r="E56" s="117">
        <v>688</v>
      </c>
      <c r="F56">
        <v>20.2</v>
      </c>
      <c r="G56" s="162">
        <v>5.09</v>
      </c>
      <c r="H56" s="164">
        <v>53750</v>
      </c>
      <c r="I56" s="161">
        <v>51510841</v>
      </c>
      <c r="J56"/>
      <c r="K56" s="125" t="s">
        <v>69</v>
      </c>
      <c r="L56" s="126" t="s">
        <v>689</v>
      </c>
      <c r="M56" s="127">
        <v>1</v>
      </c>
      <c r="N56" s="126" t="s">
        <v>689</v>
      </c>
      <c r="O56" s="131" t="s">
        <v>689</v>
      </c>
      <c r="P56" s="189" t="s">
        <v>69</v>
      </c>
    </row>
    <row r="57" spans="1:16" x14ac:dyDescent="0.3">
      <c r="A57" t="s">
        <v>54</v>
      </c>
      <c r="B57" s="117">
        <v>8177</v>
      </c>
      <c r="C57" s="117">
        <v>8513</v>
      </c>
      <c r="D57" s="141">
        <v>8478</v>
      </c>
      <c r="E57" s="117">
        <v>8678</v>
      </c>
      <c r="F57">
        <v>5.9</v>
      </c>
      <c r="G57" s="162">
        <v>4.3899999999999997</v>
      </c>
      <c r="H57" s="164">
        <v>77042</v>
      </c>
      <c r="I57" s="161">
        <v>1757452001</v>
      </c>
      <c r="J57"/>
      <c r="K57" s="125" t="s">
        <v>70</v>
      </c>
      <c r="L57" s="126" t="s">
        <v>689</v>
      </c>
      <c r="M57" s="127">
        <v>4</v>
      </c>
      <c r="N57" s="126" t="s">
        <v>689</v>
      </c>
      <c r="O57" s="131" t="s">
        <v>689</v>
      </c>
      <c r="P57" s="189" t="s">
        <v>884</v>
      </c>
    </row>
    <row r="58" spans="1:16" x14ac:dyDescent="0.3">
      <c r="A58" t="s">
        <v>55</v>
      </c>
      <c r="B58" s="117">
        <v>33209</v>
      </c>
      <c r="C58" s="117">
        <v>29566</v>
      </c>
      <c r="D58" s="141">
        <v>29486</v>
      </c>
      <c r="E58" s="117">
        <v>29393</v>
      </c>
      <c r="F58">
        <v>22</v>
      </c>
      <c r="G58" s="162">
        <v>4.97</v>
      </c>
      <c r="H58" s="164">
        <v>42422</v>
      </c>
      <c r="I58" s="161">
        <v>3610266643</v>
      </c>
      <c r="J58"/>
      <c r="K58" s="125" t="s">
        <v>72</v>
      </c>
      <c r="L58" s="126" t="s">
        <v>689</v>
      </c>
      <c r="M58" s="127">
        <v>1</v>
      </c>
      <c r="N58" s="126" t="s">
        <v>689</v>
      </c>
      <c r="O58" s="131" t="s">
        <v>689</v>
      </c>
      <c r="P58" s="189" t="s">
        <v>72</v>
      </c>
    </row>
    <row r="59" spans="1:16" x14ac:dyDescent="0.3">
      <c r="A59" t="s">
        <v>56</v>
      </c>
      <c r="B59" s="117">
        <v>2063</v>
      </c>
      <c r="C59" s="117">
        <v>2249</v>
      </c>
      <c r="D59" s="141">
        <v>1640</v>
      </c>
      <c r="E59" s="117">
        <v>1635</v>
      </c>
      <c r="F59">
        <v>27.3</v>
      </c>
      <c r="G59" s="162">
        <v>4.97</v>
      </c>
      <c r="H59" s="164">
        <v>52337</v>
      </c>
      <c r="I59" s="161">
        <v>111270838</v>
      </c>
      <c r="J59"/>
      <c r="K59" s="125" t="s">
        <v>73</v>
      </c>
      <c r="L59" s="126" t="s">
        <v>689</v>
      </c>
      <c r="M59" s="127">
        <v>1</v>
      </c>
      <c r="N59" s="126" t="s">
        <v>689</v>
      </c>
      <c r="O59" s="131" t="s">
        <v>689</v>
      </c>
      <c r="P59" s="189" t="s">
        <v>73</v>
      </c>
    </row>
    <row r="60" spans="1:16" x14ac:dyDescent="0.3">
      <c r="A60" t="s">
        <v>57</v>
      </c>
      <c r="B60" s="117">
        <v>1149</v>
      </c>
      <c r="C60" s="117">
        <v>992</v>
      </c>
      <c r="D60" s="141">
        <v>1383</v>
      </c>
      <c r="E60" s="117">
        <v>1422</v>
      </c>
      <c r="F60">
        <v>2.4</v>
      </c>
      <c r="G60" s="162">
        <v>3.46</v>
      </c>
      <c r="H60" s="164">
        <v>120938</v>
      </c>
      <c r="I60" s="161">
        <v>1709429035</v>
      </c>
      <c r="J60"/>
      <c r="K60" s="125" t="s">
        <v>74</v>
      </c>
      <c r="L60" s="126" t="s">
        <v>689</v>
      </c>
      <c r="M60" s="127">
        <v>6</v>
      </c>
      <c r="N60" s="126" t="s">
        <v>689</v>
      </c>
      <c r="O60" s="131" t="s">
        <v>689</v>
      </c>
      <c r="P60" s="189" t="s">
        <v>885</v>
      </c>
    </row>
    <row r="61" spans="1:16" x14ac:dyDescent="0.3">
      <c r="A61" t="s">
        <v>58</v>
      </c>
      <c r="B61" s="117">
        <v>315</v>
      </c>
      <c r="C61" s="117">
        <v>210</v>
      </c>
      <c r="D61" s="141">
        <v>161</v>
      </c>
      <c r="E61" s="117">
        <v>160</v>
      </c>
      <c r="F61">
        <v>17.100000000000001</v>
      </c>
      <c r="G61" s="162">
        <v>4.3600000000000003</v>
      </c>
      <c r="H61" s="164">
        <v>59750</v>
      </c>
      <c r="I61" s="161">
        <v>7603373</v>
      </c>
      <c r="J61"/>
      <c r="K61" s="125" t="s">
        <v>75</v>
      </c>
      <c r="L61" s="126" t="s">
        <v>690</v>
      </c>
      <c r="M61" s="127">
        <v>8</v>
      </c>
      <c r="N61" s="126" t="s">
        <v>689</v>
      </c>
      <c r="O61" s="131" t="s">
        <v>689</v>
      </c>
      <c r="P61" s="189" t="s">
        <v>886</v>
      </c>
    </row>
    <row r="62" spans="1:16" x14ac:dyDescent="0.3">
      <c r="A62" t="s">
        <v>59</v>
      </c>
      <c r="B62" s="117">
        <v>884</v>
      </c>
      <c r="C62" s="117">
        <v>756</v>
      </c>
      <c r="D62" s="141">
        <v>694</v>
      </c>
      <c r="E62" s="117">
        <v>726</v>
      </c>
      <c r="F62">
        <v>3.2</v>
      </c>
      <c r="G62" s="162">
        <v>3.35</v>
      </c>
      <c r="H62" s="164">
        <v>93516</v>
      </c>
      <c r="I62" s="161">
        <v>92993754</v>
      </c>
      <c r="J62"/>
      <c r="K62" s="125" t="s">
        <v>77</v>
      </c>
      <c r="L62" s="126" t="s">
        <v>689</v>
      </c>
      <c r="M62" s="127">
        <v>0</v>
      </c>
      <c r="N62" s="126" t="s">
        <v>689</v>
      </c>
      <c r="O62" s="131" t="s">
        <v>689</v>
      </c>
      <c r="P62" s="189" t="s">
        <v>77</v>
      </c>
    </row>
    <row r="63" spans="1:16" x14ac:dyDescent="0.3">
      <c r="A63" t="s">
        <v>60</v>
      </c>
      <c r="B63" s="117">
        <v>6156</v>
      </c>
      <c r="C63" s="117">
        <v>6347</v>
      </c>
      <c r="D63" s="141">
        <v>6024</v>
      </c>
      <c r="E63" s="117">
        <v>6984</v>
      </c>
      <c r="F63">
        <v>8.5</v>
      </c>
      <c r="G63" s="162">
        <v>4.04</v>
      </c>
      <c r="H63" s="164">
        <v>62676</v>
      </c>
      <c r="I63" s="161">
        <v>979449100</v>
      </c>
      <c r="J63"/>
      <c r="K63" s="125" t="s">
        <v>78</v>
      </c>
      <c r="L63" s="126" t="s">
        <v>689</v>
      </c>
      <c r="M63" s="127">
        <v>7</v>
      </c>
      <c r="N63" s="126" t="s">
        <v>689</v>
      </c>
      <c r="O63" s="131" t="s">
        <v>689</v>
      </c>
      <c r="P63" s="189" t="s">
        <v>887</v>
      </c>
    </row>
    <row r="64" spans="1:16" x14ac:dyDescent="0.3">
      <c r="A64" t="s">
        <v>61</v>
      </c>
      <c r="B64" s="117">
        <v>4580</v>
      </c>
      <c r="C64" s="117">
        <v>4757</v>
      </c>
      <c r="D64" s="141">
        <v>4719</v>
      </c>
      <c r="E64" s="117">
        <v>4752</v>
      </c>
      <c r="F64">
        <v>2.2000000000000002</v>
      </c>
      <c r="G64" s="162">
        <v>4.0599999999999996</v>
      </c>
      <c r="H64" s="164">
        <v>89875</v>
      </c>
      <c r="I64" s="161">
        <v>338749797</v>
      </c>
      <c r="J64"/>
      <c r="K64" s="125" t="s">
        <v>79</v>
      </c>
      <c r="L64" s="126" t="s">
        <v>690</v>
      </c>
      <c r="M64" s="127">
        <v>3</v>
      </c>
      <c r="N64" s="126" t="s">
        <v>689</v>
      </c>
      <c r="O64" s="131" t="s">
        <v>689</v>
      </c>
      <c r="P64" s="189" t="s">
        <v>888</v>
      </c>
    </row>
    <row r="65" spans="1:16" x14ac:dyDescent="0.3">
      <c r="A65" t="s">
        <v>62</v>
      </c>
      <c r="B65" s="117">
        <v>177</v>
      </c>
      <c r="C65" s="117">
        <v>247</v>
      </c>
      <c r="D65" s="141">
        <v>154</v>
      </c>
      <c r="E65" s="117">
        <v>204</v>
      </c>
      <c r="F65">
        <v>7</v>
      </c>
      <c r="G65" s="162">
        <v>4.04</v>
      </c>
      <c r="H65" s="164">
        <v>57159</v>
      </c>
      <c r="I65" s="161">
        <v>23680010</v>
      </c>
      <c r="J65"/>
      <c r="K65" s="125" t="s">
        <v>80</v>
      </c>
      <c r="L65" s="126" t="s">
        <v>689</v>
      </c>
      <c r="M65" s="127">
        <v>6</v>
      </c>
      <c r="N65" s="126" t="s">
        <v>689</v>
      </c>
      <c r="O65" s="131" t="s">
        <v>689</v>
      </c>
      <c r="P65" s="189" t="s">
        <v>80</v>
      </c>
    </row>
    <row r="66" spans="1:16" x14ac:dyDescent="0.3">
      <c r="A66" t="s">
        <v>63</v>
      </c>
      <c r="B66" s="117">
        <v>710</v>
      </c>
      <c r="C66" s="117">
        <v>504</v>
      </c>
      <c r="D66" s="141">
        <v>497</v>
      </c>
      <c r="E66" s="117">
        <v>510</v>
      </c>
      <c r="F66">
        <v>24.6</v>
      </c>
      <c r="G66" s="162">
        <v>4.3600000000000003</v>
      </c>
      <c r="H66" s="164">
        <v>48450</v>
      </c>
      <c r="I66" s="161">
        <v>22180213</v>
      </c>
      <c r="J66"/>
      <c r="K66" s="125" t="s">
        <v>81</v>
      </c>
      <c r="L66" s="126" t="s">
        <v>689</v>
      </c>
      <c r="M66" s="127">
        <v>3</v>
      </c>
      <c r="N66" s="126" t="s">
        <v>689</v>
      </c>
      <c r="O66" s="131" t="s">
        <v>689</v>
      </c>
      <c r="P66" s="189" t="s">
        <v>889</v>
      </c>
    </row>
    <row r="67" spans="1:16" x14ac:dyDescent="0.3">
      <c r="A67" t="s">
        <v>64</v>
      </c>
      <c r="B67" s="117">
        <v>19466</v>
      </c>
      <c r="C67" s="117">
        <v>20032</v>
      </c>
      <c r="D67" s="141">
        <v>19558</v>
      </c>
      <c r="E67" s="117">
        <v>20589</v>
      </c>
      <c r="F67">
        <v>51.2</v>
      </c>
      <c r="G67" s="162">
        <v>3.42</v>
      </c>
      <c r="H67" s="164">
        <v>30065</v>
      </c>
      <c r="I67" s="161">
        <v>2469160934</v>
      </c>
      <c r="J67"/>
      <c r="K67" s="125" t="s">
        <v>82</v>
      </c>
      <c r="L67" s="126" t="s">
        <v>689</v>
      </c>
      <c r="M67" s="127">
        <v>3</v>
      </c>
      <c r="N67" s="126" t="s">
        <v>689</v>
      </c>
      <c r="O67" s="131" t="s">
        <v>689</v>
      </c>
      <c r="P67" s="189" t="s">
        <v>890</v>
      </c>
    </row>
    <row r="68" spans="1:16" x14ac:dyDescent="0.3">
      <c r="A68" t="s">
        <v>65</v>
      </c>
      <c r="B68" s="117">
        <v>1404</v>
      </c>
      <c r="C68" s="117">
        <v>1593</v>
      </c>
      <c r="D68" s="141">
        <v>1195</v>
      </c>
      <c r="E68" s="117">
        <v>1219</v>
      </c>
      <c r="F68">
        <v>16</v>
      </c>
      <c r="G68" s="162">
        <v>3.13</v>
      </c>
      <c r="H68" s="164">
        <v>68145</v>
      </c>
      <c r="I68" s="161">
        <v>107316405</v>
      </c>
      <c r="J68"/>
      <c r="K68" s="125" t="s">
        <v>85</v>
      </c>
      <c r="L68" s="126" t="s">
        <v>689</v>
      </c>
      <c r="M68" s="127">
        <v>2</v>
      </c>
      <c r="N68" s="126" t="s">
        <v>690</v>
      </c>
      <c r="O68" s="131" t="s">
        <v>689</v>
      </c>
      <c r="P68" s="189" t="s">
        <v>85</v>
      </c>
    </row>
    <row r="69" spans="1:16" x14ac:dyDescent="0.3">
      <c r="A69" t="s">
        <v>66</v>
      </c>
      <c r="B69" s="117">
        <v>285</v>
      </c>
      <c r="C69" s="117">
        <v>433</v>
      </c>
      <c r="D69" s="141">
        <v>354</v>
      </c>
      <c r="E69" s="117">
        <v>357</v>
      </c>
      <c r="F69">
        <v>17.8</v>
      </c>
      <c r="G69" s="162">
        <v>4.3499999999999996</v>
      </c>
      <c r="H69" s="164">
        <v>57813</v>
      </c>
      <c r="I69" s="161">
        <v>34091129</v>
      </c>
      <c r="J69"/>
      <c r="K69" s="125" t="s">
        <v>86</v>
      </c>
      <c r="L69" s="126" t="s">
        <v>689</v>
      </c>
      <c r="M69" s="127">
        <v>3</v>
      </c>
      <c r="N69" s="126" t="s">
        <v>689</v>
      </c>
      <c r="O69" s="131" t="s">
        <v>689</v>
      </c>
      <c r="P69" s="189" t="s">
        <v>891</v>
      </c>
    </row>
    <row r="70" spans="1:16" x14ac:dyDescent="0.3">
      <c r="A70" t="s">
        <v>67</v>
      </c>
      <c r="B70" s="117">
        <v>7841</v>
      </c>
      <c r="C70" s="117">
        <v>7897</v>
      </c>
      <c r="D70" s="141">
        <v>7804</v>
      </c>
      <c r="E70" s="117">
        <v>8059</v>
      </c>
      <c r="F70">
        <v>15.1</v>
      </c>
      <c r="G70" s="162">
        <v>3.5</v>
      </c>
      <c r="H70" s="164">
        <v>54103</v>
      </c>
      <c r="I70" s="161">
        <v>1374933225</v>
      </c>
      <c r="J70"/>
      <c r="K70" s="125" t="s">
        <v>88</v>
      </c>
      <c r="L70" s="126" t="s">
        <v>689</v>
      </c>
      <c r="M70" s="127">
        <v>2</v>
      </c>
      <c r="N70" s="126" t="s">
        <v>689</v>
      </c>
      <c r="O70" s="131" t="s">
        <v>689</v>
      </c>
      <c r="P70" s="189" t="s">
        <v>88</v>
      </c>
    </row>
    <row r="71" spans="1:16" x14ac:dyDescent="0.3">
      <c r="A71" t="s">
        <v>68</v>
      </c>
      <c r="B71" s="117">
        <v>329</v>
      </c>
      <c r="C71" s="117">
        <v>427</v>
      </c>
      <c r="D71" s="141">
        <v>341</v>
      </c>
      <c r="E71" s="117">
        <v>360</v>
      </c>
      <c r="F71">
        <v>34.9</v>
      </c>
      <c r="G71" s="162">
        <v>3.68</v>
      </c>
      <c r="H71" s="164">
        <v>38929</v>
      </c>
      <c r="I71" s="161">
        <v>80916366</v>
      </c>
      <c r="J71"/>
      <c r="K71" s="125" t="s">
        <v>89</v>
      </c>
      <c r="L71" s="126" t="s">
        <v>689</v>
      </c>
      <c r="M71" s="127">
        <v>3</v>
      </c>
      <c r="N71" s="126" t="s">
        <v>689</v>
      </c>
      <c r="O71" s="131" t="s">
        <v>689</v>
      </c>
      <c r="P71" s="189" t="s">
        <v>892</v>
      </c>
    </row>
    <row r="72" spans="1:16" x14ac:dyDescent="0.3">
      <c r="A72" t="s">
        <v>70</v>
      </c>
      <c r="B72" s="117">
        <v>1460</v>
      </c>
      <c r="C72" s="117">
        <v>1657</v>
      </c>
      <c r="D72" s="141">
        <v>1282</v>
      </c>
      <c r="E72" s="117">
        <v>1392</v>
      </c>
      <c r="F72">
        <v>20.5</v>
      </c>
      <c r="G72" s="162">
        <v>3.7</v>
      </c>
      <c r="H72" s="164">
        <v>64926</v>
      </c>
      <c r="I72" s="161">
        <v>153833489</v>
      </c>
      <c r="J72"/>
      <c r="K72" s="125" t="s">
        <v>90</v>
      </c>
      <c r="L72" s="126" t="s">
        <v>689</v>
      </c>
      <c r="M72" s="127">
        <v>1</v>
      </c>
      <c r="N72" s="126" t="s">
        <v>689</v>
      </c>
      <c r="O72" s="131" t="s">
        <v>689</v>
      </c>
      <c r="P72" s="189" t="s">
        <v>90</v>
      </c>
    </row>
    <row r="73" spans="1:16" x14ac:dyDescent="0.3">
      <c r="A73" t="s">
        <v>71</v>
      </c>
      <c r="B73" s="117">
        <v>474</v>
      </c>
      <c r="C73" s="117">
        <v>390</v>
      </c>
      <c r="D73" s="141">
        <v>434</v>
      </c>
      <c r="E73" s="117">
        <v>455</v>
      </c>
      <c r="F73">
        <v>19</v>
      </c>
      <c r="G73" s="162">
        <v>3.58</v>
      </c>
      <c r="H73" s="164"/>
      <c r="I73" s="161">
        <v>49352411</v>
      </c>
      <c r="J73"/>
      <c r="K73" s="125" t="s">
        <v>91</v>
      </c>
      <c r="L73" s="126" t="s">
        <v>689</v>
      </c>
      <c r="M73" s="127">
        <v>3</v>
      </c>
      <c r="N73" s="126" t="s">
        <v>689</v>
      </c>
      <c r="O73" s="131" t="s">
        <v>689</v>
      </c>
      <c r="P73" s="189" t="s">
        <v>893</v>
      </c>
    </row>
    <row r="74" spans="1:16" x14ac:dyDescent="0.3">
      <c r="A74" t="s">
        <v>72</v>
      </c>
      <c r="B74" s="117">
        <v>137303</v>
      </c>
      <c r="C74" s="117">
        <v>152568</v>
      </c>
      <c r="D74" s="141">
        <v>138608</v>
      </c>
      <c r="E74" s="117">
        <v>169448</v>
      </c>
      <c r="F74">
        <v>9.1999999999999993</v>
      </c>
      <c r="G74" s="162">
        <v>4.04</v>
      </c>
      <c r="H74" s="164">
        <v>77024</v>
      </c>
      <c r="I74" s="161">
        <v>53044081566</v>
      </c>
      <c r="J74"/>
      <c r="K74" s="125" t="s">
        <v>92</v>
      </c>
      <c r="L74" s="126" t="s">
        <v>690</v>
      </c>
      <c r="M74" s="127">
        <v>3</v>
      </c>
      <c r="N74" s="126" t="s">
        <v>689</v>
      </c>
      <c r="O74" s="131" t="s">
        <v>689</v>
      </c>
      <c r="P74" s="189" t="s">
        <v>894</v>
      </c>
    </row>
    <row r="75" spans="1:16" x14ac:dyDescent="0.3">
      <c r="A75" t="s">
        <v>74</v>
      </c>
      <c r="B75" s="117">
        <v>1128</v>
      </c>
      <c r="C75" s="117">
        <v>937</v>
      </c>
      <c r="D75" s="141">
        <v>866</v>
      </c>
      <c r="E75" s="117">
        <v>922</v>
      </c>
      <c r="F75">
        <v>64.5</v>
      </c>
      <c r="G75" s="162">
        <v>4.3600000000000003</v>
      </c>
      <c r="H75" s="164">
        <v>22500</v>
      </c>
      <c r="I75" s="161">
        <v>28794563</v>
      </c>
      <c r="J75"/>
      <c r="K75" s="125" t="s">
        <v>93</v>
      </c>
      <c r="L75" s="126" t="s">
        <v>689</v>
      </c>
      <c r="M75" s="127">
        <v>1</v>
      </c>
      <c r="N75" s="126" t="s">
        <v>689</v>
      </c>
      <c r="O75" s="131" t="s">
        <v>689</v>
      </c>
      <c r="P75" s="189" t="s">
        <v>895</v>
      </c>
    </row>
    <row r="76" spans="1:16" x14ac:dyDescent="0.3">
      <c r="A76" t="s">
        <v>75</v>
      </c>
      <c r="B76" s="117">
        <v>1777</v>
      </c>
      <c r="C76" s="117">
        <v>1902</v>
      </c>
      <c r="D76" s="141">
        <v>1554</v>
      </c>
      <c r="E76" s="117">
        <v>1496</v>
      </c>
      <c r="F76">
        <v>24.3</v>
      </c>
      <c r="G76" s="162">
        <v>3.46</v>
      </c>
      <c r="H76" s="164">
        <v>44167</v>
      </c>
      <c r="I76" s="161">
        <v>254715947</v>
      </c>
      <c r="J76"/>
      <c r="K76" s="125" t="s">
        <v>95</v>
      </c>
      <c r="L76" s="126" t="s">
        <v>689</v>
      </c>
      <c r="M76" s="127">
        <v>1</v>
      </c>
      <c r="N76" s="126" t="s">
        <v>689</v>
      </c>
      <c r="O76" s="131" t="s">
        <v>689</v>
      </c>
      <c r="P76" s="189" t="s">
        <v>95</v>
      </c>
    </row>
    <row r="77" spans="1:16" x14ac:dyDescent="0.3">
      <c r="A77" t="s">
        <v>76</v>
      </c>
      <c r="B77" s="117">
        <v>259576</v>
      </c>
      <c r="C77" s="117">
        <v>274360</v>
      </c>
      <c r="D77" s="141">
        <v>269948</v>
      </c>
      <c r="E77" s="117">
        <v>279533</v>
      </c>
      <c r="F77">
        <v>11.8</v>
      </c>
      <c r="G77" s="162">
        <v>4.3899999999999997</v>
      </c>
      <c r="H77" s="164">
        <v>74436</v>
      </c>
      <c r="I77" s="161">
        <v>52819129262</v>
      </c>
      <c r="J77"/>
      <c r="K77" s="125" t="s">
        <v>96</v>
      </c>
      <c r="L77" s="126" t="s">
        <v>689</v>
      </c>
      <c r="M77" s="127">
        <v>2</v>
      </c>
      <c r="N77" s="126" t="s">
        <v>689</v>
      </c>
      <c r="O77" s="131" t="s">
        <v>689</v>
      </c>
      <c r="P77" s="189" t="s">
        <v>896</v>
      </c>
    </row>
    <row r="78" spans="1:16" x14ac:dyDescent="0.3">
      <c r="A78" t="s">
        <v>78</v>
      </c>
      <c r="B78" s="117">
        <v>449</v>
      </c>
      <c r="C78" s="117">
        <v>466</v>
      </c>
      <c r="D78" s="141">
        <v>329</v>
      </c>
      <c r="E78" s="117">
        <v>370</v>
      </c>
      <c r="F78">
        <v>6.4</v>
      </c>
      <c r="G78" s="162">
        <v>3.33</v>
      </c>
      <c r="H78" s="164">
        <v>68289</v>
      </c>
      <c r="I78" s="161">
        <v>56036753</v>
      </c>
      <c r="J78"/>
      <c r="K78" s="125" t="s">
        <v>100</v>
      </c>
      <c r="L78" s="126" t="s">
        <v>689</v>
      </c>
      <c r="M78" s="127">
        <v>8</v>
      </c>
      <c r="N78" s="126" t="s">
        <v>689</v>
      </c>
      <c r="O78" s="131" t="s">
        <v>689</v>
      </c>
      <c r="P78" s="189" t="s">
        <v>897</v>
      </c>
    </row>
    <row r="79" spans="1:16" x14ac:dyDescent="0.3">
      <c r="A79" t="s">
        <v>79</v>
      </c>
      <c r="B79" s="117">
        <v>4101</v>
      </c>
      <c r="C79" s="117">
        <v>3850</v>
      </c>
      <c r="D79" s="141">
        <v>3729</v>
      </c>
      <c r="E79" s="117">
        <v>3752</v>
      </c>
      <c r="F79">
        <v>19.7</v>
      </c>
      <c r="G79" s="162">
        <v>3.33</v>
      </c>
      <c r="H79" s="164">
        <v>67853</v>
      </c>
      <c r="I79" s="161">
        <v>394002477</v>
      </c>
      <c r="J79"/>
      <c r="K79" s="125" t="s">
        <v>101</v>
      </c>
      <c r="L79" s="126" t="s">
        <v>689</v>
      </c>
      <c r="M79" s="127">
        <v>4</v>
      </c>
      <c r="N79" s="126" t="s">
        <v>689</v>
      </c>
      <c r="O79" s="131" t="s">
        <v>689</v>
      </c>
      <c r="P79" s="189" t="s">
        <v>898</v>
      </c>
    </row>
    <row r="80" spans="1:16" x14ac:dyDescent="0.3">
      <c r="A80" t="s">
        <v>80</v>
      </c>
      <c r="B80" s="117">
        <v>90148</v>
      </c>
      <c r="C80" s="117">
        <v>87795</v>
      </c>
      <c r="D80" s="141">
        <v>87445</v>
      </c>
      <c r="E80" s="117">
        <v>90088</v>
      </c>
      <c r="F80">
        <v>15.6</v>
      </c>
      <c r="G80" s="162">
        <v>3.56</v>
      </c>
      <c r="H80" s="164">
        <v>58592</v>
      </c>
      <c r="I80" s="161">
        <v>10911680618</v>
      </c>
      <c r="J80"/>
      <c r="K80" s="125" t="s">
        <v>110</v>
      </c>
      <c r="L80" s="126" t="s">
        <v>690</v>
      </c>
      <c r="M80" s="127">
        <v>5</v>
      </c>
      <c r="N80" s="126" t="s">
        <v>689</v>
      </c>
      <c r="O80" s="131" t="s">
        <v>689</v>
      </c>
      <c r="P80" s="189" t="s">
        <v>899</v>
      </c>
    </row>
    <row r="81" spans="1:16" x14ac:dyDescent="0.3">
      <c r="A81" t="s">
        <v>81</v>
      </c>
      <c r="B81" s="117">
        <v>54534</v>
      </c>
      <c r="C81" s="117">
        <v>59610</v>
      </c>
      <c r="D81" s="141">
        <v>57484</v>
      </c>
      <c r="E81" s="117">
        <v>61722</v>
      </c>
      <c r="F81">
        <v>16.399999999999999</v>
      </c>
      <c r="G81" s="162">
        <v>3.88</v>
      </c>
      <c r="H81" s="164">
        <v>56880</v>
      </c>
      <c r="I81" s="161">
        <v>8702439235</v>
      </c>
      <c r="J81"/>
      <c r="K81" s="125" t="s">
        <v>111</v>
      </c>
      <c r="L81" s="126" t="s">
        <v>689</v>
      </c>
      <c r="M81" s="127">
        <v>6</v>
      </c>
      <c r="N81" s="126" t="s">
        <v>689</v>
      </c>
      <c r="O81" s="131" t="s">
        <v>689</v>
      </c>
      <c r="P81" s="189" t="s">
        <v>900</v>
      </c>
    </row>
    <row r="82" spans="1:16" x14ac:dyDescent="0.3">
      <c r="A82" t="s">
        <v>82</v>
      </c>
      <c r="B82" s="117">
        <v>2035</v>
      </c>
      <c r="C82" s="117">
        <v>2082</v>
      </c>
      <c r="D82" s="141">
        <v>1610</v>
      </c>
      <c r="E82" s="117">
        <v>1636</v>
      </c>
      <c r="F82">
        <v>26.1</v>
      </c>
      <c r="G82" s="162">
        <v>4.22</v>
      </c>
      <c r="H82" s="164">
        <v>50997</v>
      </c>
      <c r="I82" s="161">
        <v>298771946</v>
      </c>
      <c r="J82"/>
      <c r="K82" s="125" t="s">
        <v>113</v>
      </c>
      <c r="L82" s="126" t="s">
        <v>689</v>
      </c>
      <c r="M82" s="127">
        <v>0</v>
      </c>
      <c r="N82" s="126" t="s">
        <v>689</v>
      </c>
      <c r="O82" s="131" t="s">
        <v>689</v>
      </c>
      <c r="P82" s="189" t="s">
        <v>901</v>
      </c>
    </row>
    <row r="83" spans="1:16" x14ac:dyDescent="0.3">
      <c r="A83" t="s">
        <v>83</v>
      </c>
      <c r="B83" s="117">
        <v>7779</v>
      </c>
      <c r="C83" s="117">
        <v>8065</v>
      </c>
      <c r="D83" s="141">
        <v>7939</v>
      </c>
      <c r="E83" s="117">
        <v>8012</v>
      </c>
      <c r="F83">
        <v>15</v>
      </c>
      <c r="G83" s="162">
        <v>3.48</v>
      </c>
      <c r="H83" s="164">
        <v>74739</v>
      </c>
      <c r="I83" s="161">
        <v>1152428053</v>
      </c>
      <c r="J83"/>
      <c r="K83" s="125" t="s">
        <v>114</v>
      </c>
      <c r="L83" s="126" t="s">
        <v>689</v>
      </c>
      <c r="M83" s="127">
        <v>3</v>
      </c>
      <c r="N83" s="126" t="s">
        <v>689</v>
      </c>
      <c r="O83" s="131" t="s">
        <v>689</v>
      </c>
      <c r="P83" s="189" t="s">
        <v>114</v>
      </c>
    </row>
    <row r="84" spans="1:16" x14ac:dyDescent="0.3">
      <c r="A84" t="s">
        <v>84</v>
      </c>
      <c r="B84" s="117">
        <v>211605</v>
      </c>
      <c r="C84" s="117">
        <v>236133</v>
      </c>
      <c r="D84" s="141">
        <v>227536</v>
      </c>
      <c r="E84" s="117">
        <v>246683</v>
      </c>
      <c r="F84">
        <v>9.3000000000000007</v>
      </c>
      <c r="G84" s="162">
        <v>3.48</v>
      </c>
      <c r="H84" s="164">
        <v>89005</v>
      </c>
      <c r="I84" s="161">
        <v>47063236955</v>
      </c>
      <c r="J84"/>
      <c r="K84" s="125" t="s">
        <v>116</v>
      </c>
      <c r="L84" s="126" t="s">
        <v>689</v>
      </c>
      <c r="M84" s="127">
        <v>5</v>
      </c>
      <c r="N84" s="126" t="s">
        <v>689</v>
      </c>
      <c r="O84" s="131" t="s">
        <v>689</v>
      </c>
      <c r="P84" s="189" t="s">
        <v>902</v>
      </c>
    </row>
    <row r="85" spans="1:16" x14ac:dyDescent="0.3">
      <c r="A85" t="s">
        <v>86</v>
      </c>
      <c r="B85" s="117">
        <v>2758</v>
      </c>
      <c r="C85" s="117">
        <v>2704</v>
      </c>
      <c r="D85" s="141">
        <v>2715</v>
      </c>
      <c r="E85" s="117">
        <v>2731</v>
      </c>
      <c r="F85">
        <v>13.9</v>
      </c>
      <c r="G85" s="162">
        <v>3.5</v>
      </c>
      <c r="H85" s="164">
        <v>53361</v>
      </c>
      <c r="I85" s="161"/>
      <c r="J85"/>
      <c r="K85" s="125" t="s">
        <v>117</v>
      </c>
      <c r="L85" s="126" t="s">
        <v>690</v>
      </c>
      <c r="M85" s="127">
        <v>8</v>
      </c>
      <c r="N85" s="126" t="s">
        <v>689</v>
      </c>
      <c r="O85" s="131" t="s">
        <v>689</v>
      </c>
      <c r="P85" s="189" t="s">
        <v>903</v>
      </c>
    </row>
    <row r="86" spans="1:16" x14ac:dyDescent="0.3">
      <c r="A86" t="s">
        <v>87</v>
      </c>
      <c r="B86" s="117">
        <v>2057</v>
      </c>
      <c r="C86" s="117">
        <v>2377</v>
      </c>
      <c r="D86" s="141">
        <v>2045</v>
      </c>
      <c r="E86" s="117">
        <v>2639</v>
      </c>
      <c r="F86">
        <v>17.600000000000001</v>
      </c>
      <c r="G86" s="162">
        <v>4.04</v>
      </c>
      <c r="H86" s="164">
        <v>65310</v>
      </c>
      <c r="I86" s="161">
        <v>640221075</v>
      </c>
      <c r="J86"/>
      <c r="K86" s="125" t="s">
        <v>119</v>
      </c>
      <c r="L86" s="126" t="s">
        <v>690</v>
      </c>
      <c r="M86" s="127">
        <v>2</v>
      </c>
      <c r="N86" s="126" t="s">
        <v>689</v>
      </c>
      <c r="O86" s="131" t="s">
        <v>689</v>
      </c>
      <c r="P86" s="189" t="s">
        <v>904</v>
      </c>
    </row>
    <row r="87" spans="1:16" x14ac:dyDescent="0.3">
      <c r="A87" t="s">
        <v>88</v>
      </c>
      <c r="B87" s="117">
        <v>82056</v>
      </c>
      <c r="C87" s="117">
        <v>80536</v>
      </c>
      <c r="D87" s="141">
        <v>80757</v>
      </c>
      <c r="E87" s="117">
        <v>81858</v>
      </c>
      <c r="F87">
        <v>13.4</v>
      </c>
      <c r="G87" s="162">
        <v>3.5</v>
      </c>
      <c r="H87" s="164">
        <v>56425</v>
      </c>
      <c r="I87" s="161">
        <v>8794697541</v>
      </c>
      <c r="J87"/>
      <c r="K87" s="125" t="s">
        <v>120</v>
      </c>
      <c r="L87" s="126" t="s">
        <v>689</v>
      </c>
      <c r="M87" s="127">
        <v>2</v>
      </c>
      <c r="N87" s="126" t="s">
        <v>689</v>
      </c>
      <c r="O87" s="131" t="s">
        <v>689</v>
      </c>
      <c r="P87" s="189" t="s">
        <v>120</v>
      </c>
    </row>
    <row r="88" spans="1:16" x14ac:dyDescent="0.3">
      <c r="A88" t="s">
        <v>89</v>
      </c>
      <c r="B88" s="117">
        <v>647</v>
      </c>
      <c r="C88" s="117">
        <v>385</v>
      </c>
      <c r="D88" s="141">
        <v>324</v>
      </c>
      <c r="E88" s="117">
        <v>328</v>
      </c>
      <c r="F88">
        <v>3.6</v>
      </c>
      <c r="G88" s="162">
        <v>3.26</v>
      </c>
      <c r="H88" s="164">
        <v>54688</v>
      </c>
      <c r="I88" s="161">
        <v>19509506</v>
      </c>
      <c r="J88"/>
      <c r="K88" s="125" t="s">
        <v>121</v>
      </c>
      <c r="L88" s="126" t="s">
        <v>689</v>
      </c>
      <c r="M88" s="127">
        <v>4</v>
      </c>
      <c r="N88" s="126" t="s">
        <v>689</v>
      </c>
      <c r="O88" s="131" t="s">
        <v>689</v>
      </c>
      <c r="P88" s="189" t="s">
        <v>905</v>
      </c>
    </row>
    <row r="89" spans="1:16" x14ac:dyDescent="0.3">
      <c r="A89" t="s">
        <v>90</v>
      </c>
      <c r="B89" s="117">
        <v>10654</v>
      </c>
      <c r="C89" s="117">
        <v>10927</v>
      </c>
      <c r="D89" s="141">
        <v>10361</v>
      </c>
      <c r="E89" s="117">
        <v>10982</v>
      </c>
      <c r="F89">
        <v>6.1</v>
      </c>
      <c r="G89" s="162">
        <v>2.75</v>
      </c>
      <c r="H89" s="164">
        <v>91078</v>
      </c>
      <c r="I89" s="161">
        <v>1747335383</v>
      </c>
      <c r="J89"/>
      <c r="K89" s="125" t="s">
        <v>122</v>
      </c>
      <c r="L89" s="126" t="s">
        <v>689</v>
      </c>
      <c r="M89" s="127">
        <v>7</v>
      </c>
      <c r="N89" s="126" t="s">
        <v>689</v>
      </c>
      <c r="O89" s="131" t="s">
        <v>689</v>
      </c>
      <c r="P89" s="189" t="s">
        <v>906</v>
      </c>
    </row>
    <row r="90" spans="1:16" x14ac:dyDescent="0.3">
      <c r="A90" t="s">
        <v>91</v>
      </c>
      <c r="B90" s="117">
        <v>476</v>
      </c>
      <c r="C90" s="117">
        <v>364</v>
      </c>
      <c r="D90" s="141">
        <v>242</v>
      </c>
      <c r="E90" s="117">
        <v>257</v>
      </c>
      <c r="F90">
        <v>14.3</v>
      </c>
      <c r="G90" s="162">
        <v>3.33</v>
      </c>
      <c r="H90" s="164">
        <v>71875</v>
      </c>
      <c r="I90" s="161">
        <v>29417684</v>
      </c>
      <c r="J90"/>
      <c r="K90" s="125" t="s">
        <v>123</v>
      </c>
      <c r="L90" s="126" t="s">
        <v>689</v>
      </c>
      <c r="M90" s="127">
        <v>2</v>
      </c>
      <c r="N90" s="126" t="s">
        <v>689</v>
      </c>
      <c r="O90" s="131" t="s">
        <v>689</v>
      </c>
      <c r="P90" s="189" t="s">
        <v>123</v>
      </c>
    </row>
    <row r="91" spans="1:16" x14ac:dyDescent="0.3">
      <c r="A91" t="s">
        <v>92</v>
      </c>
      <c r="B91" s="117">
        <v>1173</v>
      </c>
      <c r="C91" s="117">
        <v>1160</v>
      </c>
      <c r="D91" s="141">
        <v>809</v>
      </c>
      <c r="E91" s="117">
        <v>821</v>
      </c>
      <c r="F91">
        <v>28.2</v>
      </c>
      <c r="G91" s="162">
        <v>3.89</v>
      </c>
      <c r="H91" s="164">
        <v>57639</v>
      </c>
      <c r="I91" s="161">
        <v>89947571</v>
      </c>
      <c r="J91"/>
      <c r="K91" s="125" t="s">
        <v>124</v>
      </c>
      <c r="L91" s="126" t="s">
        <v>689</v>
      </c>
      <c r="M91" s="127">
        <v>1</v>
      </c>
      <c r="N91" s="126" t="s">
        <v>689</v>
      </c>
      <c r="O91" s="131" t="s">
        <v>689</v>
      </c>
      <c r="P91" s="189" t="s">
        <v>907</v>
      </c>
    </row>
    <row r="92" spans="1:16" x14ac:dyDescent="0.3">
      <c r="A92" t="s">
        <v>93</v>
      </c>
      <c r="B92" s="117">
        <v>4313</v>
      </c>
      <c r="C92" s="117">
        <v>4419</v>
      </c>
      <c r="D92" s="141">
        <v>4429</v>
      </c>
      <c r="E92" s="117">
        <v>4520</v>
      </c>
      <c r="F92">
        <v>15</v>
      </c>
      <c r="G92" s="162">
        <v>3.62</v>
      </c>
      <c r="H92" s="164">
        <v>69924</v>
      </c>
      <c r="I92" s="161">
        <v>667449956</v>
      </c>
      <c r="J92"/>
      <c r="K92" s="125" t="s">
        <v>127</v>
      </c>
      <c r="L92" s="126" t="s">
        <v>689</v>
      </c>
      <c r="M92" s="127">
        <v>1</v>
      </c>
      <c r="N92" s="126" t="s">
        <v>689</v>
      </c>
      <c r="O92" s="131" t="s">
        <v>689</v>
      </c>
      <c r="P92" s="189" t="s">
        <v>127</v>
      </c>
    </row>
    <row r="93" spans="1:16" x14ac:dyDescent="0.3">
      <c r="A93" t="s">
        <v>94</v>
      </c>
      <c r="B93" s="117">
        <v>2730</v>
      </c>
      <c r="C93" s="117">
        <v>2703</v>
      </c>
      <c r="D93" s="141">
        <v>2250</v>
      </c>
      <c r="E93" s="117">
        <v>2402</v>
      </c>
      <c r="F93">
        <v>6.1</v>
      </c>
      <c r="G93" s="162">
        <v>3.35</v>
      </c>
      <c r="H93" s="164">
        <v>86136</v>
      </c>
      <c r="I93" s="161">
        <v>481115510</v>
      </c>
      <c r="J93"/>
      <c r="K93" s="125" t="s">
        <v>128</v>
      </c>
      <c r="L93" s="126" t="s">
        <v>689</v>
      </c>
      <c r="M93" s="127">
        <v>1</v>
      </c>
      <c r="N93" s="126" t="s">
        <v>689</v>
      </c>
      <c r="O93" s="131" t="s">
        <v>689</v>
      </c>
      <c r="P93" s="189" t="s">
        <v>908</v>
      </c>
    </row>
    <row r="94" spans="1:16" x14ac:dyDescent="0.3">
      <c r="A94" t="s">
        <v>96</v>
      </c>
      <c r="B94" s="117">
        <v>6324</v>
      </c>
      <c r="C94" s="117">
        <v>6745</v>
      </c>
      <c r="D94" s="141">
        <v>6590</v>
      </c>
      <c r="E94" s="117">
        <v>6921</v>
      </c>
      <c r="F94">
        <v>6</v>
      </c>
      <c r="G94" s="162">
        <v>3.36</v>
      </c>
      <c r="H94" s="164">
        <v>94398</v>
      </c>
      <c r="I94" s="161">
        <v>3161944420</v>
      </c>
      <c r="J94"/>
      <c r="K94" s="125" t="s">
        <v>129</v>
      </c>
      <c r="L94" s="126" t="s">
        <v>690</v>
      </c>
      <c r="M94" s="127">
        <v>5</v>
      </c>
      <c r="N94" s="126" t="s">
        <v>689</v>
      </c>
      <c r="O94" s="131" t="s">
        <v>690</v>
      </c>
      <c r="P94" s="189" t="s">
        <v>129</v>
      </c>
    </row>
    <row r="95" spans="1:16" x14ac:dyDescent="0.3">
      <c r="A95" t="s">
        <v>97</v>
      </c>
      <c r="B95" s="117">
        <v>4391</v>
      </c>
      <c r="C95" s="117">
        <v>5017</v>
      </c>
      <c r="D95" s="141">
        <v>4680</v>
      </c>
      <c r="E95" s="117">
        <v>5805</v>
      </c>
      <c r="F95">
        <v>3.9</v>
      </c>
      <c r="G95" s="162">
        <v>4.04</v>
      </c>
      <c r="H95" s="164">
        <v>76087</v>
      </c>
      <c r="I95" s="161">
        <v>1123512483</v>
      </c>
      <c r="J95"/>
      <c r="K95" s="125" t="s">
        <v>130</v>
      </c>
      <c r="L95" s="126" t="s">
        <v>689</v>
      </c>
      <c r="M95" s="127">
        <v>4</v>
      </c>
      <c r="N95" s="126" t="s">
        <v>689</v>
      </c>
      <c r="O95" s="131" t="s">
        <v>689</v>
      </c>
      <c r="P95" s="189" t="s">
        <v>909</v>
      </c>
    </row>
    <row r="96" spans="1:16" x14ac:dyDescent="0.3">
      <c r="A96" t="s">
        <v>98</v>
      </c>
      <c r="B96" s="117">
        <v>21254</v>
      </c>
      <c r="C96" s="117">
        <v>21204</v>
      </c>
      <c r="D96" s="141">
        <v>21259</v>
      </c>
      <c r="E96" s="117">
        <v>21494</v>
      </c>
      <c r="F96">
        <v>12.2</v>
      </c>
      <c r="G96" s="162">
        <v>3.18</v>
      </c>
      <c r="H96" s="164">
        <v>85743</v>
      </c>
      <c r="I96" s="161">
        <v>2909489609</v>
      </c>
      <c r="J96"/>
      <c r="K96" s="125" t="s">
        <v>131</v>
      </c>
      <c r="L96" s="126" t="s">
        <v>689</v>
      </c>
      <c r="M96" s="127">
        <v>2</v>
      </c>
      <c r="N96" s="126" t="s">
        <v>689</v>
      </c>
      <c r="O96" s="131" t="s">
        <v>689</v>
      </c>
      <c r="P96" s="189" t="s">
        <v>910</v>
      </c>
    </row>
    <row r="97" spans="1:16" x14ac:dyDescent="0.3">
      <c r="A97" t="s">
        <v>99</v>
      </c>
      <c r="B97" s="117">
        <v>69301</v>
      </c>
      <c r="C97" s="117">
        <v>69148</v>
      </c>
      <c r="D97" s="141">
        <v>67950</v>
      </c>
      <c r="E97" s="117">
        <v>71707</v>
      </c>
      <c r="F97">
        <v>10.1</v>
      </c>
      <c r="G97" s="162">
        <v>3.35</v>
      </c>
      <c r="H97" s="164">
        <v>72322</v>
      </c>
      <c r="I97" s="161">
        <v>17947578416</v>
      </c>
      <c r="J97"/>
      <c r="K97" s="125" t="s">
        <v>132</v>
      </c>
      <c r="L97" s="126" t="s">
        <v>689</v>
      </c>
      <c r="M97" s="127">
        <v>5</v>
      </c>
      <c r="N97" s="126" t="s">
        <v>689</v>
      </c>
      <c r="O97" s="131" t="s">
        <v>689</v>
      </c>
      <c r="P97" s="189" t="s">
        <v>911</v>
      </c>
    </row>
    <row r="98" spans="1:16" x14ac:dyDescent="0.3">
      <c r="A98" t="s">
        <v>100</v>
      </c>
      <c r="B98" s="117">
        <v>2518</v>
      </c>
      <c r="C98" s="117">
        <v>2896</v>
      </c>
      <c r="D98" s="141">
        <v>2793</v>
      </c>
      <c r="E98" s="117">
        <v>3017</v>
      </c>
      <c r="F98">
        <v>14.2</v>
      </c>
      <c r="G98" s="162">
        <v>3.33</v>
      </c>
      <c r="H98" s="164">
        <v>82695</v>
      </c>
      <c r="I98" s="161">
        <v>460823089</v>
      </c>
      <c r="J98"/>
      <c r="K98" s="125" t="s">
        <v>133</v>
      </c>
      <c r="L98" s="126" t="s">
        <v>689</v>
      </c>
      <c r="M98" s="127">
        <v>7</v>
      </c>
      <c r="N98" s="126" t="s">
        <v>689</v>
      </c>
      <c r="O98" s="131" t="s">
        <v>689</v>
      </c>
      <c r="P98" s="189" t="s">
        <v>912</v>
      </c>
    </row>
    <row r="99" spans="1:16" x14ac:dyDescent="0.3">
      <c r="A99" t="s">
        <v>101</v>
      </c>
      <c r="B99" s="117">
        <v>169177</v>
      </c>
      <c r="C99" s="117">
        <v>179306</v>
      </c>
      <c r="D99" s="141">
        <v>176182</v>
      </c>
      <c r="E99" s="117">
        <v>187378</v>
      </c>
      <c r="F99">
        <v>5.7</v>
      </c>
      <c r="G99" s="162">
        <v>3.14</v>
      </c>
      <c r="H99" s="164">
        <v>134905</v>
      </c>
      <c r="I99" s="161">
        <v>51948962598</v>
      </c>
      <c r="J99"/>
      <c r="K99" s="125" t="s">
        <v>134</v>
      </c>
      <c r="L99" s="126" t="s">
        <v>690</v>
      </c>
      <c r="M99" s="127">
        <v>1</v>
      </c>
      <c r="N99" s="126" t="s">
        <v>689</v>
      </c>
      <c r="O99" s="131" t="s">
        <v>689</v>
      </c>
      <c r="P99" s="189" t="s">
        <v>913</v>
      </c>
    </row>
    <row r="100" spans="1:16" x14ac:dyDescent="0.3">
      <c r="A100" t="s">
        <v>102</v>
      </c>
      <c r="B100" s="117">
        <v>361</v>
      </c>
      <c r="C100" s="117">
        <v>373</v>
      </c>
      <c r="D100" s="141">
        <v>304</v>
      </c>
      <c r="E100" s="117">
        <v>304</v>
      </c>
      <c r="F100">
        <v>28.7</v>
      </c>
      <c r="G100" s="162">
        <v>4.0599999999999996</v>
      </c>
      <c r="H100" s="164">
        <v>60875</v>
      </c>
      <c r="I100" s="161">
        <v>16806408</v>
      </c>
      <c r="J100"/>
      <c r="K100" s="125" t="s">
        <v>135</v>
      </c>
      <c r="L100" s="126" t="s">
        <v>690</v>
      </c>
      <c r="M100" s="127">
        <v>6</v>
      </c>
      <c r="N100" s="126" t="s">
        <v>689</v>
      </c>
      <c r="O100" s="131" t="s">
        <v>689</v>
      </c>
      <c r="P100" s="189" t="s">
        <v>914</v>
      </c>
    </row>
    <row r="101" spans="1:16" x14ac:dyDescent="0.3">
      <c r="A101" t="s">
        <v>103</v>
      </c>
      <c r="B101" s="117">
        <v>276</v>
      </c>
      <c r="C101" s="117">
        <v>247</v>
      </c>
      <c r="D101" s="141">
        <v>261</v>
      </c>
      <c r="E101" s="117">
        <v>271</v>
      </c>
      <c r="F101">
        <v>25.1</v>
      </c>
      <c r="G101" s="162">
        <v>4.5</v>
      </c>
      <c r="H101" s="164">
        <v>45625</v>
      </c>
      <c r="I101" s="161">
        <v>14944942</v>
      </c>
      <c r="J101"/>
      <c r="K101" s="125" t="s">
        <v>136</v>
      </c>
      <c r="L101" s="126" t="s">
        <v>689</v>
      </c>
      <c r="M101" s="127">
        <v>3</v>
      </c>
      <c r="N101" s="126" t="s">
        <v>689</v>
      </c>
      <c r="O101" s="131" t="s">
        <v>689</v>
      </c>
      <c r="P101" s="189" t="s">
        <v>136</v>
      </c>
    </row>
    <row r="102" spans="1:16" x14ac:dyDescent="0.3">
      <c r="A102" t="s">
        <v>104</v>
      </c>
      <c r="B102" s="117">
        <v>578</v>
      </c>
      <c r="C102" s="117">
        <v>491</v>
      </c>
      <c r="D102" s="141">
        <v>399</v>
      </c>
      <c r="E102" s="117">
        <v>425</v>
      </c>
      <c r="F102">
        <v>2.2000000000000002</v>
      </c>
      <c r="G102" s="162">
        <v>4.04</v>
      </c>
      <c r="H102" s="164">
        <v>130750</v>
      </c>
      <c r="I102" s="161">
        <v>574094229</v>
      </c>
      <c r="J102"/>
      <c r="K102" s="125" t="s">
        <v>137</v>
      </c>
      <c r="L102" s="126" t="s">
        <v>690</v>
      </c>
      <c r="M102" s="127">
        <v>2</v>
      </c>
      <c r="N102" s="126" t="s">
        <v>689</v>
      </c>
      <c r="O102" s="131" t="s">
        <v>689</v>
      </c>
      <c r="P102" s="189" t="s">
        <v>915</v>
      </c>
    </row>
    <row r="103" spans="1:16" x14ac:dyDescent="0.3">
      <c r="A103" t="s">
        <v>105</v>
      </c>
      <c r="B103" s="117">
        <v>22619</v>
      </c>
      <c r="C103" s="117">
        <v>22404</v>
      </c>
      <c r="D103" s="141">
        <v>22379</v>
      </c>
      <c r="E103" s="117">
        <v>21913</v>
      </c>
      <c r="F103">
        <v>18.600000000000001</v>
      </c>
      <c r="G103" s="162">
        <v>3.64</v>
      </c>
      <c r="H103" s="164">
        <v>59755</v>
      </c>
      <c r="I103" s="161">
        <v>2389474320</v>
      </c>
      <c r="J103"/>
      <c r="K103" s="125" t="s">
        <v>139</v>
      </c>
      <c r="L103" s="126" t="s">
        <v>689</v>
      </c>
      <c r="M103" s="127">
        <v>0</v>
      </c>
      <c r="N103" s="126" t="s">
        <v>689</v>
      </c>
      <c r="O103" s="131" t="s">
        <v>689</v>
      </c>
      <c r="P103" s="189" t="s">
        <v>916</v>
      </c>
    </row>
    <row r="104" spans="1:16" x14ac:dyDescent="0.3">
      <c r="A104" t="s">
        <v>106</v>
      </c>
      <c r="B104" s="117">
        <v>158507</v>
      </c>
      <c r="C104" s="117">
        <v>163573</v>
      </c>
      <c r="D104" s="141">
        <v>161121</v>
      </c>
      <c r="E104" s="117">
        <v>168248</v>
      </c>
      <c r="F104">
        <v>12.7</v>
      </c>
      <c r="G104" s="162">
        <v>3.58</v>
      </c>
      <c r="H104" s="164">
        <v>67864</v>
      </c>
      <c r="I104" s="161">
        <v>31977189069</v>
      </c>
      <c r="J104"/>
      <c r="K104" s="125" t="s">
        <v>141</v>
      </c>
      <c r="L104" s="126" t="s">
        <v>689</v>
      </c>
      <c r="M104" s="127">
        <v>4</v>
      </c>
      <c r="N104" s="126" t="s">
        <v>689</v>
      </c>
      <c r="O104" s="131" t="s">
        <v>689</v>
      </c>
      <c r="P104" s="189" t="s">
        <v>917</v>
      </c>
    </row>
    <row r="105" spans="1:16" x14ac:dyDescent="0.3">
      <c r="A105" t="s">
        <v>107</v>
      </c>
      <c r="B105" s="117">
        <v>588</v>
      </c>
      <c r="C105" s="117">
        <v>628</v>
      </c>
      <c r="D105" s="141">
        <v>707</v>
      </c>
      <c r="E105" s="117">
        <v>739</v>
      </c>
      <c r="F105">
        <v>21.4</v>
      </c>
      <c r="G105" s="162">
        <v>3.58</v>
      </c>
      <c r="H105" s="164">
        <v>47250</v>
      </c>
      <c r="I105" s="161">
        <v>176385852</v>
      </c>
      <c r="J105"/>
      <c r="K105" s="125" t="s">
        <v>142</v>
      </c>
      <c r="L105" s="126" t="s">
        <v>689</v>
      </c>
      <c r="M105" s="127">
        <v>2</v>
      </c>
      <c r="N105" s="126" t="s">
        <v>689</v>
      </c>
      <c r="O105" s="131" t="s">
        <v>689</v>
      </c>
      <c r="P105" s="189" t="s">
        <v>918</v>
      </c>
    </row>
    <row r="106" spans="1:16" x14ac:dyDescent="0.3">
      <c r="A106" t="s">
        <v>108</v>
      </c>
      <c r="B106" s="117">
        <v>2176</v>
      </c>
      <c r="C106" s="117">
        <v>1917</v>
      </c>
      <c r="D106" s="141">
        <v>1799</v>
      </c>
      <c r="E106" s="117">
        <v>1971</v>
      </c>
      <c r="F106">
        <v>5.4</v>
      </c>
      <c r="G106" s="162">
        <v>3.35</v>
      </c>
      <c r="H106" s="164">
        <v>98750</v>
      </c>
      <c r="I106" s="161">
        <v>503035952</v>
      </c>
      <c r="J106"/>
      <c r="K106" s="125" t="s">
        <v>143</v>
      </c>
      <c r="L106" s="126" t="s">
        <v>689</v>
      </c>
      <c r="M106" s="127">
        <v>1</v>
      </c>
      <c r="N106" s="126" t="s">
        <v>690</v>
      </c>
      <c r="O106" s="131" t="s">
        <v>689</v>
      </c>
      <c r="P106" s="189" t="s">
        <v>143</v>
      </c>
    </row>
    <row r="107" spans="1:16" x14ac:dyDescent="0.3">
      <c r="A107" t="s">
        <v>109</v>
      </c>
      <c r="B107" s="117">
        <v>284</v>
      </c>
      <c r="C107" s="117">
        <v>306</v>
      </c>
      <c r="D107" s="141">
        <v>299</v>
      </c>
      <c r="E107" s="117">
        <v>309</v>
      </c>
      <c r="F107">
        <v>2</v>
      </c>
      <c r="G107" s="162">
        <v>3.5</v>
      </c>
      <c r="H107" s="164">
        <v>95625</v>
      </c>
      <c r="I107" s="161">
        <v>57666701</v>
      </c>
      <c r="J107"/>
      <c r="K107" s="125" t="s">
        <v>144</v>
      </c>
      <c r="L107" s="126" t="s">
        <v>689</v>
      </c>
      <c r="M107" s="127">
        <v>7</v>
      </c>
      <c r="N107" s="126" t="s">
        <v>689</v>
      </c>
      <c r="O107" s="131" t="s">
        <v>689</v>
      </c>
      <c r="P107" s="189" t="s">
        <v>919</v>
      </c>
    </row>
    <row r="108" spans="1:16" x14ac:dyDescent="0.3">
      <c r="A108" t="s">
        <v>110</v>
      </c>
      <c r="B108" s="117">
        <v>322</v>
      </c>
      <c r="C108" s="117">
        <v>319</v>
      </c>
      <c r="D108" s="141">
        <v>130</v>
      </c>
      <c r="E108" s="117">
        <v>134</v>
      </c>
      <c r="F108">
        <v>25.1</v>
      </c>
      <c r="G108" s="162">
        <v>4.3600000000000003</v>
      </c>
      <c r="H108" s="164"/>
      <c r="I108" s="161">
        <v>12988123</v>
      </c>
      <c r="J108"/>
      <c r="K108" s="125" t="s">
        <v>147</v>
      </c>
      <c r="L108" s="126" t="s">
        <v>689</v>
      </c>
      <c r="M108" s="127">
        <v>6</v>
      </c>
      <c r="N108" s="126" t="s">
        <v>689</v>
      </c>
      <c r="O108" s="131" t="s">
        <v>689</v>
      </c>
      <c r="P108" s="189" t="s">
        <v>920</v>
      </c>
    </row>
    <row r="109" spans="1:16" x14ac:dyDescent="0.3">
      <c r="A109" t="s">
        <v>111</v>
      </c>
      <c r="B109" s="117">
        <v>2038</v>
      </c>
      <c r="C109" s="117">
        <v>1352</v>
      </c>
      <c r="D109" s="141">
        <v>1554</v>
      </c>
      <c r="E109" s="117">
        <v>1535</v>
      </c>
      <c r="F109">
        <v>30.6</v>
      </c>
      <c r="G109" s="162">
        <v>4.3600000000000003</v>
      </c>
      <c r="H109" s="164">
        <v>45787</v>
      </c>
      <c r="I109" s="161">
        <v>89157880</v>
      </c>
      <c r="J109"/>
      <c r="K109" s="125" t="s">
        <v>149</v>
      </c>
      <c r="L109" s="126" t="s">
        <v>689</v>
      </c>
      <c r="M109" s="127">
        <v>4</v>
      </c>
      <c r="N109" s="126" t="s">
        <v>689</v>
      </c>
      <c r="O109" s="131" t="s">
        <v>689</v>
      </c>
      <c r="P109" s="189" t="s">
        <v>149</v>
      </c>
    </row>
    <row r="110" spans="1:16" x14ac:dyDescent="0.3">
      <c r="A110" t="s">
        <v>112</v>
      </c>
      <c r="B110" s="117">
        <v>61912</v>
      </c>
      <c r="C110" s="117">
        <v>61607</v>
      </c>
      <c r="D110" s="141">
        <v>57627</v>
      </c>
      <c r="E110" s="117">
        <v>64785</v>
      </c>
      <c r="F110">
        <v>18.600000000000001</v>
      </c>
      <c r="G110" s="162">
        <v>3.16</v>
      </c>
      <c r="H110" s="164">
        <v>85989</v>
      </c>
      <c r="I110" s="161">
        <v>9827476377</v>
      </c>
      <c r="J110"/>
      <c r="K110" s="125" t="s">
        <v>151</v>
      </c>
      <c r="L110" s="126" t="s">
        <v>690</v>
      </c>
      <c r="M110" s="127">
        <v>3</v>
      </c>
      <c r="N110" s="126" t="s">
        <v>689</v>
      </c>
      <c r="O110" s="131" t="s">
        <v>689</v>
      </c>
      <c r="P110" s="189" t="s">
        <v>921</v>
      </c>
    </row>
    <row r="111" spans="1:16" x14ac:dyDescent="0.3">
      <c r="A111" t="s">
        <v>113</v>
      </c>
      <c r="B111" s="117">
        <v>873570</v>
      </c>
      <c r="C111" s="117">
        <v>903844</v>
      </c>
      <c r="D111" s="141">
        <v>875113</v>
      </c>
      <c r="E111" s="117">
        <v>944742</v>
      </c>
      <c r="F111">
        <v>11.7</v>
      </c>
      <c r="G111" s="162">
        <v>3.72</v>
      </c>
      <c r="H111" s="164">
        <v>82068</v>
      </c>
      <c r="I111" s="161">
        <v>225869304380</v>
      </c>
      <c r="J111"/>
      <c r="K111" s="125" t="s">
        <v>152</v>
      </c>
      <c r="L111" s="126" t="s">
        <v>689</v>
      </c>
      <c r="M111" s="127">
        <v>4</v>
      </c>
      <c r="N111" s="126" t="s">
        <v>689</v>
      </c>
      <c r="O111" s="131" t="s">
        <v>689</v>
      </c>
      <c r="P111" s="189" t="s">
        <v>922</v>
      </c>
    </row>
    <row r="112" spans="1:16" x14ac:dyDescent="0.3">
      <c r="A112" t="s">
        <v>114</v>
      </c>
      <c r="B112" s="117">
        <v>72853</v>
      </c>
      <c r="C112" s="117">
        <v>80151</v>
      </c>
      <c r="D112" s="141">
        <v>76337</v>
      </c>
      <c r="E112" s="117">
        <v>82975</v>
      </c>
      <c r="F112">
        <v>11</v>
      </c>
      <c r="G112" s="162">
        <v>3.12</v>
      </c>
      <c r="H112" s="164">
        <v>94317</v>
      </c>
      <c r="I112" s="161">
        <v>15900684399</v>
      </c>
      <c r="J112"/>
      <c r="K112" s="125" t="s">
        <v>153</v>
      </c>
      <c r="L112" s="126" t="s">
        <v>690</v>
      </c>
      <c r="M112" s="127">
        <v>7</v>
      </c>
      <c r="N112" s="126" t="s">
        <v>689</v>
      </c>
      <c r="O112" s="131" t="s">
        <v>689</v>
      </c>
      <c r="P112" s="189" t="s">
        <v>153</v>
      </c>
    </row>
    <row r="113" spans="1:16" x14ac:dyDescent="0.3">
      <c r="A113" t="s">
        <v>115</v>
      </c>
      <c r="B113" s="117">
        <v>28413</v>
      </c>
      <c r="C113" s="117">
        <v>29562</v>
      </c>
      <c r="D113" s="141">
        <v>28724</v>
      </c>
      <c r="E113" s="117">
        <v>30056</v>
      </c>
      <c r="F113">
        <v>12.4</v>
      </c>
      <c r="G113" s="162">
        <v>3.86</v>
      </c>
      <c r="H113" s="164">
        <v>53628</v>
      </c>
      <c r="I113" s="161">
        <v>4207420374</v>
      </c>
      <c r="J113"/>
      <c r="K113" s="125" t="s">
        <v>154</v>
      </c>
      <c r="L113" s="126" t="s">
        <v>689</v>
      </c>
      <c r="M113" s="127">
        <v>3</v>
      </c>
      <c r="N113" s="126" t="s">
        <v>689</v>
      </c>
      <c r="O113" s="131" t="s">
        <v>689</v>
      </c>
      <c r="P113" s="189" t="s">
        <v>154</v>
      </c>
    </row>
    <row r="114" spans="1:16" x14ac:dyDescent="0.3">
      <c r="A114" t="s">
        <v>116</v>
      </c>
      <c r="B114" s="117">
        <v>6018</v>
      </c>
      <c r="C114" s="117">
        <v>6226</v>
      </c>
      <c r="D114" s="141">
        <v>6094</v>
      </c>
      <c r="E114" s="117">
        <v>6382</v>
      </c>
      <c r="F114">
        <v>12.4</v>
      </c>
      <c r="G114" s="162">
        <v>3.74</v>
      </c>
      <c r="H114" s="164">
        <v>70625</v>
      </c>
      <c r="I114" s="161">
        <v>724058854</v>
      </c>
      <c r="J114"/>
      <c r="K114" s="125" t="s">
        <v>155</v>
      </c>
      <c r="L114" s="126" t="s">
        <v>689</v>
      </c>
      <c r="M114" s="127">
        <v>3</v>
      </c>
      <c r="N114" s="126" t="s">
        <v>689</v>
      </c>
      <c r="O114" s="131" t="s">
        <v>689</v>
      </c>
      <c r="P114" s="189" t="s">
        <v>923</v>
      </c>
    </row>
    <row r="115" spans="1:16" x14ac:dyDescent="0.3">
      <c r="A115" t="s">
        <v>117</v>
      </c>
      <c r="B115" s="117">
        <v>174</v>
      </c>
      <c r="C115" s="117">
        <v>122</v>
      </c>
      <c r="D115" s="141">
        <v>137</v>
      </c>
      <c r="E115" s="117">
        <v>146</v>
      </c>
      <c r="F115">
        <v>8.1999999999999993</v>
      </c>
      <c r="G115" s="162">
        <v>4.3499999999999996</v>
      </c>
      <c r="H115" s="164">
        <v>64375</v>
      </c>
      <c r="I115" s="161">
        <v>93098216</v>
      </c>
      <c r="J115"/>
      <c r="K115" s="125" t="s">
        <v>157</v>
      </c>
      <c r="L115" s="126" t="s">
        <v>689</v>
      </c>
      <c r="M115" s="127">
        <v>2</v>
      </c>
      <c r="N115" s="126" t="s">
        <v>689</v>
      </c>
      <c r="O115" s="131" t="s">
        <v>689</v>
      </c>
      <c r="P115" s="189" t="s">
        <v>157</v>
      </c>
    </row>
    <row r="116" spans="1:16" x14ac:dyDescent="0.3">
      <c r="A116" t="s">
        <v>118</v>
      </c>
      <c r="B116" s="117">
        <v>4225</v>
      </c>
      <c r="C116" s="117">
        <v>4530</v>
      </c>
      <c r="D116" s="141">
        <v>4447</v>
      </c>
      <c r="E116" s="117">
        <v>4989</v>
      </c>
      <c r="F116">
        <v>17.2</v>
      </c>
      <c r="G116" s="162">
        <v>3.57</v>
      </c>
      <c r="H116" s="164">
        <v>54083</v>
      </c>
      <c r="I116" s="161">
        <v>684665479</v>
      </c>
      <c r="J116"/>
      <c r="K116" s="125" t="s">
        <v>158</v>
      </c>
      <c r="L116" s="126" t="s">
        <v>689</v>
      </c>
      <c r="M116" s="127">
        <v>6</v>
      </c>
      <c r="N116" s="126" t="s">
        <v>689</v>
      </c>
      <c r="O116" s="131" t="s">
        <v>689</v>
      </c>
      <c r="P116" s="189" t="s">
        <v>158</v>
      </c>
    </row>
    <row r="117" spans="1:16" x14ac:dyDescent="0.3">
      <c r="A117" t="s">
        <v>119</v>
      </c>
      <c r="B117" s="117">
        <v>1331</v>
      </c>
      <c r="C117" s="117">
        <v>903</v>
      </c>
      <c r="D117" s="141">
        <v>749</v>
      </c>
      <c r="E117" s="117">
        <v>742</v>
      </c>
      <c r="F117">
        <v>26.9</v>
      </c>
      <c r="G117" s="162">
        <v>3.68</v>
      </c>
      <c r="H117" s="164">
        <v>41382</v>
      </c>
      <c r="I117" s="161">
        <v>78920201</v>
      </c>
      <c r="J117"/>
      <c r="K117" s="125" t="s">
        <v>160</v>
      </c>
      <c r="L117" s="126" t="s">
        <v>689</v>
      </c>
      <c r="M117" s="127">
        <v>1</v>
      </c>
      <c r="N117" s="126" t="s">
        <v>689</v>
      </c>
      <c r="O117" s="131" t="s">
        <v>689</v>
      </c>
      <c r="P117" s="189" t="s">
        <v>160</v>
      </c>
    </row>
    <row r="118" spans="1:16" x14ac:dyDescent="0.3">
      <c r="A118" t="s">
        <v>120</v>
      </c>
      <c r="B118" s="117">
        <v>13995</v>
      </c>
      <c r="C118" s="117">
        <v>13836</v>
      </c>
      <c r="D118" s="141">
        <v>13664</v>
      </c>
      <c r="E118" s="117">
        <v>13742</v>
      </c>
      <c r="F118">
        <v>19.100000000000001</v>
      </c>
      <c r="G118" s="162">
        <v>3.43</v>
      </c>
      <c r="H118" s="164">
        <v>53864</v>
      </c>
      <c r="I118" s="161">
        <v>2193130037</v>
      </c>
      <c r="J118"/>
      <c r="K118" s="125" t="s">
        <v>161</v>
      </c>
      <c r="L118" s="126" t="s">
        <v>690</v>
      </c>
      <c r="M118" s="127">
        <v>7</v>
      </c>
      <c r="N118" s="126" t="s">
        <v>689</v>
      </c>
      <c r="O118" s="131" t="s">
        <v>689</v>
      </c>
      <c r="P118" s="189" t="s">
        <v>924</v>
      </c>
    </row>
    <row r="119" spans="1:16" x14ac:dyDescent="0.3">
      <c r="A119" t="s">
        <v>121</v>
      </c>
      <c r="B119" s="117">
        <v>1924</v>
      </c>
      <c r="C119" s="117">
        <v>1922</v>
      </c>
      <c r="D119" s="141">
        <v>1699</v>
      </c>
      <c r="E119" s="117">
        <v>1774</v>
      </c>
      <c r="F119">
        <v>7</v>
      </c>
      <c r="G119" s="162">
        <v>3.58</v>
      </c>
      <c r="H119" s="164">
        <v>66667</v>
      </c>
      <c r="I119" s="161">
        <v>824857844</v>
      </c>
      <c r="J119"/>
      <c r="K119" s="125" t="s">
        <v>164</v>
      </c>
      <c r="L119" s="126" t="s">
        <v>689</v>
      </c>
      <c r="M119" s="127">
        <v>5</v>
      </c>
      <c r="N119" s="126" t="s">
        <v>689</v>
      </c>
      <c r="O119" s="131" t="s">
        <v>689</v>
      </c>
      <c r="P119" s="189" t="s">
        <v>925</v>
      </c>
    </row>
    <row r="120" spans="1:16" x14ac:dyDescent="0.3">
      <c r="A120" t="s">
        <v>122</v>
      </c>
      <c r="B120" s="117">
        <v>972</v>
      </c>
      <c r="C120" s="117">
        <v>740</v>
      </c>
      <c r="D120" s="141">
        <v>611</v>
      </c>
      <c r="E120" s="117">
        <v>608</v>
      </c>
      <c r="F120">
        <v>50.1</v>
      </c>
      <c r="G120" s="162">
        <v>4.97</v>
      </c>
      <c r="H120" s="164">
        <v>27292</v>
      </c>
      <c r="I120" s="161">
        <v>66612521</v>
      </c>
      <c r="J120"/>
      <c r="K120" s="125" t="s">
        <v>166</v>
      </c>
      <c r="L120" s="126" t="s">
        <v>690</v>
      </c>
      <c r="M120" s="127">
        <v>2</v>
      </c>
      <c r="N120" s="126" t="s">
        <v>689</v>
      </c>
      <c r="O120" s="131" t="s">
        <v>689</v>
      </c>
      <c r="P120" s="189" t="s">
        <v>926</v>
      </c>
    </row>
    <row r="121" spans="1:16" x14ac:dyDescent="0.3">
      <c r="A121" t="s">
        <v>123</v>
      </c>
      <c r="B121" s="117">
        <v>11150</v>
      </c>
      <c r="C121" s="117">
        <v>11610</v>
      </c>
      <c r="D121" s="141">
        <v>11124</v>
      </c>
      <c r="E121" s="117">
        <v>12099</v>
      </c>
      <c r="F121">
        <v>12.9</v>
      </c>
      <c r="G121" s="162">
        <v>3.29</v>
      </c>
      <c r="H121" s="164">
        <v>56971</v>
      </c>
      <c r="I121" s="161">
        <v>2216136864</v>
      </c>
      <c r="J121"/>
      <c r="K121" s="125" t="s">
        <v>167</v>
      </c>
      <c r="L121" s="126" t="s">
        <v>689</v>
      </c>
      <c r="M121" s="127">
        <v>6</v>
      </c>
      <c r="N121" s="126" t="s">
        <v>689</v>
      </c>
      <c r="O121" s="131" t="s">
        <v>689</v>
      </c>
      <c r="P121" s="189" t="s">
        <v>927</v>
      </c>
    </row>
    <row r="122" spans="1:16" x14ac:dyDescent="0.3">
      <c r="A122" t="s">
        <v>124</v>
      </c>
      <c r="B122" s="117">
        <v>23179</v>
      </c>
      <c r="C122" s="117">
        <v>29320</v>
      </c>
      <c r="D122" s="141">
        <v>26614</v>
      </c>
      <c r="E122" s="117">
        <v>31312</v>
      </c>
      <c r="F122">
        <v>5.9</v>
      </c>
      <c r="G122" s="162">
        <v>3.11</v>
      </c>
      <c r="H122" s="164">
        <v>78822</v>
      </c>
      <c r="I122" s="161">
        <v>3512891376</v>
      </c>
      <c r="J122"/>
      <c r="K122" s="125" t="s">
        <v>168</v>
      </c>
      <c r="L122" s="126" t="s">
        <v>690</v>
      </c>
      <c r="M122" s="127">
        <v>7</v>
      </c>
      <c r="N122" s="126" t="s">
        <v>689</v>
      </c>
      <c r="O122" s="131" t="s">
        <v>689</v>
      </c>
      <c r="P122" s="189" t="s">
        <v>928</v>
      </c>
    </row>
    <row r="123" spans="1:16" x14ac:dyDescent="0.3">
      <c r="A123" t="s">
        <v>125</v>
      </c>
      <c r="B123" s="117">
        <v>20574</v>
      </c>
      <c r="C123" s="117">
        <v>21871</v>
      </c>
      <c r="D123" s="141">
        <v>21248</v>
      </c>
      <c r="E123" s="117">
        <v>21857</v>
      </c>
      <c r="F123">
        <v>6.5</v>
      </c>
      <c r="G123" s="162">
        <v>3.79</v>
      </c>
      <c r="H123" s="164">
        <v>87655</v>
      </c>
      <c r="I123" s="161">
        <v>2802764792</v>
      </c>
      <c r="J123"/>
      <c r="K123" s="125" t="s">
        <v>170</v>
      </c>
      <c r="L123" s="126" t="s">
        <v>689</v>
      </c>
      <c r="M123" s="127">
        <v>9</v>
      </c>
      <c r="N123" s="126" t="s">
        <v>689</v>
      </c>
      <c r="O123" s="131" t="s">
        <v>689</v>
      </c>
      <c r="P123" s="189" t="s">
        <v>929</v>
      </c>
    </row>
    <row r="124" spans="1:16" x14ac:dyDescent="0.3">
      <c r="A124" t="s">
        <v>126</v>
      </c>
      <c r="B124" s="117">
        <v>97765</v>
      </c>
      <c r="C124" s="117">
        <v>100991</v>
      </c>
      <c r="D124" s="141">
        <v>99409</v>
      </c>
      <c r="E124" s="117">
        <v>99774</v>
      </c>
      <c r="F124">
        <v>16.600000000000001</v>
      </c>
      <c r="G124" s="162">
        <v>4.0599999999999996</v>
      </c>
      <c r="H124" s="164">
        <v>58534</v>
      </c>
      <c r="I124" s="161">
        <v>11215795162</v>
      </c>
      <c r="J124"/>
      <c r="K124" s="125" t="s">
        <v>171</v>
      </c>
      <c r="L124" s="126" t="s">
        <v>689</v>
      </c>
      <c r="M124" s="127">
        <v>1</v>
      </c>
      <c r="N124" s="126" t="s">
        <v>689</v>
      </c>
      <c r="O124" s="131" t="s">
        <v>689</v>
      </c>
      <c r="P124" s="189" t="s">
        <v>171</v>
      </c>
    </row>
    <row r="125" spans="1:16" x14ac:dyDescent="0.3">
      <c r="A125" t="s">
        <v>128</v>
      </c>
      <c r="B125" s="117">
        <v>1147</v>
      </c>
      <c r="C125" s="117">
        <v>1080</v>
      </c>
      <c r="D125" s="141">
        <v>854</v>
      </c>
      <c r="E125" s="117">
        <v>882</v>
      </c>
      <c r="F125">
        <v>17.2</v>
      </c>
      <c r="G125" s="162">
        <v>3.57</v>
      </c>
      <c r="H125" s="164">
        <v>58750</v>
      </c>
      <c r="I125" s="161">
        <v>276353617</v>
      </c>
      <c r="J125"/>
      <c r="K125" s="125" t="s">
        <v>172</v>
      </c>
      <c r="L125" s="126" t="s">
        <v>689</v>
      </c>
      <c r="M125" s="127">
        <v>1</v>
      </c>
      <c r="N125" s="126" t="s">
        <v>689</v>
      </c>
      <c r="O125" s="131" t="s">
        <v>689</v>
      </c>
      <c r="P125" s="189" t="s">
        <v>172</v>
      </c>
    </row>
    <row r="126" spans="1:16" x14ac:dyDescent="0.3">
      <c r="A126" t="s">
        <v>130</v>
      </c>
      <c r="B126" s="117">
        <v>8480</v>
      </c>
      <c r="C126" s="117">
        <v>8304</v>
      </c>
      <c r="D126" s="141">
        <v>8330</v>
      </c>
      <c r="E126" s="117">
        <v>8488</v>
      </c>
      <c r="F126">
        <v>23.6</v>
      </c>
      <c r="G126" s="162">
        <v>3.98</v>
      </c>
      <c r="H126" s="164">
        <v>44953</v>
      </c>
      <c r="I126" s="161">
        <v>1419296206</v>
      </c>
      <c r="J126"/>
      <c r="K126" s="125" t="s">
        <v>173</v>
      </c>
      <c r="L126" s="126" t="s">
        <v>689</v>
      </c>
      <c r="M126" s="127">
        <v>0</v>
      </c>
      <c r="N126" s="126" t="s">
        <v>689</v>
      </c>
      <c r="O126" s="131" t="s">
        <v>689</v>
      </c>
      <c r="P126" s="189" t="s">
        <v>930</v>
      </c>
    </row>
    <row r="127" spans="1:16" x14ac:dyDescent="0.3">
      <c r="A127" t="s">
        <v>131</v>
      </c>
      <c r="B127" s="117">
        <v>1483</v>
      </c>
      <c r="C127" s="117">
        <v>1359</v>
      </c>
      <c r="D127" s="141">
        <v>1371</v>
      </c>
      <c r="E127" s="117">
        <v>1415</v>
      </c>
      <c r="F127">
        <v>8.1999999999999993</v>
      </c>
      <c r="G127" s="162">
        <v>3.62</v>
      </c>
      <c r="H127" s="164">
        <v>56406</v>
      </c>
      <c r="I127" s="161">
        <v>112773199</v>
      </c>
      <c r="J127"/>
      <c r="K127" s="125" t="s">
        <v>175</v>
      </c>
      <c r="L127" s="126" t="s">
        <v>690</v>
      </c>
      <c r="M127" s="127">
        <v>4</v>
      </c>
      <c r="N127" s="126" t="s">
        <v>689</v>
      </c>
      <c r="O127" s="131" t="s">
        <v>689</v>
      </c>
      <c r="P127" s="189" t="s">
        <v>931</v>
      </c>
    </row>
    <row r="128" spans="1:16" x14ac:dyDescent="0.3">
      <c r="A128" t="s">
        <v>132</v>
      </c>
      <c r="B128" s="117">
        <v>2463</v>
      </c>
      <c r="C128" s="117">
        <v>1664</v>
      </c>
      <c r="D128" s="141">
        <v>2143</v>
      </c>
      <c r="E128" s="117">
        <v>2241</v>
      </c>
      <c r="F128">
        <v>21.6</v>
      </c>
      <c r="G128" s="162">
        <v>3.86</v>
      </c>
      <c r="H128" s="164">
        <v>37009</v>
      </c>
      <c r="I128" s="161">
        <v>165829325</v>
      </c>
      <c r="J128"/>
      <c r="K128" s="125" t="s">
        <v>176</v>
      </c>
      <c r="L128" s="126" t="s">
        <v>690</v>
      </c>
      <c r="M128" s="127">
        <v>6</v>
      </c>
      <c r="N128" s="126" t="s">
        <v>689</v>
      </c>
      <c r="O128" s="131" t="s">
        <v>689</v>
      </c>
      <c r="P128" s="189" t="s">
        <v>932</v>
      </c>
    </row>
    <row r="129" spans="1:16" x14ac:dyDescent="0.3">
      <c r="A129" t="s">
        <v>133</v>
      </c>
      <c r="B129" s="117">
        <v>421</v>
      </c>
      <c r="C129" s="117">
        <v>300</v>
      </c>
      <c r="D129" s="141">
        <v>271</v>
      </c>
      <c r="E129" s="117">
        <v>254</v>
      </c>
      <c r="F129">
        <v>25.3</v>
      </c>
      <c r="G129" s="162">
        <v>4.22</v>
      </c>
      <c r="H129" s="164">
        <v>41250</v>
      </c>
      <c r="I129" s="161">
        <v>29804799</v>
      </c>
      <c r="J129"/>
      <c r="K129" s="125" t="s">
        <v>177</v>
      </c>
      <c r="L129" s="126" t="s">
        <v>690</v>
      </c>
      <c r="M129" s="127">
        <v>1</v>
      </c>
      <c r="N129" s="126" t="s">
        <v>689</v>
      </c>
      <c r="O129" s="131" t="s">
        <v>689</v>
      </c>
      <c r="P129" s="189" t="s">
        <v>933</v>
      </c>
    </row>
    <row r="130" spans="1:16" x14ac:dyDescent="0.3">
      <c r="A130" t="s">
        <v>134</v>
      </c>
      <c r="B130" s="117">
        <v>270</v>
      </c>
      <c r="C130" s="117">
        <v>239</v>
      </c>
      <c r="D130" s="141">
        <v>214</v>
      </c>
      <c r="E130" s="117">
        <v>202</v>
      </c>
      <c r="F130">
        <v>3.2</v>
      </c>
      <c r="G130" s="162">
        <v>4.8499999999999996</v>
      </c>
      <c r="H130" s="164">
        <v>118359</v>
      </c>
      <c r="I130" s="161">
        <v>15626307</v>
      </c>
      <c r="J130"/>
      <c r="K130" s="125" t="s">
        <v>803</v>
      </c>
      <c r="L130" s="126" t="s">
        <v>689</v>
      </c>
      <c r="M130" s="127">
        <v>0</v>
      </c>
      <c r="N130" s="126" t="s">
        <v>689</v>
      </c>
      <c r="O130" s="131" t="s">
        <v>689</v>
      </c>
      <c r="P130" s="189" t="s">
        <v>803</v>
      </c>
    </row>
    <row r="131" spans="1:16" x14ac:dyDescent="0.3">
      <c r="A131" t="s">
        <v>135</v>
      </c>
      <c r="B131" s="117">
        <v>678</v>
      </c>
      <c r="C131" s="117">
        <v>759</v>
      </c>
      <c r="D131" s="141">
        <v>604</v>
      </c>
      <c r="E131" s="117">
        <v>592</v>
      </c>
      <c r="F131">
        <v>27</v>
      </c>
      <c r="G131" s="162">
        <v>5.2</v>
      </c>
      <c r="H131" s="164">
        <v>25893</v>
      </c>
      <c r="I131" s="161">
        <v>56019079</v>
      </c>
      <c r="J131"/>
      <c r="K131" s="128" t="s">
        <v>178</v>
      </c>
      <c r="L131" s="126" t="s">
        <v>689</v>
      </c>
      <c r="M131" s="127">
        <v>3</v>
      </c>
      <c r="N131" s="126" t="s">
        <v>689</v>
      </c>
      <c r="O131" s="131" t="s">
        <v>689</v>
      </c>
      <c r="P131" s="189" t="s">
        <v>934</v>
      </c>
    </row>
    <row r="132" spans="1:16" x14ac:dyDescent="0.3">
      <c r="A132" t="s">
        <v>136</v>
      </c>
      <c r="B132" s="117">
        <v>55659</v>
      </c>
      <c r="C132" s="117">
        <v>50140</v>
      </c>
      <c r="D132" s="141">
        <v>50350</v>
      </c>
      <c r="E132" s="117">
        <v>49866</v>
      </c>
      <c r="F132">
        <v>18.2</v>
      </c>
      <c r="G132" s="162">
        <v>4.3600000000000003</v>
      </c>
      <c r="H132" s="164">
        <v>49442</v>
      </c>
      <c r="I132" s="161">
        <v>4788625121</v>
      </c>
      <c r="J132"/>
      <c r="K132" s="125" t="s">
        <v>179</v>
      </c>
      <c r="L132" s="126" t="s">
        <v>690</v>
      </c>
      <c r="M132" s="127">
        <v>13</v>
      </c>
      <c r="N132" s="126" t="s">
        <v>689</v>
      </c>
      <c r="O132" s="131" t="s">
        <v>689</v>
      </c>
      <c r="P132" s="189" t="s">
        <v>935</v>
      </c>
    </row>
    <row r="133" spans="1:16" x14ac:dyDescent="0.3">
      <c r="A133" t="s">
        <v>137</v>
      </c>
      <c r="B133" s="117">
        <v>1240</v>
      </c>
      <c r="C133" s="117">
        <v>1071</v>
      </c>
      <c r="D133" s="141">
        <v>991</v>
      </c>
      <c r="E133" s="117">
        <v>1018</v>
      </c>
      <c r="F133">
        <v>13.2</v>
      </c>
      <c r="G133" s="162">
        <v>3.35</v>
      </c>
      <c r="H133" s="164">
        <v>60169</v>
      </c>
      <c r="I133" s="161">
        <v>159191498</v>
      </c>
      <c r="J133"/>
      <c r="K133" s="125" t="s">
        <v>180</v>
      </c>
      <c r="L133" s="126" t="s">
        <v>690</v>
      </c>
      <c r="M133" s="127">
        <v>6</v>
      </c>
      <c r="N133" s="126" t="s">
        <v>689</v>
      </c>
      <c r="O133" s="131" t="s">
        <v>689</v>
      </c>
      <c r="P133" s="189" t="s">
        <v>180</v>
      </c>
    </row>
    <row r="134" spans="1:16" x14ac:dyDescent="0.3">
      <c r="A134" t="s">
        <v>138</v>
      </c>
      <c r="B134" s="117">
        <v>114</v>
      </c>
      <c r="C134" s="117">
        <v>123</v>
      </c>
      <c r="D134" s="141">
        <v>69</v>
      </c>
      <c r="E134" s="117">
        <v>64</v>
      </c>
      <c r="F134">
        <v>1.6</v>
      </c>
      <c r="G134" s="162">
        <v>4.22</v>
      </c>
      <c r="H134" s="164"/>
      <c r="I134" s="161">
        <v>6235260</v>
      </c>
      <c r="J134"/>
      <c r="K134" s="125" t="s">
        <v>181</v>
      </c>
      <c r="L134" s="126" t="s">
        <v>689</v>
      </c>
      <c r="M134" s="127">
        <v>4</v>
      </c>
      <c r="N134" s="126" t="s">
        <v>689</v>
      </c>
      <c r="O134" s="131" t="s">
        <v>689</v>
      </c>
      <c r="P134" s="189" t="s">
        <v>936</v>
      </c>
    </row>
    <row r="135" spans="1:16" x14ac:dyDescent="0.3">
      <c r="A135" t="s">
        <v>139</v>
      </c>
      <c r="B135" s="117">
        <v>94147</v>
      </c>
      <c r="C135" s="117">
        <v>108719</v>
      </c>
      <c r="D135" s="141">
        <v>106029</v>
      </c>
      <c r="E135" s="117">
        <v>115053</v>
      </c>
      <c r="F135">
        <v>9.6</v>
      </c>
      <c r="G135" s="162">
        <v>3.48</v>
      </c>
      <c r="H135" s="164">
        <v>86921</v>
      </c>
      <c r="I135" s="161">
        <v>23857852257</v>
      </c>
      <c r="J135"/>
      <c r="K135" s="125" t="s">
        <v>182</v>
      </c>
      <c r="L135" s="126" t="s">
        <v>690</v>
      </c>
      <c r="M135" s="127">
        <v>4</v>
      </c>
      <c r="N135" s="126" t="s">
        <v>689</v>
      </c>
      <c r="O135" s="131" t="s">
        <v>689</v>
      </c>
      <c r="P135" s="189" t="s">
        <v>937</v>
      </c>
    </row>
    <row r="136" spans="1:16" x14ac:dyDescent="0.3">
      <c r="A136" t="s">
        <v>140</v>
      </c>
      <c r="B136" s="117">
        <v>599</v>
      </c>
      <c r="C136" s="117">
        <v>561</v>
      </c>
      <c r="D136" s="141">
        <v>201</v>
      </c>
      <c r="E136" s="117">
        <v>199</v>
      </c>
      <c r="F136">
        <v>74.5</v>
      </c>
      <c r="G136" s="162">
        <v>5.26</v>
      </c>
      <c r="H136" s="164">
        <v>38776</v>
      </c>
      <c r="I136" s="161">
        <v>15284712</v>
      </c>
      <c r="J136"/>
      <c r="K136" s="125" t="s">
        <v>183</v>
      </c>
      <c r="L136" s="126" t="s">
        <v>689</v>
      </c>
      <c r="M136" s="127">
        <v>8</v>
      </c>
      <c r="N136" s="126" t="s">
        <v>689</v>
      </c>
      <c r="O136" s="131" t="s">
        <v>689</v>
      </c>
      <c r="P136" s="189" t="s">
        <v>938</v>
      </c>
    </row>
    <row r="137" spans="1:16" x14ac:dyDescent="0.3">
      <c r="A137" t="s">
        <v>141</v>
      </c>
      <c r="B137" s="117">
        <v>2272</v>
      </c>
      <c r="C137" s="117">
        <v>2427</v>
      </c>
      <c r="D137" s="141">
        <v>1526</v>
      </c>
      <c r="E137" s="117">
        <v>1570</v>
      </c>
      <c r="F137">
        <v>9.1999999999999993</v>
      </c>
      <c r="G137" s="162">
        <v>3.56</v>
      </c>
      <c r="H137" s="164">
        <v>54620</v>
      </c>
      <c r="I137" s="161">
        <v>191486000</v>
      </c>
      <c r="J137"/>
      <c r="K137" s="125" t="s">
        <v>184</v>
      </c>
      <c r="L137" s="126" t="s">
        <v>689</v>
      </c>
      <c r="M137" s="127">
        <v>2</v>
      </c>
      <c r="N137" s="126" t="s">
        <v>689</v>
      </c>
      <c r="O137" s="131" t="s">
        <v>689</v>
      </c>
      <c r="P137" s="189" t="s">
        <v>939</v>
      </c>
    </row>
    <row r="138" spans="1:16" x14ac:dyDescent="0.3">
      <c r="A138" t="s">
        <v>142</v>
      </c>
      <c r="B138" s="117">
        <v>8488</v>
      </c>
      <c r="C138" s="117">
        <v>8580</v>
      </c>
      <c r="D138" s="141">
        <v>8463</v>
      </c>
      <c r="E138" s="117">
        <v>8907</v>
      </c>
      <c r="F138">
        <v>15.7</v>
      </c>
      <c r="G138" s="162">
        <v>3.58</v>
      </c>
      <c r="H138" s="164">
        <v>65972</v>
      </c>
      <c r="I138" s="161">
        <v>2052292602</v>
      </c>
      <c r="J138"/>
      <c r="K138" s="125" t="s">
        <v>185</v>
      </c>
      <c r="L138" s="126" t="s">
        <v>689</v>
      </c>
      <c r="M138" s="127">
        <v>4</v>
      </c>
      <c r="N138" s="126" t="s">
        <v>689</v>
      </c>
      <c r="O138" s="131" t="s">
        <v>689</v>
      </c>
      <c r="P138" s="189" t="s">
        <v>940</v>
      </c>
    </row>
    <row r="139" spans="1:16" x14ac:dyDescent="0.3">
      <c r="A139" t="s">
        <v>144</v>
      </c>
      <c r="B139" s="117">
        <v>671</v>
      </c>
      <c r="C139" s="117">
        <v>832</v>
      </c>
      <c r="D139" s="141">
        <v>735</v>
      </c>
      <c r="E139" s="117">
        <v>704</v>
      </c>
      <c r="F139">
        <v>28.4</v>
      </c>
      <c r="G139" s="162">
        <v>4.47</v>
      </c>
      <c r="H139" s="164">
        <v>36920</v>
      </c>
      <c r="I139" s="161">
        <v>65019153</v>
      </c>
      <c r="J139"/>
      <c r="K139" s="125" t="s">
        <v>186</v>
      </c>
      <c r="L139" s="126" t="s">
        <v>690</v>
      </c>
      <c r="M139" s="127">
        <v>7</v>
      </c>
      <c r="N139" s="126" t="s">
        <v>689</v>
      </c>
      <c r="O139" s="131" t="s">
        <v>689</v>
      </c>
      <c r="P139" s="189" t="s">
        <v>941</v>
      </c>
    </row>
    <row r="140" spans="1:16" x14ac:dyDescent="0.3">
      <c r="A140" t="s">
        <v>145</v>
      </c>
      <c r="B140" s="117">
        <v>1028</v>
      </c>
      <c r="C140" s="117">
        <v>988</v>
      </c>
      <c r="D140" s="141">
        <v>942</v>
      </c>
      <c r="E140" s="117">
        <v>953</v>
      </c>
      <c r="F140">
        <v>10.6</v>
      </c>
      <c r="G140" s="162">
        <v>3.27</v>
      </c>
      <c r="H140" s="164">
        <v>46750</v>
      </c>
      <c r="I140" s="161">
        <v>44680565</v>
      </c>
      <c r="J140"/>
      <c r="K140" s="125" t="s">
        <v>187</v>
      </c>
      <c r="L140" s="126" t="s">
        <v>690</v>
      </c>
      <c r="M140" s="127">
        <v>6</v>
      </c>
      <c r="N140" s="126" t="s">
        <v>689</v>
      </c>
      <c r="O140" s="131" t="s">
        <v>689</v>
      </c>
      <c r="P140" s="189" t="s">
        <v>942</v>
      </c>
    </row>
    <row r="141" spans="1:16" x14ac:dyDescent="0.3">
      <c r="A141" t="s">
        <v>146</v>
      </c>
      <c r="B141" s="117">
        <v>29836</v>
      </c>
      <c r="C141" s="117">
        <v>32783</v>
      </c>
      <c r="D141" s="141">
        <v>31570</v>
      </c>
      <c r="E141" s="117">
        <v>32632</v>
      </c>
      <c r="F141">
        <v>5.4</v>
      </c>
      <c r="G141" s="162">
        <v>3.72</v>
      </c>
      <c r="H141" s="164">
        <v>113767</v>
      </c>
      <c r="I141" s="161">
        <v>11674811230</v>
      </c>
      <c r="J141"/>
      <c r="K141" s="125" t="s">
        <v>188</v>
      </c>
      <c r="L141" s="126" t="s">
        <v>689</v>
      </c>
      <c r="M141" s="127">
        <v>0</v>
      </c>
      <c r="N141" s="126" t="s">
        <v>689</v>
      </c>
      <c r="O141" s="131" t="s">
        <v>689</v>
      </c>
      <c r="P141" s="189" t="s">
        <v>943</v>
      </c>
    </row>
    <row r="142" spans="1:16" x14ac:dyDescent="0.3">
      <c r="A142" t="s">
        <v>147</v>
      </c>
      <c r="B142" s="117">
        <v>607</v>
      </c>
      <c r="C142" s="117">
        <v>504</v>
      </c>
      <c r="D142" s="141">
        <v>406</v>
      </c>
      <c r="E142" s="117">
        <v>395</v>
      </c>
      <c r="F142">
        <v>11.8</v>
      </c>
      <c r="G142" s="162">
        <v>3.68</v>
      </c>
      <c r="H142" s="164">
        <v>41522</v>
      </c>
      <c r="I142" s="161">
        <v>30412599</v>
      </c>
      <c r="J142"/>
      <c r="K142" s="125" t="s">
        <v>190</v>
      </c>
      <c r="L142" s="126" t="s">
        <v>690</v>
      </c>
      <c r="M142" s="127">
        <v>4</v>
      </c>
      <c r="N142" s="126" t="s">
        <v>689</v>
      </c>
      <c r="O142" s="131" t="s">
        <v>689</v>
      </c>
      <c r="P142" s="189" t="s">
        <v>944</v>
      </c>
    </row>
    <row r="143" spans="1:16" x14ac:dyDescent="0.3">
      <c r="A143" t="s">
        <v>148</v>
      </c>
      <c r="B143" s="117">
        <v>4417</v>
      </c>
      <c r="C143" s="117">
        <v>5450</v>
      </c>
      <c r="D143" s="141">
        <v>5341</v>
      </c>
      <c r="E143" s="117">
        <v>5819</v>
      </c>
      <c r="F143">
        <v>6.2</v>
      </c>
      <c r="G143" s="162">
        <v>3.74</v>
      </c>
      <c r="H143" s="164">
        <v>82160</v>
      </c>
      <c r="I143" s="161">
        <v>1178562426</v>
      </c>
      <c r="J143"/>
      <c r="K143" s="125" t="s">
        <v>191</v>
      </c>
      <c r="L143" s="126" t="s">
        <v>690</v>
      </c>
      <c r="M143" s="127">
        <v>0</v>
      </c>
      <c r="N143" s="126" t="s">
        <v>689</v>
      </c>
      <c r="O143" s="131" t="s">
        <v>689</v>
      </c>
      <c r="P143" s="189" t="s">
        <v>191</v>
      </c>
    </row>
    <row r="144" spans="1:16" x14ac:dyDescent="0.3">
      <c r="A144" t="s">
        <v>149</v>
      </c>
      <c r="B144" s="117">
        <v>102290</v>
      </c>
      <c r="C144" s="117">
        <v>102612</v>
      </c>
      <c r="D144" s="141">
        <v>101928</v>
      </c>
      <c r="E144" s="117">
        <v>106836</v>
      </c>
      <c r="F144">
        <v>13.7</v>
      </c>
      <c r="G144" s="162">
        <v>3.68</v>
      </c>
      <c r="H144" s="164">
        <v>65873</v>
      </c>
      <c r="I144" s="161">
        <v>14548831640</v>
      </c>
      <c r="J144"/>
      <c r="K144" s="125" t="s">
        <v>193</v>
      </c>
      <c r="L144" s="126" t="s">
        <v>690</v>
      </c>
      <c r="M144" s="127">
        <v>2</v>
      </c>
      <c r="N144" s="126" t="s">
        <v>689</v>
      </c>
      <c r="O144" s="131" t="s">
        <v>690</v>
      </c>
      <c r="P144" s="189" t="s">
        <v>945</v>
      </c>
    </row>
    <row r="145" spans="1:16" x14ac:dyDescent="0.3">
      <c r="A145" t="s">
        <v>150</v>
      </c>
      <c r="B145" s="117">
        <v>4539</v>
      </c>
      <c r="C145" s="117">
        <v>4997</v>
      </c>
      <c r="D145" s="141">
        <v>4900</v>
      </c>
      <c r="E145" s="117">
        <v>5034</v>
      </c>
      <c r="F145">
        <v>18.2</v>
      </c>
      <c r="G145" s="162">
        <v>3.48</v>
      </c>
      <c r="H145" s="164">
        <v>82961</v>
      </c>
      <c r="I145" s="161">
        <v>656441048</v>
      </c>
      <c r="J145"/>
      <c r="K145" s="125" t="s">
        <v>194</v>
      </c>
      <c r="L145" s="126" t="s">
        <v>690</v>
      </c>
      <c r="M145" s="127">
        <v>13</v>
      </c>
      <c r="N145" s="126" t="s">
        <v>689</v>
      </c>
      <c r="O145" s="131" t="s">
        <v>689</v>
      </c>
      <c r="P145" s="189" t="s">
        <v>946</v>
      </c>
    </row>
    <row r="146" spans="1:16" x14ac:dyDescent="0.3">
      <c r="A146" t="s">
        <v>151</v>
      </c>
      <c r="B146" s="117">
        <v>161</v>
      </c>
      <c r="C146" s="117">
        <v>217</v>
      </c>
      <c r="D146" s="141">
        <v>209</v>
      </c>
      <c r="E146" s="117">
        <v>201</v>
      </c>
      <c r="F146">
        <v>35.9</v>
      </c>
      <c r="G146" s="162">
        <v>4.46</v>
      </c>
      <c r="H146" s="164">
        <v>33594</v>
      </c>
      <c r="I146" s="161">
        <v>21087451</v>
      </c>
      <c r="J146"/>
      <c r="K146" s="125" t="s">
        <v>195</v>
      </c>
      <c r="L146" s="126" t="s">
        <v>690</v>
      </c>
      <c r="M146" s="127">
        <v>7</v>
      </c>
      <c r="N146" s="126" t="s">
        <v>689</v>
      </c>
      <c r="O146" s="131" t="s">
        <v>689</v>
      </c>
      <c r="P146" s="189" t="s">
        <v>947</v>
      </c>
    </row>
    <row r="147" spans="1:16" x14ac:dyDescent="0.3">
      <c r="A147" t="s">
        <v>152</v>
      </c>
      <c r="B147" s="117">
        <v>146</v>
      </c>
      <c r="C147" s="117">
        <v>115</v>
      </c>
      <c r="D147" s="141">
        <v>238</v>
      </c>
      <c r="E147" s="117">
        <v>260</v>
      </c>
      <c r="F147">
        <v>0</v>
      </c>
      <c r="G147" s="162">
        <v>4.28</v>
      </c>
      <c r="H147" s="164"/>
      <c r="I147" s="161">
        <v>15455441</v>
      </c>
      <c r="J147"/>
      <c r="K147" s="125" t="s">
        <v>196</v>
      </c>
      <c r="L147" s="126" t="s">
        <v>690</v>
      </c>
      <c r="M147" s="127">
        <v>9</v>
      </c>
      <c r="N147" s="126" t="s">
        <v>689</v>
      </c>
      <c r="O147" s="131" t="s">
        <v>689</v>
      </c>
      <c r="P147" s="189" t="s">
        <v>948</v>
      </c>
    </row>
    <row r="148" spans="1:16" x14ac:dyDescent="0.3">
      <c r="A148" t="s">
        <v>153</v>
      </c>
      <c r="B148" s="117">
        <v>334562</v>
      </c>
      <c r="C148" s="117">
        <v>338545</v>
      </c>
      <c r="D148" s="141">
        <v>338473</v>
      </c>
      <c r="E148" s="117">
        <v>341758</v>
      </c>
      <c r="F148">
        <v>16.7</v>
      </c>
      <c r="G148" s="162">
        <v>4.51</v>
      </c>
      <c r="H148" s="164">
        <v>61291</v>
      </c>
      <c r="I148" s="161">
        <v>25851159513</v>
      </c>
      <c r="J148"/>
      <c r="K148" s="125" t="s">
        <v>198</v>
      </c>
      <c r="L148" s="126" t="s">
        <v>689</v>
      </c>
      <c r="M148" s="127">
        <v>4</v>
      </c>
      <c r="N148" s="126" t="s">
        <v>689</v>
      </c>
      <c r="O148" s="131" t="s">
        <v>689</v>
      </c>
      <c r="P148" s="189" t="s">
        <v>949</v>
      </c>
    </row>
    <row r="149" spans="1:16" x14ac:dyDescent="0.3">
      <c r="A149" t="s">
        <v>154</v>
      </c>
      <c r="B149" s="117">
        <v>27210</v>
      </c>
      <c r="C149" s="117">
        <v>30601</v>
      </c>
      <c r="D149" s="141">
        <v>28364</v>
      </c>
      <c r="E149" s="117">
        <v>32545</v>
      </c>
      <c r="F149">
        <v>7.5</v>
      </c>
      <c r="G149" s="162">
        <v>2.78</v>
      </c>
      <c r="H149" s="164">
        <v>93511</v>
      </c>
      <c r="I149" s="161">
        <v>8945734255</v>
      </c>
      <c r="J149"/>
      <c r="K149" s="125" t="s">
        <v>199</v>
      </c>
      <c r="L149" s="126" t="s">
        <v>689</v>
      </c>
      <c r="M149" s="127">
        <v>3</v>
      </c>
      <c r="N149" s="126" t="s">
        <v>689</v>
      </c>
      <c r="O149" s="131" t="s">
        <v>689</v>
      </c>
      <c r="P149" s="189" t="s">
        <v>950</v>
      </c>
    </row>
    <row r="150" spans="1:16" x14ac:dyDescent="0.3">
      <c r="A150" t="s">
        <v>155</v>
      </c>
      <c r="B150" s="117">
        <v>4744</v>
      </c>
      <c r="C150" s="117">
        <v>6104</v>
      </c>
      <c r="D150" s="141">
        <v>5964</v>
      </c>
      <c r="E150" s="117">
        <v>6361</v>
      </c>
      <c r="F150">
        <v>10.5</v>
      </c>
      <c r="G150" s="162">
        <v>3.74</v>
      </c>
      <c r="H150" s="164">
        <v>58403</v>
      </c>
      <c r="I150" s="161">
        <v>579494800</v>
      </c>
      <c r="J150"/>
      <c r="K150" s="125" t="s">
        <v>200</v>
      </c>
      <c r="L150" s="126" t="s">
        <v>689</v>
      </c>
      <c r="M150" s="127">
        <v>2</v>
      </c>
      <c r="N150" s="126" t="s">
        <v>689</v>
      </c>
      <c r="O150" s="131" t="s">
        <v>689</v>
      </c>
      <c r="P150" s="189" t="s">
        <v>951</v>
      </c>
    </row>
    <row r="151" spans="1:16" x14ac:dyDescent="0.3">
      <c r="A151" t="s">
        <v>156</v>
      </c>
      <c r="B151" s="117">
        <v>211</v>
      </c>
      <c r="C151" s="117">
        <v>197</v>
      </c>
      <c r="D151" s="141">
        <v>186</v>
      </c>
      <c r="E151" s="117">
        <v>186</v>
      </c>
      <c r="F151">
        <v>10.3</v>
      </c>
      <c r="G151" s="162">
        <v>3.43</v>
      </c>
      <c r="H151" s="164">
        <v>72250</v>
      </c>
      <c r="I151" s="161">
        <v>13261634</v>
      </c>
      <c r="J151"/>
      <c r="K151" s="125" t="s">
        <v>202</v>
      </c>
      <c r="L151" s="126" t="s">
        <v>689</v>
      </c>
      <c r="M151" s="127">
        <v>4</v>
      </c>
      <c r="N151" s="126" t="s">
        <v>689</v>
      </c>
      <c r="O151" s="131" t="s">
        <v>689</v>
      </c>
      <c r="P151" s="189" t="s">
        <v>952</v>
      </c>
    </row>
    <row r="152" spans="1:16" x14ac:dyDescent="0.3">
      <c r="A152" t="s">
        <v>157</v>
      </c>
      <c r="B152" s="117">
        <v>36698</v>
      </c>
      <c r="C152" s="117">
        <v>37875</v>
      </c>
      <c r="D152" s="141">
        <v>37132</v>
      </c>
      <c r="E152" s="117">
        <v>38536</v>
      </c>
      <c r="F152">
        <v>6.6</v>
      </c>
      <c r="G152" s="162">
        <v>4.07</v>
      </c>
      <c r="H152" s="164">
        <v>88994</v>
      </c>
      <c r="I152" s="161">
        <v>17776362066</v>
      </c>
      <c r="J152"/>
      <c r="K152" s="125" t="s">
        <v>203</v>
      </c>
      <c r="L152" s="126" t="s">
        <v>690</v>
      </c>
      <c r="M152" s="127">
        <v>3</v>
      </c>
      <c r="N152" s="126" t="s">
        <v>689</v>
      </c>
      <c r="O152" s="131" t="s">
        <v>689</v>
      </c>
      <c r="P152" s="189" t="s">
        <v>953</v>
      </c>
    </row>
    <row r="153" spans="1:16" x14ac:dyDescent="0.3">
      <c r="A153" t="s">
        <v>158</v>
      </c>
      <c r="B153" s="117">
        <v>166837</v>
      </c>
      <c r="C153" s="117">
        <v>172954</v>
      </c>
      <c r="D153" s="141">
        <v>169323</v>
      </c>
      <c r="E153" s="117">
        <v>178391</v>
      </c>
      <c r="F153">
        <v>12.8</v>
      </c>
      <c r="G153" s="162">
        <v>3.68</v>
      </c>
      <c r="H153" s="164">
        <v>64172</v>
      </c>
      <c r="I153" s="161">
        <v>19417925070</v>
      </c>
      <c r="J153"/>
      <c r="K153" s="125" t="s">
        <v>804</v>
      </c>
      <c r="L153" s="126" t="s">
        <v>689</v>
      </c>
      <c r="M153" s="127">
        <v>2</v>
      </c>
      <c r="N153" s="126" t="s">
        <v>689</v>
      </c>
      <c r="O153" s="131" t="s">
        <v>689</v>
      </c>
      <c r="P153" s="189" t="s">
        <v>804</v>
      </c>
    </row>
    <row r="154" spans="1:16" x14ac:dyDescent="0.3">
      <c r="A154" t="s">
        <v>159</v>
      </c>
      <c r="B154" s="117">
        <v>12920</v>
      </c>
      <c r="C154" s="117">
        <v>15660</v>
      </c>
      <c r="D154" s="141">
        <v>14888</v>
      </c>
      <c r="E154" s="117">
        <v>16254</v>
      </c>
      <c r="F154">
        <v>7</v>
      </c>
      <c r="G154" s="162">
        <v>3.54</v>
      </c>
      <c r="H154" s="164">
        <v>166556</v>
      </c>
      <c r="I154" s="161">
        <v>4496396568</v>
      </c>
      <c r="J154"/>
      <c r="K154" s="128" t="s">
        <v>205</v>
      </c>
      <c r="L154" s="126" t="s">
        <v>689</v>
      </c>
      <c r="M154" s="127">
        <v>2</v>
      </c>
      <c r="N154" s="126" t="s">
        <v>689</v>
      </c>
      <c r="O154" s="131" t="s">
        <v>689</v>
      </c>
      <c r="P154" s="189" t="s">
        <v>205</v>
      </c>
    </row>
    <row r="155" spans="1:16" x14ac:dyDescent="0.3">
      <c r="A155" t="s">
        <v>160</v>
      </c>
      <c r="B155" s="117">
        <v>42543</v>
      </c>
      <c r="C155" s="117">
        <v>44122</v>
      </c>
      <c r="D155" s="141">
        <v>42724</v>
      </c>
      <c r="E155" s="117">
        <v>44780</v>
      </c>
      <c r="F155">
        <v>9.4</v>
      </c>
      <c r="G155" s="162">
        <v>3.27</v>
      </c>
      <c r="H155" s="164">
        <v>75057</v>
      </c>
      <c r="I155" s="161">
        <v>6029741856</v>
      </c>
      <c r="J155"/>
      <c r="K155" s="125" t="s">
        <v>208</v>
      </c>
      <c r="L155" s="126" t="s">
        <v>689</v>
      </c>
      <c r="M155" s="127">
        <v>6</v>
      </c>
      <c r="N155" s="126" t="s">
        <v>689</v>
      </c>
      <c r="O155" s="131" t="s">
        <v>689</v>
      </c>
      <c r="P155" s="189" t="s">
        <v>954</v>
      </c>
    </row>
    <row r="156" spans="1:16" x14ac:dyDescent="0.3">
      <c r="A156" t="s">
        <v>1230</v>
      </c>
      <c r="B156" s="117">
        <v>25</v>
      </c>
      <c r="C156" s="117">
        <v>26</v>
      </c>
      <c r="D156" s="141"/>
      <c r="E156" s="117"/>
      <c r="F156">
        <v>0</v>
      </c>
      <c r="G156" s="162">
        <v>3.74</v>
      </c>
      <c r="H156" s="164"/>
      <c r="I156" s="161"/>
      <c r="J156"/>
      <c r="K156" s="125" t="s">
        <v>209</v>
      </c>
      <c r="L156" s="126" t="s">
        <v>689</v>
      </c>
      <c r="M156" s="127">
        <v>6</v>
      </c>
      <c r="N156" s="126" t="s">
        <v>689</v>
      </c>
      <c r="O156" s="131" t="s">
        <v>689</v>
      </c>
      <c r="P156" s="189" t="s">
        <v>955</v>
      </c>
    </row>
    <row r="157" spans="1:16" x14ac:dyDescent="0.3">
      <c r="A157" t="s">
        <v>161</v>
      </c>
      <c r="B157" s="117">
        <v>1355</v>
      </c>
      <c r="C157" s="117">
        <v>1506</v>
      </c>
      <c r="D157" s="141">
        <v>1496</v>
      </c>
      <c r="E157" s="117">
        <v>1607</v>
      </c>
      <c r="F157">
        <v>14.8</v>
      </c>
      <c r="G157" s="162">
        <v>3.68</v>
      </c>
      <c r="H157" s="164">
        <v>50847</v>
      </c>
      <c r="I157" s="161">
        <v>179942985</v>
      </c>
      <c r="J157"/>
      <c r="K157" s="125" t="s">
        <v>211</v>
      </c>
      <c r="L157" s="126" t="s">
        <v>689</v>
      </c>
      <c r="M157" s="127">
        <v>1</v>
      </c>
      <c r="N157" s="126" t="s">
        <v>689</v>
      </c>
      <c r="O157" s="131" t="s">
        <v>689</v>
      </c>
      <c r="P157" s="189" t="s">
        <v>211</v>
      </c>
    </row>
    <row r="158" spans="1:16" x14ac:dyDescent="0.3">
      <c r="A158" t="s">
        <v>162</v>
      </c>
      <c r="B158" s="117">
        <v>219</v>
      </c>
      <c r="C158" s="117">
        <v>195</v>
      </c>
      <c r="D158" s="141">
        <v>201</v>
      </c>
      <c r="E158" s="117">
        <v>207</v>
      </c>
      <c r="F158">
        <v>16.5</v>
      </c>
      <c r="G158" s="162">
        <v>3.45</v>
      </c>
      <c r="H158" s="164">
        <v>58516</v>
      </c>
      <c r="I158" s="161">
        <v>52820629</v>
      </c>
      <c r="J158"/>
      <c r="K158" s="125" t="s">
        <v>213</v>
      </c>
      <c r="L158" s="126" t="s">
        <v>690</v>
      </c>
      <c r="M158" s="127">
        <v>15</v>
      </c>
      <c r="N158" s="126" t="s">
        <v>689</v>
      </c>
      <c r="O158" s="131" t="s">
        <v>689</v>
      </c>
      <c r="P158" s="189" t="s">
        <v>956</v>
      </c>
    </row>
    <row r="159" spans="1:16" x14ac:dyDescent="0.3">
      <c r="A159" t="s">
        <v>163</v>
      </c>
      <c r="B159" s="117">
        <v>836</v>
      </c>
      <c r="C159" s="117">
        <v>560</v>
      </c>
      <c r="D159" s="141">
        <v>616</v>
      </c>
      <c r="E159" s="117">
        <v>686</v>
      </c>
      <c r="F159">
        <v>50</v>
      </c>
      <c r="G159" s="162">
        <v>4.03</v>
      </c>
      <c r="H159" s="164">
        <v>18958</v>
      </c>
      <c r="I159" s="161">
        <v>24479067</v>
      </c>
      <c r="J159"/>
      <c r="K159" s="125" t="s">
        <v>214</v>
      </c>
      <c r="L159" s="126" t="s">
        <v>689</v>
      </c>
      <c r="M159" s="127">
        <v>2</v>
      </c>
      <c r="N159" s="126" t="s">
        <v>689</v>
      </c>
      <c r="O159" s="131" t="s">
        <v>689</v>
      </c>
      <c r="P159" s="189" t="s">
        <v>957</v>
      </c>
    </row>
    <row r="160" spans="1:16" x14ac:dyDescent="0.3">
      <c r="A160" t="s">
        <v>164</v>
      </c>
      <c r="B160" s="117">
        <v>1511</v>
      </c>
      <c r="C160" s="117">
        <v>1652</v>
      </c>
      <c r="D160" s="141">
        <v>1461</v>
      </c>
      <c r="E160" s="117">
        <v>1530</v>
      </c>
      <c r="F160">
        <v>22.4</v>
      </c>
      <c r="G160" s="162">
        <v>3.28</v>
      </c>
      <c r="H160" s="164">
        <v>43750</v>
      </c>
      <c r="I160" s="161">
        <v>369124434</v>
      </c>
      <c r="J160"/>
      <c r="K160" s="125" t="s">
        <v>215</v>
      </c>
      <c r="L160" s="126" t="s">
        <v>689</v>
      </c>
      <c r="M160" s="127">
        <v>2</v>
      </c>
      <c r="N160" s="126" t="s">
        <v>689</v>
      </c>
      <c r="O160" s="131" t="s">
        <v>689</v>
      </c>
      <c r="P160" s="189" t="s">
        <v>958</v>
      </c>
    </row>
    <row r="161" spans="1:16" x14ac:dyDescent="0.3">
      <c r="A161" t="s">
        <v>165</v>
      </c>
      <c r="B161" s="117">
        <v>978</v>
      </c>
      <c r="C161" s="117">
        <v>1158</v>
      </c>
      <c r="D161" s="141">
        <v>1039</v>
      </c>
      <c r="E161" s="117">
        <v>1123</v>
      </c>
      <c r="F161">
        <v>9.4</v>
      </c>
      <c r="G161" s="162">
        <v>4.5</v>
      </c>
      <c r="H161" s="164">
        <v>74500</v>
      </c>
      <c r="I161" s="161"/>
      <c r="J161"/>
      <c r="K161" s="125" t="s">
        <v>216</v>
      </c>
      <c r="L161" s="126" t="s">
        <v>689</v>
      </c>
      <c r="M161" s="127">
        <v>2</v>
      </c>
      <c r="N161" s="126" t="s">
        <v>689</v>
      </c>
      <c r="O161" s="131" t="s">
        <v>689</v>
      </c>
      <c r="P161" s="189" t="s">
        <v>216</v>
      </c>
    </row>
    <row r="162" spans="1:16" x14ac:dyDescent="0.3">
      <c r="A162" t="s">
        <v>166</v>
      </c>
      <c r="B162" s="117">
        <v>283</v>
      </c>
      <c r="C162" s="117">
        <v>404</v>
      </c>
      <c r="D162" s="141">
        <v>350</v>
      </c>
      <c r="E162" s="117">
        <v>358</v>
      </c>
      <c r="F162">
        <v>32.700000000000003</v>
      </c>
      <c r="G162" s="162">
        <v>3.68</v>
      </c>
      <c r="H162" s="164">
        <v>37250</v>
      </c>
      <c r="I162" s="161">
        <v>25051133</v>
      </c>
      <c r="J162"/>
      <c r="K162" s="125" t="s">
        <v>217</v>
      </c>
      <c r="L162" s="126" t="s">
        <v>689</v>
      </c>
      <c r="M162" s="127">
        <v>2</v>
      </c>
      <c r="N162" s="126" t="s">
        <v>689</v>
      </c>
      <c r="O162" s="131" t="s">
        <v>689</v>
      </c>
      <c r="P162" s="189" t="s">
        <v>959</v>
      </c>
    </row>
    <row r="163" spans="1:16" x14ac:dyDescent="0.3">
      <c r="A163" t="s">
        <v>167</v>
      </c>
      <c r="B163" s="117">
        <v>1725</v>
      </c>
      <c r="C163" s="117">
        <v>2146</v>
      </c>
      <c r="D163" s="141">
        <v>1757</v>
      </c>
      <c r="E163" s="117">
        <v>1785</v>
      </c>
      <c r="F163">
        <v>11.7</v>
      </c>
      <c r="G163" s="162">
        <v>3.56</v>
      </c>
      <c r="H163" s="164">
        <v>61992</v>
      </c>
      <c r="I163" s="161">
        <v>165705034</v>
      </c>
      <c r="J163"/>
      <c r="K163" s="125" t="s">
        <v>219</v>
      </c>
      <c r="L163" s="126" t="s">
        <v>690</v>
      </c>
      <c r="M163" s="127">
        <v>8</v>
      </c>
      <c r="N163" s="126" t="s">
        <v>689</v>
      </c>
      <c r="O163" s="131" t="s">
        <v>689</v>
      </c>
      <c r="P163" s="189" t="s">
        <v>960</v>
      </c>
    </row>
    <row r="164" spans="1:16" x14ac:dyDescent="0.3">
      <c r="A164" t="s">
        <v>168</v>
      </c>
      <c r="B164" s="117">
        <v>380</v>
      </c>
      <c r="C164" s="117">
        <v>349</v>
      </c>
      <c r="D164" s="141">
        <v>262</v>
      </c>
      <c r="E164" s="117">
        <v>262</v>
      </c>
      <c r="F164">
        <v>23.8</v>
      </c>
      <c r="G164" s="162">
        <v>4.97</v>
      </c>
      <c r="H164" s="164">
        <v>51429</v>
      </c>
      <c r="I164" s="161">
        <v>30097544</v>
      </c>
      <c r="J164"/>
      <c r="K164" s="125" t="s">
        <v>220</v>
      </c>
      <c r="L164" s="126" t="s">
        <v>690</v>
      </c>
      <c r="M164" s="127">
        <v>12</v>
      </c>
      <c r="N164" s="126" t="s">
        <v>689</v>
      </c>
      <c r="O164" s="131" t="s">
        <v>689</v>
      </c>
      <c r="P164" s="189" t="s">
        <v>961</v>
      </c>
    </row>
    <row r="165" spans="1:16" x14ac:dyDescent="0.3">
      <c r="A165" t="s">
        <v>169</v>
      </c>
      <c r="B165" s="117">
        <v>584</v>
      </c>
      <c r="C165" s="117">
        <v>669</v>
      </c>
      <c r="D165" s="141">
        <v>750</v>
      </c>
      <c r="E165" s="117">
        <v>791</v>
      </c>
      <c r="F165">
        <v>10.8</v>
      </c>
      <c r="G165" s="162">
        <v>4.07</v>
      </c>
      <c r="H165" s="164">
        <v>136250</v>
      </c>
      <c r="I165" s="161">
        <v>1921796386</v>
      </c>
      <c r="J165"/>
      <c r="K165" s="125" t="s">
        <v>221</v>
      </c>
      <c r="L165" s="126" t="s">
        <v>689</v>
      </c>
      <c r="M165" s="127">
        <v>2</v>
      </c>
      <c r="N165" s="126" t="s">
        <v>689</v>
      </c>
      <c r="O165" s="131" t="s">
        <v>689</v>
      </c>
      <c r="P165" s="189" t="s">
        <v>962</v>
      </c>
    </row>
    <row r="166" spans="1:16" x14ac:dyDescent="0.3">
      <c r="A166" t="s">
        <v>170</v>
      </c>
      <c r="B166" s="117">
        <v>9738</v>
      </c>
      <c r="C166" s="117">
        <v>8559</v>
      </c>
      <c r="D166" s="141">
        <v>8437</v>
      </c>
      <c r="E166" s="117">
        <v>8642</v>
      </c>
      <c r="F166">
        <v>19.7</v>
      </c>
      <c r="G166" s="162">
        <v>3.86</v>
      </c>
      <c r="H166" s="164">
        <v>46830</v>
      </c>
      <c r="I166" s="161">
        <v>1155883058</v>
      </c>
      <c r="J166"/>
      <c r="K166" s="125" t="s">
        <v>222</v>
      </c>
      <c r="L166" s="126" t="s">
        <v>690</v>
      </c>
      <c r="M166" s="127">
        <v>6</v>
      </c>
      <c r="N166" s="126" t="s">
        <v>689</v>
      </c>
      <c r="O166" s="131" t="s">
        <v>689</v>
      </c>
      <c r="P166" s="189" t="s">
        <v>963</v>
      </c>
    </row>
    <row r="167" spans="1:16" x14ac:dyDescent="0.3">
      <c r="A167" t="s">
        <v>171</v>
      </c>
      <c r="B167" s="117">
        <v>58965</v>
      </c>
      <c r="C167" s="117">
        <v>49335</v>
      </c>
      <c r="D167" s="141">
        <v>48516</v>
      </c>
      <c r="E167" s="117">
        <v>49419</v>
      </c>
      <c r="F167">
        <v>20.5</v>
      </c>
      <c r="G167" s="162">
        <v>3.26</v>
      </c>
      <c r="H167" s="164">
        <v>55148</v>
      </c>
      <c r="I167" s="161">
        <v>5115354041</v>
      </c>
      <c r="J167"/>
      <c r="K167" s="125" t="s">
        <v>223</v>
      </c>
      <c r="L167" s="126" t="s">
        <v>689</v>
      </c>
      <c r="M167" s="127">
        <v>8</v>
      </c>
      <c r="N167" s="126" t="s">
        <v>689</v>
      </c>
      <c r="O167" s="131" t="s">
        <v>689</v>
      </c>
      <c r="P167" s="189" t="s">
        <v>964</v>
      </c>
    </row>
    <row r="168" spans="1:16" x14ac:dyDescent="0.3">
      <c r="A168" t="s">
        <v>172</v>
      </c>
      <c r="B168" s="117">
        <v>317665</v>
      </c>
      <c r="C168" s="117">
        <v>332353</v>
      </c>
      <c r="D168" s="141">
        <v>322995</v>
      </c>
      <c r="E168" s="117">
        <v>343108</v>
      </c>
      <c r="F168">
        <v>11.5</v>
      </c>
      <c r="G168" s="162">
        <v>3.14</v>
      </c>
      <c r="H168" s="164">
        <v>82316</v>
      </c>
      <c r="I168" s="161">
        <v>53140937560</v>
      </c>
      <c r="J168"/>
      <c r="K168" s="125" t="s">
        <v>228</v>
      </c>
      <c r="L168" s="126" t="s">
        <v>689</v>
      </c>
      <c r="M168" s="127">
        <v>1</v>
      </c>
      <c r="N168" s="126" t="s">
        <v>689</v>
      </c>
      <c r="O168" s="131" t="s">
        <v>689</v>
      </c>
      <c r="P168" s="189" t="s">
        <v>965</v>
      </c>
    </row>
    <row r="169" spans="1:16" x14ac:dyDescent="0.3">
      <c r="A169" t="s">
        <v>173</v>
      </c>
      <c r="B169" s="117">
        <v>276341</v>
      </c>
      <c r="C169" s="117">
        <v>291467</v>
      </c>
      <c r="D169" s="141">
        <v>282110</v>
      </c>
      <c r="E169" s="117">
        <v>300907</v>
      </c>
      <c r="F169">
        <v>11.7</v>
      </c>
      <c r="G169" s="162">
        <v>3.14</v>
      </c>
      <c r="H169" s="164">
        <v>81619</v>
      </c>
      <c r="I169" s="161">
        <v>43165507983</v>
      </c>
      <c r="J169"/>
      <c r="K169" s="125" t="s">
        <v>229</v>
      </c>
      <c r="L169" s="126" t="s">
        <v>690</v>
      </c>
      <c r="M169" s="127">
        <v>7</v>
      </c>
      <c r="N169" s="126" t="s">
        <v>689</v>
      </c>
      <c r="O169" s="131" t="s">
        <v>689</v>
      </c>
      <c r="P169" s="189" t="s">
        <v>229</v>
      </c>
    </row>
    <row r="170" spans="1:16" x14ac:dyDescent="0.3">
      <c r="A170" t="s">
        <v>174</v>
      </c>
      <c r="B170" s="117">
        <v>330</v>
      </c>
      <c r="C170" s="117">
        <v>309</v>
      </c>
      <c r="D170" s="141">
        <v>201</v>
      </c>
      <c r="E170" s="117">
        <v>200</v>
      </c>
      <c r="F170">
        <v>19.399999999999999</v>
      </c>
      <c r="G170" s="162">
        <v>4.0599999999999996</v>
      </c>
      <c r="H170" s="164">
        <v>44033</v>
      </c>
      <c r="I170" s="161">
        <v>14075222</v>
      </c>
      <c r="J170"/>
      <c r="K170" s="125" t="s">
        <v>230</v>
      </c>
      <c r="L170" s="126" t="s">
        <v>689</v>
      </c>
      <c r="M170" s="127">
        <v>2</v>
      </c>
      <c r="N170" s="126" t="s">
        <v>689</v>
      </c>
      <c r="O170" s="131" t="s">
        <v>689</v>
      </c>
      <c r="P170" s="189" t="s">
        <v>966</v>
      </c>
    </row>
    <row r="171" spans="1:16" x14ac:dyDescent="0.3">
      <c r="A171" t="s">
        <v>175</v>
      </c>
      <c r="B171" s="117">
        <v>603</v>
      </c>
      <c r="C171" s="117">
        <v>444</v>
      </c>
      <c r="D171" s="141">
        <v>415</v>
      </c>
      <c r="E171" s="117">
        <v>416</v>
      </c>
      <c r="F171">
        <v>30.9</v>
      </c>
      <c r="G171" s="162">
        <v>4.97</v>
      </c>
      <c r="H171" s="164">
        <v>44063</v>
      </c>
      <c r="I171" s="161">
        <v>20588285</v>
      </c>
      <c r="J171"/>
      <c r="K171" s="128" t="s">
        <v>231</v>
      </c>
      <c r="L171" s="126" t="s">
        <v>690</v>
      </c>
      <c r="M171" s="127">
        <v>8</v>
      </c>
      <c r="N171" s="126" t="s">
        <v>689</v>
      </c>
      <c r="O171" s="131" t="s">
        <v>689</v>
      </c>
      <c r="P171" s="189" t="s">
        <v>967</v>
      </c>
    </row>
    <row r="172" spans="1:16" x14ac:dyDescent="0.3">
      <c r="A172" t="s">
        <v>176</v>
      </c>
      <c r="B172" s="117">
        <v>739</v>
      </c>
      <c r="C172" s="117">
        <v>715</v>
      </c>
      <c r="D172" s="141">
        <v>631</v>
      </c>
      <c r="E172" s="117">
        <v>649</v>
      </c>
      <c r="F172">
        <v>22</v>
      </c>
      <c r="G172" s="162">
        <v>3.13</v>
      </c>
      <c r="H172" s="164">
        <v>59219</v>
      </c>
      <c r="I172" s="161">
        <v>64410185</v>
      </c>
      <c r="J172"/>
      <c r="K172" s="125" t="s">
        <v>232</v>
      </c>
      <c r="L172" s="126" t="s">
        <v>689</v>
      </c>
      <c r="M172" s="127">
        <v>2</v>
      </c>
      <c r="N172" s="126" t="s">
        <v>689</v>
      </c>
      <c r="O172" s="131" t="s">
        <v>689</v>
      </c>
      <c r="P172" s="189" t="s">
        <v>968</v>
      </c>
    </row>
    <row r="173" spans="1:16" x14ac:dyDescent="0.3">
      <c r="A173" t="s">
        <v>177</v>
      </c>
      <c r="B173" s="117">
        <v>1382</v>
      </c>
      <c r="C173" s="117">
        <v>1434</v>
      </c>
      <c r="D173" s="141">
        <v>1572</v>
      </c>
      <c r="E173" s="117">
        <v>1672</v>
      </c>
      <c r="F173">
        <v>26.7</v>
      </c>
      <c r="G173" s="162">
        <v>3.57</v>
      </c>
      <c r="H173" s="164">
        <v>34417</v>
      </c>
      <c r="I173" s="161">
        <v>176852005</v>
      </c>
      <c r="J173"/>
      <c r="K173" s="125" t="s">
        <v>233</v>
      </c>
      <c r="L173" s="126" t="s">
        <v>690</v>
      </c>
      <c r="M173" s="127">
        <v>6</v>
      </c>
      <c r="N173" s="126" t="s">
        <v>689</v>
      </c>
      <c r="O173" s="131" t="s">
        <v>689</v>
      </c>
      <c r="P173" s="189" t="s">
        <v>969</v>
      </c>
    </row>
    <row r="174" spans="1:16" x14ac:dyDescent="0.3">
      <c r="A174" t="s">
        <v>800</v>
      </c>
      <c r="B174" s="117">
        <v>3740</v>
      </c>
      <c r="C174" s="117">
        <v>3666</v>
      </c>
      <c r="D174" s="141">
        <v>3664</v>
      </c>
      <c r="E174" s="117">
        <v>3735</v>
      </c>
      <c r="F174">
        <v>13.4</v>
      </c>
      <c r="G174" s="162">
        <v>4.51</v>
      </c>
      <c r="H174" s="164">
        <v>85156</v>
      </c>
      <c r="I174" s="161">
        <v>377813910</v>
      </c>
      <c r="J174"/>
      <c r="K174" s="125" t="s">
        <v>234</v>
      </c>
      <c r="L174" s="126" t="s">
        <v>690</v>
      </c>
      <c r="M174" s="127">
        <v>8</v>
      </c>
      <c r="N174" s="126" t="s">
        <v>689</v>
      </c>
      <c r="O174" s="131" t="s">
        <v>689</v>
      </c>
      <c r="P174" s="189" t="s">
        <v>970</v>
      </c>
    </row>
    <row r="175" spans="1:16" x14ac:dyDescent="0.3">
      <c r="A175" t="s">
        <v>178</v>
      </c>
      <c r="B175" s="117">
        <v>14986</v>
      </c>
      <c r="C175" s="117">
        <v>15356</v>
      </c>
      <c r="D175" s="141">
        <v>15375</v>
      </c>
      <c r="E175" s="117">
        <v>15443</v>
      </c>
      <c r="F175">
        <v>19.2</v>
      </c>
      <c r="G175" s="162">
        <v>3.84</v>
      </c>
      <c r="H175" s="164">
        <v>47260</v>
      </c>
      <c r="I175" s="161">
        <v>1500065326</v>
      </c>
      <c r="J175"/>
      <c r="K175" s="125" t="s">
        <v>235</v>
      </c>
      <c r="L175" s="126" t="s">
        <v>690</v>
      </c>
      <c r="M175" s="127">
        <v>3</v>
      </c>
      <c r="N175" s="126" t="s">
        <v>689</v>
      </c>
      <c r="O175" s="131" t="s">
        <v>689</v>
      </c>
      <c r="P175" s="189" t="s">
        <v>971</v>
      </c>
    </row>
    <row r="176" spans="1:16" x14ac:dyDescent="0.3">
      <c r="A176" t="s">
        <v>179</v>
      </c>
      <c r="B176" s="117">
        <v>4640</v>
      </c>
      <c r="C176" s="117">
        <v>4494</v>
      </c>
      <c r="D176" s="141">
        <v>4453</v>
      </c>
      <c r="E176" s="117">
        <v>4479</v>
      </c>
      <c r="F176">
        <v>30</v>
      </c>
      <c r="G176" s="162">
        <v>3.43</v>
      </c>
      <c r="H176" s="164">
        <v>38417</v>
      </c>
      <c r="I176" s="161">
        <v>678869885</v>
      </c>
      <c r="J176"/>
      <c r="K176" s="125" t="s">
        <v>236</v>
      </c>
      <c r="L176" s="126" t="s">
        <v>689</v>
      </c>
      <c r="M176" s="127">
        <v>5</v>
      </c>
      <c r="N176" s="126" t="s">
        <v>689</v>
      </c>
      <c r="O176" s="131" t="s">
        <v>689</v>
      </c>
      <c r="P176" s="189" t="s">
        <v>972</v>
      </c>
    </row>
    <row r="177" spans="1:16" x14ac:dyDescent="0.3">
      <c r="A177" t="s">
        <v>180</v>
      </c>
      <c r="B177" s="117">
        <v>52069</v>
      </c>
      <c r="C177" s="117">
        <v>48736</v>
      </c>
      <c r="D177" s="141">
        <v>48920</v>
      </c>
      <c r="E177" s="117">
        <v>48695</v>
      </c>
      <c r="F177">
        <v>21.7</v>
      </c>
      <c r="G177" s="162">
        <v>5.26</v>
      </c>
      <c r="H177" s="164">
        <v>51265</v>
      </c>
      <c r="I177" s="161">
        <v>4443788683</v>
      </c>
      <c r="J177"/>
      <c r="K177" s="125" t="s">
        <v>237</v>
      </c>
      <c r="L177" s="126" t="s">
        <v>689</v>
      </c>
      <c r="M177" s="127">
        <v>4</v>
      </c>
      <c r="N177" s="126" t="s">
        <v>689</v>
      </c>
      <c r="O177" s="131" t="s">
        <v>689</v>
      </c>
      <c r="P177" s="189" t="s">
        <v>237</v>
      </c>
    </row>
    <row r="178" spans="1:16" x14ac:dyDescent="0.3">
      <c r="A178" t="s">
        <v>181</v>
      </c>
      <c r="B178" s="117">
        <v>17725</v>
      </c>
      <c r="C178" s="117">
        <v>18871</v>
      </c>
      <c r="D178" s="141">
        <v>18628</v>
      </c>
      <c r="E178" s="117">
        <v>19807</v>
      </c>
      <c r="F178">
        <v>13.3</v>
      </c>
      <c r="G178" s="162">
        <v>3.24</v>
      </c>
      <c r="H178" s="164">
        <v>52141</v>
      </c>
      <c r="I178" s="161">
        <v>1857802948</v>
      </c>
      <c r="J178"/>
      <c r="K178" s="125" t="s">
        <v>239</v>
      </c>
      <c r="L178" s="126" t="s">
        <v>689</v>
      </c>
      <c r="M178" s="127">
        <v>2</v>
      </c>
      <c r="N178" s="126" t="s">
        <v>689</v>
      </c>
      <c r="O178" s="131" t="s">
        <v>689</v>
      </c>
      <c r="P178" s="189" t="s">
        <v>973</v>
      </c>
    </row>
    <row r="179" spans="1:16" x14ac:dyDescent="0.3">
      <c r="A179" t="s">
        <v>182</v>
      </c>
      <c r="B179" s="117">
        <v>3424</v>
      </c>
      <c r="C179" s="117">
        <v>3277</v>
      </c>
      <c r="D179" s="141">
        <v>3292</v>
      </c>
      <c r="E179" s="117">
        <v>3282</v>
      </c>
      <c r="F179">
        <v>33</v>
      </c>
      <c r="G179" s="162">
        <v>4.97</v>
      </c>
      <c r="H179" s="164">
        <v>29375</v>
      </c>
      <c r="I179" s="161">
        <v>346042192</v>
      </c>
      <c r="J179"/>
      <c r="K179" s="125" t="s">
        <v>241</v>
      </c>
      <c r="L179" s="126" t="s">
        <v>689</v>
      </c>
      <c r="M179" s="127">
        <v>5</v>
      </c>
      <c r="N179" s="126" t="s">
        <v>689</v>
      </c>
      <c r="O179" s="131" t="s">
        <v>689</v>
      </c>
      <c r="P179" s="189" t="s">
        <v>974</v>
      </c>
    </row>
    <row r="180" spans="1:16" x14ac:dyDescent="0.3">
      <c r="A180" t="s">
        <v>183</v>
      </c>
      <c r="B180" s="117">
        <v>495</v>
      </c>
      <c r="C180" s="117">
        <v>560</v>
      </c>
      <c r="D180" s="141">
        <v>533</v>
      </c>
      <c r="E180" s="117">
        <v>550</v>
      </c>
      <c r="F180">
        <v>33.4</v>
      </c>
      <c r="G180" s="162">
        <v>4.28</v>
      </c>
      <c r="H180" s="164">
        <v>41583</v>
      </c>
      <c r="I180" s="161">
        <v>37834980</v>
      </c>
      <c r="J180"/>
      <c r="K180" s="125" t="s">
        <v>245</v>
      </c>
      <c r="L180" s="126" t="s">
        <v>690</v>
      </c>
      <c r="M180" s="127">
        <v>3</v>
      </c>
      <c r="N180" s="126" t="s">
        <v>689</v>
      </c>
      <c r="O180" s="131" t="s">
        <v>689</v>
      </c>
      <c r="P180" s="189" t="s">
        <v>975</v>
      </c>
    </row>
    <row r="181" spans="1:16" x14ac:dyDescent="0.3">
      <c r="A181" t="s">
        <v>184</v>
      </c>
      <c r="B181" s="117">
        <v>3968</v>
      </c>
      <c r="C181" s="117">
        <v>4043</v>
      </c>
      <c r="D181" s="141">
        <v>4112</v>
      </c>
      <c r="E181" s="117">
        <v>4223</v>
      </c>
      <c r="F181">
        <v>22.3</v>
      </c>
      <c r="G181" s="162">
        <v>3.48</v>
      </c>
      <c r="H181" s="164">
        <v>60740</v>
      </c>
      <c r="I181" s="161">
        <v>583618043</v>
      </c>
      <c r="J181"/>
      <c r="K181" s="125" t="s">
        <v>246</v>
      </c>
      <c r="L181" s="126" t="s">
        <v>690</v>
      </c>
      <c r="M181" s="127">
        <v>7</v>
      </c>
      <c r="N181" s="126" t="s">
        <v>689</v>
      </c>
      <c r="O181" s="131" t="s">
        <v>689</v>
      </c>
      <c r="P181" s="189" t="s">
        <v>246</v>
      </c>
    </row>
    <row r="182" spans="1:16" x14ac:dyDescent="0.3">
      <c r="A182" t="s">
        <v>185</v>
      </c>
      <c r="B182" s="117">
        <v>794</v>
      </c>
      <c r="C182" s="117">
        <v>901</v>
      </c>
      <c r="D182" s="141">
        <v>725</v>
      </c>
      <c r="E182" s="117">
        <v>727</v>
      </c>
      <c r="F182">
        <v>18.3</v>
      </c>
      <c r="G182" s="162">
        <v>4.3499999999999996</v>
      </c>
      <c r="H182" s="164">
        <v>49769</v>
      </c>
      <c r="I182" s="161">
        <v>51495100</v>
      </c>
      <c r="J182"/>
      <c r="K182" s="125" t="s">
        <v>247</v>
      </c>
      <c r="L182" s="126" t="s">
        <v>690</v>
      </c>
      <c r="M182" s="127">
        <v>7</v>
      </c>
      <c r="N182" s="126" t="s">
        <v>689</v>
      </c>
      <c r="O182" s="131" t="s">
        <v>689</v>
      </c>
      <c r="P182" s="189" t="s">
        <v>976</v>
      </c>
    </row>
    <row r="183" spans="1:16" x14ac:dyDescent="0.3">
      <c r="A183" t="s">
        <v>186</v>
      </c>
      <c r="B183" s="117">
        <v>1032</v>
      </c>
      <c r="C183" s="117">
        <v>1036</v>
      </c>
      <c r="D183" s="141">
        <v>854</v>
      </c>
      <c r="E183" s="117">
        <v>843</v>
      </c>
      <c r="F183">
        <v>28.4</v>
      </c>
      <c r="G183" s="162">
        <v>4.03</v>
      </c>
      <c r="H183" s="164">
        <v>34808</v>
      </c>
      <c r="I183" s="161">
        <v>56967125</v>
      </c>
      <c r="J183"/>
      <c r="K183" s="125" t="s">
        <v>248</v>
      </c>
      <c r="L183" s="126" t="s">
        <v>689</v>
      </c>
      <c r="M183" s="127">
        <v>2</v>
      </c>
      <c r="N183" s="126" t="s">
        <v>689</v>
      </c>
      <c r="O183" s="131" t="s">
        <v>689</v>
      </c>
      <c r="P183" s="189" t="s">
        <v>977</v>
      </c>
    </row>
    <row r="184" spans="1:16" x14ac:dyDescent="0.3">
      <c r="A184" t="s">
        <v>187</v>
      </c>
      <c r="B184" s="117">
        <v>1701</v>
      </c>
      <c r="C184" s="117">
        <v>1292</v>
      </c>
      <c r="D184" s="141">
        <v>1210</v>
      </c>
      <c r="E184" s="117">
        <v>1215</v>
      </c>
      <c r="F184">
        <v>33.700000000000003</v>
      </c>
      <c r="G184" s="162">
        <v>5.09</v>
      </c>
      <c r="H184" s="164">
        <v>36150</v>
      </c>
      <c r="I184" s="161">
        <v>100064722</v>
      </c>
      <c r="J184"/>
      <c r="K184" s="125" t="s">
        <v>249</v>
      </c>
      <c r="L184" s="126" t="s">
        <v>689</v>
      </c>
      <c r="M184" s="127">
        <v>1</v>
      </c>
      <c r="N184" s="126" t="s">
        <v>689</v>
      </c>
      <c r="O184" s="131" t="s">
        <v>689</v>
      </c>
      <c r="P184" s="189" t="s">
        <v>249</v>
      </c>
    </row>
    <row r="185" spans="1:16" x14ac:dyDescent="0.3">
      <c r="A185" t="s">
        <v>188</v>
      </c>
      <c r="B185" s="117">
        <v>11941</v>
      </c>
      <c r="C185" s="117">
        <v>11032</v>
      </c>
      <c r="D185" s="141">
        <v>11369</v>
      </c>
      <c r="E185" s="117">
        <v>11533</v>
      </c>
      <c r="F185">
        <v>20</v>
      </c>
      <c r="G185" s="162">
        <v>3.63</v>
      </c>
      <c r="H185" s="164">
        <v>84773</v>
      </c>
      <c r="I185" s="161">
        <v>1024196682</v>
      </c>
      <c r="J185"/>
      <c r="K185" s="125" t="s">
        <v>250</v>
      </c>
      <c r="L185" s="126" t="s">
        <v>689</v>
      </c>
      <c r="M185" s="127">
        <v>2</v>
      </c>
      <c r="N185" s="126" t="s">
        <v>689</v>
      </c>
      <c r="O185" s="131" t="s">
        <v>689</v>
      </c>
      <c r="P185" s="189" t="s">
        <v>978</v>
      </c>
    </row>
    <row r="186" spans="1:16" x14ac:dyDescent="0.3">
      <c r="A186" t="s">
        <v>189</v>
      </c>
      <c r="B186" s="117">
        <v>3691</v>
      </c>
      <c r="C186" s="117">
        <v>3934</v>
      </c>
      <c r="D186" s="141">
        <v>3872</v>
      </c>
      <c r="E186" s="117">
        <v>4082</v>
      </c>
      <c r="F186">
        <v>4.9000000000000004</v>
      </c>
      <c r="G186" s="162">
        <v>3.35</v>
      </c>
      <c r="H186" s="164">
        <v>89773</v>
      </c>
      <c r="I186" s="161">
        <v>3267897776</v>
      </c>
      <c r="J186"/>
      <c r="K186" s="128" t="s">
        <v>251</v>
      </c>
      <c r="L186" s="126" t="s">
        <v>690</v>
      </c>
      <c r="M186" s="127">
        <v>7</v>
      </c>
      <c r="N186" s="126" t="s">
        <v>689</v>
      </c>
      <c r="O186" s="131" t="s">
        <v>689</v>
      </c>
      <c r="P186" s="189" t="s">
        <v>979</v>
      </c>
    </row>
    <row r="187" spans="1:16" x14ac:dyDescent="0.3">
      <c r="A187" t="s">
        <v>190</v>
      </c>
      <c r="B187" s="117">
        <v>2348</v>
      </c>
      <c r="C187" s="117">
        <v>2153</v>
      </c>
      <c r="D187" s="141">
        <v>1881</v>
      </c>
      <c r="E187" s="117">
        <v>1773</v>
      </c>
      <c r="F187">
        <v>20.7</v>
      </c>
      <c r="G187" s="162">
        <v>5.19</v>
      </c>
      <c r="H187" s="164">
        <v>34830</v>
      </c>
      <c r="I187" s="161">
        <v>109790523</v>
      </c>
      <c r="J187"/>
      <c r="K187" s="125" t="s">
        <v>252</v>
      </c>
      <c r="L187" s="126" t="s">
        <v>690</v>
      </c>
      <c r="M187" s="127">
        <v>8</v>
      </c>
      <c r="N187" s="126" t="s">
        <v>689</v>
      </c>
      <c r="O187" s="131" t="s">
        <v>689</v>
      </c>
      <c r="P187" s="189" t="s">
        <v>980</v>
      </c>
    </row>
    <row r="188" spans="1:16" x14ac:dyDescent="0.3">
      <c r="A188" t="s">
        <v>192</v>
      </c>
      <c r="B188" s="117">
        <v>5104</v>
      </c>
      <c r="C188" s="117">
        <v>4687</v>
      </c>
      <c r="D188" s="141">
        <v>4513</v>
      </c>
      <c r="E188" s="117">
        <v>4667</v>
      </c>
      <c r="F188">
        <v>12.2</v>
      </c>
      <c r="G188" s="162">
        <v>3.86</v>
      </c>
      <c r="H188" s="164">
        <v>50701</v>
      </c>
      <c r="I188" s="161">
        <v>381906015</v>
      </c>
      <c r="J188"/>
      <c r="K188" s="125" t="s">
        <v>253</v>
      </c>
      <c r="L188" s="126" t="s">
        <v>690</v>
      </c>
      <c r="M188" s="127">
        <v>8</v>
      </c>
      <c r="N188" s="126" t="s">
        <v>689</v>
      </c>
      <c r="O188" s="131" t="s">
        <v>689</v>
      </c>
      <c r="P188" s="189" t="s">
        <v>981</v>
      </c>
    </row>
    <row r="189" spans="1:16" x14ac:dyDescent="0.3">
      <c r="A189" t="s">
        <v>193</v>
      </c>
      <c r="B189" s="117">
        <v>215</v>
      </c>
      <c r="C189" s="117">
        <v>224</v>
      </c>
      <c r="D189" s="141">
        <v>213</v>
      </c>
      <c r="E189" s="117">
        <v>239</v>
      </c>
      <c r="F189">
        <v>8.9</v>
      </c>
      <c r="G189" s="162">
        <v>3.7</v>
      </c>
      <c r="H189" s="164">
        <v>66250</v>
      </c>
      <c r="I189" s="161">
        <v>13240011</v>
      </c>
      <c r="J189"/>
      <c r="K189" s="125" t="s">
        <v>255</v>
      </c>
      <c r="L189" s="126" t="s">
        <v>689</v>
      </c>
      <c r="M189" s="127">
        <v>7</v>
      </c>
      <c r="N189" s="126" t="s">
        <v>689</v>
      </c>
      <c r="O189" s="131" t="s">
        <v>689</v>
      </c>
      <c r="P189" s="189" t="s">
        <v>255</v>
      </c>
    </row>
    <row r="190" spans="1:16" x14ac:dyDescent="0.3">
      <c r="A190" t="s">
        <v>194</v>
      </c>
      <c r="B190" s="117">
        <v>136</v>
      </c>
      <c r="C190" s="117">
        <v>193</v>
      </c>
      <c r="D190" s="141">
        <v>146</v>
      </c>
      <c r="E190" s="117">
        <v>143</v>
      </c>
      <c r="F190">
        <v>24</v>
      </c>
      <c r="G190" s="162">
        <v>4.08</v>
      </c>
      <c r="H190" s="164">
        <v>45227</v>
      </c>
      <c r="I190" s="161">
        <v>7826061</v>
      </c>
      <c r="J190"/>
      <c r="K190" s="125" t="s">
        <v>256</v>
      </c>
      <c r="L190" s="126" t="s">
        <v>690</v>
      </c>
      <c r="M190" s="127">
        <v>2</v>
      </c>
      <c r="N190" s="126" t="s">
        <v>689</v>
      </c>
      <c r="O190" s="131" t="s">
        <v>689</v>
      </c>
      <c r="P190" s="189" t="s">
        <v>982</v>
      </c>
    </row>
    <row r="191" spans="1:16" x14ac:dyDescent="0.3">
      <c r="A191" t="s">
        <v>195</v>
      </c>
      <c r="B191" s="117">
        <v>585</v>
      </c>
      <c r="C191" s="117">
        <v>695</v>
      </c>
      <c r="D191" s="141">
        <v>698</v>
      </c>
      <c r="E191" s="117">
        <v>696</v>
      </c>
      <c r="F191">
        <v>28.3</v>
      </c>
      <c r="G191" s="162">
        <v>4.3600000000000003</v>
      </c>
      <c r="H191" s="164">
        <v>31389</v>
      </c>
      <c r="I191" s="161">
        <v>45134715</v>
      </c>
      <c r="J191"/>
      <c r="K191" s="125" t="s">
        <v>257</v>
      </c>
      <c r="L191" s="126" t="s">
        <v>690</v>
      </c>
      <c r="M191" s="127">
        <v>11</v>
      </c>
      <c r="N191" s="126" t="s">
        <v>689</v>
      </c>
      <c r="O191" s="131" t="s">
        <v>689</v>
      </c>
      <c r="P191" s="189" t="s">
        <v>983</v>
      </c>
    </row>
    <row r="192" spans="1:16" x14ac:dyDescent="0.3">
      <c r="A192" t="s">
        <v>196</v>
      </c>
      <c r="B192" s="117">
        <v>2622</v>
      </c>
      <c r="C192" s="117">
        <v>2463</v>
      </c>
      <c r="D192" s="141">
        <v>2184</v>
      </c>
      <c r="E192" s="117">
        <v>2200</v>
      </c>
      <c r="F192">
        <v>29</v>
      </c>
      <c r="G192" s="162">
        <v>5.0999999999999996</v>
      </c>
      <c r="H192" s="164">
        <v>36641</v>
      </c>
      <c r="I192" s="161">
        <v>159063352</v>
      </c>
      <c r="J192"/>
      <c r="K192" s="125" t="s">
        <v>258</v>
      </c>
      <c r="L192" s="126" t="s">
        <v>689</v>
      </c>
      <c r="M192" s="127">
        <v>5</v>
      </c>
      <c r="N192" s="126" t="s">
        <v>689</v>
      </c>
      <c r="O192" s="131" t="s">
        <v>689</v>
      </c>
      <c r="P192" s="189" t="s">
        <v>984</v>
      </c>
    </row>
    <row r="193" spans="1:16" x14ac:dyDescent="0.3">
      <c r="A193" t="s">
        <v>197</v>
      </c>
      <c r="B193" s="117">
        <v>3849</v>
      </c>
      <c r="C193" s="117">
        <v>3619</v>
      </c>
      <c r="D193" s="141">
        <v>3478</v>
      </c>
      <c r="E193" s="117">
        <v>3708</v>
      </c>
      <c r="F193">
        <v>1.8</v>
      </c>
      <c r="G193" s="162">
        <v>3.26</v>
      </c>
      <c r="H193" s="164">
        <v>98808</v>
      </c>
      <c r="I193" s="161">
        <v>687727149</v>
      </c>
      <c r="J193"/>
      <c r="K193" s="125" t="s">
        <v>259</v>
      </c>
      <c r="L193" s="126" t="s">
        <v>689</v>
      </c>
      <c r="M193" s="127">
        <v>2</v>
      </c>
      <c r="N193" s="126" t="s">
        <v>689</v>
      </c>
      <c r="O193" s="131" t="s">
        <v>689</v>
      </c>
      <c r="P193" s="189" t="s">
        <v>259</v>
      </c>
    </row>
    <row r="194" spans="1:16" x14ac:dyDescent="0.3">
      <c r="A194" t="s">
        <v>198</v>
      </c>
      <c r="B194" s="117">
        <v>1182</v>
      </c>
      <c r="C194" s="117">
        <v>660</v>
      </c>
      <c r="D194" s="141">
        <v>786</v>
      </c>
      <c r="E194" s="117">
        <v>793</v>
      </c>
      <c r="F194">
        <v>24.2</v>
      </c>
      <c r="G194" s="162">
        <v>3.26</v>
      </c>
      <c r="H194" s="164">
        <v>42333</v>
      </c>
      <c r="I194" s="161">
        <v>65536351</v>
      </c>
      <c r="J194"/>
      <c r="K194" s="125" t="s">
        <v>260</v>
      </c>
      <c r="L194" s="126" t="s">
        <v>689</v>
      </c>
      <c r="M194" s="127">
        <v>3</v>
      </c>
      <c r="N194" s="126" t="s">
        <v>689</v>
      </c>
      <c r="O194" s="131" t="s">
        <v>689</v>
      </c>
      <c r="P194" s="189" t="s">
        <v>260</v>
      </c>
    </row>
    <row r="195" spans="1:16" x14ac:dyDescent="0.3">
      <c r="A195" t="s">
        <v>199</v>
      </c>
      <c r="B195" s="117">
        <v>1053</v>
      </c>
      <c r="C195" s="117">
        <v>917</v>
      </c>
      <c r="D195" s="141">
        <v>809</v>
      </c>
      <c r="E195" s="117">
        <v>837</v>
      </c>
      <c r="F195">
        <v>3.4</v>
      </c>
      <c r="G195" s="162">
        <v>3.57</v>
      </c>
      <c r="H195" s="164">
        <v>139844</v>
      </c>
      <c r="I195" s="161">
        <v>113760034</v>
      </c>
      <c r="J195"/>
      <c r="K195" s="125" t="s">
        <v>261</v>
      </c>
      <c r="L195" s="126" t="s">
        <v>690</v>
      </c>
      <c r="M195" s="127">
        <v>3</v>
      </c>
      <c r="N195" s="126" t="s">
        <v>689</v>
      </c>
      <c r="O195" s="131" t="s">
        <v>689</v>
      </c>
      <c r="P195" s="189" t="s">
        <v>985</v>
      </c>
    </row>
    <row r="196" spans="1:16" x14ac:dyDescent="0.3">
      <c r="A196" t="s">
        <v>200</v>
      </c>
      <c r="B196" s="117">
        <v>222</v>
      </c>
      <c r="C196" s="117">
        <v>272</v>
      </c>
      <c r="D196" s="141">
        <v>325</v>
      </c>
      <c r="E196" s="117">
        <v>399</v>
      </c>
      <c r="F196">
        <v>44.5</v>
      </c>
      <c r="G196" s="162">
        <v>4.24</v>
      </c>
      <c r="H196" s="164"/>
      <c r="I196" s="161">
        <v>19801993</v>
      </c>
      <c r="J196"/>
      <c r="K196" s="125" t="s">
        <v>262</v>
      </c>
      <c r="L196" s="126" t="s">
        <v>689</v>
      </c>
      <c r="M196" s="127">
        <v>1</v>
      </c>
      <c r="N196" s="126" t="s">
        <v>689</v>
      </c>
      <c r="O196" s="131" t="s">
        <v>689</v>
      </c>
      <c r="P196" s="189" t="s">
        <v>262</v>
      </c>
    </row>
    <row r="197" spans="1:16" x14ac:dyDescent="0.3">
      <c r="A197" t="s">
        <v>201</v>
      </c>
      <c r="B197" s="117">
        <v>183</v>
      </c>
      <c r="C197" s="117">
        <v>120</v>
      </c>
      <c r="D197" s="141">
        <v>48</v>
      </c>
      <c r="E197" s="117">
        <v>48</v>
      </c>
      <c r="F197">
        <v>0</v>
      </c>
      <c r="G197" s="162">
        <v>4.0999999999999996</v>
      </c>
      <c r="H197" s="164">
        <v>96102</v>
      </c>
      <c r="I197" s="161">
        <v>8209141</v>
      </c>
      <c r="J197"/>
      <c r="K197" s="125" t="s">
        <v>264</v>
      </c>
      <c r="L197" s="126" t="s">
        <v>689</v>
      </c>
      <c r="M197" s="127">
        <v>4</v>
      </c>
      <c r="N197" s="126" t="s">
        <v>689</v>
      </c>
      <c r="O197" s="131" t="s">
        <v>689</v>
      </c>
      <c r="P197" s="189" t="s">
        <v>986</v>
      </c>
    </row>
    <row r="198" spans="1:16" x14ac:dyDescent="0.3">
      <c r="A198" t="s">
        <v>202</v>
      </c>
      <c r="B198" s="117">
        <v>776</v>
      </c>
      <c r="C198" s="117">
        <v>616</v>
      </c>
      <c r="D198" s="141">
        <v>626</v>
      </c>
      <c r="E198" s="117">
        <v>625</v>
      </c>
      <c r="F198">
        <v>29.5</v>
      </c>
      <c r="G198" s="162">
        <v>4.0599999999999996</v>
      </c>
      <c r="H198" s="164">
        <v>56250</v>
      </c>
      <c r="I198" s="161">
        <v>54303042</v>
      </c>
      <c r="J198"/>
      <c r="K198" s="125" t="s">
        <v>265</v>
      </c>
      <c r="L198" s="126" t="s">
        <v>689</v>
      </c>
      <c r="M198" s="127">
        <v>0</v>
      </c>
      <c r="N198" s="126" t="s">
        <v>689</v>
      </c>
      <c r="O198" s="131" t="s">
        <v>689</v>
      </c>
      <c r="P198" s="189" t="s">
        <v>987</v>
      </c>
    </row>
    <row r="199" spans="1:16" x14ac:dyDescent="0.3">
      <c r="A199" t="s">
        <v>203</v>
      </c>
      <c r="B199" s="117">
        <v>4716</v>
      </c>
      <c r="C199" s="117">
        <v>4514</v>
      </c>
      <c r="D199" s="141">
        <v>4504</v>
      </c>
      <c r="E199" s="117">
        <v>4611</v>
      </c>
      <c r="F199">
        <v>28.1</v>
      </c>
      <c r="G199" s="162">
        <v>4.0999999999999996</v>
      </c>
      <c r="H199" s="164">
        <v>47410</v>
      </c>
      <c r="I199" s="161">
        <v>566167541</v>
      </c>
      <c r="J199"/>
      <c r="K199" s="125" t="s">
        <v>267</v>
      </c>
      <c r="L199" s="126" t="s">
        <v>689</v>
      </c>
      <c r="M199" s="127">
        <v>9</v>
      </c>
      <c r="N199" s="126" t="s">
        <v>689</v>
      </c>
      <c r="O199" s="131" t="s">
        <v>689</v>
      </c>
      <c r="P199" s="189" t="s">
        <v>988</v>
      </c>
    </row>
    <row r="200" spans="1:16" x14ac:dyDescent="0.3">
      <c r="A200" t="s">
        <v>204</v>
      </c>
      <c r="B200" s="117">
        <v>211201</v>
      </c>
      <c r="C200" s="117">
        <v>210815</v>
      </c>
      <c r="D200" s="141">
        <v>212111</v>
      </c>
      <c r="E200" s="117">
        <v>211756</v>
      </c>
      <c r="F200">
        <v>17.7</v>
      </c>
      <c r="G200" s="162">
        <v>4.51</v>
      </c>
      <c r="H200" s="164">
        <v>58407</v>
      </c>
      <c r="I200" s="161">
        <v>15194618363</v>
      </c>
      <c r="J200"/>
      <c r="K200" s="125" t="s">
        <v>268</v>
      </c>
      <c r="L200" s="126" t="s">
        <v>689</v>
      </c>
      <c r="M200" s="127">
        <v>2</v>
      </c>
      <c r="N200" s="126" t="s">
        <v>689</v>
      </c>
      <c r="O200" s="131" t="s">
        <v>689</v>
      </c>
      <c r="P200" s="189" t="s">
        <v>989</v>
      </c>
    </row>
    <row r="201" spans="1:16" x14ac:dyDescent="0.3">
      <c r="A201" t="s">
        <v>206</v>
      </c>
      <c r="B201" s="117">
        <v>3354</v>
      </c>
      <c r="C201" s="117">
        <v>3530</v>
      </c>
      <c r="D201" s="141">
        <v>3486</v>
      </c>
      <c r="E201" s="117">
        <v>3663</v>
      </c>
      <c r="F201">
        <v>7.6</v>
      </c>
      <c r="G201" s="162">
        <v>3.26</v>
      </c>
      <c r="H201" s="164">
        <v>95098</v>
      </c>
      <c r="I201" s="161">
        <v>1499184053</v>
      </c>
      <c r="J201"/>
      <c r="K201" s="125" t="s">
        <v>272</v>
      </c>
      <c r="L201" s="126" t="s">
        <v>689</v>
      </c>
      <c r="M201" s="127">
        <v>6</v>
      </c>
      <c r="N201" s="126" t="s">
        <v>689</v>
      </c>
      <c r="O201" s="131" t="s">
        <v>689</v>
      </c>
      <c r="P201" s="189" t="s">
        <v>272</v>
      </c>
    </row>
    <row r="202" spans="1:16" x14ac:dyDescent="0.3">
      <c r="A202" t="s">
        <v>207</v>
      </c>
      <c r="B202" s="117">
        <v>8287</v>
      </c>
      <c r="C202" s="117">
        <v>8098</v>
      </c>
      <c r="D202" s="141">
        <v>7985</v>
      </c>
      <c r="E202" s="117">
        <v>8374</v>
      </c>
      <c r="F202">
        <v>7.6</v>
      </c>
      <c r="G202" s="162">
        <v>3.26</v>
      </c>
      <c r="H202" s="164">
        <v>75272</v>
      </c>
      <c r="I202" s="161">
        <v>1889836189</v>
      </c>
      <c r="J202"/>
      <c r="K202" s="125" t="s">
        <v>273</v>
      </c>
      <c r="L202" s="126" t="s">
        <v>689</v>
      </c>
      <c r="M202" s="127">
        <v>3</v>
      </c>
      <c r="N202" s="126" t="s">
        <v>689</v>
      </c>
      <c r="O202" s="131" t="s">
        <v>689</v>
      </c>
      <c r="P202" s="189" t="s">
        <v>990</v>
      </c>
    </row>
    <row r="203" spans="1:16" x14ac:dyDescent="0.3">
      <c r="A203" t="s">
        <v>208</v>
      </c>
      <c r="B203" s="117">
        <v>34</v>
      </c>
      <c r="C203" s="117"/>
      <c r="D203" s="141">
        <v>30</v>
      </c>
      <c r="E203" s="117">
        <v>50</v>
      </c>
      <c r="G203" s="162">
        <v>3.47</v>
      </c>
      <c r="H203" s="164"/>
      <c r="I203" s="161">
        <v>610080</v>
      </c>
      <c r="J203"/>
      <c r="K203" s="125" t="s">
        <v>274</v>
      </c>
      <c r="L203" s="126" t="s">
        <v>689</v>
      </c>
      <c r="M203" s="127">
        <v>1</v>
      </c>
      <c r="N203" s="126" t="s">
        <v>689</v>
      </c>
      <c r="O203" s="131" t="s">
        <v>689</v>
      </c>
      <c r="P203" s="189" t="s">
        <v>991</v>
      </c>
    </row>
    <row r="204" spans="1:16" x14ac:dyDescent="0.3">
      <c r="A204" t="s">
        <v>209</v>
      </c>
      <c r="B204" s="117">
        <v>7150</v>
      </c>
      <c r="C204" s="117">
        <v>7363</v>
      </c>
      <c r="D204" s="141">
        <v>7344</v>
      </c>
      <c r="E204" s="117">
        <v>7373</v>
      </c>
      <c r="F204">
        <v>32.1</v>
      </c>
      <c r="G204" s="162">
        <v>4.3499999999999996</v>
      </c>
      <c r="H204" s="164">
        <v>35524</v>
      </c>
      <c r="I204" s="161">
        <v>1760574785</v>
      </c>
      <c r="J204"/>
      <c r="K204" s="125" t="s">
        <v>275</v>
      </c>
      <c r="L204" s="126" t="s">
        <v>689</v>
      </c>
      <c r="M204" s="127">
        <v>5</v>
      </c>
      <c r="N204" s="126" t="s">
        <v>689</v>
      </c>
      <c r="O204" s="131" t="s">
        <v>689</v>
      </c>
      <c r="P204" s="189" t="s">
        <v>275</v>
      </c>
    </row>
    <row r="205" spans="1:16" x14ac:dyDescent="0.3">
      <c r="A205" t="s">
        <v>210</v>
      </c>
      <c r="B205" s="117">
        <v>325</v>
      </c>
      <c r="C205" s="117">
        <v>329</v>
      </c>
      <c r="D205" s="141">
        <v>293</v>
      </c>
      <c r="E205" s="117">
        <v>302</v>
      </c>
      <c r="F205">
        <v>23.7</v>
      </c>
      <c r="G205" s="162">
        <v>3.45</v>
      </c>
      <c r="H205" s="164">
        <v>90313</v>
      </c>
      <c r="I205" s="161">
        <v>37847814</v>
      </c>
      <c r="J205"/>
      <c r="K205" s="130" t="s">
        <v>276</v>
      </c>
      <c r="L205" s="126" t="s">
        <v>690</v>
      </c>
      <c r="M205" s="127">
        <v>4</v>
      </c>
      <c r="N205" s="126" t="s">
        <v>689</v>
      </c>
      <c r="O205" s="131" t="s">
        <v>689</v>
      </c>
      <c r="P205" s="189" t="s">
        <v>992</v>
      </c>
    </row>
    <row r="206" spans="1:16" x14ac:dyDescent="0.3">
      <c r="A206" t="s">
        <v>212</v>
      </c>
      <c r="B206" s="117">
        <v>378499</v>
      </c>
      <c r="C206" s="117">
        <v>389977</v>
      </c>
      <c r="D206" s="141">
        <v>383592</v>
      </c>
      <c r="E206" s="117">
        <v>399059</v>
      </c>
      <c r="F206">
        <v>14.5</v>
      </c>
      <c r="G206" s="162">
        <v>3.79</v>
      </c>
      <c r="H206" s="164">
        <v>67165</v>
      </c>
      <c r="I206" s="161">
        <v>46386346325</v>
      </c>
      <c r="J206"/>
      <c r="K206" s="125" t="s">
        <v>277</v>
      </c>
      <c r="L206" s="126" t="s">
        <v>689</v>
      </c>
      <c r="M206" s="127">
        <v>2</v>
      </c>
      <c r="N206" s="126" t="s">
        <v>689</v>
      </c>
      <c r="O206" s="131" t="s">
        <v>689</v>
      </c>
      <c r="P206" s="189" t="s">
        <v>993</v>
      </c>
    </row>
    <row r="207" spans="1:16" x14ac:dyDescent="0.3">
      <c r="A207" t="s">
        <v>213</v>
      </c>
      <c r="B207" s="117">
        <v>308</v>
      </c>
      <c r="C207" s="117">
        <v>409</v>
      </c>
      <c r="D207" s="141">
        <v>383</v>
      </c>
      <c r="E207" s="117">
        <v>387</v>
      </c>
      <c r="F207">
        <v>57.7</v>
      </c>
      <c r="G207" s="162">
        <v>4.0999999999999996</v>
      </c>
      <c r="H207" s="164"/>
      <c r="I207" s="161">
        <v>42346049</v>
      </c>
      <c r="J207"/>
      <c r="K207" s="125" t="s">
        <v>278</v>
      </c>
      <c r="L207" s="126" t="s">
        <v>689</v>
      </c>
      <c r="M207" s="127">
        <v>1</v>
      </c>
      <c r="N207" s="126" t="s">
        <v>689</v>
      </c>
      <c r="O207" s="131" t="s">
        <v>689</v>
      </c>
      <c r="P207" s="189" t="s">
        <v>994</v>
      </c>
    </row>
    <row r="208" spans="1:16" x14ac:dyDescent="0.3">
      <c r="A208" t="s">
        <v>214</v>
      </c>
      <c r="B208" s="117">
        <v>2225</v>
      </c>
      <c r="C208" s="117">
        <v>2459</v>
      </c>
      <c r="D208" s="141">
        <v>2271</v>
      </c>
      <c r="E208" s="117">
        <v>2576</v>
      </c>
      <c r="F208">
        <v>15.3</v>
      </c>
      <c r="G208" s="162">
        <v>3.11</v>
      </c>
      <c r="H208" s="164">
        <v>72826</v>
      </c>
      <c r="I208" s="161">
        <v>285171864</v>
      </c>
      <c r="J208"/>
      <c r="K208" s="125" t="s">
        <v>279</v>
      </c>
      <c r="L208" s="126" t="s">
        <v>689</v>
      </c>
      <c r="M208" s="127">
        <v>4</v>
      </c>
      <c r="N208" s="126" t="s">
        <v>689</v>
      </c>
      <c r="O208" s="131" t="s">
        <v>689</v>
      </c>
      <c r="P208" s="189" t="s">
        <v>995</v>
      </c>
    </row>
    <row r="209" spans="1:16" x14ac:dyDescent="0.3">
      <c r="A209" t="s">
        <v>215</v>
      </c>
      <c r="B209" s="117">
        <v>1757</v>
      </c>
      <c r="C209" s="117">
        <v>1925</v>
      </c>
      <c r="D209" s="141">
        <v>1310</v>
      </c>
      <c r="E209" s="117">
        <v>1521</v>
      </c>
      <c r="F209">
        <v>4.5999999999999996</v>
      </c>
      <c r="G209" s="162">
        <v>3.33</v>
      </c>
      <c r="H209" s="164">
        <v>85117</v>
      </c>
      <c r="I209" s="161">
        <v>337289916</v>
      </c>
      <c r="J209"/>
      <c r="K209" s="125" t="s">
        <v>280</v>
      </c>
      <c r="L209" s="126" t="s">
        <v>689</v>
      </c>
      <c r="M209" s="127">
        <v>3</v>
      </c>
      <c r="N209" s="126" t="s">
        <v>689</v>
      </c>
      <c r="O209" s="131" t="s">
        <v>689</v>
      </c>
      <c r="P209" s="189" t="s">
        <v>996</v>
      </c>
    </row>
    <row r="210" spans="1:16" x14ac:dyDescent="0.3">
      <c r="A210" t="s">
        <v>216</v>
      </c>
      <c r="B210" s="117">
        <v>68027</v>
      </c>
      <c r="C210" s="117">
        <v>74386</v>
      </c>
      <c r="D210" s="141">
        <v>68780</v>
      </c>
      <c r="E210" s="117">
        <v>80536</v>
      </c>
      <c r="F210">
        <v>11.1</v>
      </c>
      <c r="G210" s="162">
        <v>3.33</v>
      </c>
      <c r="H210" s="164">
        <v>74240</v>
      </c>
      <c r="I210" s="161">
        <v>12636089566</v>
      </c>
      <c r="J210"/>
      <c r="K210" s="125" t="s">
        <v>282</v>
      </c>
      <c r="L210" s="126" t="s">
        <v>689</v>
      </c>
      <c r="M210" s="127">
        <v>3</v>
      </c>
      <c r="N210" s="126" t="s">
        <v>689</v>
      </c>
      <c r="O210" s="131" t="s">
        <v>689</v>
      </c>
      <c r="P210" s="189" t="s">
        <v>997</v>
      </c>
    </row>
    <row r="211" spans="1:16" x14ac:dyDescent="0.3">
      <c r="A211" t="s">
        <v>217</v>
      </c>
      <c r="B211" s="117">
        <v>4030</v>
      </c>
      <c r="C211" s="117">
        <v>4268</v>
      </c>
      <c r="D211" s="141">
        <v>4171</v>
      </c>
      <c r="E211" s="117">
        <v>4325</v>
      </c>
      <c r="F211">
        <v>12.7</v>
      </c>
      <c r="G211" s="162">
        <v>3.36</v>
      </c>
      <c r="H211" s="164">
        <v>47888</v>
      </c>
      <c r="I211" s="161">
        <v>1042713205</v>
      </c>
      <c r="J211"/>
      <c r="K211" s="125" t="s">
        <v>283</v>
      </c>
      <c r="L211" s="126" t="s">
        <v>690</v>
      </c>
      <c r="M211" s="127">
        <v>8</v>
      </c>
      <c r="N211" s="126" t="s">
        <v>689</v>
      </c>
      <c r="O211" s="131" t="s">
        <v>689</v>
      </c>
      <c r="P211" s="189" t="s">
        <v>998</v>
      </c>
    </row>
    <row r="212" spans="1:16" x14ac:dyDescent="0.3">
      <c r="A212" t="s">
        <v>218</v>
      </c>
      <c r="B212" s="117">
        <v>2341</v>
      </c>
      <c r="C212" s="117">
        <v>2645</v>
      </c>
      <c r="D212" s="141">
        <v>2501</v>
      </c>
      <c r="E212" s="117">
        <v>3041</v>
      </c>
      <c r="F212">
        <v>17.2</v>
      </c>
      <c r="G212" s="162">
        <v>3.33</v>
      </c>
      <c r="H212" s="164">
        <v>59464</v>
      </c>
      <c r="I212" s="161">
        <v>393682597</v>
      </c>
      <c r="J212"/>
      <c r="K212" s="125" t="s">
        <v>284</v>
      </c>
      <c r="L212" s="126" t="s">
        <v>689</v>
      </c>
      <c r="M212" s="127">
        <v>6</v>
      </c>
      <c r="N212" s="126" t="s">
        <v>689</v>
      </c>
      <c r="O212" s="131" t="s">
        <v>689</v>
      </c>
      <c r="P212" s="189" t="s">
        <v>999</v>
      </c>
    </row>
    <row r="213" spans="1:16" x14ac:dyDescent="0.3">
      <c r="A213" t="s">
        <v>219</v>
      </c>
      <c r="B213" s="117">
        <v>1451</v>
      </c>
      <c r="C213" s="117">
        <v>1131</v>
      </c>
      <c r="D213" s="141">
        <v>1196</v>
      </c>
      <c r="E213" s="117">
        <v>1229</v>
      </c>
      <c r="F213">
        <v>18.2</v>
      </c>
      <c r="G213" s="162">
        <v>3.54</v>
      </c>
      <c r="H213" s="164">
        <v>52805</v>
      </c>
      <c r="I213" s="161">
        <v>72172781</v>
      </c>
      <c r="J213"/>
      <c r="K213" s="128" t="s">
        <v>285</v>
      </c>
      <c r="L213" s="126" t="s">
        <v>689</v>
      </c>
      <c r="M213" s="127">
        <v>6</v>
      </c>
      <c r="N213" s="126" t="s">
        <v>689</v>
      </c>
      <c r="O213" s="131" t="s">
        <v>689</v>
      </c>
      <c r="P213" s="189" t="s">
        <v>285</v>
      </c>
    </row>
    <row r="214" spans="1:16" x14ac:dyDescent="0.3">
      <c r="A214" t="s">
        <v>220</v>
      </c>
      <c r="B214" s="117">
        <v>990</v>
      </c>
      <c r="C214" s="117">
        <v>943</v>
      </c>
      <c r="D214" s="141">
        <v>1189</v>
      </c>
      <c r="E214" s="117">
        <v>1196</v>
      </c>
      <c r="F214">
        <v>28.2</v>
      </c>
      <c r="G214" s="162">
        <v>3.7</v>
      </c>
      <c r="H214" s="164">
        <v>51667</v>
      </c>
      <c r="I214" s="161">
        <v>63860079</v>
      </c>
      <c r="J214"/>
      <c r="K214" s="125" t="s">
        <v>286</v>
      </c>
      <c r="L214" s="126" t="s">
        <v>689</v>
      </c>
      <c r="M214" s="127">
        <v>5</v>
      </c>
      <c r="N214" s="126" t="s">
        <v>689</v>
      </c>
      <c r="O214" s="131" t="s">
        <v>689</v>
      </c>
      <c r="P214" s="189" t="s">
        <v>1000</v>
      </c>
    </row>
    <row r="215" spans="1:16" x14ac:dyDescent="0.3">
      <c r="A215" t="s">
        <v>221</v>
      </c>
      <c r="B215" s="117">
        <v>29110</v>
      </c>
      <c r="C215" s="117">
        <v>40485</v>
      </c>
      <c r="D215" s="141">
        <v>34627</v>
      </c>
      <c r="E215" s="117">
        <v>44237</v>
      </c>
      <c r="F215">
        <v>8.1999999999999993</v>
      </c>
      <c r="G215" s="162">
        <v>3.17</v>
      </c>
      <c r="H215" s="164">
        <v>115497</v>
      </c>
      <c r="I215" s="161">
        <v>10252643059</v>
      </c>
      <c r="J215"/>
      <c r="K215" s="125" t="s">
        <v>288</v>
      </c>
      <c r="L215" s="126" t="s">
        <v>689</v>
      </c>
      <c r="M215" s="127">
        <v>2</v>
      </c>
      <c r="N215" s="126" t="s">
        <v>689</v>
      </c>
      <c r="O215" s="131" t="s">
        <v>689</v>
      </c>
      <c r="P215" s="189" t="s">
        <v>1001</v>
      </c>
    </row>
    <row r="216" spans="1:16" x14ac:dyDescent="0.3">
      <c r="A216" t="s">
        <v>222</v>
      </c>
      <c r="B216" s="117">
        <v>3874</v>
      </c>
      <c r="C216" s="117">
        <v>3689</v>
      </c>
      <c r="D216" s="141">
        <v>3701</v>
      </c>
      <c r="E216" s="117">
        <v>3722</v>
      </c>
      <c r="F216">
        <v>21.5</v>
      </c>
      <c r="G216" s="162">
        <v>3.5</v>
      </c>
      <c r="H216" s="164">
        <v>46556</v>
      </c>
      <c r="I216" s="161"/>
      <c r="J216"/>
      <c r="K216" s="125" t="s">
        <v>289</v>
      </c>
      <c r="L216" s="126" t="s">
        <v>690</v>
      </c>
      <c r="M216" s="127">
        <v>14</v>
      </c>
      <c r="N216" s="126" t="s">
        <v>689</v>
      </c>
      <c r="O216" s="131" t="s">
        <v>689</v>
      </c>
      <c r="P216" s="189" t="s">
        <v>1002</v>
      </c>
    </row>
    <row r="217" spans="1:16" x14ac:dyDescent="0.3">
      <c r="A217" t="s">
        <v>223</v>
      </c>
      <c r="B217" s="117">
        <v>1166</v>
      </c>
      <c r="C217" s="117">
        <v>704</v>
      </c>
      <c r="D217" s="141">
        <v>596</v>
      </c>
      <c r="E217" s="117">
        <v>605</v>
      </c>
      <c r="F217">
        <v>9.1</v>
      </c>
      <c r="G217" s="162">
        <v>3.98</v>
      </c>
      <c r="H217" s="164">
        <v>57829</v>
      </c>
      <c r="I217" s="161">
        <v>55949539</v>
      </c>
      <c r="J217"/>
      <c r="K217" s="125" t="s">
        <v>291</v>
      </c>
      <c r="L217" s="126" t="s">
        <v>690</v>
      </c>
      <c r="M217" s="127">
        <v>5</v>
      </c>
      <c r="N217" s="126" t="s">
        <v>689</v>
      </c>
      <c r="O217" s="131" t="s">
        <v>689</v>
      </c>
      <c r="P217" s="189" t="s">
        <v>1003</v>
      </c>
    </row>
    <row r="218" spans="1:16" x14ac:dyDescent="0.3">
      <c r="A218" t="s">
        <v>224</v>
      </c>
      <c r="B218" s="117">
        <v>30345</v>
      </c>
      <c r="C218" s="117">
        <v>34473</v>
      </c>
      <c r="D218" s="141">
        <v>31602</v>
      </c>
      <c r="E218" s="117">
        <v>38509</v>
      </c>
      <c r="F218">
        <v>8.4</v>
      </c>
      <c r="G218" s="162">
        <v>3.17</v>
      </c>
      <c r="H218" s="164">
        <v>78756</v>
      </c>
      <c r="I218" s="161">
        <v>9379832559</v>
      </c>
      <c r="J218"/>
      <c r="K218" s="125" t="s">
        <v>294</v>
      </c>
      <c r="L218" s="126" t="s">
        <v>690</v>
      </c>
      <c r="M218" s="127">
        <v>7</v>
      </c>
      <c r="N218" s="126" t="s">
        <v>689</v>
      </c>
      <c r="O218" s="131" t="s">
        <v>689</v>
      </c>
      <c r="P218" s="189" t="s">
        <v>294</v>
      </c>
    </row>
    <row r="219" spans="1:16" x14ac:dyDescent="0.3">
      <c r="A219" t="s">
        <v>225</v>
      </c>
      <c r="B219" s="117">
        <v>859</v>
      </c>
      <c r="C219" s="117">
        <v>572</v>
      </c>
      <c r="D219" s="141">
        <v>895</v>
      </c>
      <c r="E219" s="117">
        <v>860</v>
      </c>
      <c r="F219">
        <v>19.2</v>
      </c>
      <c r="G219" s="162">
        <v>4.47</v>
      </c>
      <c r="H219" s="164">
        <v>41333</v>
      </c>
      <c r="I219" s="161">
        <v>106337585</v>
      </c>
      <c r="J219"/>
      <c r="K219" s="125" t="s">
        <v>299</v>
      </c>
      <c r="L219" s="126" t="s">
        <v>690</v>
      </c>
      <c r="M219" s="127">
        <v>6</v>
      </c>
      <c r="N219" s="126" t="s">
        <v>689</v>
      </c>
      <c r="O219" s="131" t="s">
        <v>689</v>
      </c>
      <c r="P219" s="189" t="s">
        <v>1004</v>
      </c>
    </row>
    <row r="220" spans="1:16" x14ac:dyDescent="0.3">
      <c r="A220" t="s">
        <v>226</v>
      </c>
      <c r="B220" s="117">
        <v>222119</v>
      </c>
      <c r="C220" s="117">
        <v>234881</v>
      </c>
      <c r="D220" s="141">
        <v>229204</v>
      </c>
      <c r="E220" s="117">
        <v>244800</v>
      </c>
      <c r="F220">
        <v>13.5</v>
      </c>
      <c r="G220" s="162">
        <v>3.74</v>
      </c>
      <c r="H220" s="164">
        <v>67478</v>
      </c>
      <c r="I220" s="161">
        <v>34448798101</v>
      </c>
      <c r="J220"/>
      <c r="K220" s="125" t="s">
        <v>300</v>
      </c>
      <c r="L220" s="126" t="s">
        <v>689</v>
      </c>
      <c r="M220" s="127">
        <v>4</v>
      </c>
      <c r="N220" s="126" t="s">
        <v>689</v>
      </c>
      <c r="O220" s="131" t="s">
        <v>689</v>
      </c>
      <c r="P220" s="189" t="s">
        <v>1005</v>
      </c>
    </row>
    <row r="221" spans="1:16" x14ac:dyDescent="0.3">
      <c r="A221" t="s">
        <v>227</v>
      </c>
      <c r="B221" s="117">
        <v>1290</v>
      </c>
      <c r="C221" s="117">
        <v>912</v>
      </c>
      <c r="D221" s="141">
        <v>996</v>
      </c>
      <c r="E221" s="117">
        <v>958</v>
      </c>
      <c r="F221">
        <v>27.4</v>
      </c>
      <c r="G221" s="162">
        <v>4.47</v>
      </c>
      <c r="H221" s="164">
        <v>42105</v>
      </c>
      <c r="I221" s="161">
        <v>55736232</v>
      </c>
      <c r="J221"/>
      <c r="K221" s="125" t="s">
        <v>301</v>
      </c>
      <c r="L221" s="126" t="s">
        <v>689</v>
      </c>
      <c r="M221" s="127">
        <v>1</v>
      </c>
      <c r="N221" s="126" t="s">
        <v>689</v>
      </c>
      <c r="O221" s="131" t="s">
        <v>689</v>
      </c>
      <c r="P221" s="189" t="s">
        <v>1006</v>
      </c>
    </row>
    <row r="222" spans="1:16" x14ac:dyDescent="0.3">
      <c r="A222" t="s">
        <v>228</v>
      </c>
      <c r="B222" s="117">
        <v>76635</v>
      </c>
      <c r="C222" s="117">
        <v>82884</v>
      </c>
      <c r="D222" s="141">
        <v>80772</v>
      </c>
      <c r="E222" s="117">
        <v>85636</v>
      </c>
      <c r="F222">
        <v>16.3</v>
      </c>
      <c r="G222" s="162">
        <v>3.74</v>
      </c>
      <c r="H222" s="164">
        <v>64059</v>
      </c>
      <c r="I222" s="161">
        <v>11548168372</v>
      </c>
      <c r="J222"/>
      <c r="K222" s="125" t="s">
        <v>302</v>
      </c>
      <c r="L222" s="126" t="s">
        <v>690</v>
      </c>
      <c r="M222" s="127">
        <v>3</v>
      </c>
      <c r="N222" s="126" t="s">
        <v>689</v>
      </c>
      <c r="O222" s="131" t="s">
        <v>689</v>
      </c>
      <c r="P222" s="189" t="s">
        <v>1007</v>
      </c>
    </row>
    <row r="223" spans="1:16" x14ac:dyDescent="0.3">
      <c r="A223" t="s">
        <v>229</v>
      </c>
      <c r="B223" s="117">
        <v>11519</v>
      </c>
      <c r="C223" s="117">
        <v>10376</v>
      </c>
      <c r="D223" s="141">
        <v>10421</v>
      </c>
      <c r="E223" s="117">
        <v>9982</v>
      </c>
      <c r="F223">
        <v>9.4</v>
      </c>
      <c r="G223" s="162">
        <v>3.42</v>
      </c>
      <c r="H223" s="164">
        <v>66333</v>
      </c>
      <c r="I223" s="161">
        <v>1036196339</v>
      </c>
      <c r="J223"/>
      <c r="K223" s="125" t="s">
        <v>303</v>
      </c>
      <c r="L223" s="126" t="s">
        <v>689</v>
      </c>
      <c r="M223" s="127">
        <v>5</v>
      </c>
      <c r="N223" s="126" t="s">
        <v>689</v>
      </c>
      <c r="O223" s="131" t="s">
        <v>689</v>
      </c>
      <c r="P223" s="189" t="s">
        <v>1008</v>
      </c>
    </row>
    <row r="224" spans="1:16" x14ac:dyDescent="0.3">
      <c r="A224" t="s">
        <v>230</v>
      </c>
      <c r="B224" s="117">
        <v>240</v>
      </c>
      <c r="C224" s="117">
        <v>320</v>
      </c>
      <c r="D224" s="141">
        <v>268</v>
      </c>
      <c r="E224" s="117">
        <v>257</v>
      </c>
      <c r="F224">
        <v>3.1</v>
      </c>
      <c r="G224" s="162">
        <v>3.42</v>
      </c>
      <c r="H224" s="164">
        <v>73611</v>
      </c>
      <c r="I224" s="161">
        <v>34410397</v>
      </c>
      <c r="J224"/>
      <c r="K224" s="125" t="s">
        <v>304</v>
      </c>
      <c r="L224" s="126" t="s">
        <v>689</v>
      </c>
      <c r="M224" s="127">
        <v>1</v>
      </c>
      <c r="N224" s="126" t="s">
        <v>689</v>
      </c>
      <c r="O224" s="131" t="s">
        <v>689</v>
      </c>
      <c r="P224" s="189" t="s">
        <v>304</v>
      </c>
    </row>
    <row r="225" spans="1:16" x14ac:dyDescent="0.3">
      <c r="A225" t="s">
        <v>231</v>
      </c>
      <c r="B225" s="117">
        <v>680</v>
      </c>
      <c r="C225" s="117">
        <v>745</v>
      </c>
      <c r="D225" s="141">
        <v>467</v>
      </c>
      <c r="E225" s="117">
        <v>444</v>
      </c>
      <c r="F225">
        <v>51.5</v>
      </c>
      <c r="G225" s="162">
        <v>5.23</v>
      </c>
      <c r="H225" s="164">
        <v>25000</v>
      </c>
      <c r="I225" s="161">
        <v>18005041</v>
      </c>
      <c r="J225"/>
      <c r="K225" s="125" t="s">
        <v>305</v>
      </c>
      <c r="L225" s="126" t="s">
        <v>689</v>
      </c>
      <c r="M225" s="127">
        <v>3</v>
      </c>
      <c r="N225" s="126" t="s">
        <v>689</v>
      </c>
      <c r="O225" s="131" t="s">
        <v>689</v>
      </c>
      <c r="P225" s="189" t="s">
        <v>305</v>
      </c>
    </row>
    <row r="226" spans="1:16" x14ac:dyDescent="0.3">
      <c r="A226" t="s">
        <v>232</v>
      </c>
      <c r="B226" s="117">
        <v>7232</v>
      </c>
      <c r="C226" s="117">
        <v>9467</v>
      </c>
      <c r="D226" s="141">
        <v>8992</v>
      </c>
      <c r="E226" s="117">
        <v>9688</v>
      </c>
      <c r="F226">
        <v>5.8</v>
      </c>
      <c r="G226" s="162">
        <v>3.88</v>
      </c>
      <c r="H226" s="164">
        <v>95861</v>
      </c>
      <c r="I226" s="161">
        <v>1114924399</v>
      </c>
      <c r="J226"/>
      <c r="K226" s="125" t="s">
        <v>306</v>
      </c>
      <c r="L226" s="126" t="s">
        <v>690</v>
      </c>
      <c r="M226" s="127">
        <v>3</v>
      </c>
      <c r="N226" s="126" t="s">
        <v>689</v>
      </c>
      <c r="O226" s="131" t="s">
        <v>689</v>
      </c>
      <c r="P226" s="189" t="s">
        <v>1009</v>
      </c>
    </row>
    <row r="227" spans="1:16" x14ac:dyDescent="0.3">
      <c r="A227" t="s">
        <v>233</v>
      </c>
      <c r="B227" s="117">
        <v>1927</v>
      </c>
      <c r="C227" s="117">
        <v>1991</v>
      </c>
      <c r="D227" s="141">
        <v>1528</v>
      </c>
      <c r="E227" s="117">
        <v>1574</v>
      </c>
      <c r="F227">
        <v>11</v>
      </c>
      <c r="G227" s="162">
        <v>3.56</v>
      </c>
      <c r="H227" s="164">
        <v>69697</v>
      </c>
      <c r="I227" s="161">
        <v>151872925</v>
      </c>
      <c r="J227"/>
      <c r="K227" s="125" t="s">
        <v>307</v>
      </c>
      <c r="L227" s="126" t="s">
        <v>689</v>
      </c>
      <c r="M227" s="127">
        <v>4</v>
      </c>
      <c r="N227" s="126" t="s">
        <v>689</v>
      </c>
      <c r="O227" s="131" t="s">
        <v>689</v>
      </c>
      <c r="P227" s="189" t="s">
        <v>307</v>
      </c>
    </row>
    <row r="228" spans="1:16" x14ac:dyDescent="0.3">
      <c r="A228" t="s">
        <v>234</v>
      </c>
      <c r="B228" s="117">
        <v>129</v>
      </c>
      <c r="C228" s="117">
        <v>203</v>
      </c>
      <c r="D228" s="141">
        <v>154</v>
      </c>
      <c r="E228" s="117">
        <v>160</v>
      </c>
      <c r="F228">
        <v>16.3</v>
      </c>
      <c r="G228" s="162">
        <v>4.51</v>
      </c>
      <c r="H228" s="164">
        <v>53542</v>
      </c>
      <c r="I228" s="161">
        <v>10537204</v>
      </c>
      <c r="J228"/>
      <c r="K228" s="125" t="s">
        <v>308</v>
      </c>
      <c r="L228" s="126" t="s">
        <v>689</v>
      </c>
      <c r="M228" s="127">
        <v>3</v>
      </c>
      <c r="N228" s="126" t="s">
        <v>689</v>
      </c>
      <c r="O228" s="131" t="s">
        <v>689</v>
      </c>
      <c r="P228" s="189" t="s">
        <v>1010</v>
      </c>
    </row>
    <row r="229" spans="1:16" x14ac:dyDescent="0.3">
      <c r="A229" t="s">
        <v>235</v>
      </c>
      <c r="B229" s="117">
        <v>34610</v>
      </c>
      <c r="C229" s="117">
        <v>34383</v>
      </c>
      <c r="D229" s="141">
        <v>34499</v>
      </c>
      <c r="E229" s="117">
        <v>35130</v>
      </c>
      <c r="F229">
        <v>22.8</v>
      </c>
      <c r="G229" s="162">
        <v>3.7</v>
      </c>
      <c r="H229" s="164">
        <v>48540</v>
      </c>
      <c r="I229" s="161">
        <v>2709888388</v>
      </c>
      <c r="J229"/>
      <c r="K229" s="125" t="s">
        <v>310</v>
      </c>
      <c r="L229" s="126" t="s">
        <v>689</v>
      </c>
      <c r="M229" s="127">
        <v>3</v>
      </c>
      <c r="N229" s="126" t="s">
        <v>689</v>
      </c>
      <c r="O229" s="131" t="s">
        <v>689</v>
      </c>
      <c r="P229" s="189" t="s">
        <v>1011</v>
      </c>
    </row>
    <row r="230" spans="1:16" x14ac:dyDescent="0.3">
      <c r="A230" t="s">
        <v>236</v>
      </c>
      <c r="B230" s="117">
        <v>392</v>
      </c>
      <c r="C230" s="117">
        <v>379</v>
      </c>
      <c r="D230" s="141">
        <v>262</v>
      </c>
      <c r="E230" s="117">
        <v>249</v>
      </c>
      <c r="F230">
        <v>5.5</v>
      </c>
      <c r="G230" s="162">
        <v>3.12</v>
      </c>
      <c r="H230" s="164">
        <v>39538</v>
      </c>
      <c r="I230" s="161">
        <v>39843814</v>
      </c>
      <c r="J230"/>
      <c r="K230" s="125" t="s">
        <v>311</v>
      </c>
      <c r="L230" s="126" t="s">
        <v>690</v>
      </c>
      <c r="M230" s="127">
        <v>3</v>
      </c>
      <c r="N230" s="126" t="s">
        <v>689</v>
      </c>
      <c r="O230" s="131" t="s">
        <v>689</v>
      </c>
      <c r="P230" s="189" t="s">
        <v>1012</v>
      </c>
    </row>
    <row r="231" spans="1:16" x14ac:dyDescent="0.3">
      <c r="A231" t="s">
        <v>238</v>
      </c>
      <c r="B231" s="117">
        <v>8501</v>
      </c>
      <c r="C231" s="117">
        <v>8072</v>
      </c>
      <c r="D231" s="141">
        <v>8010</v>
      </c>
      <c r="E231" s="117">
        <v>7966</v>
      </c>
      <c r="F231">
        <v>6.7</v>
      </c>
      <c r="G231" s="162">
        <v>3.47</v>
      </c>
      <c r="H231" s="164">
        <v>49684</v>
      </c>
      <c r="I231" s="161">
        <v>1669642151</v>
      </c>
      <c r="J231"/>
      <c r="K231" s="125" t="s">
        <v>313</v>
      </c>
      <c r="L231" s="126" t="s">
        <v>689</v>
      </c>
      <c r="M231" s="127">
        <v>4</v>
      </c>
      <c r="N231" s="126" t="s">
        <v>689</v>
      </c>
      <c r="O231" s="131" t="s">
        <v>689</v>
      </c>
      <c r="P231" s="189" t="s">
        <v>1013</v>
      </c>
    </row>
    <row r="232" spans="1:16" x14ac:dyDescent="0.3">
      <c r="A232" t="s">
        <v>239</v>
      </c>
      <c r="B232" s="117">
        <v>15168</v>
      </c>
      <c r="C232" s="117">
        <v>18048</v>
      </c>
      <c r="D232" s="141">
        <v>17258</v>
      </c>
      <c r="E232" s="117">
        <v>20933</v>
      </c>
      <c r="F232">
        <v>16.8</v>
      </c>
      <c r="G232" s="162">
        <v>3.63</v>
      </c>
      <c r="H232" s="164">
        <v>56239</v>
      </c>
      <c r="I232" s="161">
        <v>2552355226</v>
      </c>
      <c r="J232"/>
      <c r="K232" s="125" t="s">
        <v>314</v>
      </c>
      <c r="L232" s="126" t="s">
        <v>689</v>
      </c>
      <c r="M232" s="127">
        <v>5</v>
      </c>
      <c r="N232" s="126" t="s">
        <v>689</v>
      </c>
      <c r="O232" s="131" t="s">
        <v>689</v>
      </c>
      <c r="P232" s="189" t="s">
        <v>1014</v>
      </c>
    </row>
    <row r="233" spans="1:16" x14ac:dyDescent="0.3">
      <c r="A233" t="s">
        <v>240</v>
      </c>
      <c r="B233" s="117">
        <v>74</v>
      </c>
      <c r="C233" s="117">
        <v>14</v>
      </c>
      <c r="D233" s="141">
        <v>97</v>
      </c>
      <c r="E233" s="117">
        <v>107</v>
      </c>
      <c r="F233">
        <v>0</v>
      </c>
      <c r="G233" s="162">
        <v>4.28</v>
      </c>
      <c r="H233" s="164">
        <v>191875</v>
      </c>
      <c r="I233" s="161"/>
      <c r="J233"/>
      <c r="K233" s="125" t="s">
        <v>315</v>
      </c>
      <c r="L233" s="126" t="s">
        <v>689</v>
      </c>
      <c r="M233" s="127">
        <v>2</v>
      </c>
      <c r="N233" s="126" t="s">
        <v>689</v>
      </c>
      <c r="O233" s="131" t="s">
        <v>689</v>
      </c>
      <c r="P233" s="189" t="s">
        <v>1015</v>
      </c>
    </row>
    <row r="234" spans="1:16" x14ac:dyDescent="0.3">
      <c r="A234" t="s">
        <v>241</v>
      </c>
      <c r="B234" s="117">
        <v>4659</v>
      </c>
      <c r="C234" s="117">
        <v>4929</v>
      </c>
      <c r="D234" s="141">
        <v>4952</v>
      </c>
      <c r="E234" s="117">
        <v>5146</v>
      </c>
      <c r="F234">
        <v>17.2</v>
      </c>
      <c r="G234" s="162">
        <v>3.5</v>
      </c>
      <c r="H234" s="164">
        <v>56917</v>
      </c>
      <c r="I234" s="161">
        <v>556089723</v>
      </c>
      <c r="J234"/>
      <c r="K234" s="125" t="s">
        <v>316</v>
      </c>
      <c r="L234" s="126" t="s">
        <v>690</v>
      </c>
      <c r="M234" s="127">
        <v>6</v>
      </c>
      <c r="N234" s="126" t="s">
        <v>689</v>
      </c>
      <c r="O234" s="131" t="s">
        <v>690</v>
      </c>
      <c r="P234" s="189" t="s">
        <v>1016</v>
      </c>
    </row>
    <row r="235" spans="1:16" x14ac:dyDescent="0.3">
      <c r="A235" t="s">
        <v>242</v>
      </c>
      <c r="B235" s="117">
        <v>2973</v>
      </c>
      <c r="C235" s="117">
        <v>3043</v>
      </c>
      <c r="D235" s="141">
        <v>3007</v>
      </c>
      <c r="E235" s="117">
        <v>3205</v>
      </c>
      <c r="F235">
        <v>8.3000000000000007</v>
      </c>
      <c r="G235" s="162">
        <v>3.57</v>
      </c>
      <c r="H235" s="164">
        <v>57981</v>
      </c>
      <c r="I235" s="161">
        <v>429834409</v>
      </c>
      <c r="J235"/>
      <c r="K235" s="125" t="s">
        <v>317</v>
      </c>
      <c r="L235" s="126" t="s">
        <v>689</v>
      </c>
      <c r="M235" s="127">
        <v>4</v>
      </c>
      <c r="N235" s="126" t="s">
        <v>689</v>
      </c>
      <c r="O235" s="131" t="s">
        <v>689</v>
      </c>
      <c r="P235" s="189" t="s">
        <v>1017</v>
      </c>
    </row>
    <row r="236" spans="1:16" x14ac:dyDescent="0.3">
      <c r="A236" t="s">
        <v>243</v>
      </c>
      <c r="B236" s="117">
        <v>586</v>
      </c>
      <c r="C236" s="117">
        <v>645</v>
      </c>
      <c r="D236" s="141">
        <v>693</v>
      </c>
      <c r="E236" s="117">
        <v>729</v>
      </c>
      <c r="F236">
        <v>24.3</v>
      </c>
      <c r="G236" s="162">
        <v>3.78</v>
      </c>
      <c r="H236" s="164">
        <v>54583</v>
      </c>
      <c r="I236" s="161">
        <v>71333503</v>
      </c>
      <c r="J236"/>
      <c r="K236" s="125" t="s">
        <v>321</v>
      </c>
      <c r="L236" s="126" t="s">
        <v>689</v>
      </c>
      <c r="M236" s="127">
        <v>2</v>
      </c>
      <c r="N236" s="126" t="s">
        <v>689</v>
      </c>
      <c r="O236" s="131" t="s">
        <v>689</v>
      </c>
      <c r="P236" s="189" t="s">
        <v>1018</v>
      </c>
    </row>
    <row r="237" spans="1:16" x14ac:dyDescent="0.3">
      <c r="A237" t="s">
        <v>244</v>
      </c>
      <c r="B237" s="117">
        <v>59823</v>
      </c>
      <c r="C237" s="117">
        <v>60877</v>
      </c>
      <c r="D237" s="141">
        <v>59996</v>
      </c>
      <c r="E237" s="117">
        <v>60817</v>
      </c>
      <c r="F237">
        <v>15.2</v>
      </c>
      <c r="G237" s="162">
        <v>3.48</v>
      </c>
      <c r="H237" s="164">
        <v>71111</v>
      </c>
      <c r="I237" s="161">
        <v>8709679354</v>
      </c>
      <c r="J237"/>
      <c r="K237" s="125" t="s">
        <v>322</v>
      </c>
      <c r="L237" s="126" t="s">
        <v>689</v>
      </c>
      <c r="M237" s="127">
        <v>4</v>
      </c>
      <c r="N237" s="126" t="s">
        <v>689</v>
      </c>
      <c r="O237" s="131" t="s">
        <v>689</v>
      </c>
      <c r="P237" s="189" t="s">
        <v>1019</v>
      </c>
    </row>
    <row r="238" spans="1:16" x14ac:dyDescent="0.3">
      <c r="A238" t="s">
        <v>245</v>
      </c>
      <c r="B238" s="117">
        <v>2541</v>
      </c>
      <c r="C238" s="117">
        <v>3230</v>
      </c>
      <c r="D238" s="141">
        <v>3173</v>
      </c>
      <c r="E238" s="117">
        <v>3490</v>
      </c>
      <c r="F238">
        <v>19</v>
      </c>
      <c r="G238" s="162">
        <v>3.63</v>
      </c>
      <c r="H238" s="164">
        <v>55823</v>
      </c>
      <c r="I238" s="161">
        <v>219225009</v>
      </c>
      <c r="J238"/>
      <c r="K238" s="125" t="s">
        <v>323</v>
      </c>
      <c r="L238" s="126" t="s">
        <v>690</v>
      </c>
      <c r="M238" s="127">
        <v>7</v>
      </c>
      <c r="N238" s="126" t="s">
        <v>689</v>
      </c>
      <c r="O238" s="131" t="s">
        <v>689</v>
      </c>
      <c r="P238" s="189" t="s">
        <v>1020</v>
      </c>
    </row>
    <row r="239" spans="1:16" x14ac:dyDescent="0.3">
      <c r="A239" t="s">
        <v>246</v>
      </c>
      <c r="B239" s="117">
        <v>20987</v>
      </c>
      <c r="C239" s="117">
        <v>20486</v>
      </c>
      <c r="D239" s="141">
        <v>20358</v>
      </c>
      <c r="E239" s="117">
        <v>20354</v>
      </c>
      <c r="F239">
        <v>21</v>
      </c>
      <c r="G239" s="162">
        <v>3.12</v>
      </c>
      <c r="H239" s="164">
        <v>53244</v>
      </c>
      <c r="I239" s="161">
        <v>1421572624</v>
      </c>
      <c r="J239"/>
      <c r="K239" s="125" t="s">
        <v>325</v>
      </c>
      <c r="L239" s="126" t="s">
        <v>689</v>
      </c>
      <c r="M239" s="127">
        <v>4</v>
      </c>
      <c r="N239" s="126" t="s">
        <v>689</v>
      </c>
      <c r="O239" s="131" t="s">
        <v>689</v>
      </c>
      <c r="P239" s="189" t="s">
        <v>1021</v>
      </c>
    </row>
    <row r="240" spans="1:16" x14ac:dyDescent="0.3">
      <c r="A240" t="s">
        <v>247</v>
      </c>
      <c r="B240" s="117">
        <v>901</v>
      </c>
      <c r="C240" s="117">
        <v>648</v>
      </c>
      <c r="D240" s="141">
        <v>566</v>
      </c>
      <c r="E240" s="117">
        <v>578</v>
      </c>
      <c r="F240">
        <v>37.799999999999997</v>
      </c>
      <c r="G240" s="162">
        <v>3.26</v>
      </c>
      <c r="H240" s="164">
        <v>16603</v>
      </c>
      <c r="I240" s="161">
        <v>22738497</v>
      </c>
      <c r="J240"/>
      <c r="K240" s="125" t="s">
        <v>326</v>
      </c>
      <c r="L240" s="126" t="s">
        <v>689</v>
      </c>
      <c r="M240" s="127">
        <v>10</v>
      </c>
      <c r="N240" s="126" t="s">
        <v>689</v>
      </c>
      <c r="O240" s="131" t="s">
        <v>689</v>
      </c>
      <c r="P240" s="189" t="s">
        <v>1022</v>
      </c>
    </row>
    <row r="241" spans="1:16" x14ac:dyDescent="0.3">
      <c r="A241" t="s">
        <v>248</v>
      </c>
      <c r="B241" s="117">
        <v>294395</v>
      </c>
      <c r="C241" s="117">
        <v>301198</v>
      </c>
      <c r="D241" s="141">
        <v>296978</v>
      </c>
      <c r="E241" s="117">
        <v>306749</v>
      </c>
      <c r="F241">
        <v>17</v>
      </c>
      <c r="G241" s="162">
        <v>4.12</v>
      </c>
      <c r="H241" s="164">
        <v>61515</v>
      </c>
      <c r="I241" s="161">
        <v>39304381571</v>
      </c>
      <c r="J241"/>
      <c r="K241" s="125" t="s">
        <v>327</v>
      </c>
      <c r="L241" s="126" t="s">
        <v>689</v>
      </c>
      <c r="M241" s="127">
        <v>4</v>
      </c>
      <c r="N241" s="126" t="s">
        <v>689</v>
      </c>
      <c r="O241" s="131" t="s">
        <v>689</v>
      </c>
      <c r="P241" s="189" t="s">
        <v>1023</v>
      </c>
    </row>
    <row r="242" spans="1:16" x14ac:dyDescent="0.3">
      <c r="A242" t="s">
        <v>250</v>
      </c>
      <c r="B242" s="117">
        <v>92826</v>
      </c>
      <c r="C242" s="117">
        <v>92857</v>
      </c>
      <c r="D242" s="141">
        <v>90790</v>
      </c>
      <c r="E242" s="117">
        <v>96899</v>
      </c>
      <c r="F242">
        <v>24.6</v>
      </c>
      <c r="G242" s="162">
        <v>4.0999999999999996</v>
      </c>
      <c r="H242" s="164">
        <v>49748</v>
      </c>
      <c r="I242" s="161">
        <v>11578763123</v>
      </c>
      <c r="J242"/>
      <c r="K242" s="125" t="s">
        <v>328</v>
      </c>
      <c r="L242" s="126" t="s">
        <v>690</v>
      </c>
      <c r="M242" s="127">
        <v>5</v>
      </c>
      <c r="N242" s="126" t="s">
        <v>689</v>
      </c>
      <c r="O242" s="131" t="s">
        <v>689</v>
      </c>
      <c r="P242" s="189" t="s">
        <v>1024</v>
      </c>
    </row>
    <row r="243" spans="1:16" x14ac:dyDescent="0.3">
      <c r="A243" t="s">
        <v>251</v>
      </c>
      <c r="B243" s="117">
        <v>2873</v>
      </c>
      <c r="C243" s="117">
        <v>2515</v>
      </c>
      <c r="D243" s="141">
        <v>2462</v>
      </c>
      <c r="E243" s="117">
        <v>2589</v>
      </c>
      <c r="F243">
        <v>32.700000000000003</v>
      </c>
      <c r="G243" s="162">
        <v>4.0199999999999996</v>
      </c>
      <c r="H243" s="164">
        <v>36794</v>
      </c>
      <c r="I243" s="161">
        <v>178085706</v>
      </c>
      <c r="J243"/>
      <c r="K243" s="125" t="s">
        <v>332</v>
      </c>
      <c r="L243" s="126" t="s">
        <v>689</v>
      </c>
      <c r="M243" s="127">
        <v>5</v>
      </c>
      <c r="N243" s="126" t="s">
        <v>689</v>
      </c>
      <c r="O243" s="131" t="s">
        <v>689</v>
      </c>
      <c r="P243" s="189" t="s">
        <v>1025</v>
      </c>
    </row>
    <row r="244" spans="1:16" x14ac:dyDescent="0.3">
      <c r="A244" t="s">
        <v>252</v>
      </c>
      <c r="B244" s="117">
        <v>392</v>
      </c>
      <c r="C244" s="117">
        <v>650</v>
      </c>
      <c r="D244" s="141">
        <v>386</v>
      </c>
      <c r="E244" s="117">
        <v>429</v>
      </c>
      <c r="F244">
        <v>25.8</v>
      </c>
      <c r="G244" s="162">
        <v>4.0999999999999996</v>
      </c>
      <c r="H244" s="164">
        <v>42232</v>
      </c>
      <c r="I244" s="161">
        <v>51702762</v>
      </c>
      <c r="J244"/>
      <c r="K244" s="125" t="s">
        <v>333</v>
      </c>
      <c r="L244" s="126" t="s">
        <v>690</v>
      </c>
      <c r="M244" s="127">
        <v>8</v>
      </c>
      <c r="N244" s="126" t="s">
        <v>689</v>
      </c>
      <c r="O244" s="131" t="s">
        <v>689</v>
      </c>
      <c r="P244" s="189" t="s">
        <v>1026</v>
      </c>
    </row>
    <row r="245" spans="1:16" x14ac:dyDescent="0.3">
      <c r="A245" t="s">
        <v>253</v>
      </c>
      <c r="B245" s="117">
        <v>588</v>
      </c>
      <c r="C245" s="117">
        <v>621</v>
      </c>
      <c r="D245" s="141">
        <v>801</v>
      </c>
      <c r="E245" s="117">
        <v>810</v>
      </c>
      <c r="F245">
        <v>17.899999999999999</v>
      </c>
      <c r="G245" s="162">
        <v>4.0599999999999996</v>
      </c>
      <c r="H245" s="164">
        <v>36736</v>
      </c>
      <c r="I245" s="161">
        <v>48073386</v>
      </c>
      <c r="J245"/>
      <c r="K245" s="125" t="s">
        <v>334</v>
      </c>
      <c r="L245" s="126" t="s">
        <v>689</v>
      </c>
      <c r="M245" s="127">
        <v>1</v>
      </c>
      <c r="N245" s="126" t="s">
        <v>689</v>
      </c>
      <c r="O245" s="131" t="s">
        <v>689</v>
      </c>
      <c r="P245" s="189" t="s">
        <v>334</v>
      </c>
    </row>
    <row r="246" spans="1:16" x14ac:dyDescent="0.3">
      <c r="A246" t="s">
        <v>254</v>
      </c>
      <c r="B246" s="117">
        <v>532956</v>
      </c>
      <c r="C246" s="117">
        <v>547940</v>
      </c>
      <c r="D246" s="141">
        <v>539489</v>
      </c>
      <c r="E246" s="117">
        <v>555569</v>
      </c>
      <c r="F246">
        <v>14.6</v>
      </c>
      <c r="G246" s="162">
        <v>4.12</v>
      </c>
      <c r="H246" s="164">
        <v>68642</v>
      </c>
      <c r="I246" s="161">
        <v>73341405748</v>
      </c>
      <c r="J246"/>
      <c r="K246" s="128" t="s">
        <v>338</v>
      </c>
      <c r="L246" s="126" t="s">
        <v>689</v>
      </c>
      <c r="M246" s="127">
        <v>0</v>
      </c>
      <c r="N246" s="126" t="s">
        <v>689</v>
      </c>
      <c r="O246" s="131" t="s">
        <v>689</v>
      </c>
      <c r="P246" s="189" t="s">
        <v>1027</v>
      </c>
    </row>
    <row r="247" spans="1:16" x14ac:dyDescent="0.3">
      <c r="A247" t="s">
        <v>255</v>
      </c>
      <c r="B247" s="117">
        <v>50678</v>
      </c>
      <c r="C247" s="117">
        <v>47675</v>
      </c>
      <c r="D247" s="141">
        <v>48289</v>
      </c>
      <c r="E247" s="117">
        <v>46430</v>
      </c>
      <c r="F247">
        <v>22.8</v>
      </c>
      <c r="G247" s="162">
        <v>5.19</v>
      </c>
      <c r="H247" s="164">
        <v>45590</v>
      </c>
      <c r="I247" s="161">
        <v>5216972026</v>
      </c>
      <c r="J247"/>
      <c r="K247" s="125" t="s">
        <v>339</v>
      </c>
      <c r="L247" s="126" t="s">
        <v>689</v>
      </c>
      <c r="M247" s="127">
        <v>8</v>
      </c>
      <c r="N247" s="126" t="s">
        <v>689</v>
      </c>
      <c r="O247" s="131" t="s">
        <v>689</v>
      </c>
      <c r="P247" s="189" t="s">
        <v>1028</v>
      </c>
    </row>
    <row r="248" spans="1:16" x14ac:dyDescent="0.3">
      <c r="A248" t="s">
        <v>256</v>
      </c>
      <c r="B248" s="117">
        <v>240</v>
      </c>
      <c r="C248" s="117">
        <v>294</v>
      </c>
      <c r="D248" s="141">
        <v>165</v>
      </c>
      <c r="E248" s="117">
        <v>159</v>
      </c>
      <c r="F248">
        <v>11.6</v>
      </c>
      <c r="G248" s="162">
        <v>5.19</v>
      </c>
      <c r="H248" s="164">
        <v>63686</v>
      </c>
      <c r="I248" s="161">
        <v>19858315</v>
      </c>
      <c r="J248"/>
      <c r="K248" s="125" t="s">
        <v>341</v>
      </c>
      <c r="L248" s="126" t="s">
        <v>689</v>
      </c>
      <c r="M248" s="127">
        <v>3</v>
      </c>
      <c r="N248" s="126" t="s">
        <v>689</v>
      </c>
      <c r="O248" s="131" t="s">
        <v>689</v>
      </c>
      <c r="P248" s="189" t="s">
        <v>1029</v>
      </c>
    </row>
    <row r="249" spans="1:16" x14ac:dyDescent="0.3">
      <c r="A249" t="s">
        <v>257</v>
      </c>
      <c r="B249" s="117">
        <v>226</v>
      </c>
      <c r="C249" s="117">
        <v>243</v>
      </c>
      <c r="D249" s="141">
        <v>301</v>
      </c>
      <c r="E249" s="117">
        <v>294</v>
      </c>
      <c r="F249">
        <v>14</v>
      </c>
      <c r="G249" s="162">
        <v>4.08</v>
      </c>
      <c r="H249" s="164">
        <v>41875</v>
      </c>
      <c r="I249" s="161">
        <v>14158471</v>
      </c>
      <c r="J249"/>
      <c r="K249" s="125" t="s">
        <v>342</v>
      </c>
      <c r="L249" s="126" t="s">
        <v>690</v>
      </c>
      <c r="M249" s="127">
        <v>10</v>
      </c>
      <c r="N249" s="126" t="s">
        <v>689</v>
      </c>
      <c r="O249" s="131" t="s">
        <v>689</v>
      </c>
      <c r="P249" s="189" t="s">
        <v>1030</v>
      </c>
    </row>
    <row r="250" spans="1:16" x14ac:dyDescent="0.3">
      <c r="A250" t="s">
        <v>258</v>
      </c>
      <c r="B250" s="117">
        <v>6366</v>
      </c>
      <c r="C250" s="117">
        <v>5961</v>
      </c>
      <c r="D250" s="141">
        <v>6051</v>
      </c>
      <c r="E250" s="117">
        <v>5910</v>
      </c>
      <c r="F250">
        <v>21.6</v>
      </c>
      <c r="G250" s="162">
        <v>4.03</v>
      </c>
      <c r="H250" s="164">
        <v>41590</v>
      </c>
      <c r="I250" s="161">
        <v>413056066</v>
      </c>
      <c r="J250"/>
      <c r="K250" s="125" t="s">
        <v>343</v>
      </c>
      <c r="L250" s="126" t="s">
        <v>690</v>
      </c>
      <c r="M250" s="127">
        <v>9</v>
      </c>
      <c r="N250" s="126" t="s">
        <v>689</v>
      </c>
      <c r="O250" s="131" t="s">
        <v>689</v>
      </c>
      <c r="P250" s="189" t="s">
        <v>1031</v>
      </c>
    </row>
    <row r="251" spans="1:16" x14ac:dyDescent="0.3">
      <c r="A251" t="s">
        <v>261</v>
      </c>
      <c r="B251" s="117">
        <v>525</v>
      </c>
      <c r="C251" s="117">
        <v>967</v>
      </c>
      <c r="D251" s="141">
        <v>549</v>
      </c>
      <c r="E251" s="117">
        <v>577</v>
      </c>
      <c r="F251">
        <v>6.1</v>
      </c>
      <c r="G251" s="162">
        <v>3.36</v>
      </c>
      <c r="H251" s="164">
        <v>80288</v>
      </c>
      <c r="I251" s="161">
        <v>49383162</v>
      </c>
      <c r="J251"/>
      <c r="K251" s="125" t="s">
        <v>344</v>
      </c>
      <c r="L251" s="126" t="s">
        <v>689</v>
      </c>
      <c r="M251" s="127">
        <v>2</v>
      </c>
      <c r="N251" s="126" t="s">
        <v>689</v>
      </c>
      <c r="O251" s="131" t="s">
        <v>689</v>
      </c>
      <c r="P251" s="189" t="s">
        <v>1032</v>
      </c>
    </row>
    <row r="252" spans="1:16" x14ac:dyDescent="0.3">
      <c r="A252" t="s">
        <v>262</v>
      </c>
      <c r="B252" s="117">
        <v>134328</v>
      </c>
      <c r="C252" s="117">
        <v>139150</v>
      </c>
      <c r="D252" s="141">
        <v>133294</v>
      </c>
      <c r="E252" s="117">
        <v>143338</v>
      </c>
      <c r="F252">
        <v>13.7</v>
      </c>
      <c r="G252" s="162">
        <v>3.86</v>
      </c>
      <c r="H252" s="164">
        <v>71287</v>
      </c>
      <c r="I252" s="161">
        <v>14939066912</v>
      </c>
      <c r="J252"/>
      <c r="K252" s="125" t="s">
        <v>345</v>
      </c>
      <c r="L252" s="126" t="s">
        <v>689</v>
      </c>
      <c r="M252" s="127">
        <v>0</v>
      </c>
      <c r="N252" s="126" t="s">
        <v>689</v>
      </c>
      <c r="O252" s="131" t="s">
        <v>689</v>
      </c>
      <c r="P252" s="189" t="s">
        <v>345</v>
      </c>
    </row>
    <row r="253" spans="1:16" x14ac:dyDescent="0.3">
      <c r="A253" t="s">
        <v>263</v>
      </c>
      <c r="B253" s="117">
        <v>217</v>
      </c>
      <c r="C253" s="117">
        <v>175</v>
      </c>
      <c r="D253" s="141">
        <v>159</v>
      </c>
      <c r="E253" s="117">
        <v>160</v>
      </c>
      <c r="F253">
        <v>40.6</v>
      </c>
      <c r="G253" s="162">
        <v>3.62</v>
      </c>
      <c r="H253" s="164">
        <v>43750</v>
      </c>
      <c r="I253" s="161">
        <v>33035065</v>
      </c>
      <c r="J253"/>
      <c r="K253" s="125" t="s">
        <v>346</v>
      </c>
      <c r="L253" s="126" t="s">
        <v>689</v>
      </c>
      <c r="M253" s="127">
        <v>2</v>
      </c>
      <c r="N253" s="126" t="s">
        <v>689</v>
      </c>
      <c r="O253" s="131" t="s">
        <v>689</v>
      </c>
      <c r="P253" s="189" t="s">
        <v>1033</v>
      </c>
    </row>
    <row r="254" spans="1:16" x14ac:dyDescent="0.3">
      <c r="A254" t="s">
        <v>264</v>
      </c>
      <c r="B254" s="117">
        <v>177</v>
      </c>
      <c r="C254" s="117">
        <v>196</v>
      </c>
      <c r="D254" s="141">
        <v>87</v>
      </c>
      <c r="E254" s="117">
        <v>81</v>
      </c>
      <c r="F254">
        <v>14.8</v>
      </c>
      <c r="G254" s="162">
        <v>4.22</v>
      </c>
      <c r="H254" s="164">
        <v>70089</v>
      </c>
      <c r="I254" s="161">
        <v>6522142</v>
      </c>
      <c r="J254"/>
      <c r="K254" s="125" t="s">
        <v>347</v>
      </c>
      <c r="L254" s="126" t="s">
        <v>689</v>
      </c>
      <c r="M254" s="127">
        <v>3</v>
      </c>
      <c r="N254" s="126" t="s">
        <v>689</v>
      </c>
      <c r="O254" s="131" t="s">
        <v>689</v>
      </c>
      <c r="P254" s="189" t="s">
        <v>1034</v>
      </c>
    </row>
    <row r="255" spans="1:16" x14ac:dyDescent="0.3">
      <c r="A255" t="s">
        <v>265</v>
      </c>
      <c r="B255" s="117">
        <v>16073</v>
      </c>
      <c r="C255" s="117">
        <v>19633</v>
      </c>
      <c r="D255" s="141">
        <v>19709</v>
      </c>
      <c r="E255" s="117">
        <v>21358</v>
      </c>
      <c r="F255">
        <v>3.7</v>
      </c>
      <c r="G255" s="162">
        <v>3.48</v>
      </c>
      <c r="H255" s="164">
        <v>148254</v>
      </c>
      <c r="I255" s="161">
        <v>4762856560</v>
      </c>
      <c r="J255"/>
      <c r="K255" s="125" t="s">
        <v>348</v>
      </c>
      <c r="L255" s="126" t="s">
        <v>690</v>
      </c>
      <c r="M255" s="127">
        <v>2</v>
      </c>
      <c r="N255" s="126" t="s">
        <v>689</v>
      </c>
      <c r="O255" s="131" t="s">
        <v>689</v>
      </c>
      <c r="P255" s="189" t="s">
        <v>1035</v>
      </c>
    </row>
    <row r="256" spans="1:16" x14ac:dyDescent="0.3">
      <c r="A256" t="s">
        <v>266</v>
      </c>
      <c r="B256" s="117">
        <v>34</v>
      </c>
      <c r="C256" s="117">
        <v>45</v>
      </c>
      <c r="D256" s="141">
        <v>48</v>
      </c>
      <c r="E256" s="117">
        <v>47</v>
      </c>
      <c r="F256">
        <v>0</v>
      </c>
      <c r="G256" s="162">
        <v>4.08</v>
      </c>
      <c r="H256" s="164">
        <v>21667</v>
      </c>
      <c r="I256" s="161">
        <v>2703054</v>
      </c>
      <c r="J256"/>
      <c r="K256" s="125" t="s">
        <v>349</v>
      </c>
      <c r="L256" s="126" t="s">
        <v>689</v>
      </c>
      <c r="M256" s="127">
        <v>1</v>
      </c>
      <c r="N256" s="126" t="s">
        <v>689</v>
      </c>
      <c r="O256" s="131" t="s">
        <v>689</v>
      </c>
      <c r="P256" s="189" t="s">
        <v>1036</v>
      </c>
    </row>
    <row r="257" spans="1:16" x14ac:dyDescent="0.3">
      <c r="A257" t="s">
        <v>267</v>
      </c>
      <c r="B257" s="117">
        <v>19927</v>
      </c>
      <c r="C257" s="117">
        <v>17691</v>
      </c>
      <c r="D257" s="141">
        <v>17984</v>
      </c>
      <c r="E257" s="117">
        <v>18193</v>
      </c>
      <c r="F257">
        <v>14.3</v>
      </c>
      <c r="G257" s="162">
        <v>3.68</v>
      </c>
      <c r="H257" s="164">
        <v>58408</v>
      </c>
      <c r="I257" s="161">
        <v>1171540064</v>
      </c>
      <c r="J257"/>
      <c r="K257" s="125" t="s">
        <v>350</v>
      </c>
      <c r="L257" s="126" t="s">
        <v>689</v>
      </c>
      <c r="M257" s="127">
        <v>6</v>
      </c>
      <c r="N257" s="126" t="s">
        <v>689</v>
      </c>
      <c r="O257" s="131" t="s">
        <v>689</v>
      </c>
      <c r="P257" s="189" t="s">
        <v>1037</v>
      </c>
    </row>
    <row r="258" spans="1:16" x14ac:dyDescent="0.3">
      <c r="A258" t="s">
        <v>268</v>
      </c>
      <c r="B258" s="117">
        <v>2477</v>
      </c>
      <c r="C258" s="117">
        <v>2824</v>
      </c>
      <c r="D258" s="141">
        <v>2261</v>
      </c>
      <c r="E258" s="117">
        <v>2572</v>
      </c>
      <c r="F258">
        <v>25.1</v>
      </c>
      <c r="G258" s="162">
        <v>3.63</v>
      </c>
      <c r="H258" s="164">
        <v>61058</v>
      </c>
      <c r="I258" s="161">
        <v>267162143</v>
      </c>
      <c r="J258"/>
      <c r="K258" s="125" t="s">
        <v>351</v>
      </c>
      <c r="L258" s="126" t="s">
        <v>689</v>
      </c>
      <c r="M258" s="127">
        <v>2</v>
      </c>
      <c r="N258" s="126" t="s">
        <v>689</v>
      </c>
      <c r="O258" s="131" t="s">
        <v>689</v>
      </c>
      <c r="P258" s="189" t="s">
        <v>1038</v>
      </c>
    </row>
    <row r="259" spans="1:16" x14ac:dyDescent="0.3">
      <c r="A259" t="s">
        <v>269</v>
      </c>
      <c r="B259" s="117">
        <v>387</v>
      </c>
      <c r="C259" s="117">
        <v>1208</v>
      </c>
      <c r="D259" s="141">
        <v>458</v>
      </c>
      <c r="E259" s="117">
        <v>483</v>
      </c>
      <c r="F259">
        <v>24.2</v>
      </c>
      <c r="G259" s="162">
        <v>3.29</v>
      </c>
      <c r="H259" s="164">
        <v>55625</v>
      </c>
      <c r="I259" s="161">
        <v>46159269</v>
      </c>
      <c r="J259"/>
      <c r="K259" s="125" t="s">
        <v>352</v>
      </c>
      <c r="L259" s="126" t="s">
        <v>690</v>
      </c>
      <c r="M259" s="127">
        <v>11</v>
      </c>
      <c r="N259" s="126" t="s">
        <v>689</v>
      </c>
      <c r="O259" s="131" t="s">
        <v>689</v>
      </c>
      <c r="P259" s="189" t="s">
        <v>1039</v>
      </c>
    </row>
    <row r="260" spans="1:16" x14ac:dyDescent="0.3">
      <c r="A260" t="s">
        <v>270</v>
      </c>
      <c r="B260" s="117">
        <v>61862</v>
      </c>
      <c r="C260" s="117">
        <v>62662</v>
      </c>
      <c r="D260" s="141">
        <v>62278</v>
      </c>
      <c r="E260" s="117">
        <v>63924</v>
      </c>
      <c r="F260">
        <v>13.1</v>
      </c>
      <c r="G260" s="162">
        <v>3.62</v>
      </c>
      <c r="H260" s="164">
        <v>61912</v>
      </c>
      <c r="I260" s="161">
        <v>10307492048</v>
      </c>
      <c r="J260"/>
      <c r="K260" s="125" t="s">
        <v>353</v>
      </c>
      <c r="L260" s="126" t="s">
        <v>689</v>
      </c>
      <c r="M260" s="127">
        <v>3</v>
      </c>
      <c r="N260" s="126" t="s">
        <v>689</v>
      </c>
      <c r="O260" s="131" t="s">
        <v>689</v>
      </c>
      <c r="P260" s="189" t="s">
        <v>1040</v>
      </c>
    </row>
    <row r="261" spans="1:16" x14ac:dyDescent="0.3">
      <c r="A261" t="s">
        <v>271</v>
      </c>
      <c r="B261" s="117">
        <v>1853</v>
      </c>
      <c r="C261" s="117">
        <v>2096</v>
      </c>
      <c r="D261" s="141">
        <v>1618</v>
      </c>
      <c r="E261" s="117">
        <v>1766</v>
      </c>
      <c r="F261">
        <v>19.8</v>
      </c>
      <c r="G261" s="162">
        <v>3.26</v>
      </c>
      <c r="H261" s="164">
        <v>71688</v>
      </c>
      <c r="I261" s="161"/>
      <c r="J261"/>
      <c r="K261" s="125" t="s">
        <v>354</v>
      </c>
      <c r="L261" s="126" t="s">
        <v>690</v>
      </c>
      <c r="M261" s="127">
        <v>8</v>
      </c>
      <c r="N261" s="126" t="s">
        <v>689</v>
      </c>
      <c r="O261" s="131" t="s">
        <v>689</v>
      </c>
      <c r="P261" s="189" t="s">
        <v>1041</v>
      </c>
    </row>
    <row r="262" spans="1:16" x14ac:dyDescent="0.3">
      <c r="A262" t="s">
        <v>272</v>
      </c>
      <c r="B262" s="117">
        <v>116298</v>
      </c>
      <c r="C262" s="117">
        <v>118484</v>
      </c>
      <c r="D262" s="141">
        <v>116683</v>
      </c>
      <c r="E262" s="117">
        <v>122513</v>
      </c>
      <c r="F262">
        <v>11.6</v>
      </c>
      <c r="G262" s="162">
        <v>3.26</v>
      </c>
      <c r="H262" s="164">
        <v>68187</v>
      </c>
      <c r="I262" s="161">
        <v>25264255092</v>
      </c>
      <c r="J262"/>
      <c r="K262" s="125" t="s">
        <v>356</v>
      </c>
      <c r="L262" s="126" t="s">
        <v>689</v>
      </c>
      <c r="M262" s="127">
        <v>3</v>
      </c>
      <c r="N262" s="126" t="s">
        <v>689</v>
      </c>
      <c r="O262" s="131" t="s">
        <v>689</v>
      </c>
      <c r="P262" s="189" t="s">
        <v>1042</v>
      </c>
    </row>
    <row r="263" spans="1:16" x14ac:dyDescent="0.3">
      <c r="A263" t="s">
        <v>273</v>
      </c>
      <c r="B263" s="117">
        <v>15127</v>
      </c>
      <c r="C263" s="117">
        <v>14885</v>
      </c>
      <c r="D263" s="141">
        <v>14917</v>
      </c>
      <c r="E263" s="117">
        <v>14703</v>
      </c>
      <c r="F263">
        <v>27.3</v>
      </c>
      <c r="G263" s="162">
        <v>4.41</v>
      </c>
      <c r="H263" s="164">
        <v>39969</v>
      </c>
      <c r="I263" s="161">
        <v>1467537766</v>
      </c>
      <c r="J263"/>
      <c r="K263" s="125" t="s">
        <v>357</v>
      </c>
      <c r="L263" s="126" t="s">
        <v>690</v>
      </c>
      <c r="M263" s="127">
        <v>7</v>
      </c>
      <c r="N263" s="126" t="s">
        <v>689</v>
      </c>
      <c r="O263" s="131" t="s">
        <v>689</v>
      </c>
      <c r="P263" s="189" t="s">
        <v>1043</v>
      </c>
    </row>
    <row r="264" spans="1:16" x14ac:dyDescent="0.3">
      <c r="A264" t="s">
        <v>274</v>
      </c>
      <c r="B264" s="117">
        <v>14020</v>
      </c>
      <c r="C264" s="117">
        <v>15408</v>
      </c>
      <c r="D264" s="141">
        <v>15277</v>
      </c>
      <c r="E264" s="117">
        <v>17149</v>
      </c>
      <c r="F264">
        <v>14.6</v>
      </c>
      <c r="G264" s="162">
        <v>3.26</v>
      </c>
      <c r="H264" s="164">
        <v>53449</v>
      </c>
      <c r="I264" s="161">
        <v>3284842316</v>
      </c>
      <c r="J264"/>
      <c r="K264" s="125" t="s">
        <v>361</v>
      </c>
      <c r="L264" s="126" t="s">
        <v>690</v>
      </c>
      <c r="M264" s="127">
        <v>8</v>
      </c>
      <c r="N264" s="126" t="s">
        <v>689</v>
      </c>
      <c r="O264" s="131" t="s">
        <v>689</v>
      </c>
      <c r="P264" s="189" t="s">
        <v>1044</v>
      </c>
    </row>
    <row r="265" spans="1:16" x14ac:dyDescent="0.3">
      <c r="A265" t="s">
        <v>275</v>
      </c>
      <c r="B265" s="117">
        <v>23752</v>
      </c>
      <c r="C265" s="117">
        <v>19908</v>
      </c>
      <c r="D265" s="141">
        <v>21706</v>
      </c>
      <c r="E265" s="117">
        <v>19168</v>
      </c>
      <c r="F265">
        <v>22.9</v>
      </c>
      <c r="G265" s="162">
        <v>4.22</v>
      </c>
      <c r="H265" s="164">
        <v>45537</v>
      </c>
      <c r="I265" s="161">
        <v>1848698624</v>
      </c>
      <c r="J265"/>
      <c r="K265" s="125" t="s">
        <v>362</v>
      </c>
      <c r="L265" s="126" t="s">
        <v>689</v>
      </c>
      <c r="M265" s="127">
        <v>2</v>
      </c>
      <c r="N265" s="126" t="s">
        <v>689</v>
      </c>
      <c r="O265" s="131" t="s">
        <v>689</v>
      </c>
      <c r="P265" s="189" t="s">
        <v>362</v>
      </c>
    </row>
    <row r="266" spans="1:16" x14ac:dyDescent="0.3">
      <c r="A266" t="s">
        <v>276</v>
      </c>
      <c r="B266" s="117">
        <v>2126</v>
      </c>
      <c r="C266" s="117">
        <v>1618</v>
      </c>
      <c r="D266" s="141">
        <v>1938</v>
      </c>
      <c r="E266" s="117">
        <v>2012</v>
      </c>
      <c r="F266">
        <v>24.7</v>
      </c>
      <c r="G266" s="162">
        <v>3.8</v>
      </c>
      <c r="H266" s="164">
        <v>40250</v>
      </c>
      <c r="I266" s="161">
        <v>175234343</v>
      </c>
      <c r="J266"/>
      <c r="K266" s="125" t="s">
        <v>363</v>
      </c>
      <c r="L266" s="126" t="s">
        <v>689</v>
      </c>
      <c r="M266" s="127">
        <v>1</v>
      </c>
      <c r="N266" s="126" t="s">
        <v>689</v>
      </c>
      <c r="O266" s="131" t="s">
        <v>689</v>
      </c>
      <c r="P266" s="189" t="s">
        <v>1045</v>
      </c>
    </row>
    <row r="267" spans="1:16" x14ac:dyDescent="0.3">
      <c r="A267" t="s">
        <v>277</v>
      </c>
      <c r="B267" s="117">
        <v>41067</v>
      </c>
      <c r="C267" s="117">
        <v>44258</v>
      </c>
      <c r="D267" s="141">
        <v>44013</v>
      </c>
      <c r="E267" s="117">
        <v>46024</v>
      </c>
      <c r="F267">
        <v>17.100000000000001</v>
      </c>
      <c r="G267" s="162">
        <v>3.55</v>
      </c>
      <c r="H267" s="164">
        <v>64576</v>
      </c>
      <c r="I267" s="161">
        <v>8754176190</v>
      </c>
      <c r="J267"/>
      <c r="K267" s="125" t="s">
        <v>364</v>
      </c>
      <c r="L267" s="126" t="s">
        <v>690</v>
      </c>
      <c r="M267" s="127">
        <v>6</v>
      </c>
      <c r="N267" s="126" t="s">
        <v>689</v>
      </c>
      <c r="O267" s="131" t="s">
        <v>689</v>
      </c>
      <c r="P267" s="189" t="s">
        <v>1046</v>
      </c>
    </row>
    <row r="268" spans="1:16" x14ac:dyDescent="0.3">
      <c r="A268" t="s">
        <v>278</v>
      </c>
      <c r="B268" s="117">
        <v>112434</v>
      </c>
      <c r="C268" s="117">
        <v>116245</v>
      </c>
      <c r="D268" s="141">
        <v>114314</v>
      </c>
      <c r="E268" s="117">
        <v>117674</v>
      </c>
      <c r="F268">
        <v>15.7</v>
      </c>
      <c r="G268" s="162">
        <v>3.78</v>
      </c>
      <c r="H268" s="164">
        <v>64561</v>
      </c>
      <c r="I268" s="161">
        <v>13777193627</v>
      </c>
      <c r="J268"/>
      <c r="K268" s="125" t="s">
        <v>365</v>
      </c>
      <c r="L268" s="126" t="s">
        <v>689</v>
      </c>
      <c r="M268" s="127">
        <v>6</v>
      </c>
      <c r="N268" s="126" t="s">
        <v>689</v>
      </c>
      <c r="O268" s="131" t="s">
        <v>689</v>
      </c>
      <c r="P268" s="189" t="s">
        <v>1047</v>
      </c>
    </row>
    <row r="269" spans="1:16" x14ac:dyDescent="0.3">
      <c r="A269" t="s">
        <v>279</v>
      </c>
      <c r="B269" s="117">
        <v>841</v>
      </c>
      <c r="C269" s="117">
        <v>534</v>
      </c>
      <c r="D269" s="141">
        <v>596</v>
      </c>
      <c r="E269" s="117">
        <v>665</v>
      </c>
      <c r="F269">
        <v>23.2</v>
      </c>
      <c r="G269" s="162">
        <v>3.53</v>
      </c>
      <c r="H269" s="164">
        <v>53333</v>
      </c>
      <c r="I269" s="161">
        <v>70494786</v>
      </c>
      <c r="J269"/>
      <c r="K269" s="125" t="s">
        <v>366</v>
      </c>
      <c r="L269" s="126" t="s">
        <v>689</v>
      </c>
      <c r="M269" s="127">
        <v>3</v>
      </c>
      <c r="N269" s="126" t="s">
        <v>689</v>
      </c>
      <c r="O269" s="131" t="s">
        <v>689</v>
      </c>
      <c r="P269" s="189" t="s">
        <v>1048</v>
      </c>
    </row>
    <row r="270" spans="1:16" x14ac:dyDescent="0.3">
      <c r="A270" t="s">
        <v>280</v>
      </c>
      <c r="B270" s="117">
        <v>1061</v>
      </c>
      <c r="C270" s="117">
        <v>1074</v>
      </c>
      <c r="D270" s="141">
        <v>1071</v>
      </c>
      <c r="E270" s="117">
        <v>1122</v>
      </c>
      <c r="F270">
        <v>7.9</v>
      </c>
      <c r="G270" s="162">
        <v>3.4</v>
      </c>
      <c r="H270" s="164">
        <v>71509</v>
      </c>
      <c r="I270" s="161">
        <v>3045960740</v>
      </c>
      <c r="J270"/>
      <c r="K270" s="125" t="s">
        <v>368</v>
      </c>
      <c r="L270" s="126" t="s">
        <v>689</v>
      </c>
      <c r="M270" s="127">
        <v>4</v>
      </c>
      <c r="N270" s="126" t="s">
        <v>689</v>
      </c>
      <c r="O270" s="131" t="s">
        <v>689</v>
      </c>
      <c r="P270" s="189" t="s">
        <v>1049</v>
      </c>
    </row>
    <row r="271" spans="1:16" x14ac:dyDescent="0.3">
      <c r="A271" t="s">
        <v>281</v>
      </c>
      <c r="B271" s="117">
        <v>1652</v>
      </c>
      <c r="C271" s="117">
        <v>2207</v>
      </c>
      <c r="D271" s="141">
        <v>1682</v>
      </c>
      <c r="E271" s="117">
        <v>1700</v>
      </c>
      <c r="F271">
        <v>21.1</v>
      </c>
      <c r="G271" s="162">
        <v>3.56</v>
      </c>
      <c r="H271" s="164">
        <v>55703</v>
      </c>
      <c r="I271" s="161">
        <v>244262042</v>
      </c>
      <c r="J271"/>
      <c r="K271" s="125" t="s">
        <v>369</v>
      </c>
      <c r="L271" s="126" t="s">
        <v>689</v>
      </c>
      <c r="M271" s="127">
        <v>2</v>
      </c>
      <c r="N271" s="126" t="s">
        <v>689</v>
      </c>
      <c r="O271" s="131" t="s">
        <v>689</v>
      </c>
      <c r="P271" s="189" t="s">
        <v>1050</v>
      </c>
    </row>
    <row r="272" spans="1:16" x14ac:dyDescent="0.3">
      <c r="A272" t="s">
        <v>282</v>
      </c>
      <c r="B272" s="117">
        <v>7162</v>
      </c>
      <c r="C272" s="117">
        <v>9724</v>
      </c>
      <c r="D272" s="141">
        <v>9700</v>
      </c>
      <c r="E272" s="117">
        <v>10334</v>
      </c>
      <c r="F272">
        <v>8</v>
      </c>
      <c r="G272" s="162">
        <v>3.18</v>
      </c>
      <c r="H272" s="164">
        <v>98163</v>
      </c>
      <c r="I272" s="161">
        <v>1684722682</v>
      </c>
      <c r="J272"/>
      <c r="K272" s="125" t="s">
        <v>370</v>
      </c>
      <c r="L272" s="126" t="s">
        <v>689</v>
      </c>
      <c r="M272" s="127">
        <v>4</v>
      </c>
      <c r="N272" s="126" t="s">
        <v>689</v>
      </c>
      <c r="O272" s="131" t="s">
        <v>689</v>
      </c>
      <c r="P272" s="189" t="s">
        <v>1051</v>
      </c>
    </row>
    <row r="273" spans="1:16" x14ac:dyDescent="0.3">
      <c r="A273" t="s">
        <v>283</v>
      </c>
      <c r="B273" s="117">
        <v>317</v>
      </c>
      <c r="C273" s="117">
        <v>207</v>
      </c>
      <c r="D273" s="141">
        <v>266</v>
      </c>
      <c r="E273" s="117">
        <v>257</v>
      </c>
      <c r="F273">
        <v>2.9</v>
      </c>
      <c r="G273" s="162">
        <v>5.19</v>
      </c>
      <c r="H273" s="164">
        <v>78250</v>
      </c>
      <c r="I273" s="161">
        <v>12161850</v>
      </c>
      <c r="J273"/>
      <c r="K273" s="125" t="s">
        <v>371</v>
      </c>
      <c r="L273" s="126" t="s">
        <v>689</v>
      </c>
      <c r="M273" s="127">
        <v>4</v>
      </c>
      <c r="N273" s="126" t="s">
        <v>689</v>
      </c>
      <c r="O273" s="131" t="s">
        <v>689</v>
      </c>
      <c r="P273" s="189" t="s">
        <v>1052</v>
      </c>
    </row>
    <row r="274" spans="1:16" x14ac:dyDescent="0.3">
      <c r="A274" t="s">
        <v>284</v>
      </c>
      <c r="B274" s="117">
        <v>778</v>
      </c>
      <c r="C274" s="117">
        <v>821</v>
      </c>
      <c r="D274" s="141">
        <v>421</v>
      </c>
      <c r="E274" s="117">
        <v>419</v>
      </c>
      <c r="F274">
        <v>58.2</v>
      </c>
      <c r="G274" s="162">
        <v>4.03</v>
      </c>
      <c r="H274" s="164"/>
      <c r="I274" s="161">
        <v>32395840</v>
      </c>
      <c r="J274"/>
      <c r="K274" s="125" t="s">
        <v>372</v>
      </c>
      <c r="L274" s="126" t="s">
        <v>690</v>
      </c>
      <c r="M274" s="127">
        <v>12</v>
      </c>
      <c r="N274" s="126" t="s">
        <v>689</v>
      </c>
      <c r="O274" s="131" t="s">
        <v>689</v>
      </c>
      <c r="P274" s="189" t="s">
        <v>372</v>
      </c>
    </row>
    <row r="275" spans="1:16" x14ac:dyDescent="0.3">
      <c r="A275" t="s">
        <v>285</v>
      </c>
      <c r="B275" s="117">
        <v>54590</v>
      </c>
      <c r="C275" s="117">
        <v>53835</v>
      </c>
      <c r="D275" s="141">
        <v>52485</v>
      </c>
      <c r="E275" s="117">
        <v>55953</v>
      </c>
      <c r="F275">
        <v>17.100000000000001</v>
      </c>
      <c r="G275" s="162">
        <v>4.28</v>
      </c>
      <c r="H275" s="164">
        <v>64912</v>
      </c>
      <c r="I275" s="161">
        <v>5060315380</v>
      </c>
      <c r="J275"/>
      <c r="K275" s="125" t="s">
        <v>373</v>
      </c>
      <c r="L275" s="126" t="s">
        <v>689</v>
      </c>
      <c r="M275" s="127">
        <v>3</v>
      </c>
      <c r="N275" s="126" t="s">
        <v>689</v>
      </c>
      <c r="O275" s="131" t="s">
        <v>689</v>
      </c>
      <c r="P275" s="189" t="s">
        <v>373</v>
      </c>
    </row>
    <row r="276" spans="1:16" x14ac:dyDescent="0.3">
      <c r="A276" t="s">
        <v>286</v>
      </c>
      <c r="B276" s="117">
        <v>978</v>
      </c>
      <c r="C276" s="117">
        <v>962</v>
      </c>
      <c r="D276" s="141">
        <v>934</v>
      </c>
      <c r="E276" s="117">
        <v>1094</v>
      </c>
      <c r="F276">
        <v>4.9000000000000004</v>
      </c>
      <c r="G276" s="162">
        <v>4.04</v>
      </c>
      <c r="H276" s="164">
        <v>116250</v>
      </c>
      <c r="I276" s="161">
        <v>2434190106</v>
      </c>
      <c r="J276"/>
      <c r="K276" s="125" t="s">
        <v>376</v>
      </c>
      <c r="L276" s="126" t="s">
        <v>689</v>
      </c>
      <c r="M276" s="127">
        <v>2</v>
      </c>
      <c r="N276" s="126" t="s">
        <v>689</v>
      </c>
      <c r="O276" s="131" t="s">
        <v>689</v>
      </c>
      <c r="P276" s="189" t="s">
        <v>376</v>
      </c>
    </row>
    <row r="277" spans="1:16" x14ac:dyDescent="0.3">
      <c r="A277" t="s">
        <v>287</v>
      </c>
      <c r="B277" s="117">
        <v>2649</v>
      </c>
      <c r="C277" s="117">
        <v>4904</v>
      </c>
      <c r="D277" s="141">
        <v>4230</v>
      </c>
      <c r="E277" s="117">
        <v>5045</v>
      </c>
      <c r="F277">
        <v>0.8</v>
      </c>
      <c r="G277" s="162">
        <v>3.8</v>
      </c>
      <c r="H277" s="164">
        <v>104788</v>
      </c>
      <c r="I277" s="161">
        <v>890115843</v>
      </c>
      <c r="J277"/>
      <c r="K277" s="125" t="s">
        <v>377</v>
      </c>
      <c r="L277" s="126" t="s">
        <v>689</v>
      </c>
      <c r="M277" s="127">
        <v>5</v>
      </c>
      <c r="N277" s="126" t="s">
        <v>689</v>
      </c>
      <c r="O277" s="131" t="s">
        <v>689</v>
      </c>
      <c r="P277" s="189" t="s">
        <v>1053</v>
      </c>
    </row>
    <row r="278" spans="1:16" x14ac:dyDescent="0.3">
      <c r="A278" t="s">
        <v>288</v>
      </c>
      <c r="B278" s="117">
        <v>36595</v>
      </c>
      <c r="C278" s="117">
        <v>45248</v>
      </c>
      <c r="D278" s="141">
        <v>41828</v>
      </c>
      <c r="E278" s="117">
        <v>49039</v>
      </c>
      <c r="F278">
        <v>4.8</v>
      </c>
      <c r="G278" s="162">
        <v>3.17</v>
      </c>
      <c r="H278" s="164">
        <v>135578</v>
      </c>
      <c r="I278" s="161">
        <v>12990550449</v>
      </c>
      <c r="J278"/>
      <c r="K278" s="125" t="s">
        <v>378</v>
      </c>
      <c r="L278" s="126" t="s">
        <v>689</v>
      </c>
      <c r="M278" s="127">
        <v>4</v>
      </c>
      <c r="N278" s="126" t="s">
        <v>689</v>
      </c>
      <c r="O278" s="131" t="s">
        <v>689</v>
      </c>
      <c r="P278" s="189" t="s">
        <v>1054</v>
      </c>
    </row>
    <row r="279" spans="1:16" x14ac:dyDescent="0.3">
      <c r="A279" t="s">
        <v>289</v>
      </c>
      <c r="B279" s="117">
        <v>645</v>
      </c>
      <c r="C279" s="117">
        <v>573</v>
      </c>
      <c r="D279" s="141">
        <v>413</v>
      </c>
      <c r="E279" s="117">
        <v>413</v>
      </c>
      <c r="F279">
        <v>32.5</v>
      </c>
      <c r="G279" s="162">
        <v>3.12</v>
      </c>
      <c r="H279" s="164">
        <v>34500</v>
      </c>
      <c r="I279" s="161">
        <v>18810374</v>
      </c>
      <c r="J279"/>
      <c r="K279" s="125" t="s">
        <v>379</v>
      </c>
      <c r="L279" s="126" t="s">
        <v>690</v>
      </c>
      <c r="M279" s="127">
        <v>13</v>
      </c>
      <c r="N279" s="126" t="s">
        <v>689</v>
      </c>
      <c r="O279" s="131" t="s">
        <v>689</v>
      </c>
      <c r="P279" s="189" t="s">
        <v>1055</v>
      </c>
    </row>
    <row r="280" spans="1:16" x14ac:dyDescent="0.3">
      <c r="A280" t="s">
        <v>290</v>
      </c>
      <c r="B280" s="117">
        <v>15972</v>
      </c>
      <c r="C280" s="117">
        <v>17939</v>
      </c>
      <c r="D280" s="141">
        <v>17960</v>
      </c>
      <c r="E280" s="117">
        <v>18317</v>
      </c>
      <c r="F280">
        <v>14.1</v>
      </c>
      <c r="G280" s="162">
        <v>4.51</v>
      </c>
      <c r="H280" s="164">
        <v>65774</v>
      </c>
      <c r="I280" s="161">
        <v>1374255716</v>
      </c>
      <c r="J280"/>
      <c r="K280" s="125" t="s">
        <v>380</v>
      </c>
      <c r="L280" s="126" t="s">
        <v>690</v>
      </c>
      <c r="M280" s="127">
        <v>5</v>
      </c>
      <c r="N280" s="126" t="s">
        <v>689</v>
      </c>
      <c r="O280" s="131" t="s">
        <v>689</v>
      </c>
      <c r="P280" s="189" t="s">
        <v>1056</v>
      </c>
    </row>
    <row r="281" spans="1:16" x14ac:dyDescent="0.3">
      <c r="A281" t="s">
        <v>291</v>
      </c>
      <c r="B281" s="117">
        <v>530</v>
      </c>
      <c r="C281" s="117">
        <v>567</v>
      </c>
      <c r="D281" s="141">
        <v>518</v>
      </c>
      <c r="E281" s="117">
        <v>525</v>
      </c>
      <c r="F281">
        <v>18.899999999999999</v>
      </c>
      <c r="G281" s="162">
        <v>3.97</v>
      </c>
      <c r="H281" s="164">
        <v>44688</v>
      </c>
      <c r="I281" s="161">
        <v>117356261</v>
      </c>
      <c r="J281"/>
      <c r="K281" s="125" t="s">
        <v>382</v>
      </c>
      <c r="L281" s="126" t="s">
        <v>690</v>
      </c>
      <c r="M281" s="127">
        <v>5</v>
      </c>
      <c r="N281" s="126" t="s">
        <v>689</v>
      </c>
      <c r="O281" s="131" t="s">
        <v>689</v>
      </c>
      <c r="P281" s="189" t="s">
        <v>1057</v>
      </c>
    </row>
    <row r="282" spans="1:16" x14ac:dyDescent="0.3">
      <c r="A282" t="s">
        <v>292</v>
      </c>
      <c r="B282" s="117">
        <v>3713</v>
      </c>
      <c r="C282" s="117">
        <v>3772</v>
      </c>
      <c r="D282" s="141">
        <v>3794</v>
      </c>
      <c r="E282" s="117">
        <v>3886</v>
      </c>
      <c r="F282">
        <v>13.6</v>
      </c>
      <c r="G282" s="162">
        <v>3.5</v>
      </c>
      <c r="H282" s="164">
        <v>65268</v>
      </c>
      <c r="I282" s="161">
        <v>375318903</v>
      </c>
      <c r="J282"/>
      <c r="K282" s="125" t="s">
        <v>384</v>
      </c>
      <c r="L282" s="126" t="s">
        <v>689</v>
      </c>
      <c r="M282" s="127">
        <v>1</v>
      </c>
      <c r="N282" s="126" t="s">
        <v>689</v>
      </c>
      <c r="O282" s="131" t="s">
        <v>689</v>
      </c>
      <c r="P282" s="189" t="s">
        <v>1058</v>
      </c>
    </row>
    <row r="283" spans="1:16" x14ac:dyDescent="0.3">
      <c r="A283" t="s">
        <v>293</v>
      </c>
      <c r="B283" s="117">
        <v>57288</v>
      </c>
      <c r="C283" s="117">
        <v>63969</v>
      </c>
      <c r="D283" s="141">
        <v>61730</v>
      </c>
      <c r="E283" s="117">
        <v>66955</v>
      </c>
      <c r="F283">
        <v>3.1</v>
      </c>
      <c r="G283" s="162">
        <v>3.72</v>
      </c>
      <c r="H283" s="164">
        <v>120516</v>
      </c>
      <c r="I283" s="161">
        <v>16280387839</v>
      </c>
      <c r="J283"/>
      <c r="K283" s="125" t="s">
        <v>387</v>
      </c>
      <c r="L283" s="126" t="s">
        <v>690</v>
      </c>
      <c r="M283" s="127">
        <v>1</v>
      </c>
      <c r="N283" s="126" t="s">
        <v>689</v>
      </c>
      <c r="O283" s="131" t="s">
        <v>689</v>
      </c>
      <c r="P283" s="189" t="s">
        <v>1059</v>
      </c>
    </row>
    <row r="284" spans="1:16" x14ac:dyDescent="0.3">
      <c r="A284" t="s">
        <v>294</v>
      </c>
      <c r="B284" s="117">
        <v>5089</v>
      </c>
      <c r="C284" s="117">
        <v>4592</v>
      </c>
      <c r="D284" s="141">
        <v>4511</v>
      </c>
      <c r="E284" s="117">
        <v>4626</v>
      </c>
      <c r="F284">
        <v>22.2</v>
      </c>
      <c r="G284" s="162">
        <v>5.63</v>
      </c>
      <c r="H284" s="164">
        <v>53713</v>
      </c>
      <c r="I284" s="161">
        <v>1357571420</v>
      </c>
      <c r="J284"/>
      <c r="K284" s="125" t="s">
        <v>389</v>
      </c>
      <c r="L284" s="126" t="s">
        <v>690</v>
      </c>
      <c r="M284" s="127">
        <v>5</v>
      </c>
      <c r="N284" s="126" t="s">
        <v>689</v>
      </c>
      <c r="O284" s="131" t="s">
        <v>689</v>
      </c>
      <c r="P284" s="189" t="s">
        <v>1060</v>
      </c>
    </row>
    <row r="285" spans="1:16" x14ac:dyDescent="0.3">
      <c r="A285" t="s">
        <v>295</v>
      </c>
      <c r="B285" s="117">
        <v>184</v>
      </c>
      <c r="C285" s="117">
        <v>211</v>
      </c>
      <c r="D285" s="141">
        <v>225</v>
      </c>
      <c r="E285" s="117">
        <v>252</v>
      </c>
      <c r="F285">
        <v>3.4</v>
      </c>
      <c r="G285" s="162">
        <v>3.35</v>
      </c>
      <c r="H285" s="164">
        <v>103000</v>
      </c>
      <c r="I285" s="161">
        <v>475847637</v>
      </c>
      <c r="J285"/>
      <c r="K285" s="125" t="s">
        <v>393</v>
      </c>
      <c r="L285" s="126" t="s">
        <v>690</v>
      </c>
      <c r="M285" s="127">
        <v>10</v>
      </c>
      <c r="N285" s="126" t="s">
        <v>689</v>
      </c>
      <c r="O285" s="131" t="s">
        <v>689</v>
      </c>
      <c r="P285" s="189" t="s">
        <v>1061</v>
      </c>
    </row>
    <row r="286" spans="1:16" x14ac:dyDescent="0.3">
      <c r="A286" t="s">
        <v>296</v>
      </c>
      <c r="B286" s="117">
        <v>39644</v>
      </c>
      <c r="C286" s="117">
        <v>42036</v>
      </c>
      <c r="D286" s="141">
        <v>40508</v>
      </c>
      <c r="E286" s="117">
        <v>45030</v>
      </c>
      <c r="F286">
        <v>5.4</v>
      </c>
      <c r="G286" s="162">
        <v>3.26</v>
      </c>
      <c r="H286" s="164">
        <v>108483</v>
      </c>
      <c r="I286" s="161">
        <v>6443911817</v>
      </c>
      <c r="J286"/>
      <c r="K286" s="125" t="s">
        <v>399</v>
      </c>
      <c r="L286" s="126" t="s">
        <v>689</v>
      </c>
      <c r="M286" s="127">
        <v>3</v>
      </c>
      <c r="N286" s="126" t="s">
        <v>689</v>
      </c>
      <c r="O286" s="131" t="s">
        <v>689</v>
      </c>
      <c r="P286" s="189" t="s">
        <v>1062</v>
      </c>
    </row>
    <row r="287" spans="1:16" x14ac:dyDescent="0.3">
      <c r="A287" t="s">
        <v>297</v>
      </c>
      <c r="B287" s="117">
        <v>178853</v>
      </c>
      <c r="C287" s="117">
        <v>196544</v>
      </c>
      <c r="D287" s="141">
        <v>187979</v>
      </c>
      <c r="E287" s="117">
        <v>207823</v>
      </c>
      <c r="F287">
        <v>10</v>
      </c>
      <c r="G287" s="162">
        <v>3.36</v>
      </c>
      <c r="H287" s="164">
        <v>81419</v>
      </c>
      <c r="I287" s="161">
        <v>42521296713</v>
      </c>
      <c r="J287"/>
      <c r="K287" s="125" t="s">
        <v>401</v>
      </c>
      <c r="L287" s="126" t="s">
        <v>689</v>
      </c>
      <c r="M287" s="127">
        <v>0</v>
      </c>
      <c r="N287" s="126" t="s">
        <v>689</v>
      </c>
      <c r="O287" s="131" t="s">
        <v>689</v>
      </c>
      <c r="P287" s="189" t="s">
        <v>1063</v>
      </c>
    </row>
    <row r="288" spans="1:16" x14ac:dyDescent="0.3">
      <c r="A288" t="s">
        <v>298</v>
      </c>
      <c r="B288" s="117">
        <v>43435</v>
      </c>
      <c r="C288" s="117">
        <v>43771</v>
      </c>
      <c r="D288" s="141">
        <v>41936</v>
      </c>
      <c r="E288" s="117">
        <v>44340</v>
      </c>
      <c r="F288">
        <v>18</v>
      </c>
      <c r="G288" s="162">
        <v>3.45</v>
      </c>
      <c r="H288" s="164">
        <v>55815</v>
      </c>
      <c r="I288" s="161">
        <v>12638480541</v>
      </c>
      <c r="J288"/>
      <c r="K288" s="125" t="s">
        <v>402</v>
      </c>
      <c r="L288" s="126" t="s">
        <v>689</v>
      </c>
      <c r="M288" s="127">
        <v>2</v>
      </c>
      <c r="N288" s="126" t="s">
        <v>689</v>
      </c>
      <c r="O288" s="131" t="s">
        <v>689</v>
      </c>
      <c r="P288" s="189" t="s">
        <v>402</v>
      </c>
    </row>
    <row r="289" spans="1:16" x14ac:dyDescent="0.3">
      <c r="A289" t="s">
        <v>299</v>
      </c>
      <c r="B289" s="117">
        <v>708</v>
      </c>
      <c r="C289" s="117">
        <v>777</v>
      </c>
      <c r="D289" s="141">
        <v>423</v>
      </c>
      <c r="E289" s="117">
        <v>408</v>
      </c>
      <c r="F289">
        <v>16.7</v>
      </c>
      <c r="G289" s="162">
        <v>4.47</v>
      </c>
      <c r="H289" s="164">
        <v>49048</v>
      </c>
      <c r="I289" s="161">
        <v>41947117</v>
      </c>
      <c r="J289"/>
      <c r="K289" s="125" t="s">
        <v>403</v>
      </c>
      <c r="L289" s="126" t="s">
        <v>689</v>
      </c>
      <c r="M289" s="127">
        <v>3</v>
      </c>
      <c r="N289" s="126" t="s">
        <v>689</v>
      </c>
      <c r="O289" s="131" t="s">
        <v>689</v>
      </c>
      <c r="P289" s="189" t="s">
        <v>1064</v>
      </c>
    </row>
    <row r="290" spans="1:16" x14ac:dyDescent="0.3">
      <c r="A290" t="s">
        <v>300</v>
      </c>
      <c r="B290" s="117">
        <v>74313</v>
      </c>
      <c r="C290" s="117">
        <v>71279</v>
      </c>
      <c r="D290" s="141">
        <v>73824</v>
      </c>
      <c r="E290" s="117">
        <v>73494</v>
      </c>
      <c r="F290">
        <v>12.7</v>
      </c>
      <c r="G290" s="162">
        <v>3.8</v>
      </c>
      <c r="H290" s="164">
        <v>57697</v>
      </c>
      <c r="I290" s="161">
        <v>4737074810</v>
      </c>
      <c r="J290"/>
      <c r="K290" s="125" t="s">
        <v>404</v>
      </c>
      <c r="L290" s="126" t="s">
        <v>689</v>
      </c>
      <c r="M290" s="127">
        <v>2</v>
      </c>
      <c r="N290" s="126" t="s">
        <v>689</v>
      </c>
      <c r="O290" s="131" t="s">
        <v>689</v>
      </c>
      <c r="P290" s="189" t="s">
        <v>404</v>
      </c>
    </row>
    <row r="291" spans="1:16" x14ac:dyDescent="0.3">
      <c r="A291" t="s">
        <v>301</v>
      </c>
      <c r="B291" s="117">
        <v>4298</v>
      </c>
      <c r="C291" s="117">
        <v>3708</v>
      </c>
      <c r="D291" s="141">
        <v>3782</v>
      </c>
      <c r="E291" s="117">
        <v>3804</v>
      </c>
      <c r="F291">
        <v>2.5</v>
      </c>
      <c r="G291" s="162">
        <v>4.12</v>
      </c>
      <c r="H291" s="164">
        <v>104844</v>
      </c>
      <c r="I291" s="161">
        <v>657012719</v>
      </c>
      <c r="J291"/>
      <c r="K291" s="125" t="s">
        <v>406</v>
      </c>
      <c r="L291" s="126" t="s">
        <v>689</v>
      </c>
      <c r="M291" s="127">
        <v>1</v>
      </c>
      <c r="N291" s="126" t="s">
        <v>689</v>
      </c>
      <c r="O291" s="131" t="s">
        <v>689</v>
      </c>
      <c r="P291" s="189" t="s">
        <v>1065</v>
      </c>
    </row>
    <row r="292" spans="1:16" x14ac:dyDescent="0.3">
      <c r="A292" t="s">
        <v>302</v>
      </c>
      <c r="B292" s="117">
        <v>578</v>
      </c>
      <c r="C292" s="117">
        <v>457</v>
      </c>
      <c r="D292" s="141">
        <v>418</v>
      </c>
      <c r="E292" s="117">
        <v>409</v>
      </c>
      <c r="F292">
        <v>6.3</v>
      </c>
      <c r="G292" s="162">
        <v>4.08</v>
      </c>
      <c r="H292" s="164">
        <v>46703</v>
      </c>
      <c r="I292" s="161">
        <v>20976685</v>
      </c>
      <c r="J292"/>
      <c r="K292" s="125" t="s">
        <v>407</v>
      </c>
      <c r="L292" s="126" t="s">
        <v>689</v>
      </c>
      <c r="M292" s="127">
        <v>4</v>
      </c>
      <c r="N292" s="126" t="s">
        <v>689</v>
      </c>
      <c r="O292" s="131" t="s">
        <v>689</v>
      </c>
      <c r="P292" s="189" t="s">
        <v>1066</v>
      </c>
    </row>
    <row r="293" spans="1:16" x14ac:dyDescent="0.3">
      <c r="A293" t="s">
        <v>303</v>
      </c>
      <c r="B293" s="117">
        <v>1609</v>
      </c>
      <c r="C293" s="117">
        <v>1864</v>
      </c>
      <c r="D293" s="141">
        <v>1630</v>
      </c>
      <c r="E293" s="117">
        <v>1638</v>
      </c>
      <c r="F293">
        <v>22.9</v>
      </c>
      <c r="G293" s="162">
        <v>3.12</v>
      </c>
      <c r="H293" s="164">
        <v>40590</v>
      </c>
      <c r="I293" s="161">
        <v>240185712</v>
      </c>
      <c r="J293"/>
      <c r="K293" s="125" t="s">
        <v>408</v>
      </c>
      <c r="L293" s="126" t="s">
        <v>689</v>
      </c>
      <c r="M293" s="127">
        <v>1</v>
      </c>
      <c r="N293" s="126" t="s">
        <v>689</v>
      </c>
      <c r="O293" s="131" t="s">
        <v>689</v>
      </c>
      <c r="P293" s="189" t="s">
        <v>1067</v>
      </c>
    </row>
    <row r="294" spans="1:16" x14ac:dyDescent="0.3">
      <c r="A294" t="s">
        <v>304</v>
      </c>
      <c r="B294" s="117">
        <v>203308</v>
      </c>
      <c r="C294" s="117">
        <v>234263</v>
      </c>
      <c r="D294" s="141">
        <v>216905</v>
      </c>
      <c r="E294" s="117">
        <v>247249</v>
      </c>
      <c r="F294">
        <v>10.6</v>
      </c>
      <c r="G294" s="162">
        <v>3.11</v>
      </c>
      <c r="H294" s="164">
        <v>83384</v>
      </c>
      <c r="I294" s="161">
        <v>28811902454</v>
      </c>
      <c r="J294"/>
      <c r="K294" s="125" t="s">
        <v>410</v>
      </c>
      <c r="L294" s="126" t="s">
        <v>690</v>
      </c>
      <c r="M294" s="127">
        <v>2</v>
      </c>
      <c r="N294" s="126" t="s">
        <v>689</v>
      </c>
      <c r="O294" s="131" t="s">
        <v>689</v>
      </c>
      <c r="P294" s="189" t="s">
        <v>1068</v>
      </c>
    </row>
    <row r="295" spans="1:16" x14ac:dyDescent="0.3">
      <c r="A295" t="s">
        <v>305</v>
      </c>
      <c r="B295" s="117">
        <v>9453</v>
      </c>
      <c r="C295" s="117">
        <v>9302</v>
      </c>
      <c r="D295" s="141">
        <v>9118</v>
      </c>
      <c r="E295" s="117">
        <v>9317</v>
      </c>
      <c r="F295">
        <v>18.399999999999999</v>
      </c>
      <c r="G295" s="162">
        <v>3.67</v>
      </c>
      <c r="H295" s="164">
        <v>59641</v>
      </c>
      <c r="I295" s="161">
        <v>1177043752</v>
      </c>
      <c r="J295"/>
      <c r="K295" s="125" t="s">
        <v>411</v>
      </c>
      <c r="L295" s="126" t="s">
        <v>689</v>
      </c>
      <c r="M295" s="127">
        <v>2</v>
      </c>
      <c r="N295" s="126" t="s">
        <v>689</v>
      </c>
      <c r="O295" s="131" t="s">
        <v>689</v>
      </c>
      <c r="P295" s="189" t="s">
        <v>1069</v>
      </c>
    </row>
    <row r="296" spans="1:16" x14ac:dyDescent="0.3">
      <c r="A296" t="s">
        <v>306</v>
      </c>
      <c r="B296" s="117">
        <v>2513</v>
      </c>
      <c r="C296" s="117">
        <v>2860</v>
      </c>
      <c r="D296" s="141">
        <v>2298</v>
      </c>
      <c r="E296" s="117">
        <v>2354</v>
      </c>
      <c r="F296">
        <v>18.7</v>
      </c>
      <c r="G296" s="162">
        <v>3.13</v>
      </c>
      <c r="H296" s="164">
        <v>29837</v>
      </c>
      <c r="I296" s="161">
        <v>230470542</v>
      </c>
      <c r="J296"/>
      <c r="K296" s="125" t="s">
        <v>412</v>
      </c>
      <c r="L296" s="126" t="s">
        <v>689</v>
      </c>
      <c r="M296" s="127">
        <v>5</v>
      </c>
      <c r="N296" s="126" t="s">
        <v>689</v>
      </c>
      <c r="O296" s="131" t="s">
        <v>689</v>
      </c>
      <c r="P296" s="189" t="s">
        <v>1070</v>
      </c>
    </row>
    <row r="297" spans="1:16" x14ac:dyDescent="0.3">
      <c r="A297" t="s">
        <v>308</v>
      </c>
      <c r="B297" s="117">
        <v>49788</v>
      </c>
      <c r="C297" s="117">
        <v>57890</v>
      </c>
      <c r="D297" s="141">
        <v>53729</v>
      </c>
      <c r="E297" s="117">
        <v>58780</v>
      </c>
      <c r="F297">
        <v>12.6</v>
      </c>
      <c r="G297" s="162">
        <v>3.52</v>
      </c>
      <c r="H297" s="164">
        <v>73836</v>
      </c>
      <c r="I297" s="161">
        <v>8965430181</v>
      </c>
      <c r="J297"/>
      <c r="K297" s="125" t="s">
        <v>413</v>
      </c>
      <c r="L297" s="126" t="s">
        <v>689</v>
      </c>
      <c r="M297" s="127">
        <v>2</v>
      </c>
      <c r="N297" s="126" t="s">
        <v>689</v>
      </c>
      <c r="O297" s="131" t="s">
        <v>689</v>
      </c>
      <c r="P297" s="189" t="s">
        <v>1071</v>
      </c>
    </row>
    <row r="298" spans="1:16" x14ac:dyDescent="0.3">
      <c r="A298" t="s">
        <v>309</v>
      </c>
      <c r="B298" s="117">
        <v>330</v>
      </c>
      <c r="C298" s="117">
        <v>177</v>
      </c>
      <c r="D298" s="141">
        <v>210</v>
      </c>
      <c r="E298" s="117">
        <v>197</v>
      </c>
      <c r="F298">
        <v>35.6</v>
      </c>
      <c r="G298" s="162">
        <v>4.8499999999999996</v>
      </c>
      <c r="H298" s="164"/>
      <c r="I298" s="161">
        <v>9149959</v>
      </c>
      <c r="J298"/>
      <c r="K298" s="125" t="s">
        <v>414</v>
      </c>
      <c r="L298" s="126" t="s">
        <v>690</v>
      </c>
      <c r="M298" s="127">
        <v>11</v>
      </c>
      <c r="N298" s="126" t="s">
        <v>689</v>
      </c>
      <c r="O298" s="131" t="s">
        <v>689</v>
      </c>
      <c r="P298" s="189" t="s">
        <v>1072</v>
      </c>
    </row>
    <row r="299" spans="1:16" x14ac:dyDescent="0.3">
      <c r="A299" t="s">
        <v>310</v>
      </c>
      <c r="B299" s="117">
        <v>949</v>
      </c>
      <c r="C299" s="117">
        <v>1090</v>
      </c>
      <c r="D299" s="141">
        <v>765</v>
      </c>
      <c r="E299" s="117">
        <v>813</v>
      </c>
      <c r="F299">
        <v>28.7</v>
      </c>
      <c r="G299" s="162">
        <v>3.26</v>
      </c>
      <c r="H299" s="164">
        <v>61364</v>
      </c>
      <c r="I299" s="161">
        <v>76855143</v>
      </c>
      <c r="J299"/>
      <c r="K299" s="125" t="s">
        <v>415</v>
      </c>
      <c r="L299" s="126" t="s">
        <v>689</v>
      </c>
      <c r="M299" s="127">
        <v>2</v>
      </c>
      <c r="N299" s="126" t="s">
        <v>689</v>
      </c>
      <c r="O299" s="131" t="s">
        <v>689</v>
      </c>
      <c r="P299" s="189" t="s">
        <v>1073</v>
      </c>
    </row>
    <row r="300" spans="1:16" x14ac:dyDescent="0.3">
      <c r="A300" t="s">
        <v>311</v>
      </c>
      <c r="B300" s="117">
        <v>2385</v>
      </c>
      <c r="C300" s="117">
        <v>2359</v>
      </c>
      <c r="D300" s="141">
        <v>1500</v>
      </c>
      <c r="E300" s="117">
        <v>1675</v>
      </c>
      <c r="F300">
        <v>14.4</v>
      </c>
      <c r="G300" s="162">
        <v>4.0999999999999996</v>
      </c>
      <c r="H300" s="164">
        <v>57045</v>
      </c>
      <c r="I300" s="161">
        <v>189064850</v>
      </c>
      <c r="J300"/>
      <c r="K300" s="125" t="s">
        <v>416</v>
      </c>
      <c r="L300" s="126" t="s">
        <v>689</v>
      </c>
      <c r="M300" s="127">
        <v>5</v>
      </c>
      <c r="N300" s="126" t="s">
        <v>689</v>
      </c>
      <c r="O300" s="131" t="s">
        <v>689</v>
      </c>
      <c r="P300" s="189" t="s">
        <v>1074</v>
      </c>
    </row>
    <row r="301" spans="1:16" x14ac:dyDescent="0.3">
      <c r="A301" t="s">
        <v>312</v>
      </c>
      <c r="B301" s="117">
        <v>24876</v>
      </c>
      <c r="C301" s="117">
        <v>27830</v>
      </c>
      <c r="D301" s="141">
        <v>26674</v>
      </c>
      <c r="E301" s="117">
        <v>28349</v>
      </c>
      <c r="F301">
        <v>12.6</v>
      </c>
      <c r="G301" s="162">
        <v>3.96</v>
      </c>
      <c r="H301" s="164">
        <v>71918</v>
      </c>
      <c r="I301" s="161">
        <v>4491385506</v>
      </c>
      <c r="J301"/>
      <c r="K301" s="125" t="s">
        <v>417</v>
      </c>
      <c r="L301" s="126" t="s">
        <v>689</v>
      </c>
      <c r="M301" s="127">
        <v>2</v>
      </c>
      <c r="N301" s="126" t="s">
        <v>689</v>
      </c>
      <c r="O301" s="131" t="s">
        <v>689</v>
      </c>
      <c r="P301" s="189" t="s">
        <v>1075</v>
      </c>
    </row>
    <row r="302" spans="1:16" x14ac:dyDescent="0.3">
      <c r="A302" t="s">
        <v>313</v>
      </c>
      <c r="B302" s="117">
        <v>7249</v>
      </c>
      <c r="C302" s="117">
        <v>7761</v>
      </c>
      <c r="D302" s="141">
        <v>7697</v>
      </c>
      <c r="E302" s="117">
        <v>7936</v>
      </c>
      <c r="F302">
        <v>9.1</v>
      </c>
      <c r="G302" s="162">
        <v>4.07</v>
      </c>
      <c r="H302" s="164">
        <v>89773</v>
      </c>
      <c r="I302" s="161">
        <v>3192202978</v>
      </c>
      <c r="J302"/>
      <c r="K302" s="125" t="s">
        <v>418</v>
      </c>
      <c r="L302" s="126" t="s">
        <v>689</v>
      </c>
      <c r="M302" s="127">
        <v>1</v>
      </c>
      <c r="N302" s="126" t="s">
        <v>689</v>
      </c>
      <c r="O302" s="131" t="s">
        <v>689</v>
      </c>
      <c r="P302" s="189" t="s">
        <v>1076</v>
      </c>
    </row>
    <row r="303" spans="1:16" x14ac:dyDescent="0.3">
      <c r="A303" t="s">
        <v>314</v>
      </c>
      <c r="B303" s="117">
        <v>6980</v>
      </c>
      <c r="C303" s="117">
        <v>7408</v>
      </c>
      <c r="D303" s="141">
        <v>7207</v>
      </c>
      <c r="E303" s="117">
        <v>7747</v>
      </c>
      <c r="F303">
        <v>7</v>
      </c>
      <c r="G303" s="162">
        <v>3.61</v>
      </c>
      <c r="H303" s="164">
        <v>57817</v>
      </c>
      <c r="I303" s="161">
        <v>848456601</v>
      </c>
      <c r="J303"/>
      <c r="K303" s="125" t="s">
        <v>419</v>
      </c>
      <c r="L303" s="126" t="s">
        <v>690</v>
      </c>
      <c r="M303" s="127">
        <v>5</v>
      </c>
      <c r="N303" s="126" t="s">
        <v>689</v>
      </c>
      <c r="O303" s="131" t="s">
        <v>689</v>
      </c>
      <c r="P303" s="189" t="s">
        <v>419</v>
      </c>
    </row>
    <row r="304" spans="1:16" x14ac:dyDescent="0.3">
      <c r="A304" t="s">
        <v>315</v>
      </c>
      <c r="B304" s="117">
        <v>10885</v>
      </c>
      <c r="C304" s="117">
        <v>12039</v>
      </c>
      <c r="D304" s="141">
        <v>11207</v>
      </c>
      <c r="E304" s="117">
        <v>11430</v>
      </c>
      <c r="F304">
        <v>23</v>
      </c>
      <c r="G304" s="162">
        <v>3.9</v>
      </c>
      <c r="H304" s="164">
        <v>49564</v>
      </c>
      <c r="I304" s="161">
        <v>2138979642</v>
      </c>
      <c r="J304"/>
      <c r="K304" s="125" t="s">
        <v>420</v>
      </c>
      <c r="L304" s="126" t="s">
        <v>689</v>
      </c>
      <c r="M304" s="127">
        <v>3</v>
      </c>
      <c r="N304" s="126" t="s">
        <v>689</v>
      </c>
      <c r="O304" s="131" t="s">
        <v>689</v>
      </c>
      <c r="P304" s="189" t="s">
        <v>1077</v>
      </c>
    </row>
    <row r="305" spans="1:16" x14ac:dyDescent="0.3">
      <c r="A305" t="s">
        <v>316</v>
      </c>
      <c r="B305" s="117">
        <v>581</v>
      </c>
      <c r="C305" s="117">
        <v>381</v>
      </c>
      <c r="D305" s="141">
        <v>656</v>
      </c>
      <c r="E305" s="117">
        <v>649</v>
      </c>
      <c r="F305">
        <v>21.8</v>
      </c>
      <c r="G305" s="162">
        <v>4.0599999999999996</v>
      </c>
      <c r="H305" s="164">
        <v>30750</v>
      </c>
      <c r="I305" s="161">
        <v>23921431</v>
      </c>
      <c r="J305"/>
      <c r="K305" s="125" t="s">
        <v>422</v>
      </c>
      <c r="L305" s="126" t="s">
        <v>689</v>
      </c>
      <c r="M305" s="127">
        <v>0</v>
      </c>
      <c r="N305" s="126" t="s">
        <v>690</v>
      </c>
      <c r="O305" s="131" t="s">
        <v>689</v>
      </c>
      <c r="P305" s="189" t="s">
        <v>422</v>
      </c>
    </row>
    <row r="306" spans="1:16" x14ac:dyDescent="0.3">
      <c r="A306" t="s">
        <v>317</v>
      </c>
      <c r="B306" s="117">
        <v>20173</v>
      </c>
      <c r="C306" s="117">
        <v>19505</v>
      </c>
      <c r="D306" s="141">
        <v>19726</v>
      </c>
      <c r="E306" s="117">
        <v>19490</v>
      </c>
      <c r="F306">
        <v>27.9</v>
      </c>
      <c r="G306" s="162">
        <v>3.95</v>
      </c>
      <c r="H306" s="164">
        <v>36878</v>
      </c>
      <c r="I306" s="161">
        <v>1498907920</v>
      </c>
      <c r="J306"/>
      <c r="K306" s="125" t="s">
        <v>423</v>
      </c>
      <c r="L306" s="126" t="s">
        <v>689</v>
      </c>
      <c r="M306" s="127">
        <v>1</v>
      </c>
      <c r="N306" s="126" t="s">
        <v>689</v>
      </c>
      <c r="O306" s="131" t="s">
        <v>689</v>
      </c>
      <c r="P306" s="189" t="s">
        <v>1078</v>
      </c>
    </row>
    <row r="307" spans="1:16" x14ac:dyDescent="0.3">
      <c r="A307" t="s">
        <v>318</v>
      </c>
      <c r="B307" s="117">
        <v>136</v>
      </c>
      <c r="C307" s="117">
        <v>57</v>
      </c>
      <c r="D307" s="141">
        <v>125</v>
      </c>
      <c r="E307" s="117">
        <v>122</v>
      </c>
      <c r="F307">
        <v>17.5</v>
      </c>
      <c r="G307" s="162">
        <v>4.41</v>
      </c>
      <c r="H307" s="164">
        <v>61250</v>
      </c>
      <c r="I307" s="161">
        <v>14993360</v>
      </c>
      <c r="J307"/>
      <c r="K307" s="125" t="s">
        <v>425</v>
      </c>
      <c r="L307" s="126" t="s">
        <v>689</v>
      </c>
      <c r="M307" s="127">
        <v>2</v>
      </c>
      <c r="N307" s="126" t="s">
        <v>689</v>
      </c>
      <c r="O307" s="131" t="s">
        <v>689</v>
      </c>
      <c r="P307" s="189" t="s">
        <v>1079</v>
      </c>
    </row>
    <row r="308" spans="1:16" x14ac:dyDescent="0.3">
      <c r="A308" t="s">
        <v>319</v>
      </c>
      <c r="B308" s="117">
        <v>3534</v>
      </c>
      <c r="C308" s="117">
        <v>3724</v>
      </c>
      <c r="D308" s="141">
        <v>3729</v>
      </c>
      <c r="E308" s="117">
        <v>3828</v>
      </c>
      <c r="F308">
        <v>4.7</v>
      </c>
      <c r="G308" s="162">
        <v>4.07</v>
      </c>
      <c r="H308" s="164">
        <v>94450</v>
      </c>
      <c r="I308" s="161">
        <v>1562748943</v>
      </c>
      <c r="J308"/>
      <c r="K308" s="125" t="s">
        <v>426</v>
      </c>
      <c r="L308" s="126" t="s">
        <v>689</v>
      </c>
      <c r="M308" s="127">
        <v>6</v>
      </c>
      <c r="N308" s="126" t="s">
        <v>689</v>
      </c>
      <c r="O308" s="131" t="s">
        <v>689</v>
      </c>
      <c r="P308" s="189" t="s">
        <v>1080</v>
      </c>
    </row>
    <row r="309" spans="1:16" x14ac:dyDescent="0.3">
      <c r="A309" t="s">
        <v>320</v>
      </c>
      <c r="B309" s="117">
        <v>16798</v>
      </c>
      <c r="C309" s="117">
        <v>20214</v>
      </c>
      <c r="D309" s="141">
        <v>19581</v>
      </c>
      <c r="E309" s="117">
        <v>22680</v>
      </c>
      <c r="F309">
        <v>5.3</v>
      </c>
      <c r="G309" s="162">
        <v>3.17</v>
      </c>
      <c r="H309" s="164">
        <v>103220</v>
      </c>
      <c r="I309" s="161">
        <v>4384466922</v>
      </c>
      <c r="J309"/>
      <c r="K309" s="125" t="s">
        <v>427</v>
      </c>
      <c r="L309" s="126" t="s">
        <v>690</v>
      </c>
      <c r="M309" s="127">
        <v>1</v>
      </c>
      <c r="N309" s="126" t="s">
        <v>689</v>
      </c>
      <c r="O309" s="131" t="s">
        <v>689</v>
      </c>
      <c r="P309" s="189" t="s">
        <v>1081</v>
      </c>
    </row>
    <row r="310" spans="1:16" x14ac:dyDescent="0.3">
      <c r="A310" t="s">
        <v>321</v>
      </c>
      <c r="B310" s="117">
        <v>2451</v>
      </c>
      <c r="C310" s="117">
        <v>2466</v>
      </c>
      <c r="D310" s="141">
        <v>2198</v>
      </c>
      <c r="E310" s="117">
        <v>2261</v>
      </c>
      <c r="F310">
        <v>3.9</v>
      </c>
      <c r="G310" s="162">
        <v>3.36</v>
      </c>
      <c r="H310" s="164">
        <v>104149</v>
      </c>
      <c r="I310" s="161">
        <v>1310001940</v>
      </c>
      <c r="J310"/>
      <c r="K310" s="125" t="s">
        <v>428</v>
      </c>
      <c r="L310" s="126" t="s">
        <v>690</v>
      </c>
      <c r="M310" s="127">
        <v>7</v>
      </c>
      <c r="N310" s="126" t="s">
        <v>689</v>
      </c>
      <c r="O310" s="131" t="s">
        <v>689</v>
      </c>
      <c r="P310" s="189" t="s">
        <v>1082</v>
      </c>
    </row>
    <row r="311" spans="1:16" x14ac:dyDescent="0.3">
      <c r="A311" t="s">
        <v>322</v>
      </c>
      <c r="B311" s="117">
        <v>2658</v>
      </c>
      <c r="C311" s="117">
        <v>2756</v>
      </c>
      <c r="D311" s="141">
        <v>2579</v>
      </c>
      <c r="E311" s="117">
        <v>2695</v>
      </c>
      <c r="F311">
        <v>32</v>
      </c>
      <c r="G311" s="162">
        <v>3.95</v>
      </c>
      <c r="H311" s="164">
        <v>48078</v>
      </c>
      <c r="I311" s="161">
        <v>158637601</v>
      </c>
      <c r="J311"/>
      <c r="K311" s="125" t="s">
        <v>429</v>
      </c>
      <c r="L311" s="126" t="s">
        <v>689</v>
      </c>
      <c r="M311" s="127">
        <v>3</v>
      </c>
      <c r="N311" s="126" t="s">
        <v>689</v>
      </c>
      <c r="O311" s="131" t="s">
        <v>689</v>
      </c>
      <c r="P311" s="189" t="s">
        <v>1083</v>
      </c>
    </row>
    <row r="312" spans="1:16" x14ac:dyDescent="0.3">
      <c r="A312" t="s">
        <v>323</v>
      </c>
      <c r="B312" s="117">
        <v>1634</v>
      </c>
      <c r="C312" s="117">
        <v>1543</v>
      </c>
      <c r="D312" s="141">
        <v>1363</v>
      </c>
      <c r="E312" s="117">
        <v>1460</v>
      </c>
      <c r="F312">
        <v>11.5</v>
      </c>
      <c r="G312" s="162">
        <v>4.3499999999999996</v>
      </c>
      <c r="H312" s="164">
        <v>80357</v>
      </c>
      <c r="I312" s="161">
        <v>1305337443</v>
      </c>
      <c r="J312"/>
      <c r="K312" s="125" t="s">
        <v>430</v>
      </c>
      <c r="L312" s="126" t="s">
        <v>689</v>
      </c>
      <c r="M312" s="127">
        <v>5</v>
      </c>
      <c r="N312" s="126" t="s">
        <v>689</v>
      </c>
      <c r="O312" s="131" t="s">
        <v>689</v>
      </c>
      <c r="P312" s="189" t="s">
        <v>1084</v>
      </c>
    </row>
    <row r="313" spans="1:16" x14ac:dyDescent="0.3">
      <c r="A313" t="s">
        <v>324</v>
      </c>
      <c r="B313" s="117">
        <v>3851</v>
      </c>
      <c r="C313" s="117">
        <v>3431</v>
      </c>
      <c r="D313" s="141">
        <v>3305</v>
      </c>
      <c r="E313" s="117">
        <v>3485</v>
      </c>
      <c r="F313">
        <v>8</v>
      </c>
      <c r="G313" s="162">
        <v>3.26</v>
      </c>
      <c r="H313" s="164">
        <v>66411</v>
      </c>
      <c r="I313" s="161">
        <v>392570903</v>
      </c>
      <c r="J313"/>
      <c r="K313" s="125" t="s">
        <v>432</v>
      </c>
      <c r="L313" s="126" t="s">
        <v>689</v>
      </c>
      <c r="M313" s="127">
        <v>5</v>
      </c>
      <c r="N313" s="126" t="s">
        <v>689</v>
      </c>
      <c r="O313" s="131" t="s">
        <v>689</v>
      </c>
      <c r="P313" s="189" t="s">
        <v>1085</v>
      </c>
    </row>
    <row r="314" spans="1:16" x14ac:dyDescent="0.3">
      <c r="A314" t="s">
        <v>325</v>
      </c>
      <c r="B314" s="117">
        <v>40</v>
      </c>
      <c r="C314" s="117">
        <v>82</v>
      </c>
      <c r="D314" s="141">
        <v>41</v>
      </c>
      <c r="E314" s="117">
        <v>40</v>
      </c>
      <c r="F314">
        <v>0</v>
      </c>
      <c r="G314" s="162">
        <v>3.47</v>
      </c>
      <c r="H314" s="164">
        <v>85625</v>
      </c>
      <c r="I314" s="161">
        <v>133536065</v>
      </c>
      <c r="J314"/>
      <c r="K314" s="125" t="s">
        <v>433</v>
      </c>
      <c r="L314" s="126" t="s">
        <v>690</v>
      </c>
      <c r="M314" s="127">
        <v>4</v>
      </c>
      <c r="N314" s="126" t="s">
        <v>689</v>
      </c>
      <c r="O314" s="131" t="s">
        <v>689</v>
      </c>
      <c r="P314" s="189" t="s">
        <v>433</v>
      </c>
    </row>
    <row r="315" spans="1:16" x14ac:dyDescent="0.3">
      <c r="A315" t="s">
        <v>326</v>
      </c>
      <c r="B315" s="117">
        <v>1606</v>
      </c>
      <c r="C315" s="117">
        <v>1770</v>
      </c>
      <c r="D315" s="141">
        <v>1316</v>
      </c>
      <c r="E315" s="117">
        <v>1260</v>
      </c>
      <c r="F315">
        <v>9.3000000000000007</v>
      </c>
      <c r="G315" s="162">
        <v>4.3600000000000003</v>
      </c>
      <c r="H315" s="164">
        <v>72500</v>
      </c>
      <c r="I315" s="161">
        <v>301658951</v>
      </c>
      <c r="J315"/>
      <c r="K315" s="125" t="s">
        <v>805</v>
      </c>
      <c r="L315" s="126" t="s">
        <v>689</v>
      </c>
      <c r="M315" s="127">
        <v>0</v>
      </c>
      <c r="N315" s="126" t="s">
        <v>689</v>
      </c>
      <c r="O315" s="131" t="s">
        <v>689</v>
      </c>
      <c r="P315" s="189" t="s">
        <v>805</v>
      </c>
    </row>
    <row r="316" spans="1:16" x14ac:dyDescent="0.3">
      <c r="A316" t="s">
        <v>327</v>
      </c>
      <c r="B316" s="117">
        <v>3119</v>
      </c>
      <c r="C316" s="117">
        <v>3765</v>
      </c>
      <c r="D316" s="141">
        <v>3717</v>
      </c>
      <c r="E316" s="117">
        <v>3947</v>
      </c>
      <c r="F316">
        <v>6.9</v>
      </c>
      <c r="G316" s="162">
        <v>3.57</v>
      </c>
      <c r="H316" s="164">
        <v>75000</v>
      </c>
      <c r="I316" s="161">
        <v>513104530</v>
      </c>
      <c r="J316"/>
      <c r="K316" s="128" t="s">
        <v>434</v>
      </c>
      <c r="L316" s="126" t="s">
        <v>690</v>
      </c>
      <c r="M316" s="127">
        <v>6</v>
      </c>
      <c r="N316" s="126" t="s">
        <v>689</v>
      </c>
      <c r="O316" s="131" t="s">
        <v>689</v>
      </c>
      <c r="P316" s="189" t="s">
        <v>1086</v>
      </c>
    </row>
    <row r="317" spans="1:16" x14ac:dyDescent="0.3">
      <c r="A317" t="s">
        <v>328</v>
      </c>
      <c r="B317" s="117">
        <v>278</v>
      </c>
      <c r="C317" s="117">
        <v>165</v>
      </c>
      <c r="D317" s="141">
        <v>132</v>
      </c>
      <c r="E317" s="117">
        <v>125</v>
      </c>
      <c r="F317">
        <v>6.1</v>
      </c>
      <c r="G317" s="162">
        <v>3.12</v>
      </c>
      <c r="H317" s="164">
        <v>48750</v>
      </c>
      <c r="I317" s="161">
        <v>14650099</v>
      </c>
      <c r="J317"/>
      <c r="K317" s="125" t="s">
        <v>436</v>
      </c>
      <c r="L317" s="126" t="s">
        <v>689</v>
      </c>
      <c r="M317" s="127">
        <v>3</v>
      </c>
      <c r="N317" s="126" t="s">
        <v>689</v>
      </c>
      <c r="O317" s="131" t="s">
        <v>689</v>
      </c>
      <c r="P317" s="189" t="s">
        <v>1087</v>
      </c>
    </row>
    <row r="318" spans="1:16" x14ac:dyDescent="0.3">
      <c r="A318" t="s">
        <v>329</v>
      </c>
      <c r="B318" s="117">
        <v>176</v>
      </c>
      <c r="C318" s="117">
        <v>152</v>
      </c>
      <c r="D318" s="141">
        <v>59</v>
      </c>
      <c r="E318" s="117">
        <v>57</v>
      </c>
      <c r="F318">
        <v>3.3</v>
      </c>
      <c r="G318" s="162">
        <v>4.47</v>
      </c>
      <c r="H318" s="164">
        <v>84792</v>
      </c>
      <c r="I318" s="161">
        <v>4810706</v>
      </c>
      <c r="J318"/>
      <c r="K318" s="125" t="s">
        <v>438</v>
      </c>
      <c r="L318" s="126" t="s">
        <v>689</v>
      </c>
      <c r="M318" s="127">
        <v>2</v>
      </c>
      <c r="N318" s="126" t="s">
        <v>689</v>
      </c>
      <c r="O318" s="131" t="s">
        <v>689</v>
      </c>
      <c r="P318" s="189" t="s">
        <v>1088</v>
      </c>
    </row>
    <row r="319" spans="1:16" x14ac:dyDescent="0.3">
      <c r="A319" t="s">
        <v>330</v>
      </c>
      <c r="B319" s="117">
        <v>652</v>
      </c>
      <c r="C319" s="117">
        <v>526</v>
      </c>
      <c r="D319" s="141">
        <v>433</v>
      </c>
      <c r="E319" s="117">
        <v>439</v>
      </c>
      <c r="F319">
        <v>4.5999999999999996</v>
      </c>
      <c r="G319" s="162">
        <v>4.0599999999999996</v>
      </c>
      <c r="H319" s="164">
        <v>81250</v>
      </c>
      <c r="I319" s="161">
        <v>21508572</v>
      </c>
      <c r="J319"/>
      <c r="K319" s="125" t="s">
        <v>439</v>
      </c>
      <c r="L319" s="126" t="s">
        <v>689</v>
      </c>
      <c r="M319" s="127">
        <v>2</v>
      </c>
      <c r="N319" s="126" t="s">
        <v>689</v>
      </c>
      <c r="O319" s="131" t="s">
        <v>689</v>
      </c>
      <c r="P319" s="189" t="s">
        <v>1089</v>
      </c>
    </row>
    <row r="320" spans="1:16" x14ac:dyDescent="0.3">
      <c r="A320" t="s">
        <v>331</v>
      </c>
      <c r="B320" s="117">
        <v>2533</v>
      </c>
      <c r="C320" s="117">
        <v>2408</v>
      </c>
      <c r="D320" s="141">
        <v>2248</v>
      </c>
      <c r="E320" s="117">
        <v>2368</v>
      </c>
      <c r="F320">
        <v>5.5</v>
      </c>
      <c r="G320" s="162">
        <v>3.26</v>
      </c>
      <c r="H320" s="164">
        <v>90000</v>
      </c>
      <c r="I320" s="161">
        <v>700277335</v>
      </c>
      <c r="J320"/>
      <c r="K320" s="125" t="s">
        <v>440</v>
      </c>
      <c r="L320" s="126" t="s">
        <v>690</v>
      </c>
      <c r="M320" s="127">
        <v>3</v>
      </c>
      <c r="N320" s="126" t="s">
        <v>689</v>
      </c>
      <c r="O320" s="131" t="s">
        <v>689</v>
      </c>
      <c r="P320" s="189" t="s">
        <v>440</v>
      </c>
    </row>
    <row r="321" spans="1:16" x14ac:dyDescent="0.3">
      <c r="A321" t="s">
        <v>332</v>
      </c>
      <c r="B321" s="117">
        <v>15118</v>
      </c>
      <c r="C321" s="117">
        <v>15087</v>
      </c>
      <c r="D321" s="141">
        <v>15008</v>
      </c>
      <c r="E321" s="117">
        <v>14650</v>
      </c>
      <c r="F321">
        <v>31.1</v>
      </c>
      <c r="G321" s="162">
        <v>5.23</v>
      </c>
      <c r="H321" s="164">
        <v>42170</v>
      </c>
      <c r="I321" s="161">
        <v>885918350</v>
      </c>
      <c r="J321"/>
      <c r="K321" s="125" t="s">
        <v>441</v>
      </c>
      <c r="L321" s="126" t="s">
        <v>689</v>
      </c>
      <c r="M321" s="127">
        <v>3</v>
      </c>
      <c r="N321" s="126" t="s">
        <v>689</v>
      </c>
      <c r="O321" s="131" t="s">
        <v>689</v>
      </c>
      <c r="P321" s="189" t="s">
        <v>1090</v>
      </c>
    </row>
    <row r="322" spans="1:16" x14ac:dyDescent="0.3">
      <c r="A322" t="s">
        <v>333</v>
      </c>
      <c r="B322" s="117">
        <v>711</v>
      </c>
      <c r="C322" s="117">
        <v>739</v>
      </c>
      <c r="D322" s="141">
        <v>566</v>
      </c>
      <c r="E322" s="117">
        <v>559</v>
      </c>
      <c r="F322">
        <v>23.3</v>
      </c>
      <c r="G322" s="162">
        <v>4.0599999999999996</v>
      </c>
      <c r="H322" s="164">
        <v>39250</v>
      </c>
      <c r="I322" s="161">
        <v>25371846</v>
      </c>
      <c r="J322"/>
      <c r="K322" s="125" t="s">
        <v>443</v>
      </c>
      <c r="L322" s="126" t="s">
        <v>689</v>
      </c>
      <c r="M322" s="127">
        <v>1</v>
      </c>
      <c r="N322" s="126" t="s">
        <v>689</v>
      </c>
      <c r="O322" s="131" t="s">
        <v>689</v>
      </c>
      <c r="P322" s="189" t="s">
        <v>443</v>
      </c>
    </row>
    <row r="323" spans="1:16" x14ac:dyDescent="0.3">
      <c r="A323" t="s">
        <v>334</v>
      </c>
      <c r="B323" s="117">
        <v>61083</v>
      </c>
      <c r="C323" s="117">
        <v>65816</v>
      </c>
      <c r="D323" s="141">
        <v>63474</v>
      </c>
      <c r="E323" s="117">
        <v>68635</v>
      </c>
      <c r="F323">
        <v>16.5</v>
      </c>
      <c r="G323" s="162">
        <v>3.54</v>
      </c>
      <c r="H323" s="164">
        <v>65387</v>
      </c>
      <c r="I323" s="161">
        <v>9822352783</v>
      </c>
      <c r="J323"/>
      <c r="K323" s="125" t="s">
        <v>445</v>
      </c>
      <c r="L323" s="126" t="s">
        <v>689</v>
      </c>
      <c r="M323" s="127">
        <v>1</v>
      </c>
      <c r="N323" s="126" t="s">
        <v>689</v>
      </c>
      <c r="O323" s="131" t="s">
        <v>689</v>
      </c>
      <c r="P323" s="189" t="s">
        <v>445</v>
      </c>
    </row>
    <row r="324" spans="1:16" x14ac:dyDescent="0.3">
      <c r="A324" t="s">
        <v>335</v>
      </c>
      <c r="B324" s="117">
        <v>43</v>
      </c>
      <c r="C324" s="117">
        <v>43</v>
      </c>
      <c r="D324" s="141">
        <v>36</v>
      </c>
      <c r="E324" s="117">
        <v>35</v>
      </c>
      <c r="F324">
        <v>2.2999999999999998</v>
      </c>
      <c r="G324" s="162">
        <v>5.26</v>
      </c>
      <c r="H324" s="164">
        <v>41563</v>
      </c>
      <c r="I324" s="161">
        <v>6627513</v>
      </c>
      <c r="J324"/>
      <c r="K324" s="125" t="s">
        <v>446</v>
      </c>
      <c r="L324" s="126" t="s">
        <v>689</v>
      </c>
      <c r="M324" s="127">
        <v>2</v>
      </c>
      <c r="N324" s="126" t="s">
        <v>689</v>
      </c>
      <c r="O324" s="131" t="s">
        <v>689</v>
      </c>
      <c r="P324" s="189" t="s">
        <v>1091</v>
      </c>
    </row>
    <row r="325" spans="1:16" x14ac:dyDescent="0.3">
      <c r="A325" t="s">
        <v>336</v>
      </c>
      <c r="B325" s="117">
        <v>21903</v>
      </c>
      <c r="C325" s="117">
        <v>29607</v>
      </c>
      <c r="D325" s="141">
        <v>24204</v>
      </c>
      <c r="E325" s="117">
        <v>33065</v>
      </c>
      <c r="F325">
        <v>6.1</v>
      </c>
      <c r="G325" s="162">
        <v>4.04</v>
      </c>
      <c r="H325" s="164">
        <v>91977</v>
      </c>
      <c r="I325" s="161">
        <v>6862131968</v>
      </c>
      <c r="J325"/>
      <c r="K325" s="125" t="s">
        <v>448</v>
      </c>
      <c r="L325" s="126" t="s">
        <v>690</v>
      </c>
      <c r="M325" s="127">
        <v>5</v>
      </c>
      <c r="N325" s="126" t="s">
        <v>689</v>
      </c>
      <c r="O325" s="131" t="s">
        <v>689</v>
      </c>
      <c r="P325" s="189" t="s">
        <v>1092</v>
      </c>
    </row>
    <row r="326" spans="1:16" x14ac:dyDescent="0.3">
      <c r="A326" t="s">
        <v>337</v>
      </c>
      <c r="B326" s="117">
        <v>56350</v>
      </c>
      <c r="C326" s="117">
        <v>54919</v>
      </c>
      <c r="D326" s="141">
        <v>54896</v>
      </c>
      <c r="E326" s="117">
        <v>54542</v>
      </c>
      <c r="F326">
        <v>22</v>
      </c>
      <c r="G326" s="162">
        <v>3.95</v>
      </c>
      <c r="H326" s="164">
        <v>45143</v>
      </c>
      <c r="I326" s="161">
        <v>4682592173</v>
      </c>
      <c r="J326"/>
      <c r="K326" s="125" t="s">
        <v>449</v>
      </c>
      <c r="L326" s="126" t="s">
        <v>689</v>
      </c>
      <c r="M326" s="127">
        <v>4</v>
      </c>
      <c r="N326" s="126" t="s">
        <v>689</v>
      </c>
      <c r="O326" s="131" t="s">
        <v>689</v>
      </c>
      <c r="P326" s="189" t="s">
        <v>1093</v>
      </c>
    </row>
    <row r="327" spans="1:16" x14ac:dyDescent="0.3">
      <c r="A327" t="s">
        <v>338</v>
      </c>
      <c r="B327" s="117">
        <v>17909</v>
      </c>
      <c r="C327" s="117">
        <v>18299</v>
      </c>
      <c r="D327" s="141">
        <v>18424</v>
      </c>
      <c r="E327" s="117">
        <v>18814</v>
      </c>
      <c r="F327">
        <v>14.6</v>
      </c>
      <c r="G327" s="162">
        <v>3.5</v>
      </c>
      <c r="H327" s="164">
        <v>49910</v>
      </c>
      <c r="I327" s="161">
        <v>2881076596</v>
      </c>
      <c r="J327"/>
      <c r="K327" s="125" t="s">
        <v>450</v>
      </c>
      <c r="L327" s="126" t="s">
        <v>689</v>
      </c>
      <c r="M327" s="127">
        <v>4</v>
      </c>
      <c r="N327" s="126" t="s">
        <v>689</v>
      </c>
      <c r="O327" s="131" t="s">
        <v>689</v>
      </c>
      <c r="P327" s="189" t="s">
        <v>450</v>
      </c>
    </row>
    <row r="328" spans="1:16" x14ac:dyDescent="0.3">
      <c r="A328" t="s">
        <v>339</v>
      </c>
      <c r="B328" s="117">
        <v>409</v>
      </c>
      <c r="C328" s="117">
        <v>447</v>
      </c>
      <c r="D328" s="141">
        <v>434</v>
      </c>
      <c r="E328" s="117">
        <v>408</v>
      </c>
      <c r="F328">
        <v>37</v>
      </c>
      <c r="G328" s="162">
        <v>4.8499999999999996</v>
      </c>
      <c r="H328" s="164">
        <v>41375</v>
      </c>
      <c r="I328" s="161">
        <v>26350369</v>
      </c>
      <c r="J328"/>
      <c r="K328" s="125" t="s">
        <v>452</v>
      </c>
      <c r="L328" s="126" t="s">
        <v>690</v>
      </c>
      <c r="M328" s="127">
        <v>3</v>
      </c>
      <c r="N328" s="126" t="s">
        <v>689</v>
      </c>
      <c r="O328" s="131" t="s">
        <v>689</v>
      </c>
      <c r="P328" s="189" t="s">
        <v>1094</v>
      </c>
    </row>
    <row r="329" spans="1:16" x14ac:dyDescent="0.3">
      <c r="A329" t="s">
        <v>340</v>
      </c>
      <c r="B329" s="117">
        <v>14030</v>
      </c>
      <c r="C329" s="117">
        <v>13828</v>
      </c>
      <c r="D329" s="141">
        <v>13420</v>
      </c>
      <c r="E329" s="117">
        <v>13851</v>
      </c>
      <c r="F329">
        <v>10.199999999999999</v>
      </c>
      <c r="G329" s="162">
        <v>3.79</v>
      </c>
      <c r="H329" s="164">
        <v>100917</v>
      </c>
      <c r="I329" s="161">
        <v>1787644729</v>
      </c>
      <c r="J329"/>
      <c r="K329" s="125" t="s">
        <v>453</v>
      </c>
      <c r="L329" s="126" t="s">
        <v>690</v>
      </c>
      <c r="M329" s="127">
        <v>4</v>
      </c>
      <c r="N329" s="126" t="s">
        <v>689</v>
      </c>
      <c r="O329" s="131" t="s">
        <v>689</v>
      </c>
      <c r="P329" s="189" t="s">
        <v>1095</v>
      </c>
    </row>
    <row r="330" spans="1:16" x14ac:dyDescent="0.3">
      <c r="A330" t="s">
        <v>341</v>
      </c>
      <c r="B330" s="117">
        <v>18970</v>
      </c>
      <c r="C330" s="117">
        <v>19690</v>
      </c>
      <c r="D330" s="141">
        <v>19539</v>
      </c>
      <c r="E330" s="117">
        <v>20256</v>
      </c>
      <c r="F330">
        <v>27.8</v>
      </c>
      <c r="G330" s="162">
        <v>3.68</v>
      </c>
      <c r="H330" s="164">
        <v>43128</v>
      </c>
      <c r="I330" s="161">
        <v>1885329971</v>
      </c>
      <c r="J330"/>
      <c r="K330" s="125" t="s">
        <v>454</v>
      </c>
      <c r="L330" s="126" t="s">
        <v>689</v>
      </c>
      <c r="M330" s="127">
        <v>3</v>
      </c>
      <c r="N330" s="126" t="s">
        <v>689</v>
      </c>
      <c r="O330" s="131" t="s">
        <v>689</v>
      </c>
      <c r="P330" s="189" t="s">
        <v>454</v>
      </c>
    </row>
    <row r="331" spans="1:16" x14ac:dyDescent="0.3">
      <c r="A331" t="s">
        <v>342</v>
      </c>
      <c r="B331" s="117">
        <v>2657</v>
      </c>
      <c r="C331" s="117">
        <v>2682</v>
      </c>
      <c r="D331" s="141">
        <v>2646</v>
      </c>
      <c r="E331" s="117">
        <v>2679</v>
      </c>
      <c r="F331">
        <v>16.600000000000001</v>
      </c>
      <c r="G331" s="162">
        <v>3.54</v>
      </c>
      <c r="H331" s="164">
        <v>39663</v>
      </c>
      <c r="I331" s="161">
        <v>304343858</v>
      </c>
      <c r="J331"/>
      <c r="K331" s="125" t="s">
        <v>456</v>
      </c>
      <c r="L331" s="126" t="s">
        <v>689</v>
      </c>
      <c r="M331" s="127">
        <v>2</v>
      </c>
      <c r="N331" s="126" t="s">
        <v>689</v>
      </c>
      <c r="O331" s="131" t="s">
        <v>689</v>
      </c>
      <c r="P331" s="189" t="s">
        <v>1096</v>
      </c>
    </row>
    <row r="332" spans="1:16" x14ac:dyDescent="0.3">
      <c r="A332" t="s">
        <v>343</v>
      </c>
      <c r="B332" s="117">
        <v>646</v>
      </c>
      <c r="C332" s="117">
        <v>971</v>
      </c>
      <c r="D332" s="141">
        <v>391</v>
      </c>
      <c r="E332" s="117">
        <v>395</v>
      </c>
      <c r="F332">
        <v>10.5</v>
      </c>
      <c r="G332" s="162">
        <v>4.4400000000000004</v>
      </c>
      <c r="H332" s="164">
        <v>41389</v>
      </c>
      <c r="I332" s="161">
        <v>20174790</v>
      </c>
      <c r="J332"/>
      <c r="K332" s="125" t="s">
        <v>458</v>
      </c>
      <c r="L332" s="126" t="s">
        <v>689</v>
      </c>
      <c r="M332" s="127">
        <v>6</v>
      </c>
      <c r="N332" s="126" t="s">
        <v>689</v>
      </c>
      <c r="O332" s="131" t="s">
        <v>689</v>
      </c>
      <c r="P332" s="189" t="s">
        <v>1097</v>
      </c>
    </row>
    <row r="333" spans="1:16" x14ac:dyDescent="0.3">
      <c r="A333" t="s">
        <v>344</v>
      </c>
      <c r="B333" s="117">
        <v>3605</v>
      </c>
      <c r="C333" s="117">
        <v>4709</v>
      </c>
      <c r="D333" s="141">
        <v>4812</v>
      </c>
      <c r="E333" s="117">
        <v>5255</v>
      </c>
      <c r="F333">
        <v>4.9000000000000004</v>
      </c>
      <c r="G333" s="162">
        <v>3.86</v>
      </c>
      <c r="H333" s="164">
        <v>81760</v>
      </c>
      <c r="I333" s="161">
        <v>683059605</v>
      </c>
      <c r="J333"/>
      <c r="K333" s="125" t="s">
        <v>459</v>
      </c>
      <c r="L333" s="126" t="s">
        <v>689</v>
      </c>
      <c r="M333" s="127">
        <v>5</v>
      </c>
      <c r="N333" s="126" t="s">
        <v>689</v>
      </c>
      <c r="O333" s="131" t="s">
        <v>689</v>
      </c>
      <c r="P333" s="189" t="s">
        <v>459</v>
      </c>
    </row>
    <row r="334" spans="1:16" x14ac:dyDescent="0.3">
      <c r="A334" t="s">
        <v>345</v>
      </c>
      <c r="B334" s="117">
        <v>84580</v>
      </c>
      <c r="C334" s="117">
        <v>92716</v>
      </c>
      <c r="D334" s="141">
        <v>86945</v>
      </c>
      <c r="E334" s="117">
        <v>96207</v>
      </c>
      <c r="F334">
        <v>11.2</v>
      </c>
      <c r="G334" s="162">
        <v>3.32</v>
      </c>
      <c r="H334" s="164">
        <v>80016</v>
      </c>
      <c r="I334" s="161">
        <v>19716916228</v>
      </c>
      <c r="J334"/>
      <c r="K334" s="125" t="s">
        <v>460</v>
      </c>
      <c r="L334" s="126" t="s">
        <v>690</v>
      </c>
      <c r="M334" s="127">
        <v>3</v>
      </c>
      <c r="N334" s="126" t="s">
        <v>689</v>
      </c>
      <c r="O334" s="131" t="s">
        <v>689</v>
      </c>
      <c r="P334" s="189" t="s">
        <v>460</v>
      </c>
    </row>
    <row r="335" spans="1:16" x14ac:dyDescent="0.3">
      <c r="A335" t="s">
        <v>346</v>
      </c>
      <c r="B335" s="117">
        <v>11099</v>
      </c>
      <c r="C335" s="117">
        <v>11783</v>
      </c>
      <c r="D335" s="141">
        <v>11091</v>
      </c>
      <c r="E335" s="117">
        <v>11927</v>
      </c>
      <c r="F335">
        <v>22.7</v>
      </c>
      <c r="G335" s="162">
        <v>3.32</v>
      </c>
      <c r="H335" s="164">
        <v>46320</v>
      </c>
      <c r="I335" s="161">
        <v>1623271958</v>
      </c>
      <c r="J335"/>
      <c r="K335" s="125" t="s">
        <v>462</v>
      </c>
      <c r="L335" s="126" t="s">
        <v>689</v>
      </c>
      <c r="M335" s="127">
        <v>1</v>
      </c>
      <c r="N335" s="126" t="s">
        <v>690</v>
      </c>
      <c r="O335" s="131" t="s">
        <v>689</v>
      </c>
      <c r="P335" s="189" t="s">
        <v>462</v>
      </c>
    </row>
    <row r="336" spans="1:16" x14ac:dyDescent="0.3">
      <c r="A336" t="s">
        <v>347</v>
      </c>
      <c r="B336" s="117">
        <v>110</v>
      </c>
      <c r="C336" s="117">
        <v>129</v>
      </c>
      <c r="D336" s="141">
        <v>135</v>
      </c>
      <c r="E336" s="117">
        <v>138</v>
      </c>
      <c r="F336">
        <v>25.6</v>
      </c>
      <c r="G336" s="162">
        <v>4.51</v>
      </c>
      <c r="H336" s="164">
        <v>66250</v>
      </c>
      <c r="I336" s="161">
        <v>10026778</v>
      </c>
      <c r="J336"/>
      <c r="K336" s="125" t="s">
        <v>463</v>
      </c>
      <c r="L336" s="126" t="s">
        <v>690</v>
      </c>
      <c r="M336" s="127">
        <v>4</v>
      </c>
      <c r="N336" s="126" t="s">
        <v>689</v>
      </c>
      <c r="O336" s="131" t="s">
        <v>689</v>
      </c>
      <c r="P336" s="189" t="s">
        <v>1098</v>
      </c>
    </row>
    <row r="337" spans="1:16" x14ac:dyDescent="0.3">
      <c r="A337" t="s">
        <v>348</v>
      </c>
      <c r="B337" s="117">
        <v>520</v>
      </c>
      <c r="C337" s="117">
        <v>549</v>
      </c>
      <c r="D337" s="141">
        <v>555</v>
      </c>
      <c r="E337" s="117">
        <v>535</v>
      </c>
      <c r="F337">
        <v>23.9</v>
      </c>
      <c r="G337" s="162">
        <v>5.19</v>
      </c>
      <c r="H337" s="164">
        <v>42083</v>
      </c>
      <c r="I337" s="161">
        <v>64822981</v>
      </c>
      <c r="J337"/>
      <c r="K337" s="125" t="s">
        <v>464</v>
      </c>
      <c r="L337" s="126" t="s">
        <v>690</v>
      </c>
      <c r="M337" s="127">
        <v>2</v>
      </c>
      <c r="N337" s="126" t="s">
        <v>689</v>
      </c>
      <c r="O337" s="131" t="s">
        <v>689</v>
      </c>
      <c r="P337" s="189" t="s">
        <v>1099</v>
      </c>
    </row>
    <row r="338" spans="1:16" x14ac:dyDescent="0.3">
      <c r="A338" t="s">
        <v>349</v>
      </c>
      <c r="B338" s="117">
        <v>3439</v>
      </c>
      <c r="C338" s="117">
        <v>5840</v>
      </c>
      <c r="D338" s="141">
        <v>4544</v>
      </c>
      <c r="E338" s="117">
        <v>5632</v>
      </c>
      <c r="F338">
        <v>8.6999999999999993</v>
      </c>
      <c r="G338" s="162">
        <v>3.28</v>
      </c>
      <c r="H338" s="164">
        <v>76504</v>
      </c>
      <c r="I338" s="161">
        <v>840614961</v>
      </c>
      <c r="J338"/>
      <c r="K338" s="125" t="s">
        <v>465</v>
      </c>
      <c r="L338" s="126" t="s">
        <v>689</v>
      </c>
      <c r="M338" s="127">
        <v>1</v>
      </c>
      <c r="N338" s="126" t="s">
        <v>689</v>
      </c>
      <c r="O338" s="131" t="s">
        <v>689</v>
      </c>
      <c r="P338" s="189" t="s">
        <v>1100</v>
      </c>
    </row>
    <row r="339" spans="1:16" x14ac:dyDescent="0.3">
      <c r="A339" t="s">
        <v>350</v>
      </c>
      <c r="B339" s="117">
        <v>4898</v>
      </c>
      <c r="C339" s="117">
        <v>5011</v>
      </c>
      <c r="D339" s="141">
        <v>5094</v>
      </c>
      <c r="E339" s="117">
        <v>5223</v>
      </c>
      <c r="F339">
        <v>11.3</v>
      </c>
      <c r="G339" s="162">
        <v>3.57</v>
      </c>
      <c r="H339" s="164">
        <v>46739</v>
      </c>
      <c r="I339" s="161">
        <v>531786915</v>
      </c>
      <c r="J339"/>
      <c r="K339" s="125" t="s">
        <v>466</v>
      </c>
      <c r="L339" s="126" t="s">
        <v>689</v>
      </c>
      <c r="M339" s="127">
        <v>2</v>
      </c>
      <c r="N339" s="126" t="s">
        <v>689</v>
      </c>
      <c r="O339" s="131" t="s">
        <v>689</v>
      </c>
      <c r="P339" s="189" t="s">
        <v>1101</v>
      </c>
    </row>
    <row r="340" spans="1:16" x14ac:dyDescent="0.3">
      <c r="A340" t="s">
        <v>351</v>
      </c>
      <c r="B340" s="117">
        <v>3694</v>
      </c>
      <c r="C340" s="117">
        <v>3263</v>
      </c>
      <c r="D340" s="141">
        <v>3116</v>
      </c>
      <c r="E340" s="117">
        <v>3329</v>
      </c>
      <c r="F340">
        <v>34.1</v>
      </c>
      <c r="G340" s="162">
        <v>3.33</v>
      </c>
      <c r="H340" s="164">
        <v>38036</v>
      </c>
      <c r="I340" s="161">
        <v>454033831</v>
      </c>
      <c r="J340"/>
      <c r="K340" s="125" t="s">
        <v>467</v>
      </c>
      <c r="L340" s="126" t="s">
        <v>689</v>
      </c>
      <c r="M340" s="127">
        <v>3</v>
      </c>
      <c r="N340" s="126" t="s">
        <v>689</v>
      </c>
      <c r="O340" s="131" t="s">
        <v>689</v>
      </c>
      <c r="P340" s="189" t="s">
        <v>1102</v>
      </c>
    </row>
    <row r="341" spans="1:16" x14ac:dyDescent="0.3">
      <c r="A341" t="s">
        <v>352</v>
      </c>
      <c r="B341" s="117">
        <v>118</v>
      </c>
      <c r="C341" s="117">
        <v>159</v>
      </c>
      <c r="D341" s="141">
        <v>156</v>
      </c>
      <c r="E341" s="117">
        <v>175</v>
      </c>
      <c r="F341">
        <v>40.9</v>
      </c>
      <c r="G341" s="162">
        <v>3.36</v>
      </c>
      <c r="H341" s="164"/>
      <c r="I341" s="161">
        <v>13733629</v>
      </c>
      <c r="J341"/>
      <c r="K341" s="125" t="s">
        <v>469</v>
      </c>
      <c r="L341" s="126" t="s">
        <v>690</v>
      </c>
      <c r="M341" s="127">
        <v>7</v>
      </c>
      <c r="N341" s="126" t="s">
        <v>689</v>
      </c>
      <c r="O341" s="131" t="s">
        <v>689</v>
      </c>
      <c r="P341" s="189" t="s">
        <v>1103</v>
      </c>
    </row>
    <row r="342" spans="1:16" x14ac:dyDescent="0.3">
      <c r="A342" t="s">
        <v>353</v>
      </c>
      <c r="B342" s="117">
        <v>3676</v>
      </c>
      <c r="C342" s="117">
        <v>3768</v>
      </c>
      <c r="D342" s="141">
        <v>3699</v>
      </c>
      <c r="E342" s="117">
        <v>3947</v>
      </c>
      <c r="F342">
        <v>17.399999999999999</v>
      </c>
      <c r="G342" s="162">
        <v>3.74</v>
      </c>
      <c r="H342" s="164">
        <v>52500</v>
      </c>
      <c r="I342" s="161">
        <v>698704185</v>
      </c>
      <c r="J342"/>
      <c r="K342" s="125" t="s">
        <v>471</v>
      </c>
      <c r="L342" s="126" t="s">
        <v>690</v>
      </c>
      <c r="M342" s="127">
        <v>8</v>
      </c>
      <c r="N342" s="126" t="s">
        <v>689</v>
      </c>
      <c r="O342" s="131" t="s">
        <v>689</v>
      </c>
      <c r="P342" s="189" t="s">
        <v>1104</v>
      </c>
    </row>
    <row r="343" spans="1:16" x14ac:dyDescent="0.3">
      <c r="A343" t="s">
        <v>354</v>
      </c>
      <c r="B343" s="117">
        <v>974</v>
      </c>
      <c r="C343" s="117">
        <v>1205</v>
      </c>
      <c r="D343" s="141">
        <v>1033</v>
      </c>
      <c r="E343" s="117">
        <v>1040</v>
      </c>
      <c r="F343">
        <v>20.100000000000001</v>
      </c>
      <c r="G343" s="162">
        <v>5.09</v>
      </c>
      <c r="H343" s="164">
        <v>54583</v>
      </c>
      <c r="I343" s="161">
        <v>63602329</v>
      </c>
      <c r="J343"/>
      <c r="K343" s="125" t="s">
        <v>475</v>
      </c>
      <c r="L343" s="126" t="s">
        <v>690</v>
      </c>
      <c r="M343" s="127">
        <v>4</v>
      </c>
      <c r="N343" s="126" t="s">
        <v>689</v>
      </c>
      <c r="O343" s="131" t="s">
        <v>689</v>
      </c>
      <c r="P343" s="189" t="s">
        <v>1105</v>
      </c>
    </row>
    <row r="344" spans="1:16" x14ac:dyDescent="0.3">
      <c r="A344" t="s">
        <v>355</v>
      </c>
      <c r="B344" s="117">
        <v>74</v>
      </c>
      <c r="C344" s="117">
        <v>75</v>
      </c>
      <c r="D344" s="141">
        <v>83</v>
      </c>
      <c r="E344" s="117">
        <v>83</v>
      </c>
      <c r="F344">
        <v>22.7</v>
      </c>
      <c r="G344" s="162">
        <v>5.0999999999999996</v>
      </c>
      <c r="H344" s="164">
        <v>65417</v>
      </c>
      <c r="I344" s="161">
        <v>11925458</v>
      </c>
      <c r="J344"/>
      <c r="K344" s="125" t="s">
        <v>476</v>
      </c>
      <c r="L344" s="126" t="s">
        <v>689</v>
      </c>
      <c r="M344" s="127">
        <v>4</v>
      </c>
      <c r="N344" s="126" t="s">
        <v>689</v>
      </c>
      <c r="O344" s="131" t="s">
        <v>689</v>
      </c>
      <c r="P344" s="189" t="s">
        <v>476</v>
      </c>
    </row>
    <row r="345" spans="1:16" x14ac:dyDescent="0.3">
      <c r="A345" t="s">
        <v>356</v>
      </c>
      <c r="B345" s="117">
        <v>20704</v>
      </c>
      <c r="C345" s="117">
        <v>18859</v>
      </c>
      <c r="D345" s="141">
        <v>18912</v>
      </c>
      <c r="E345" s="117">
        <v>19451</v>
      </c>
      <c r="F345">
        <v>30.8</v>
      </c>
      <c r="G345" s="162">
        <v>5.0999999999999996</v>
      </c>
      <c r="H345" s="164">
        <v>42877</v>
      </c>
      <c r="I345" s="161">
        <v>2072747996</v>
      </c>
      <c r="J345"/>
      <c r="K345" s="128" t="s">
        <v>477</v>
      </c>
      <c r="L345" s="126" t="s">
        <v>690</v>
      </c>
      <c r="M345" s="127">
        <v>3</v>
      </c>
      <c r="N345" s="126" t="s">
        <v>689</v>
      </c>
      <c r="O345" s="131" t="s">
        <v>689</v>
      </c>
      <c r="P345" s="189" t="s">
        <v>1106</v>
      </c>
    </row>
    <row r="346" spans="1:16" x14ac:dyDescent="0.3">
      <c r="A346" t="s">
        <v>357</v>
      </c>
      <c r="B346" s="117">
        <v>311</v>
      </c>
      <c r="C346" s="117">
        <v>391</v>
      </c>
      <c r="D346" s="141">
        <v>412</v>
      </c>
      <c r="E346" s="117">
        <v>409</v>
      </c>
      <c r="F346">
        <v>18.899999999999999</v>
      </c>
      <c r="G346" s="162">
        <v>5.26</v>
      </c>
      <c r="H346" s="164">
        <v>56000</v>
      </c>
      <c r="I346" s="161">
        <v>26099731</v>
      </c>
      <c r="J346"/>
      <c r="K346" s="125" t="s">
        <v>478</v>
      </c>
      <c r="L346" s="126" t="s">
        <v>690</v>
      </c>
      <c r="M346" s="127">
        <v>7</v>
      </c>
      <c r="N346" s="126" t="s">
        <v>689</v>
      </c>
      <c r="O346" s="131" t="s">
        <v>689</v>
      </c>
      <c r="P346" s="189" t="s">
        <v>1107</v>
      </c>
    </row>
    <row r="347" spans="1:16" x14ac:dyDescent="0.3">
      <c r="A347" t="s">
        <v>358</v>
      </c>
      <c r="B347" s="117">
        <v>35172</v>
      </c>
      <c r="C347" s="117">
        <v>37941</v>
      </c>
      <c r="D347" s="141">
        <v>36964</v>
      </c>
      <c r="E347" s="117">
        <v>38455</v>
      </c>
      <c r="F347">
        <v>11.6</v>
      </c>
      <c r="G347" s="162">
        <v>3.36</v>
      </c>
      <c r="H347" s="164">
        <v>59061</v>
      </c>
      <c r="I347" s="161">
        <v>13231291496</v>
      </c>
      <c r="J347"/>
      <c r="K347" s="125" t="s">
        <v>479</v>
      </c>
      <c r="L347" s="126" t="s">
        <v>690</v>
      </c>
      <c r="M347" s="127">
        <v>5</v>
      </c>
      <c r="N347" s="126" t="s">
        <v>689</v>
      </c>
      <c r="O347" s="131" t="s">
        <v>689</v>
      </c>
      <c r="P347" s="189" t="s">
        <v>1108</v>
      </c>
    </row>
    <row r="348" spans="1:16" x14ac:dyDescent="0.3">
      <c r="A348" t="s">
        <v>359</v>
      </c>
      <c r="B348" s="117">
        <v>69</v>
      </c>
      <c r="C348" s="117">
        <v>66</v>
      </c>
      <c r="D348" s="141">
        <v>103</v>
      </c>
      <c r="E348" s="117">
        <v>103</v>
      </c>
      <c r="F348">
        <v>10.6</v>
      </c>
      <c r="G348" s="162">
        <v>4.68</v>
      </c>
      <c r="H348" s="164">
        <v>58750</v>
      </c>
      <c r="I348" s="161">
        <v>4917411</v>
      </c>
      <c r="J348"/>
      <c r="K348" s="125" t="s">
        <v>480</v>
      </c>
      <c r="L348" s="126" t="s">
        <v>689</v>
      </c>
      <c r="M348" s="127">
        <v>3</v>
      </c>
      <c r="N348" s="126" t="s">
        <v>689</v>
      </c>
      <c r="O348" s="131" t="s">
        <v>689</v>
      </c>
      <c r="P348" s="189" t="s">
        <v>1109</v>
      </c>
    </row>
    <row r="349" spans="1:16" x14ac:dyDescent="0.3">
      <c r="A349" t="s">
        <v>360</v>
      </c>
      <c r="B349" s="117">
        <v>21608</v>
      </c>
      <c r="C349" s="117">
        <v>21867</v>
      </c>
      <c r="D349" s="141">
        <v>21190</v>
      </c>
      <c r="E349" s="117">
        <v>21944</v>
      </c>
      <c r="F349">
        <v>12.1</v>
      </c>
      <c r="G349" s="162">
        <v>3.97</v>
      </c>
      <c r="H349" s="164">
        <v>58531</v>
      </c>
      <c r="I349" s="161">
        <v>4632992252</v>
      </c>
      <c r="J349"/>
      <c r="K349" s="125" t="s">
        <v>481</v>
      </c>
      <c r="L349" s="126" t="s">
        <v>690</v>
      </c>
      <c r="M349" s="127">
        <v>4</v>
      </c>
      <c r="N349" s="126" t="s">
        <v>689</v>
      </c>
      <c r="O349" s="131" t="s">
        <v>689</v>
      </c>
      <c r="P349" s="189" t="s">
        <v>1110</v>
      </c>
    </row>
    <row r="350" spans="1:16" x14ac:dyDescent="0.3">
      <c r="A350" t="s">
        <v>361</v>
      </c>
      <c r="B350" s="117">
        <v>2178</v>
      </c>
      <c r="C350" s="117">
        <v>2242</v>
      </c>
      <c r="D350" s="141">
        <v>2125</v>
      </c>
      <c r="E350" s="117">
        <v>2172</v>
      </c>
      <c r="F350">
        <v>8</v>
      </c>
      <c r="G350" s="162">
        <v>3.84</v>
      </c>
      <c r="H350" s="164">
        <v>52593</v>
      </c>
      <c r="I350" s="161">
        <v>330231183</v>
      </c>
      <c r="J350"/>
      <c r="K350" s="125" t="s">
        <v>483</v>
      </c>
      <c r="L350" s="126" t="s">
        <v>689</v>
      </c>
      <c r="M350" s="127">
        <v>9</v>
      </c>
      <c r="N350" s="126" t="s">
        <v>689</v>
      </c>
      <c r="O350" s="131" t="s">
        <v>689</v>
      </c>
      <c r="P350" s="189" t="s">
        <v>1111</v>
      </c>
    </row>
    <row r="351" spans="1:16" x14ac:dyDescent="0.3">
      <c r="A351" t="s">
        <v>363</v>
      </c>
      <c r="B351" s="117">
        <v>1843</v>
      </c>
      <c r="C351" s="117">
        <v>2112</v>
      </c>
      <c r="D351" s="141">
        <v>1790</v>
      </c>
      <c r="E351" s="117">
        <v>1943</v>
      </c>
      <c r="F351">
        <v>14.7</v>
      </c>
      <c r="G351" s="162">
        <v>3.62</v>
      </c>
      <c r="H351" s="164">
        <v>68125</v>
      </c>
      <c r="I351" s="161">
        <v>559509007</v>
      </c>
      <c r="J351"/>
      <c r="K351" s="125" t="s">
        <v>484</v>
      </c>
      <c r="L351" s="126" t="s">
        <v>689</v>
      </c>
      <c r="M351" s="127">
        <v>3</v>
      </c>
      <c r="N351" s="126" t="s">
        <v>689</v>
      </c>
      <c r="O351" s="131" t="s">
        <v>689</v>
      </c>
      <c r="P351" s="189" t="s">
        <v>1112</v>
      </c>
    </row>
    <row r="352" spans="1:16" x14ac:dyDescent="0.3">
      <c r="A352" t="s">
        <v>364</v>
      </c>
      <c r="B352" s="117">
        <v>1274</v>
      </c>
      <c r="C352" s="117">
        <v>1024</v>
      </c>
      <c r="D352" s="141">
        <v>831</v>
      </c>
      <c r="E352" s="117">
        <v>843</v>
      </c>
      <c r="F352">
        <v>41.3</v>
      </c>
      <c r="G352" s="162">
        <v>3.26</v>
      </c>
      <c r="H352" s="164">
        <v>39406</v>
      </c>
      <c r="I352" s="161">
        <v>33075540</v>
      </c>
      <c r="J352"/>
      <c r="K352" s="125" t="s">
        <v>485</v>
      </c>
      <c r="L352" s="126" t="s">
        <v>689</v>
      </c>
      <c r="M352" s="127">
        <v>1</v>
      </c>
      <c r="N352" s="126" t="s">
        <v>689</v>
      </c>
      <c r="O352" s="131" t="s">
        <v>689</v>
      </c>
      <c r="P352" s="189" t="s">
        <v>1113</v>
      </c>
    </row>
    <row r="353" spans="1:16" x14ac:dyDescent="0.3">
      <c r="A353" t="s">
        <v>365</v>
      </c>
      <c r="B353" s="117">
        <v>3413</v>
      </c>
      <c r="C353" s="117">
        <v>3788</v>
      </c>
      <c r="D353" s="141">
        <v>3718</v>
      </c>
      <c r="E353" s="117">
        <v>3975</v>
      </c>
      <c r="F353">
        <v>19.7</v>
      </c>
      <c r="G353" s="162">
        <v>3.45</v>
      </c>
      <c r="H353" s="164">
        <v>75511</v>
      </c>
      <c r="I353" s="161">
        <v>2275486250</v>
      </c>
      <c r="J353"/>
      <c r="K353" s="125" t="s">
        <v>486</v>
      </c>
      <c r="L353" s="126" t="s">
        <v>690</v>
      </c>
      <c r="M353" s="127">
        <v>8</v>
      </c>
      <c r="N353" s="126" t="s">
        <v>689</v>
      </c>
      <c r="O353" s="131" t="s">
        <v>689</v>
      </c>
      <c r="P353" s="189" t="s">
        <v>1114</v>
      </c>
    </row>
    <row r="354" spans="1:16" x14ac:dyDescent="0.3">
      <c r="A354" t="s">
        <v>366</v>
      </c>
      <c r="B354" s="117">
        <v>1883</v>
      </c>
      <c r="C354" s="117">
        <v>2020</v>
      </c>
      <c r="D354" s="141">
        <v>1606</v>
      </c>
      <c r="E354" s="117">
        <v>1650</v>
      </c>
      <c r="F354">
        <v>19.2</v>
      </c>
      <c r="G354" s="162">
        <v>4.07</v>
      </c>
      <c r="H354" s="164">
        <v>83777</v>
      </c>
      <c r="I354" s="161">
        <v>709536924</v>
      </c>
      <c r="J354"/>
      <c r="K354" s="125" t="s">
        <v>487</v>
      </c>
      <c r="L354" s="126" t="s">
        <v>689</v>
      </c>
      <c r="M354" s="127">
        <v>3</v>
      </c>
      <c r="N354" s="126" t="s">
        <v>689</v>
      </c>
      <c r="O354" s="131" t="s">
        <v>689</v>
      </c>
      <c r="P354" s="189" t="s">
        <v>1115</v>
      </c>
    </row>
    <row r="355" spans="1:16" x14ac:dyDescent="0.3">
      <c r="A355" t="s">
        <v>367</v>
      </c>
      <c r="B355" s="117">
        <v>146</v>
      </c>
      <c r="C355" s="117">
        <v>106</v>
      </c>
      <c r="D355" s="141">
        <v>105</v>
      </c>
      <c r="E355" s="117">
        <v>107</v>
      </c>
      <c r="F355">
        <v>15.1</v>
      </c>
      <c r="G355" s="162">
        <v>5.0999999999999996</v>
      </c>
      <c r="H355" s="164">
        <v>62500</v>
      </c>
      <c r="I355" s="161"/>
      <c r="J355"/>
      <c r="K355" s="125" t="s">
        <v>489</v>
      </c>
      <c r="L355" s="126" t="s">
        <v>689</v>
      </c>
      <c r="M355" s="127">
        <v>4</v>
      </c>
      <c r="N355" s="126" t="s">
        <v>689</v>
      </c>
      <c r="O355" s="131" t="s">
        <v>689</v>
      </c>
      <c r="P355" s="189" t="s">
        <v>1116</v>
      </c>
    </row>
    <row r="356" spans="1:16" x14ac:dyDescent="0.3">
      <c r="A356" t="s">
        <v>368</v>
      </c>
      <c r="B356" s="117">
        <v>7853</v>
      </c>
      <c r="C356" s="117">
        <v>7579</v>
      </c>
      <c r="D356" s="141">
        <v>7683</v>
      </c>
      <c r="E356" s="117">
        <v>7662</v>
      </c>
      <c r="F356">
        <v>23.5</v>
      </c>
      <c r="G356" s="162">
        <v>4.0599999999999996</v>
      </c>
      <c r="H356" s="164">
        <v>51314</v>
      </c>
      <c r="I356" s="161">
        <v>794216113</v>
      </c>
      <c r="J356"/>
      <c r="K356" s="125" t="s">
        <v>493</v>
      </c>
      <c r="L356" s="126" t="s">
        <v>690</v>
      </c>
      <c r="M356" s="127">
        <v>9</v>
      </c>
      <c r="N356" s="126" t="s">
        <v>689</v>
      </c>
      <c r="O356" s="131" t="s">
        <v>689</v>
      </c>
      <c r="P356" s="189" t="s">
        <v>1117</v>
      </c>
    </row>
    <row r="357" spans="1:16" x14ac:dyDescent="0.3">
      <c r="A357" t="s">
        <v>369</v>
      </c>
      <c r="B357" s="117">
        <v>3035</v>
      </c>
      <c r="C357" s="117">
        <v>3025</v>
      </c>
      <c r="D357" s="141">
        <v>2080</v>
      </c>
      <c r="E357" s="117">
        <v>2349</v>
      </c>
      <c r="F357">
        <v>3.3</v>
      </c>
      <c r="G357" s="162">
        <v>3.97</v>
      </c>
      <c r="H357" s="164">
        <v>81429</v>
      </c>
      <c r="I357" s="161">
        <v>303775209</v>
      </c>
      <c r="J357"/>
      <c r="K357" s="125" t="s">
        <v>494</v>
      </c>
      <c r="L357" s="126" t="s">
        <v>689</v>
      </c>
      <c r="M357" s="127">
        <v>7</v>
      </c>
      <c r="N357" s="126" t="s">
        <v>689</v>
      </c>
      <c r="O357" s="131" t="s">
        <v>689</v>
      </c>
      <c r="P357" s="189" t="s">
        <v>1118</v>
      </c>
    </row>
    <row r="358" spans="1:16" x14ac:dyDescent="0.3">
      <c r="A358" t="s">
        <v>370</v>
      </c>
      <c r="B358" s="117">
        <v>658</v>
      </c>
      <c r="C358" s="117">
        <v>961</v>
      </c>
      <c r="D358" s="141">
        <v>774</v>
      </c>
      <c r="E358" s="117">
        <v>786</v>
      </c>
      <c r="F358">
        <v>24</v>
      </c>
      <c r="G358" s="162">
        <v>3.97</v>
      </c>
      <c r="H358" s="164">
        <v>56728</v>
      </c>
      <c r="I358" s="161">
        <v>206913914</v>
      </c>
      <c r="J358"/>
      <c r="K358" s="125" t="s">
        <v>496</v>
      </c>
      <c r="L358" s="126" t="s">
        <v>689</v>
      </c>
      <c r="M358" s="127">
        <v>3</v>
      </c>
      <c r="N358" s="126" t="s">
        <v>689</v>
      </c>
      <c r="O358" s="131" t="s">
        <v>689</v>
      </c>
      <c r="P358" s="189" t="s">
        <v>1119</v>
      </c>
    </row>
    <row r="359" spans="1:16" x14ac:dyDescent="0.3">
      <c r="A359" t="s">
        <v>371</v>
      </c>
      <c r="B359" s="117">
        <v>2748</v>
      </c>
      <c r="C359" s="117">
        <v>2615</v>
      </c>
      <c r="D359" s="141">
        <v>2535</v>
      </c>
      <c r="E359" s="117">
        <v>2629</v>
      </c>
      <c r="F359">
        <v>14.7</v>
      </c>
      <c r="G359" s="162">
        <v>3.26</v>
      </c>
      <c r="H359" s="164">
        <v>57837</v>
      </c>
      <c r="I359" s="161">
        <v>274614721</v>
      </c>
      <c r="J359"/>
      <c r="K359" s="125" t="s">
        <v>497</v>
      </c>
      <c r="L359" s="126" t="s">
        <v>690</v>
      </c>
      <c r="M359" s="127">
        <v>7</v>
      </c>
      <c r="N359" s="126" t="s">
        <v>689</v>
      </c>
      <c r="O359" s="131" t="s">
        <v>689</v>
      </c>
      <c r="P359" s="189" t="s">
        <v>1120</v>
      </c>
    </row>
    <row r="360" spans="1:16" x14ac:dyDescent="0.3">
      <c r="A360" t="s">
        <v>372</v>
      </c>
      <c r="B360" s="117">
        <v>22644</v>
      </c>
      <c r="C360" s="117">
        <v>21644</v>
      </c>
      <c r="D360" s="141">
        <v>21886</v>
      </c>
      <c r="E360" s="117">
        <v>21373</v>
      </c>
      <c r="F360">
        <v>20.399999999999999</v>
      </c>
      <c r="G360" s="162">
        <v>4.08</v>
      </c>
      <c r="H360" s="164">
        <v>48578</v>
      </c>
      <c r="I360" s="161">
        <v>2181584406</v>
      </c>
      <c r="J360"/>
      <c r="K360" s="125" t="s">
        <v>500</v>
      </c>
      <c r="L360" s="126" t="s">
        <v>689</v>
      </c>
      <c r="M360" s="127">
        <v>6</v>
      </c>
      <c r="N360" s="126" t="s">
        <v>689</v>
      </c>
      <c r="O360" s="131" t="s">
        <v>689</v>
      </c>
      <c r="P360" s="189" t="s">
        <v>500</v>
      </c>
    </row>
    <row r="361" spans="1:16" x14ac:dyDescent="0.3">
      <c r="A361" t="s">
        <v>374</v>
      </c>
      <c r="B361" s="117">
        <v>6672</v>
      </c>
      <c r="C361" s="117">
        <v>6692</v>
      </c>
      <c r="D361" s="141">
        <v>6419</v>
      </c>
      <c r="E361" s="117">
        <v>6994</v>
      </c>
      <c r="F361">
        <v>7.6</v>
      </c>
      <c r="G361" s="162">
        <v>3.26</v>
      </c>
      <c r="H361" s="164">
        <v>250001</v>
      </c>
      <c r="I361" s="161">
        <v>1711571219</v>
      </c>
      <c r="J361"/>
      <c r="K361" s="125" t="s">
        <v>501</v>
      </c>
      <c r="L361" s="126" t="s">
        <v>689</v>
      </c>
      <c r="M361" s="127">
        <v>6</v>
      </c>
      <c r="N361" s="126" t="s">
        <v>689</v>
      </c>
      <c r="O361" s="131" t="s">
        <v>689</v>
      </c>
      <c r="P361" s="189" t="s">
        <v>1121</v>
      </c>
    </row>
    <row r="362" spans="1:16" x14ac:dyDescent="0.3">
      <c r="A362" t="s">
        <v>375</v>
      </c>
      <c r="B362" s="117">
        <v>32682</v>
      </c>
      <c r="C362" s="117">
        <v>30577</v>
      </c>
      <c r="D362" s="141">
        <v>29677</v>
      </c>
      <c r="E362" s="117">
        <v>30761</v>
      </c>
      <c r="F362">
        <v>3.7</v>
      </c>
      <c r="G362" s="162">
        <v>3.72</v>
      </c>
      <c r="H362" s="164">
        <v>108611</v>
      </c>
      <c r="I362" s="161">
        <v>7467991542</v>
      </c>
      <c r="J362"/>
      <c r="K362" s="125" t="s">
        <v>502</v>
      </c>
      <c r="L362" s="126" t="s">
        <v>689</v>
      </c>
      <c r="M362" s="127">
        <v>2</v>
      </c>
      <c r="N362" s="126" t="s">
        <v>689</v>
      </c>
      <c r="O362" s="131" t="s">
        <v>689</v>
      </c>
      <c r="P362" s="189" t="s">
        <v>502</v>
      </c>
    </row>
    <row r="363" spans="1:16" x14ac:dyDescent="0.3">
      <c r="A363" t="s">
        <v>377</v>
      </c>
      <c r="B363" s="117">
        <v>2614</v>
      </c>
      <c r="C363" s="117">
        <v>2330</v>
      </c>
      <c r="D363" s="141">
        <v>2105</v>
      </c>
      <c r="E363" s="117">
        <v>2111</v>
      </c>
      <c r="F363">
        <v>42.7</v>
      </c>
      <c r="G363" s="162">
        <v>5.16</v>
      </c>
      <c r="H363" s="164">
        <v>22667</v>
      </c>
      <c r="I363" s="161">
        <v>126893656</v>
      </c>
      <c r="J363"/>
      <c r="K363" s="125" t="s">
        <v>504</v>
      </c>
      <c r="L363" s="126" t="s">
        <v>690</v>
      </c>
      <c r="M363" s="127">
        <v>2</v>
      </c>
      <c r="N363" s="126" t="s">
        <v>689</v>
      </c>
      <c r="O363" s="131" t="s">
        <v>689</v>
      </c>
      <c r="P363" s="189" t="s">
        <v>1122</v>
      </c>
    </row>
    <row r="364" spans="1:16" x14ac:dyDescent="0.3">
      <c r="A364" t="s">
        <v>378</v>
      </c>
      <c r="B364" s="117">
        <v>2352</v>
      </c>
      <c r="C364" s="117">
        <v>2401</v>
      </c>
      <c r="D364" s="141">
        <v>2408</v>
      </c>
      <c r="E364" s="117">
        <v>2493</v>
      </c>
      <c r="F364">
        <v>22.8</v>
      </c>
      <c r="G364" s="162">
        <v>3.84</v>
      </c>
      <c r="H364" s="164">
        <v>38446</v>
      </c>
      <c r="I364" s="161">
        <v>367063846</v>
      </c>
      <c r="J364"/>
      <c r="K364" s="125" t="s">
        <v>505</v>
      </c>
      <c r="L364" s="126" t="s">
        <v>689</v>
      </c>
      <c r="M364" s="127">
        <v>8</v>
      </c>
      <c r="N364" s="126" t="s">
        <v>689</v>
      </c>
      <c r="O364" s="131" t="s">
        <v>689</v>
      </c>
      <c r="P364" s="189" t="s">
        <v>1123</v>
      </c>
    </row>
    <row r="365" spans="1:16" x14ac:dyDescent="0.3">
      <c r="A365" t="s">
        <v>379</v>
      </c>
      <c r="B365" s="117">
        <v>1001</v>
      </c>
      <c r="C365" s="117">
        <v>1022</v>
      </c>
      <c r="D365" s="141">
        <v>817</v>
      </c>
      <c r="E365" s="117">
        <v>839</v>
      </c>
      <c r="F365">
        <v>22.9</v>
      </c>
      <c r="G365" s="162">
        <v>3.67</v>
      </c>
      <c r="H365" s="164">
        <v>59432</v>
      </c>
      <c r="I365" s="161">
        <v>66389156</v>
      </c>
      <c r="J365"/>
      <c r="K365" s="125" t="s">
        <v>506</v>
      </c>
      <c r="L365" s="126" t="s">
        <v>690</v>
      </c>
      <c r="M365" s="127">
        <v>2</v>
      </c>
      <c r="N365" s="126" t="s">
        <v>689</v>
      </c>
      <c r="O365" s="131" t="s">
        <v>689</v>
      </c>
      <c r="P365" s="189" t="s">
        <v>1124</v>
      </c>
    </row>
    <row r="366" spans="1:16" x14ac:dyDescent="0.3">
      <c r="A366" t="s">
        <v>380</v>
      </c>
      <c r="B366" s="117">
        <v>1054</v>
      </c>
      <c r="C366" s="117">
        <v>1010</v>
      </c>
      <c r="D366" s="141">
        <v>894</v>
      </c>
      <c r="E366" s="117">
        <v>959</v>
      </c>
      <c r="F366">
        <v>7</v>
      </c>
      <c r="G366" s="162">
        <v>3.74</v>
      </c>
      <c r="H366" s="164">
        <v>112083</v>
      </c>
      <c r="I366" s="161">
        <v>196991745</v>
      </c>
      <c r="J366"/>
      <c r="K366" s="125" t="s">
        <v>507</v>
      </c>
      <c r="L366" s="126" t="s">
        <v>689</v>
      </c>
      <c r="M366" s="127">
        <v>3</v>
      </c>
      <c r="N366" s="126" t="s">
        <v>689</v>
      </c>
      <c r="O366" s="131" t="s">
        <v>689</v>
      </c>
      <c r="P366" s="189" t="s">
        <v>507</v>
      </c>
    </row>
    <row r="367" spans="1:16" x14ac:dyDescent="0.3">
      <c r="A367" t="s">
        <v>381</v>
      </c>
      <c r="B367" s="117">
        <v>111</v>
      </c>
      <c r="C367" s="117">
        <v>106</v>
      </c>
      <c r="D367" s="141">
        <v>93</v>
      </c>
      <c r="E367" s="117">
        <v>93</v>
      </c>
      <c r="F367">
        <v>0</v>
      </c>
      <c r="G367" s="162">
        <v>5.0999999999999996</v>
      </c>
      <c r="H367" s="164">
        <v>51875</v>
      </c>
      <c r="I367" s="161">
        <v>8256264</v>
      </c>
      <c r="J367"/>
      <c r="K367" s="125" t="s">
        <v>508</v>
      </c>
      <c r="L367" s="126" t="s">
        <v>690</v>
      </c>
      <c r="M367" s="127">
        <v>6</v>
      </c>
      <c r="N367" s="126" t="s">
        <v>689</v>
      </c>
      <c r="O367" s="131" t="s">
        <v>689</v>
      </c>
      <c r="P367" s="189" t="s">
        <v>508</v>
      </c>
    </row>
    <row r="368" spans="1:16" x14ac:dyDescent="0.3">
      <c r="A368" t="s">
        <v>382</v>
      </c>
      <c r="B368" s="117">
        <v>45402</v>
      </c>
      <c r="C368" s="117">
        <v>44817</v>
      </c>
      <c r="D368" s="141">
        <v>44364</v>
      </c>
      <c r="E368" s="117">
        <v>44279</v>
      </c>
      <c r="F368">
        <v>14.8</v>
      </c>
      <c r="G368" s="162">
        <v>4.0599999999999996</v>
      </c>
      <c r="H368" s="164">
        <v>57168</v>
      </c>
      <c r="I368" s="161">
        <v>6484960689</v>
      </c>
      <c r="J368"/>
      <c r="K368" s="125" t="s">
        <v>509</v>
      </c>
      <c r="L368" s="126" t="s">
        <v>689</v>
      </c>
      <c r="M368" s="127">
        <v>5</v>
      </c>
      <c r="N368" s="126" t="s">
        <v>689</v>
      </c>
      <c r="O368" s="131" t="s">
        <v>689</v>
      </c>
      <c r="P368" s="189" t="s">
        <v>1125</v>
      </c>
    </row>
    <row r="369" spans="1:16" x14ac:dyDescent="0.3">
      <c r="A369" t="s">
        <v>383</v>
      </c>
      <c r="B369" s="117">
        <v>92</v>
      </c>
      <c r="C369" s="117">
        <v>164</v>
      </c>
      <c r="D369" s="141">
        <v>92</v>
      </c>
      <c r="E369" s="117">
        <v>153</v>
      </c>
      <c r="F369">
        <v>77.400000000000006</v>
      </c>
      <c r="G369" s="162">
        <v>4.4400000000000004</v>
      </c>
      <c r="H369" s="164"/>
      <c r="I369" s="161">
        <v>4438131</v>
      </c>
      <c r="J369"/>
      <c r="K369" s="125" t="s">
        <v>511</v>
      </c>
      <c r="L369" s="126" t="s">
        <v>689</v>
      </c>
      <c r="M369" s="127">
        <v>6</v>
      </c>
      <c r="N369" s="126" t="s">
        <v>689</v>
      </c>
      <c r="O369" s="131" t="s">
        <v>689</v>
      </c>
      <c r="P369" s="189" t="s">
        <v>1126</v>
      </c>
    </row>
    <row r="370" spans="1:16" x14ac:dyDescent="0.3">
      <c r="A370" t="s">
        <v>384</v>
      </c>
      <c r="B370" s="117">
        <v>15564</v>
      </c>
      <c r="C370" s="117">
        <v>19538</v>
      </c>
      <c r="D370" s="141">
        <v>17852</v>
      </c>
      <c r="E370" s="117">
        <v>20426</v>
      </c>
      <c r="F370">
        <v>7.2</v>
      </c>
      <c r="G370" s="162">
        <v>3.4</v>
      </c>
      <c r="H370" s="164">
        <v>83174</v>
      </c>
      <c r="I370" s="161">
        <v>4624136125</v>
      </c>
      <c r="J370"/>
      <c r="K370" s="125" t="s">
        <v>513</v>
      </c>
      <c r="L370" s="126" t="s">
        <v>690</v>
      </c>
      <c r="M370" s="127">
        <v>8</v>
      </c>
      <c r="N370" s="126" t="s">
        <v>689</v>
      </c>
      <c r="O370" s="131" t="s">
        <v>689</v>
      </c>
      <c r="P370" s="189" t="s">
        <v>1127</v>
      </c>
    </row>
    <row r="371" spans="1:16" x14ac:dyDescent="0.3">
      <c r="A371" t="s">
        <v>385</v>
      </c>
      <c r="B371" s="117">
        <v>1095170</v>
      </c>
      <c r="C371" s="117">
        <v>1154681</v>
      </c>
      <c r="D371" s="141">
        <v>1117116</v>
      </c>
      <c r="E371" s="117">
        <v>1204215</v>
      </c>
      <c r="F371">
        <v>10.4</v>
      </c>
      <c r="G371" s="162">
        <v>3.72</v>
      </c>
      <c r="H371" s="164">
        <v>87005</v>
      </c>
      <c r="I371" s="161">
        <v>294373276890</v>
      </c>
      <c r="J371"/>
      <c r="K371" s="125" t="s">
        <v>514</v>
      </c>
      <c r="L371" s="126" t="s">
        <v>689</v>
      </c>
      <c r="M371" s="127">
        <v>13</v>
      </c>
      <c r="N371" s="126" t="s">
        <v>689</v>
      </c>
      <c r="O371" s="131" t="s">
        <v>689</v>
      </c>
      <c r="P371" s="189" t="s">
        <v>1128</v>
      </c>
    </row>
    <row r="372" spans="1:16" x14ac:dyDescent="0.3">
      <c r="A372" t="s">
        <v>386</v>
      </c>
      <c r="B372" s="117">
        <v>197</v>
      </c>
      <c r="C372" s="117">
        <v>205</v>
      </c>
      <c r="D372" s="141">
        <v>138</v>
      </c>
      <c r="E372" s="117">
        <v>148</v>
      </c>
      <c r="F372">
        <v>13.2</v>
      </c>
      <c r="G372" s="162">
        <v>3.78</v>
      </c>
      <c r="H372" s="164">
        <v>47750</v>
      </c>
      <c r="I372" s="161"/>
      <c r="J372"/>
      <c r="K372" s="125" t="s">
        <v>515</v>
      </c>
      <c r="L372" s="126" t="s">
        <v>689</v>
      </c>
      <c r="M372" s="127">
        <v>3</v>
      </c>
      <c r="N372" s="126" t="s">
        <v>689</v>
      </c>
      <c r="O372" s="131" t="s">
        <v>689</v>
      </c>
      <c r="P372" s="189" t="s">
        <v>1129</v>
      </c>
    </row>
    <row r="373" spans="1:16" x14ac:dyDescent="0.3">
      <c r="A373" t="s">
        <v>387</v>
      </c>
      <c r="B373" s="117">
        <v>688</v>
      </c>
      <c r="C373" s="117">
        <v>573</v>
      </c>
      <c r="D373" s="141">
        <v>462</v>
      </c>
      <c r="E373" s="117">
        <v>516</v>
      </c>
      <c r="F373">
        <v>22.9</v>
      </c>
      <c r="G373" s="162">
        <v>3.11</v>
      </c>
      <c r="H373" s="164">
        <v>44531</v>
      </c>
      <c r="I373" s="161">
        <v>30307831</v>
      </c>
      <c r="J373"/>
      <c r="K373" s="125" t="s">
        <v>516</v>
      </c>
      <c r="L373" s="126" t="s">
        <v>689</v>
      </c>
      <c r="M373" s="127">
        <v>4</v>
      </c>
      <c r="N373" s="126" t="s">
        <v>689</v>
      </c>
      <c r="O373" s="131" t="s">
        <v>689</v>
      </c>
      <c r="P373" s="189" t="s">
        <v>1130</v>
      </c>
    </row>
    <row r="374" spans="1:16" x14ac:dyDescent="0.3">
      <c r="A374" t="s">
        <v>388</v>
      </c>
      <c r="B374" s="117">
        <v>269</v>
      </c>
      <c r="C374" s="117">
        <v>141</v>
      </c>
      <c r="D374" s="141">
        <v>102</v>
      </c>
      <c r="E374" s="117">
        <v>99</v>
      </c>
      <c r="F374">
        <v>49.6</v>
      </c>
      <c r="G374" s="162">
        <v>4.41</v>
      </c>
      <c r="H374" s="164"/>
      <c r="I374" s="161">
        <v>10433023</v>
      </c>
      <c r="J374"/>
      <c r="K374" s="125" t="s">
        <v>517</v>
      </c>
      <c r="L374" s="126" t="s">
        <v>689</v>
      </c>
      <c r="M374" s="127">
        <v>3</v>
      </c>
      <c r="N374" s="126" t="s">
        <v>689</v>
      </c>
      <c r="O374" s="131" t="s">
        <v>689</v>
      </c>
      <c r="P374" s="189" t="s">
        <v>1131</v>
      </c>
    </row>
    <row r="375" spans="1:16" x14ac:dyDescent="0.3">
      <c r="A375" t="s">
        <v>389</v>
      </c>
      <c r="B375" s="117">
        <v>1087</v>
      </c>
      <c r="C375" s="117">
        <v>867</v>
      </c>
      <c r="D375" s="141">
        <v>920</v>
      </c>
      <c r="E375" s="117">
        <v>973</v>
      </c>
      <c r="F375">
        <v>12.7</v>
      </c>
      <c r="G375" s="162">
        <v>4.5</v>
      </c>
      <c r="H375" s="164">
        <v>48281</v>
      </c>
      <c r="I375" s="161">
        <v>117776762</v>
      </c>
      <c r="J375"/>
      <c r="K375" s="125" t="s">
        <v>518</v>
      </c>
      <c r="L375" s="126" t="s">
        <v>689</v>
      </c>
      <c r="M375" s="127">
        <v>5</v>
      </c>
      <c r="N375" s="126" t="s">
        <v>689</v>
      </c>
      <c r="O375" s="131" t="s">
        <v>689</v>
      </c>
      <c r="P375" s="189" t="s">
        <v>518</v>
      </c>
    </row>
    <row r="376" spans="1:16" x14ac:dyDescent="0.3">
      <c r="A376" t="s">
        <v>390</v>
      </c>
      <c r="B376" s="117">
        <v>3702</v>
      </c>
      <c r="C376" s="117">
        <v>4860</v>
      </c>
      <c r="D376" s="141">
        <v>4760</v>
      </c>
      <c r="E376" s="117">
        <v>5330</v>
      </c>
      <c r="F376">
        <v>4.0999999999999996</v>
      </c>
      <c r="G376" s="162">
        <v>3.48</v>
      </c>
      <c r="H376" s="164">
        <v>101477</v>
      </c>
      <c r="I376" s="161">
        <v>961337427</v>
      </c>
      <c r="J376"/>
      <c r="K376" s="128" t="s">
        <v>519</v>
      </c>
      <c r="L376" s="126" t="s">
        <v>690</v>
      </c>
      <c r="M376" s="127">
        <v>15</v>
      </c>
      <c r="N376" s="126" t="s">
        <v>689</v>
      </c>
      <c r="O376" s="131" t="s">
        <v>689</v>
      </c>
      <c r="P376" s="189" t="s">
        <v>1132</v>
      </c>
    </row>
    <row r="377" spans="1:16" x14ac:dyDescent="0.3">
      <c r="A377" t="s">
        <v>391</v>
      </c>
      <c r="B377" s="117">
        <v>4851</v>
      </c>
      <c r="C377" s="117">
        <v>4897</v>
      </c>
      <c r="D377" s="141">
        <v>4755</v>
      </c>
      <c r="E377" s="117">
        <v>4973</v>
      </c>
      <c r="F377">
        <v>5</v>
      </c>
      <c r="G377" s="162">
        <v>3.68</v>
      </c>
      <c r="H377" s="164">
        <v>83446</v>
      </c>
      <c r="I377" s="161">
        <v>456133476</v>
      </c>
      <c r="J377"/>
      <c r="K377" s="125" t="s">
        <v>520</v>
      </c>
      <c r="L377" s="126" t="s">
        <v>690</v>
      </c>
      <c r="M377" s="127">
        <v>8</v>
      </c>
      <c r="N377" s="126" t="s">
        <v>689</v>
      </c>
      <c r="O377" s="131" t="s">
        <v>689</v>
      </c>
      <c r="P377" s="189" t="s">
        <v>1133</v>
      </c>
    </row>
    <row r="378" spans="1:16" x14ac:dyDescent="0.3">
      <c r="A378" t="s">
        <v>392</v>
      </c>
      <c r="B378" s="117">
        <v>7319</v>
      </c>
      <c r="C378" s="117">
        <v>7281</v>
      </c>
      <c r="D378" s="141">
        <v>7176</v>
      </c>
      <c r="E378" s="117">
        <v>7546</v>
      </c>
      <c r="F378">
        <v>2.6</v>
      </c>
      <c r="G378" s="162">
        <v>3.26</v>
      </c>
      <c r="H378" s="164">
        <v>105398</v>
      </c>
      <c r="I378" s="161">
        <v>2395673442</v>
      </c>
      <c r="J378"/>
      <c r="K378" s="125" t="s">
        <v>524</v>
      </c>
      <c r="L378" s="126" t="s">
        <v>689</v>
      </c>
      <c r="M378" s="127">
        <v>5</v>
      </c>
      <c r="N378" s="126" t="s">
        <v>689</v>
      </c>
      <c r="O378" s="131" t="s">
        <v>689</v>
      </c>
      <c r="P378" s="189" t="s">
        <v>1134</v>
      </c>
    </row>
    <row r="379" spans="1:16" x14ac:dyDescent="0.3">
      <c r="A379" t="s">
        <v>393</v>
      </c>
      <c r="B379" s="117">
        <v>239</v>
      </c>
      <c r="C379" s="117">
        <v>133</v>
      </c>
      <c r="D379" s="141">
        <v>152</v>
      </c>
      <c r="E379" s="117">
        <v>149</v>
      </c>
      <c r="F379">
        <v>25.6</v>
      </c>
      <c r="G379" s="162">
        <v>3.64</v>
      </c>
      <c r="H379" s="164">
        <v>36136</v>
      </c>
      <c r="I379" s="161">
        <v>14033307</v>
      </c>
      <c r="J379"/>
      <c r="K379" s="125" t="s">
        <v>526</v>
      </c>
      <c r="L379" s="126" t="s">
        <v>690</v>
      </c>
      <c r="M379" s="127">
        <v>5</v>
      </c>
      <c r="N379" s="126" t="s">
        <v>689</v>
      </c>
      <c r="O379" s="131" t="s">
        <v>689</v>
      </c>
      <c r="P379" s="189" t="s">
        <v>1135</v>
      </c>
    </row>
    <row r="380" spans="1:16" x14ac:dyDescent="0.3">
      <c r="A380" t="s">
        <v>394</v>
      </c>
      <c r="B380" s="117">
        <v>3057</v>
      </c>
      <c r="C380" s="117">
        <v>3314</v>
      </c>
      <c r="D380" s="141">
        <v>3188</v>
      </c>
      <c r="E380" s="117">
        <v>3418</v>
      </c>
      <c r="F380">
        <v>4.2</v>
      </c>
      <c r="G380" s="162">
        <v>3.26</v>
      </c>
      <c r="H380" s="164">
        <v>91500</v>
      </c>
      <c r="I380" s="161">
        <v>452935989</v>
      </c>
      <c r="J380"/>
      <c r="K380" s="125" t="s">
        <v>529</v>
      </c>
      <c r="L380" s="126" t="s">
        <v>690</v>
      </c>
      <c r="M380" s="127">
        <v>3</v>
      </c>
      <c r="N380" s="126" t="s">
        <v>689</v>
      </c>
      <c r="O380" s="131" t="s">
        <v>689</v>
      </c>
      <c r="P380" s="189" t="s">
        <v>1136</v>
      </c>
    </row>
    <row r="381" spans="1:16" x14ac:dyDescent="0.3">
      <c r="A381" t="s">
        <v>395</v>
      </c>
      <c r="B381" s="117">
        <v>474</v>
      </c>
      <c r="C381" s="117">
        <v>593</v>
      </c>
      <c r="D381" s="141">
        <v>528</v>
      </c>
      <c r="E381" s="117">
        <v>614</v>
      </c>
      <c r="F381">
        <v>9.8000000000000007</v>
      </c>
      <c r="G381" s="162">
        <v>3.78</v>
      </c>
      <c r="H381" s="164">
        <v>73690</v>
      </c>
      <c r="I381" s="161">
        <v>141040130</v>
      </c>
      <c r="J381"/>
      <c r="K381" s="125" t="s">
        <v>530</v>
      </c>
      <c r="L381" s="126" t="s">
        <v>689</v>
      </c>
      <c r="M381" s="127">
        <v>7</v>
      </c>
      <c r="N381" s="126" t="s">
        <v>689</v>
      </c>
      <c r="O381" s="131" t="s">
        <v>689</v>
      </c>
      <c r="P381" s="189" t="s">
        <v>1137</v>
      </c>
    </row>
    <row r="382" spans="1:16" x14ac:dyDescent="0.3">
      <c r="A382" t="s">
        <v>396</v>
      </c>
      <c r="B382" s="117">
        <v>27258</v>
      </c>
      <c r="C382" s="117">
        <v>27556</v>
      </c>
      <c r="D382" s="141">
        <v>26531</v>
      </c>
      <c r="E382" s="117">
        <v>28761</v>
      </c>
      <c r="F382">
        <v>8.4</v>
      </c>
      <c r="G382" s="162">
        <v>3.49</v>
      </c>
      <c r="H382" s="164">
        <v>100860</v>
      </c>
      <c r="I382" s="161">
        <v>6003276582</v>
      </c>
      <c r="J382"/>
      <c r="K382" s="125" t="s">
        <v>531</v>
      </c>
      <c r="L382" s="126" t="s">
        <v>689</v>
      </c>
      <c r="M382" s="127">
        <v>1</v>
      </c>
      <c r="N382" s="126" t="s">
        <v>689</v>
      </c>
      <c r="O382" s="131" t="s">
        <v>689</v>
      </c>
      <c r="P382" s="189" t="s">
        <v>1138</v>
      </c>
    </row>
    <row r="383" spans="1:16" x14ac:dyDescent="0.3">
      <c r="A383" t="s">
        <v>397</v>
      </c>
      <c r="B383" s="117">
        <v>702</v>
      </c>
      <c r="C383" s="117">
        <v>659</v>
      </c>
      <c r="D383" s="141">
        <v>696</v>
      </c>
      <c r="E383" s="117">
        <v>650</v>
      </c>
      <c r="F383">
        <v>21.8</v>
      </c>
      <c r="G383" s="162">
        <v>3.09</v>
      </c>
      <c r="H383" s="164">
        <v>60417</v>
      </c>
      <c r="I383" s="161">
        <v>19597379</v>
      </c>
      <c r="J383"/>
      <c r="K383" s="125" t="s">
        <v>532</v>
      </c>
      <c r="L383" s="126" t="s">
        <v>689</v>
      </c>
      <c r="M383" s="127">
        <v>3</v>
      </c>
      <c r="N383" s="126" t="s">
        <v>689</v>
      </c>
      <c r="O383" s="131" t="s">
        <v>689</v>
      </c>
      <c r="P383" s="189" t="s">
        <v>1139</v>
      </c>
    </row>
    <row r="384" spans="1:16" x14ac:dyDescent="0.3">
      <c r="A384" t="s">
        <v>398</v>
      </c>
      <c r="B384" s="117">
        <v>14959</v>
      </c>
      <c r="C384" s="117">
        <v>14992</v>
      </c>
      <c r="D384" s="141">
        <v>14831</v>
      </c>
      <c r="E384" s="117">
        <v>14632</v>
      </c>
      <c r="F384">
        <v>12.9</v>
      </c>
      <c r="G384" s="162">
        <v>4.5599999999999996</v>
      </c>
      <c r="H384" s="164">
        <v>57602</v>
      </c>
      <c r="I384" s="161">
        <v>2530898418</v>
      </c>
      <c r="J384"/>
      <c r="K384" s="125" t="s">
        <v>533</v>
      </c>
      <c r="L384" s="126" t="s">
        <v>689</v>
      </c>
      <c r="M384" s="127">
        <v>2</v>
      </c>
      <c r="N384" s="126" t="s">
        <v>689</v>
      </c>
      <c r="O384" s="131" t="s">
        <v>689</v>
      </c>
      <c r="P384" s="189" t="s">
        <v>533</v>
      </c>
    </row>
    <row r="385" spans="1:16" x14ac:dyDescent="0.3">
      <c r="A385" t="s">
        <v>399</v>
      </c>
      <c r="B385" s="117">
        <v>5241</v>
      </c>
      <c r="C385" s="117">
        <v>6068</v>
      </c>
      <c r="D385" s="141">
        <v>5890</v>
      </c>
      <c r="E385" s="117">
        <v>6506</v>
      </c>
      <c r="F385">
        <v>19.2</v>
      </c>
      <c r="G385" s="162">
        <v>3.27</v>
      </c>
      <c r="H385" s="164">
        <v>55367</v>
      </c>
      <c r="I385" s="161">
        <v>1277224387</v>
      </c>
      <c r="J385"/>
      <c r="K385" s="125" t="s">
        <v>535</v>
      </c>
      <c r="L385" s="126" t="s">
        <v>689</v>
      </c>
      <c r="M385" s="127">
        <v>6</v>
      </c>
      <c r="N385" s="126" t="s">
        <v>689</v>
      </c>
      <c r="O385" s="131" t="s">
        <v>689</v>
      </c>
      <c r="P385" s="189" t="s">
        <v>1140</v>
      </c>
    </row>
    <row r="386" spans="1:16" x14ac:dyDescent="0.3">
      <c r="A386" t="s">
        <v>400</v>
      </c>
      <c r="B386" s="117">
        <v>430</v>
      </c>
      <c r="C386" s="117">
        <v>398</v>
      </c>
      <c r="D386" s="141">
        <v>272</v>
      </c>
      <c r="E386" s="117">
        <v>295</v>
      </c>
      <c r="F386">
        <v>30.4</v>
      </c>
      <c r="G386" s="162">
        <v>4.5</v>
      </c>
      <c r="H386" s="164">
        <v>65278</v>
      </c>
      <c r="I386" s="161">
        <v>19419664</v>
      </c>
      <c r="J386"/>
      <c r="K386" s="125" t="s">
        <v>536</v>
      </c>
      <c r="L386" s="126" t="s">
        <v>689</v>
      </c>
      <c r="M386" s="127">
        <v>5</v>
      </c>
      <c r="N386" s="126" t="s">
        <v>689</v>
      </c>
      <c r="O386" s="131" t="s">
        <v>689</v>
      </c>
      <c r="P386" s="189" t="s">
        <v>1141</v>
      </c>
    </row>
    <row r="387" spans="1:16" x14ac:dyDescent="0.3">
      <c r="A387" t="s">
        <v>401</v>
      </c>
      <c r="B387" s="117">
        <v>35339</v>
      </c>
      <c r="C387" s="117">
        <v>36759</v>
      </c>
      <c r="D387" s="141">
        <v>34780</v>
      </c>
      <c r="E387" s="117">
        <v>39256</v>
      </c>
      <c r="F387">
        <v>13.3</v>
      </c>
      <c r="G387" s="162">
        <v>3.26</v>
      </c>
      <c r="H387" s="164">
        <v>72540</v>
      </c>
      <c r="I387" s="161">
        <v>6054458046</v>
      </c>
      <c r="J387"/>
      <c r="K387" s="125" t="s">
        <v>537</v>
      </c>
      <c r="L387" s="126" t="s">
        <v>690</v>
      </c>
      <c r="M387" s="127">
        <v>4</v>
      </c>
      <c r="N387" s="126" t="s">
        <v>689</v>
      </c>
      <c r="O387" s="131" t="s">
        <v>689</v>
      </c>
      <c r="P387" s="189" t="s">
        <v>1142</v>
      </c>
    </row>
    <row r="388" spans="1:16" x14ac:dyDescent="0.3">
      <c r="A388" t="s">
        <v>402</v>
      </c>
      <c r="B388" s="117">
        <v>27223</v>
      </c>
      <c r="C388" s="117">
        <v>26007</v>
      </c>
      <c r="D388" s="141">
        <v>25607</v>
      </c>
      <c r="E388" s="117">
        <v>26152</v>
      </c>
      <c r="F388">
        <v>15.4</v>
      </c>
      <c r="G388" s="162">
        <v>3.89</v>
      </c>
      <c r="H388" s="164">
        <v>57766</v>
      </c>
      <c r="I388" s="161">
        <v>3863269592</v>
      </c>
      <c r="J388"/>
      <c r="K388" s="125" t="s">
        <v>538</v>
      </c>
      <c r="L388" s="126" t="s">
        <v>689</v>
      </c>
      <c r="M388" s="127">
        <v>3</v>
      </c>
      <c r="N388" s="126" t="s">
        <v>689</v>
      </c>
      <c r="O388" s="131" t="s">
        <v>689</v>
      </c>
      <c r="P388" s="189" t="s">
        <v>1143</v>
      </c>
    </row>
    <row r="389" spans="1:16" x14ac:dyDescent="0.3">
      <c r="A389" t="s">
        <v>403</v>
      </c>
      <c r="B389" s="117">
        <v>362</v>
      </c>
      <c r="C389" s="117">
        <v>630</v>
      </c>
      <c r="D389" s="141">
        <v>998</v>
      </c>
      <c r="E389" s="117">
        <v>1049</v>
      </c>
      <c r="F389">
        <v>0</v>
      </c>
      <c r="G389" s="162">
        <v>4.3899999999999997</v>
      </c>
      <c r="H389" s="164">
        <v>115568</v>
      </c>
      <c r="I389" s="161">
        <v>303647920</v>
      </c>
      <c r="J389"/>
      <c r="K389" s="125" t="s">
        <v>539</v>
      </c>
      <c r="L389" s="126" t="s">
        <v>689</v>
      </c>
      <c r="M389" s="127">
        <v>4</v>
      </c>
      <c r="N389" s="126" t="s">
        <v>689</v>
      </c>
      <c r="O389" s="131" t="s">
        <v>689</v>
      </c>
      <c r="P389" s="189" t="s">
        <v>539</v>
      </c>
    </row>
    <row r="390" spans="1:16" x14ac:dyDescent="0.3">
      <c r="A390" t="s">
        <v>404</v>
      </c>
      <c r="B390" s="117">
        <v>99263</v>
      </c>
      <c r="C390" s="117">
        <v>104876</v>
      </c>
      <c r="D390" s="141">
        <v>100562</v>
      </c>
      <c r="E390" s="117">
        <v>109962</v>
      </c>
      <c r="F390">
        <v>10.1</v>
      </c>
      <c r="G390" s="162">
        <v>3.33</v>
      </c>
      <c r="H390" s="164">
        <v>86080</v>
      </c>
      <c r="I390" s="161">
        <v>22797565680</v>
      </c>
      <c r="J390"/>
      <c r="K390" s="125" t="s">
        <v>540</v>
      </c>
      <c r="L390" s="126" t="s">
        <v>690</v>
      </c>
      <c r="M390" s="127">
        <v>9</v>
      </c>
      <c r="N390" s="126" t="s">
        <v>689</v>
      </c>
      <c r="O390" s="131" t="s">
        <v>689</v>
      </c>
      <c r="P390" s="189" t="s">
        <v>1144</v>
      </c>
    </row>
    <row r="391" spans="1:16" x14ac:dyDescent="0.3">
      <c r="A391" t="s">
        <v>405</v>
      </c>
      <c r="B391" s="117">
        <v>220</v>
      </c>
      <c r="C391" s="117">
        <v>190</v>
      </c>
      <c r="D391" s="141">
        <v>294</v>
      </c>
      <c r="E391" s="117">
        <v>291</v>
      </c>
      <c r="F391">
        <v>15.3</v>
      </c>
      <c r="G391" s="162">
        <v>4.0599999999999996</v>
      </c>
      <c r="H391" s="164">
        <v>49464</v>
      </c>
      <c r="I391" s="161"/>
      <c r="J391"/>
      <c r="K391" s="125" t="s">
        <v>541</v>
      </c>
      <c r="L391" s="126" t="s">
        <v>690</v>
      </c>
      <c r="M391" s="127">
        <v>7</v>
      </c>
      <c r="N391" s="126" t="s">
        <v>689</v>
      </c>
      <c r="O391" s="131" t="s">
        <v>689</v>
      </c>
      <c r="P391" s="189" t="s">
        <v>1145</v>
      </c>
    </row>
    <row r="392" spans="1:16" x14ac:dyDescent="0.3">
      <c r="A392" t="s">
        <v>406</v>
      </c>
      <c r="B392" s="117">
        <v>38498</v>
      </c>
      <c r="C392" s="117">
        <v>52381</v>
      </c>
      <c r="D392" s="141">
        <v>50898</v>
      </c>
      <c r="E392" s="117">
        <v>59494</v>
      </c>
      <c r="F392">
        <v>7.3</v>
      </c>
      <c r="G392" s="162">
        <v>3.36</v>
      </c>
      <c r="H392" s="164">
        <v>89647</v>
      </c>
      <c r="I392" s="161">
        <v>13002876894</v>
      </c>
      <c r="J392"/>
      <c r="K392" s="125" t="s">
        <v>543</v>
      </c>
      <c r="L392" s="126" t="s">
        <v>689</v>
      </c>
      <c r="M392" s="127">
        <v>2</v>
      </c>
      <c r="N392" s="126" t="s">
        <v>689</v>
      </c>
      <c r="O392" s="131" t="s">
        <v>689</v>
      </c>
      <c r="P392" s="189" t="s">
        <v>543</v>
      </c>
    </row>
    <row r="393" spans="1:16" x14ac:dyDescent="0.3">
      <c r="A393" t="s">
        <v>407</v>
      </c>
      <c r="B393" s="117">
        <v>9495</v>
      </c>
      <c r="C393" s="117">
        <v>9806</v>
      </c>
      <c r="D393" s="141">
        <v>9629</v>
      </c>
      <c r="E393" s="117">
        <v>10207</v>
      </c>
      <c r="F393">
        <v>18.100000000000001</v>
      </c>
      <c r="G393" s="162">
        <v>3.35</v>
      </c>
      <c r="H393" s="164">
        <v>56233</v>
      </c>
      <c r="I393" s="161">
        <v>2459018385</v>
      </c>
      <c r="J393"/>
      <c r="K393" s="125" t="s">
        <v>545</v>
      </c>
      <c r="L393" s="126" t="s">
        <v>689</v>
      </c>
      <c r="M393" s="127">
        <v>6</v>
      </c>
      <c r="N393" s="126" t="s">
        <v>689</v>
      </c>
      <c r="O393" s="131" t="s">
        <v>689</v>
      </c>
      <c r="P393" s="189" t="s">
        <v>545</v>
      </c>
    </row>
    <row r="394" spans="1:16" x14ac:dyDescent="0.3">
      <c r="A394" t="s">
        <v>408</v>
      </c>
      <c r="B394" s="117">
        <v>16517</v>
      </c>
      <c r="C394" s="117">
        <v>17646</v>
      </c>
      <c r="D394" s="141">
        <v>17502</v>
      </c>
      <c r="E394" s="117">
        <v>18204</v>
      </c>
      <c r="F394">
        <v>25.7</v>
      </c>
      <c r="G394" s="162">
        <v>3.56</v>
      </c>
      <c r="H394" s="164">
        <v>51355</v>
      </c>
      <c r="I394" s="161">
        <v>2773413170</v>
      </c>
      <c r="J394"/>
      <c r="K394" s="125" t="s">
        <v>546</v>
      </c>
      <c r="L394" s="126" t="s">
        <v>689</v>
      </c>
      <c r="M394" s="127">
        <v>3</v>
      </c>
      <c r="N394" s="126" t="s">
        <v>689</v>
      </c>
      <c r="O394" s="131" t="s">
        <v>689</v>
      </c>
      <c r="P394" s="189" t="s">
        <v>1146</v>
      </c>
    </row>
    <row r="395" spans="1:16" x14ac:dyDescent="0.3">
      <c r="A395" t="s">
        <v>409</v>
      </c>
      <c r="B395" s="117">
        <v>27582</v>
      </c>
      <c r="C395" s="117">
        <v>31422</v>
      </c>
      <c r="D395" s="141">
        <v>30118</v>
      </c>
      <c r="E395" s="117">
        <v>34021</v>
      </c>
      <c r="F395">
        <v>3.1</v>
      </c>
      <c r="G395" s="162">
        <v>3.16</v>
      </c>
      <c r="H395" s="164">
        <v>125396</v>
      </c>
      <c r="I395" s="161">
        <v>9816285376</v>
      </c>
      <c r="J395"/>
      <c r="K395" s="125" t="s">
        <v>547</v>
      </c>
      <c r="L395" s="126" t="s">
        <v>689</v>
      </c>
      <c r="M395" s="127">
        <v>2</v>
      </c>
      <c r="N395" s="126" t="s">
        <v>689</v>
      </c>
      <c r="O395" s="131" t="s">
        <v>689</v>
      </c>
      <c r="P395" s="189" t="s">
        <v>1147</v>
      </c>
    </row>
    <row r="396" spans="1:16" x14ac:dyDescent="0.3">
      <c r="A396" t="s">
        <v>410</v>
      </c>
      <c r="B396" s="117">
        <v>477</v>
      </c>
      <c r="C396" s="117">
        <v>362</v>
      </c>
      <c r="D396" s="141">
        <v>327</v>
      </c>
      <c r="E396" s="117">
        <v>331</v>
      </c>
      <c r="F396">
        <v>47.9</v>
      </c>
      <c r="G396" s="162">
        <v>4.4400000000000004</v>
      </c>
      <c r="H396" s="164">
        <v>28125</v>
      </c>
      <c r="I396" s="161">
        <v>16534052</v>
      </c>
      <c r="J396"/>
      <c r="K396" s="128" t="s">
        <v>548</v>
      </c>
      <c r="L396" s="126" t="s">
        <v>689</v>
      </c>
      <c r="M396" s="127">
        <v>1</v>
      </c>
      <c r="N396" s="126" t="s">
        <v>689</v>
      </c>
      <c r="O396" s="131" t="s">
        <v>689</v>
      </c>
      <c r="P396" s="189" t="s">
        <v>1148</v>
      </c>
    </row>
    <row r="397" spans="1:16" x14ac:dyDescent="0.3">
      <c r="A397" t="s">
        <v>411</v>
      </c>
      <c r="B397" s="117">
        <v>10213</v>
      </c>
      <c r="C397" s="117">
        <v>10633</v>
      </c>
      <c r="D397" s="141">
        <v>10606</v>
      </c>
      <c r="E397" s="117">
        <v>10638</v>
      </c>
      <c r="F397">
        <v>26.9</v>
      </c>
      <c r="G397" s="162">
        <v>3.28</v>
      </c>
      <c r="H397" s="164">
        <v>40275</v>
      </c>
      <c r="I397" s="161">
        <v>1373581733</v>
      </c>
      <c r="J397"/>
      <c r="K397" s="125" t="s">
        <v>549</v>
      </c>
      <c r="L397" s="126" t="s">
        <v>689</v>
      </c>
      <c r="M397" s="127">
        <v>2</v>
      </c>
      <c r="N397" s="126" t="s">
        <v>689</v>
      </c>
      <c r="O397" s="131" t="s">
        <v>689</v>
      </c>
      <c r="P397" s="189" t="s">
        <v>1149</v>
      </c>
    </row>
    <row r="398" spans="1:16" x14ac:dyDescent="0.3">
      <c r="A398" t="s">
        <v>412</v>
      </c>
      <c r="B398" s="117">
        <v>1202</v>
      </c>
      <c r="C398" s="117">
        <v>1197</v>
      </c>
      <c r="D398" s="141">
        <v>1168</v>
      </c>
      <c r="E398" s="117">
        <v>1180</v>
      </c>
      <c r="F398">
        <v>16.8</v>
      </c>
      <c r="G398" s="162">
        <v>3.89</v>
      </c>
      <c r="H398" s="164">
        <v>58885</v>
      </c>
      <c r="I398" s="161">
        <v>105122316</v>
      </c>
      <c r="J398"/>
      <c r="K398" s="125" t="s">
        <v>550</v>
      </c>
      <c r="L398" s="126" t="s">
        <v>689</v>
      </c>
      <c r="M398" s="127">
        <v>3</v>
      </c>
      <c r="N398" s="126" t="s">
        <v>689</v>
      </c>
      <c r="O398" s="131" t="s">
        <v>689</v>
      </c>
      <c r="P398" s="189" t="s">
        <v>1150</v>
      </c>
    </row>
    <row r="399" spans="1:16" x14ac:dyDescent="0.3">
      <c r="A399" t="s">
        <v>413</v>
      </c>
      <c r="B399" s="117">
        <v>15947</v>
      </c>
      <c r="C399" s="117">
        <v>18208</v>
      </c>
      <c r="D399" s="141">
        <v>17851</v>
      </c>
      <c r="E399" s="117">
        <v>19812</v>
      </c>
      <c r="F399">
        <v>8.1999999999999993</v>
      </c>
      <c r="G399" s="162">
        <v>3.74</v>
      </c>
      <c r="H399" s="164">
        <v>79385</v>
      </c>
      <c r="I399" s="161">
        <v>3274027816</v>
      </c>
      <c r="J399"/>
      <c r="K399" s="125" t="s">
        <v>551</v>
      </c>
      <c r="L399" s="126" t="s">
        <v>690</v>
      </c>
      <c r="M399" s="127">
        <v>7</v>
      </c>
      <c r="N399" s="126" t="s">
        <v>689</v>
      </c>
      <c r="O399" s="131" t="s">
        <v>689</v>
      </c>
      <c r="P399" s="189" t="s">
        <v>1151</v>
      </c>
    </row>
    <row r="400" spans="1:16" x14ac:dyDescent="0.3">
      <c r="A400" t="s">
        <v>414</v>
      </c>
      <c r="B400" s="117">
        <v>4670</v>
      </c>
      <c r="C400" s="117">
        <v>4453</v>
      </c>
      <c r="D400" s="141">
        <v>4442</v>
      </c>
      <c r="E400" s="117">
        <v>4982</v>
      </c>
      <c r="F400">
        <v>17.7</v>
      </c>
      <c r="G400" s="162">
        <v>3.48</v>
      </c>
      <c r="H400" s="164">
        <v>48700</v>
      </c>
      <c r="I400" s="161">
        <v>309903538</v>
      </c>
      <c r="J400"/>
      <c r="K400" s="125" t="s">
        <v>552</v>
      </c>
      <c r="L400" s="126" t="s">
        <v>689</v>
      </c>
      <c r="M400" s="127">
        <v>3</v>
      </c>
      <c r="N400" s="126" t="s">
        <v>689</v>
      </c>
      <c r="O400" s="131" t="s">
        <v>689</v>
      </c>
      <c r="P400" s="189" t="s">
        <v>1152</v>
      </c>
    </row>
    <row r="401" spans="1:16" x14ac:dyDescent="0.3">
      <c r="A401" t="s">
        <v>415</v>
      </c>
      <c r="B401" s="117">
        <v>2007</v>
      </c>
      <c r="C401" s="117">
        <v>2230</v>
      </c>
      <c r="D401" s="141">
        <v>1686</v>
      </c>
      <c r="E401" s="117">
        <v>1756</v>
      </c>
      <c r="F401">
        <v>6.6</v>
      </c>
      <c r="G401" s="162">
        <v>3.48</v>
      </c>
      <c r="H401" s="164">
        <v>90795</v>
      </c>
      <c r="I401" s="161">
        <v>300878936</v>
      </c>
      <c r="J401"/>
      <c r="K401" s="125" t="s">
        <v>553</v>
      </c>
      <c r="L401" s="126" t="s">
        <v>689</v>
      </c>
      <c r="M401" s="127">
        <v>7</v>
      </c>
      <c r="N401" s="126" t="s">
        <v>689</v>
      </c>
      <c r="O401" s="131" t="s">
        <v>689</v>
      </c>
      <c r="P401" s="189" t="s">
        <v>1153</v>
      </c>
    </row>
    <row r="402" spans="1:16" x14ac:dyDescent="0.3">
      <c r="A402" t="s">
        <v>416</v>
      </c>
      <c r="B402" s="117">
        <v>2993</v>
      </c>
      <c r="C402" s="117">
        <v>3170</v>
      </c>
      <c r="D402" s="141">
        <v>2647</v>
      </c>
      <c r="E402" s="117">
        <v>2224</v>
      </c>
      <c r="F402">
        <v>39.5</v>
      </c>
      <c r="G402" s="162">
        <v>4.22</v>
      </c>
      <c r="H402" s="164">
        <v>39914</v>
      </c>
      <c r="I402" s="161">
        <v>141031258</v>
      </c>
      <c r="J402"/>
      <c r="K402" s="125" t="s">
        <v>555</v>
      </c>
      <c r="L402" s="126" t="s">
        <v>689</v>
      </c>
      <c r="M402" s="127">
        <v>2</v>
      </c>
      <c r="N402" s="126" t="s">
        <v>689</v>
      </c>
      <c r="O402" s="131" t="s">
        <v>689</v>
      </c>
      <c r="P402" s="189" t="s">
        <v>1154</v>
      </c>
    </row>
    <row r="403" spans="1:16" x14ac:dyDescent="0.3">
      <c r="A403" t="s">
        <v>417</v>
      </c>
      <c r="B403" s="117">
        <v>1855</v>
      </c>
      <c r="C403" s="117">
        <v>1604</v>
      </c>
      <c r="D403" s="141">
        <v>1605</v>
      </c>
      <c r="E403" s="117">
        <v>1806</v>
      </c>
      <c r="F403">
        <v>17.5</v>
      </c>
      <c r="G403" s="162">
        <v>3.86</v>
      </c>
      <c r="H403" s="164">
        <v>37263</v>
      </c>
      <c r="I403" s="161">
        <v>296984568</v>
      </c>
      <c r="J403"/>
      <c r="K403" s="125" t="s">
        <v>556</v>
      </c>
      <c r="L403" s="126" t="s">
        <v>689</v>
      </c>
      <c r="M403" s="127">
        <v>1</v>
      </c>
      <c r="N403" s="126" t="s">
        <v>689</v>
      </c>
      <c r="O403" s="131" t="s">
        <v>689</v>
      </c>
      <c r="P403" s="189" t="s">
        <v>1155</v>
      </c>
    </row>
    <row r="404" spans="1:16" x14ac:dyDescent="0.3">
      <c r="A404" t="s">
        <v>418</v>
      </c>
      <c r="B404" s="117">
        <v>2965</v>
      </c>
      <c r="C404" s="117">
        <v>3160</v>
      </c>
      <c r="D404" s="141">
        <v>3215</v>
      </c>
      <c r="E404" s="117">
        <v>3294</v>
      </c>
      <c r="F404">
        <v>2.4</v>
      </c>
      <c r="G404" s="162">
        <v>4.07</v>
      </c>
      <c r="H404" s="164">
        <v>91264</v>
      </c>
      <c r="I404" s="161">
        <v>3154277855</v>
      </c>
      <c r="J404"/>
      <c r="K404" s="125" t="s">
        <v>557</v>
      </c>
      <c r="L404" s="126" t="s">
        <v>690</v>
      </c>
      <c r="M404" s="127">
        <v>4</v>
      </c>
      <c r="N404" s="126" t="s">
        <v>689</v>
      </c>
      <c r="O404" s="131" t="s">
        <v>689</v>
      </c>
      <c r="P404" s="189" t="s">
        <v>1156</v>
      </c>
    </row>
    <row r="405" spans="1:16" x14ac:dyDescent="0.3">
      <c r="A405" t="s">
        <v>419</v>
      </c>
      <c r="B405" s="117">
        <v>94287</v>
      </c>
      <c r="C405" s="117">
        <v>96216</v>
      </c>
      <c r="D405" s="141">
        <v>95419</v>
      </c>
      <c r="E405" s="117">
        <v>99728</v>
      </c>
      <c r="F405">
        <v>11.8</v>
      </c>
      <c r="G405" s="162">
        <v>4.5</v>
      </c>
      <c r="H405" s="164">
        <v>62426</v>
      </c>
      <c r="I405" s="161">
        <v>12063523631</v>
      </c>
      <c r="J405"/>
      <c r="K405" s="125" t="s">
        <v>558</v>
      </c>
      <c r="L405" s="126" t="s">
        <v>689</v>
      </c>
      <c r="M405" s="127">
        <v>1</v>
      </c>
      <c r="N405" s="126" t="s">
        <v>689</v>
      </c>
      <c r="O405" s="131" t="s">
        <v>689</v>
      </c>
      <c r="P405" s="189" t="s">
        <v>558</v>
      </c>
    </row>
    <row r="406" spans="1:16" x14ac:dyDescent="0.3">
      <c r="A406" t="s">
        <v>420</v>
      </c>
      <c r="B406" s="117">
        <v>5521</v>
      </c>
      <c r="C406" s="117">
        <v>5729</v>
      </c>
      <c r="D406" s="141">
        <v>5637</v>
      </c>
      <c r="E406" s="117">
        <v>5972</v>
      </c>
      <c r="F406">
        <v>16.899999999999999</v>
      </c>
      <c r="G406" s="162">
        <v>4.5</v>
      </c>
      <c r="H406" s="164">
        <v>61000</v>
      </c>
      <c r="I406" s="161">
        <v>608670328</v>
      </c>
      <c r="J406"/>
      <c r="K406" s="125" t="s">
        <v>559</v>
      </c>
      <c r="L406" s="126" t="s">
        <v>689</v>
      </c>
      <c r="M406" s="127">
        <v>2</v>
      </c>
      <c r="N406" s="126" t="s">
        <v>689</v>
      </c>
      <c r="O406" s="131" t="s">
        <v>689</v>
      </c>
      <c r="P406" s="189" t="s">
        <v>559</v>
      </c>
    </row>
    <row r="407" spans="1:16" x14ac:dyDescent="0.3">
      <c r="A407" t="s">
        <v>421</v>
      </c>
      <c r="B407" s="117">
        <v>2135</v>
      </c>
      <c r="C407" s="117">
        <v>2039</v>
      </c>
      <c r="D407" s="141">
        <v>1387</v>
      </c>
      <c r="E407" s="117">
        <v>1693</v>
      </c>
      <c r="F407">
        <v>9.1999999999999993</v>
      </c>
      <c r="G407" s="162">
        <v>4.04</v>
      </c>
      <c r="H407" s="164">
        <v>62000</v>
      </c>
      <c r="I407" s="161">
        <v>252400135</v>
      </c>
      <c r="J407"/>
      <c r="K407" s="125" t="s">
        <v>560</v>
      </c>
      <c r="L407" s="126" t="s">
        <v>689</v>
      </c>
      <c r="M407" s="127">
        <v>0</v>
      </c>
      <c r="N407" s="126" t="s">
        <v>689</v>
      </c>
      <c r="O407" s="131" t="s">
        <v>689</v>
      </c>
      <c r="P407" s="189" t="s">
        <v>560</v>
      </c>
    </row>
    <row r="408" spans="1:16" x14ac:dyDescent="0.3">
      <c r="A408" t="s">
        <v>423</v>
      </c>
      <c r="B408" s="117">
        <v>29985</v>
      </c>
      <c r="C408" s="117">
        <v>32734</v>
      </c>
      <c r="D408" s="141">
        <v>31443</v>
      </c>
      <c r="E408" s="117">
        <v>35266</v>
      </c>
      <c r="F408">
        <v>17.3</v>
      </c>
      <c r="G408" s="162">
        <v>3.68</v>
      </c>
      <c r="H408" s="164">
        <v>61031</v>
      </c>
      <c r="I408" s="161">
        <v>5189232019</v>
      </c>
      <c r="J408"/>
      <c r="K408" s="125" t="s">
        <v>561</v>
      </c>
      <c r="L408" s="126" t="s">
        <v>689</v>
      </c>
      <c r="M408" s="127">
        <v>1</v>
      </c>
      <c r="N408" s="126" t="s">
        <v>689</v>
      </c>
      <c r="O408" s="131" t="s">
        <v>689</v>
      </c>
      <c r="P408" s="189" t="s">
        <v>1157</v>
      </c>
    </row>
    <row r="409" spans="1:16" x14ac:dyDescent="0.3">
      <c r="A409" t="s">
        <v>424</v>
      </c>
      <c r="B409" s="117">
        <v>231448</v>
      </c>
      <c r="C409" s="117">
        <v>235229</v>
      </c>
      <c r="D409" s="141">
        <v>226902</v>
      </c>
      <c r="E409" s="117">
        <v>244809</v>
      </c>
      <c r="F409">
        <v>12.3</v>
      </c>
      <c r="G409" s="162">
        <v>3.36</v>
      </c>
      <c r="H409" s="164">
        <v>75166</v>
      </c>
      <c r="I409" s="161">
        <v>51833513262</v>
      </c>
      <c r="J409"/>
      <c r="K409" s="125" t="s">
        <v>563</v>
      </c>
      <c r="L409" s="126" t="s">
        <v>689</v>
      </c>
      <c r="M409" s="127">
        <v>1</v>
      </c>
      <c r="N409" s="126" t="s">
        <v>689</v>
      </c>
      <c r="O409" s="131" t="s">
        <v>689</v>
      </c>
      <c r="P409" s="189" t="s">
        <v>563</v>
      </c>
    </row>
    <row r="410" spans="1:16" x14ac:dyDescent="0.3">
      <c r="A410" t="s">
        <v>425</v>
      </c>
      <c r="B410" s="117">
        <v>640</v>
      </c>
      <c r="C410" s="117">
        <v>608</v>
      </c>
      <c r="D410" s="141">
        <v>712</v>
      </c>
      <c r="E410" s="117">
        <v>776</v>
      </c>
      <c r="F410">
        <v>18.7</v>
      </c>
      <c r="G410" s="162">
        <v>3.09</v>
      </c>
      <c r="H410" s="164">
        <v>61875</v>
      </c>
      <c r="I410" s="161">
        <v>286092297</v>
      </c>
      <c r="J410"/>
      <c r="K410" s="125" t="s">
        <v>565</v>
      </c>
      <c r="L410" s="126" t="s">
        <v>689</v>
      </c>
      <c r="M410" s="127">
        <v>1</v>
      </c>
      <c r="N410" s="126" t="s">
        <v>689</v>
      </c>
      <c r="O410" s="131" t="s">
        <v>689</v>
      </c>
      <c r="P410" s="189" t="s">
        <v>565</v>
      </c>
    </row>
    <row r="411" spans="1:16" x14ac:dyDescent="0.3">
      <c r="A411" t="s">
        <v>426</v>
      </c>
      <c r="B411" s="117">
        <v>710</v>
      </c>
      <c r="C411" s="117">
        <v>866</v>
      </c>
      <c r="D411" s="141">
        <v>708</v>
      </c>
      <c r="E411" s="117">
        <v>717</v>
      </c>
      <c r="F411">
        <v>22.3</v>
      </c>
      <c r="G411" s="162">
        <v>4.28</v>
      </c>
      <c r="H411" s="164">
        <v>46006</v>
      </c>
      <c r="I411" s="161">
        <v>87672949</v>
      </c>
      <c r="J411"/>
      <c r="K411" s="125" t="s">
        <v>566</v>
      </c>
      <c r="L411" s="126" t="s">
        <v>689</v>
      </c>
      <c r="M411" s="127">
        <v>7</v>
      </c>
      <c r="N411" s="126" t="s">
        <v>689</v>
      </c>
      <c r="O411" s="131" t="s">
        <v>689</v>
      </c>
      <c r="P411" s="189" t="s">
        <v>1158</v>
      </c>
    </row>
    <row r="412" spans="1:16" x14ac:dyDescent="0.3">
      <c r="A412" t="s">
        <v>427</v>
      </c>
      <c r="B412" s="117">
        <v>4610</v>
      </c>
      <c r="C412" s="117">
        <v>4441</v>
      </c>
      <c r="D412" s="141">
        <v>4370</v>
      </c>
      <c r="E412" s="117">
        <v>4534</v>
      </c>
      <c r="F412">
        <v>10.7</v>
      </c>
      <c r="G412" s="162">
        <v>3.35</v>
      </c>
      <c r="H412" s="164">
        <v>56351</v>
      </c>
      <c r="I412" s="161">
        <v>420953776</v>
      </c>
      <c r="J412"/>
      <c r="K412" s="125" t="s">
        <v>569</v>
      </c>
      <c r="L412" s="126" t="s">
        <v>689</v>
      </c>
      <c r="M412" s="127">
        <v>8</v>
      </c>
      <c r="N412" s="126" t="s">
        <v>689</v>
      </c>
      <c r="O412" s="131" t="s">
        <v>689</v>
      </c>
      <c r="P412" s="189" t="s">
        <v>1159</v>
      </c>
    </row>
    <row r="413" spans="1:16" x14ac:dyDescent="0.3">
      <c r="A413" t="s">
        <v>428</v>
      </c>
      <c r="B413" s="117">
        <v>616</v>
      </c>
      <c r="C413" s="117">
        <v>498</v>
      </c>
      <c r="D413" s="141">
        <v>581</v>
      </c>
      <c r="E413" s="117">
        <v>600</v>
      </c>
      <c r="F413">
        <v>4.2</v>
      </c>
      <c r="G413" s="162">
        <v>3.98</v>
      </c>
      <c r="H413" s="164">
        <v>68906</v>
      </c>
      <c r="I413" s="161">
        <v>116028070</v>
      </c>
      <c r="J413"/>
      <c r="K413" s="125" t="s">
        <v>570</v>
      </c>
      <c r="L413" s="126" t="s">
        <v>689</v>
      </c>
      <c r="M413" s="127">
        <v>3</v>
      </c>
      <c r="N413" s="126" t="s">
        <v>689</v>
      </c>
      <c r="O413" s="131" t="s">
        <v>689</v>
      </c>
      <c r="P413" s="189" t="s">
        <v>1160</v>
      </c>
    </row>
    <row r="414" spans="1:16" x14ac:dyDescent="0.3">
      <c r="A414" t="s">
        <v>429</v>
      </c>
      <c r="B414" s="117">
        <v>13106</v>
      </c>
      <c r="C414" s="117">
        <v>13333</v>
      </c>
      <c r="D414" s="141">
        <v>13156</v>
      </c>
      <c r="E414" s="117">
        <v>13465</v>
      </c>
      <c r="F414">
        <v>12</v>
      </c>
      <c r="G414" s="162">
        <v>3.58</v>
      </c>
      <c r="H414" s="164">
        <v>62015</v>
      </c>
      <c r="I414" s="161">
        <v>2057791455</v>
      </c>
      <c r="J414"/>
      <c r="K414" s="125" t="s">
        <v>571</v>
      </c>
      <c r="L414" s="126" t="s">
        <v>690</v>
      </c>
      <c r="M414" s="127">
        <v>1</v>
      </c>
      <c r="N414" s="126" t="s">
        <v>689</v>
      </c>
      <c r="O414" s="131" t="s">
        <v>689</v>
      </c>
      <c r="P414" s="189" t="s">
        <v>1161</v>
      </c>
    </row>
    <row r="415" spans="1:16" x14ac:dyDescent="0.3">
      <c r="A415" t="s">
        <v>430</v>
      </c>
      <c r="B415" s="117">
        <v>1197</v>
      </c>
      <c r="C415" s="117">
        <v>1087</v>
      </c>
      <c r="D415" s="141">
        <v>904</v>
      </c>
      <c r="E415" s="117">
        <v>938</v>
      </c>
      <c r="F415">
        <v>25.9</v>
      </c>
      <c r="G415" s="162">
        <v>4.68</v>
      </c>
      <c r="H415" s="164">
        <v>27143</v>
      </c>
      <c r="I415" s="161">
        <v>41756620</v>
      </c>
      <c r="J415"/>
      <c r="K415" s="125" t="s">
        <v>572</v>
      </c>
      <c r="L415" s="126" t="s">
        <v>689</v>
      </c>
      <c r="M415" s="127">
        <v>3</v>
      </c>
      <c r="N415" s="126" t="s">
        <v>689</v>
      </c>
      <c r="O415" s="131" t="s">
        <v>689</v>
      </c>
      <c r="P415" s="189" t="s">
        <v>1162</v>
      </c>
    </row>
    <row r="416" spans="1:16" x14ac:dyDescent="0.3">
      <c r="A416" t="s">
        <v>431</v>
      </c>
      <c r="B416" s="117">
        <v>197</v>
      </c>
      <c r="C416" s="117">
        <v>89</v>
      </c>
      <c r="D416" s="141">
        <v>99</v>
      </c>
      <c r="E416" s="117">
        <v>98</v>
      </c>
      <c r="F416">
        <v>58.4</v>
      </c>
      <c r="G416" s="162">
        <v>4.03</v>
      </c>
      <c r="H416" s="164"/>
      <c r="I416" s="161"/>
      <c r="J416"/>
      <c r="K416" t="s">
        <v>575</v>
      </c>
      <c r="L416" s="126" t="s">
        <v>689</v>
      </c>
      <c r="M416" s="127">
        <v>1</v>
      </c>
      <c r="N416" s="126" t="s">
        <v>689</v>
      </c>
      <c r="O416" s="131" t="s">
        <v>689</v>
      </c>
      <c r="P416" s="189" t="s">
        <v>1163</v>
      </c>
    </row>
    <row r="417" spans="1:16" x14ac:dyDescent="0.3">
      <c r="A417" t="s">
        <v>801</v>
      </c>
      <c r="B417" s="117">
        <v>849</v>
      </c>
      <c r="C417" s="117">
        <v>784</v>
      </c>
      <c r="D417" s="141">
        <v>1011</v>
      </c>
      <c r="E417" s="117">
        <v>1086</v>
      </c>
      <c r="F417">
        <v>6.5</v>
      </c>
      <c r="G417" s="162">
        <v>3.8</v>
      </c>
      <c r="H417" s="164">
        <v>121250</v>
      </c>
      <c r="I417" s="161">
        <v>1706927967</v>
      </c>
      <c r="J417"/>
      <c r="K417" s="125" t="s">
        <v>576</v>
      </c>
      <c r="L417" s="126" t="s">
        <v>689</v>
      </c>
      <c r="M417" s="127">
        <v>1</v>
      </c>
      <c r="N417" s="126" t="s">
        <v>689</v>
      </c>
      <c r="O417" s="131" t="s">
        <v>689</v>
      </c>
      <c r="P417" s="189" t="s">
        <v>1164</v>
      </c>
    </row>
    <row r="418" spans="1:16" x14ac:dyDescent="0.3">
      <c r="A418" t="s">
        <v>432</v>
      </c>
      <c r="B418" s="117">
        <v>4139</v>
      </c>
      <c r="C418" s="117">
        <v>4421</v>
      </c>
      <c r="D418" s="141">
        <v>4425</v>
      </c>
      <c r="E418" s="117">
        <v>4451</v>
      </c>
      <c r="F418">
        <v>23.8</v>
      </c>
      <c r="G418" s="162">
        <v>3.68</v>
      </c>
      <c r="H418" s="164">
        <v>38474</v>
      </c>
      <c r="I418" s="161">
        <v>520915075</v>
      </c>
      <c r="J418"/>
      <c r="K418" s="125" t="s">
        <v>577</v>
      </c>
      <c r="L418" s="126" t="s">
        <v>690</v>
      </c>
      <c r="M418" s="127">
        <v>8</v>
      </c>
      <c r="N418" s="126" t="s">
        <v>689</v>
      </c>
      <c r="O418" s="131" t="s">
        <v>689</v>
      </c>
      <c r="P418" s="189" t="s">
        <v>577</v>
      </c>
    </row>
    <row r="419" spans="1:16" x14ac:dyDescent="0.3">
      <c r="A419" t="s">
        <v>433</v>
      </c>
      <c r="B419" s="117">
        <v>19672</v>
      </c>
      <c r="C419" s="117">
        <v>16931</v>
      </c>
      <c r="D419" s="141">
        <v>17380</v>
      </c>
      <c r="E419" s="117">
        <v>16420</v>
      </c>
      <c r="F419">
        <v>21.1</v>
      </c>
      <c r="G419" s="162">
        <v>4.47</v>
      </c>
      <c r="H419" s="164">
        <v>50086</v>
      </c>
      <c r="I419" s="161">
        <v>2843541824</v>
      </c>
      <c r="J419"/>
      <c r="K419" s="125" t="s">
        <v>578</v>
      </c>
      <c r="L419" s="126" t="s">
        <v>689</v>
      </c>
      <c r="M419" s="127">
        <v>1</v>
      </c>
      <c r="N419" s="126" t="s">
        <v>689</v>
      </c>
      <c r="O419" s="131" t="s">
        <v>689</v>
      </c>
      <c r="P419" s="189" t="s">
        <v>578</v>
      </c>
    </row>
    <row r="420" spans="1:16" x14ac:dyDescent="0.3">
      <c r="A420" t="s">
        <v>802</v>
      </c>
      <c r="B420" s="117">
        <v>778</v>
      </c>
      <c r="C420" s="117">
        <v>885</v>
      </c>
      <c r="D420" s="141">
        <v>715</v>
      </c>
      <c r="E420" s="117">
        <v>952</v>
      </c>
      <c r="F420">
        <v>19.100000000000001</v>
      </c>
      <c r="G420" s="162">
        <v>4.04</v>
      </c>
      <c r="H420" s="164">
        <v>53214</v>
      </c>
      <c r="I420" s="161">
        <v>160607968</v>
      </c>
      <c r="J420"/>
      <c r="K420" s="125" t="s">
        <v>579</v>
      </c>
      <c r="L420" s="126" t="s">
        <v>690</v>
      </c>
      <c r="M420" s="127">
        <v>2</v>
      </c>
      <c r="N420" s="126" t="s">
        <v>689</v>
      </c>
      <c r="O420" s="131" t="s">
        <v>689</v>
      </c>
      <c r="P420" s="189" t="s">
        <v>1165</v>
      </c>
    </row>
    <row r="421" spans="1:16" x14ac:dyDescent="0.3">
      <c r="A421" t="s">
        <v>434</v>
      </c>
      <c r="B421" s="117">
        <v>2831</v>
      </c>
      <c r="C421" s="117">
        <v>2433</v>
      </c>
      <c r="D421" s="141">
        <v>2355</v>
      </c>
      <c r="E421" s="117">
        <v>2477</v>
      </c>
      <c r="F421">
        <v>8.5</v>
      </c>
      <c r="G421" s="162">
        <v>3.09</v>
      </c>
      <c r="H421" s="164">
        <v>51639</v>
      </c>
      <c r="I421" s="161">
        <v>415940201</v>
      </c>
      <c r="J421"/>
      <c r="K421" s="125" t="s">
        <v>580</v>
      </c>
      <c r="L421" s="126" t="s">
        <v>690</v>
      </c>
      <c r="M421" s="127">
        <v>8</v>
      </c>
      <c r="N421" s="126" t="s">
        <v>689</v>
      </c>
      <c r="O421" s="131" t="s">
        <v>689</v>
      </c>
      <c r="P421" s="189" t="s">
        <v>1166</v>
      </c>
    </row>
    <row r="422" spans="1:16" x14ac:dyDescent="0.3">
      <c r="A422" t="s">
        <v>435</v>
      </c>
      <c r="B422" s="117">
        <v>368</v>
      </c>
      <c r="C422" s="117">
        <v>353</v>
      </c>
      <c r="D422" s="141">
        <v>269</v>
      </c>
      <c r="E422" s="117">
        <v>262</v>
      </c>
      <c r="F422">
        <v>5.9</v>
      </c>
      <c r="G422" s="162">
        <v>4.08</v>
      </c>
      <c r="H422" s="164">
        <v>61091</v>
      </c>
      <c r="I422" s="161">
        <v>19613402</v>
      </c>
      <c r="J422"/>
      <c r="K422" s="125" t="s">
        <v>581</v>
      </c>
      <c r="L422" s="126" t="s">
        <v>689</v>
      </c>
      <c r="M422" s="127">
        <v>2</v>
      </c>
      <c r="N422" s="126" t="s">
        <v>689</v>
      </c>
      <c r="O422" s="131" t="s">
        <v>689</v>
      </c>
      <c r="P422" s="189" t="s">
        <v>1167</v>
      </c>
    </row>
    <row r="423" spans="1:16" x14ac:dyDescent="0.3">
      <c r="A423" t="s">
        <v>436</v>
      </c>
      <c r="B423" s="117">
        <v>8118</v>
      </c>
      <c r="C423" s="117">
        <v>9030</v>
      </c>
      <c r="D423" s="141">
        <v>8547</v>
      </c>
      <c r="E423" s="117">
        <v>9976</v>
      </c>
      <c r="F423">
        <v>8.6999999999999993</v>
      </c>
      <c r="G423" s="162">
        <v>4.04</v>
      </c>
      <c r="H423" s="164">
        <v>85872</v>
      </c>
      <c r="I423" s="161">
        <v>6926077781</v>
      </c>
      <c r="J423"/>
      <c r="K423" s="125" t="s">
        <v>582</v>
      </c>
      <c r="L423" s="126" t="s">
        <v>690</v>
      </c>
      <c r="M423" s="127">
        <v>9</v>
      </c>
      <c r="N423" s="126" t="s">
        <v>689</v>
      </c>
      <c r="O423" s="131" t="s">
        <v>689</v>
      </c>
      <c r="P423" s="189" t="s">
        <v>1168</v>
      </c>
    </row>
    <row r="424" spans="1:16" x14ac:dyDescent="0.3">
      <c r="A424" t="s">
        <v>437</v>
      </c>
      <c r="B424" s="117">
        <v>6979</v>
      </c>
      <c r="C424" s="117">
        <v>7744</v>
      </c>
      <c r="D424" s="141">
        <v>7704</v>
      </c>
      <c r="E424" s="117">
        <v>8423</v>
      </c>
      <c r="F424">
        <v>3.6</v>
      </c>
      <c r="G424" s="162">
        <v>4.12</v>
      </c>
      <c r="H424" s="164">
        <v>155385</v>
      </c>
      <c r="I424" s="161">
        <v>1572166963</v>
      </c>
      <c r="J424"/>
      <c r="K424" s="125" t="s">
        <v>584</v>
      </c>
      <c r="L424" s="126" t="s">
        <v>689</v>
      </c>
      <c r="M424" s="127">
        <v>7</v>
      </c>
      <c r="N424" s="126" t="s">
        <v>689</v>
      </c>
      <c r="O424" s="131" t="s">
        <v>689</v>
      </c>
      <c r="P424" s="189" t="s">
        <v>584</v>
      </c>
    </row>
    <row r="425" spans="1:16" x14ac:dyDescent="0.3">
      <c r="A425" t="s">
        <v>438</v>
      </c>
      <c r="B425" s="117">
        <v>2214</v>
      </c>
      <c r="C425" s="117">
        <v>2683</v>
      </c>
      <c r="D425" s="141">
        <v>2120</v>
      </c>
      <c r="E425" s="117">
        <v>2420</v>
      </c>
      <c r="F425">
        <v>5.5</v>
      </c>
      <c r="G425" s="162">
        <v>3.09</v>
      </c>
      <c r="H425" s="164">
        <v>69100</v>
      </c>
      <c r="I425" s="161">
        <v>344896638</v>
      </c>
      <c r="J425"/>
      <c r="K425" s="125" t="s">
        <v>585</v>
      </c>
      <c r="L425" s="126" t="s">
        <v>689</v>
      </c>
      <c r="M425" s="127">
        <v>1</v>
      </c>
      <c r="N425" s="126" t="s">
        <v>689</v>
      </c>
      <c r="O425" s="131" t="s">
        <v>689</v>
      </c>
      <c r="P425" s="189" t="s">
        <v>585</v>
      </c>
    </row>
    <row r="426" spans="1:16" x14ac:dyDescent="0.3">
      <c r="A426" t="s">
        <v>439</v>
      </c>
      <c r="B426" s="117">
        <v>743</v>
      </c>
      <c r="C426" s="117">
        <v>903</v>
      </c>
      <c r="D426" s="141">
        <v>878</v>
      </c>
      <c r="E426" s="117">
        <v>1052</v>
      </c>
      <c r="F426">
        <v>5.3</v>
      </c>
      <c r="G426" s="162">
        <v>4.04</v>
      </c>
      <c r="H426" s="164">
        <v>96786</v>
      </c>
      <c r="I426" s="161">
        <v>3551704658</v>
      </c>
      <c r="J426"/>
      <c r="K426" s="125" t="s">
        <v>586</v>
      </c>
      <c r="L426" s="126" t="s">
        <v>689</v>
      </c>
      <c r="M426" s="127">
        <v>1</v>
      </c>
      <c r="N426" s="126" t="s">
        <v>689</v>
      </c>
      <c r="O426" s="131" t="s">
        <v>689</v>
      </c>
      <c r="P426" s="189" t="s">
        <v>1169</v>
      </c>
    </row>
    <row r="427" spans="1:16" x14ac:dyDescent="0.3">
      <c r="A427" t="s">
        <v>441</v>
      </c>
      <c r="B427" s="117">
        <v>743</v>
      </c>
      <c r="C427" s="117">
        <v>555</v>
      </c>
      <c r="D427" s="141">
        <v>811</v>
      </c>
      <c r="E427" s="117">
        <v>805</v>
      </c>
      <c r="F427">
        <v>13.7</v>
      </c>
      <c r="G427" s="162">
        <v>4.0599999999999996</v>
      </c>
      <c r="H427" s="164">
        <v>47500</v>
      </c>
      <c r="I427" s="161">
        <v>168021851</v>
      </c>
      <c r="J427"/>
      <c r="K427" s="125" t="s">
        <v>587</v>
      </c>
      <c r="L427" s="126" t="s">
        <v>690</v>
      </c>
      <c r="M427" s="127">
        <v>7</v>
      </c>
      <c r="N427" s="126" t="s">
        <v>689</v>
      </c>
      <c r="O427" s="131" t="s">
        <v>689</v>
      </c>
      <c r="P427" s="189" t="s">
        <v>1170</v>
      </c>
    </row>
    <row r="428" spans="1:16" x14ac:dyDescent="0.3">
      <c r="A428" t="s">
        <v>442</v>
      </c>
      <c r="B428" s="117">
        <v>198377</v>
      </c>
      <c r="C428" s="117">
        <v>207906</v>
      </c>
      <c r="D428" s="141">
        <v>205800</v>
      </c>
      <c r="E428" s="117">
        <v>215481</v>
      </c>
      <c r="F428">
        <v>11.6</v>
      </c>
      <c r="G428" s="162">
        <v>3.8</v>
      </c>
      <c r="H428" s="164">
        <v>68148</v>
      </c>
      <c r="I428" s="161">
        <v>21777412010</v>
      </c>
      <c r="J428"/>
      <c r="K428" s="125" t="s">
        <v>589</v>
      </c>
      <c r="L428" s="126" t="s">
        <v>690</v>
      </c>
      <c r="M428" s="127">
        <v>3</v>
      </c>
      <c r="N428" s="126" t="s">
        <v>689</v>
      </c>
      <c r="O428" s="131" t="s">
        <v>689</v>
      </c>
      <c r="P428" s="189" t="s">
        <v>1171</v>
      </c>
    </row>
    <row r="429" spans="1:16" x14ac:dyDescent="0.3">
      <c r="A429" t="s">
        <v>444</v>
      </c>
      <c r="B429" s="117">
        <v>146354</v>
      </c>
      <c r="C429" s="117">
        <v>149678</v>
      </c>
      <c r="D429" s="141">
        <v>144060</v>
      </c>
      <c r="E429" s="117">
        <v>153756</v>
      </c>
      <c r="F429">
        <v>12.5</v>
      </c>
      <c r="G429" s="162">
        <v>3.18</v>
      </c>
      <c r="H429" s="164">
        <v>90089</v>
      </c>
      <c r="I429" s="161">
        <v>23579860803</v>
      </c>
      <c r="J429"/>
      <c r="K429" s="125" t="s">
        <v>593</v>
      </c>
      <c r="L429" s="126" t="s">
        <v>689</v>
      </c>
      <c r="M429" s="127">
        <v>1</v>
      </c>
      <c r="N429" s="126" t="s">
        <v>689</v>
      </c>
      <c r="O429" s="131" t="s">
        <v>689</v>
      </c>
      <c r="P429" s="189" t="s">
        <v>1172</v>
      </c>
    </row>
    <row r="430" spans="1:16" x14ac:dyDescent="0.3">
      <c r="A430" t="s">
        <v>446</v>
      </c>
      <c r="B430" s="117">
        <v>1136</v>
      </c>
      <c r="C430" s="117">
        <v>873</v>
      </c>
      <c r="D430" s="141">
        <v>878</v>
      </c>
      <c r="E430" s="117">
        <v>943</v>
      </c>
      <c r="F430">
        <v>7.7</v>
      </c>
      <c r="G430" s="162">
        <v>3.78</v>
      </c>
      <c r="H430" s="164">
        <v>57880</v>
      </c>
      <c r="I430" s="161">
        <v>273517814</v>
      </c>
      <c r="J430"/>
      <c r="K430" s="125" t="s">
        <v>594</v>
      </c>
      <c r="L430" s="126" t="s">
        <v>690</v>
      </c>
      <c r="M430" s="127">
        <v>5</v>
      </c>
      <c r="N430" s="126" t="s">
        <v>689</v>
      </c>
      <c r="O430" s="131" t="s">
        <v>689</v>
      </c>
      <c r="P430" s="189" t="s">
        <v>594</v>
      </c>
    </row>
    <row r="431" spans="1:16" x14ac:dyDescent="0.3">
      <c r="A431" t="s">
        <v>447</v>
      </c>
      <c r="B431" s="117">
        <v>63</v>
      </c>
      <c r="C431" s="117">
        <v>56</v>
      </c>
      <c r="D431" s="141">
        <v>60</v>
      </c>
      <c r="E431" s="117">
        <v>60</v>
      </c>
      <c r="F431">
        <v>62.5</v>
      </c>
      <c r="G431" s="162">
        <v>5.0999999999999996</v>
      </c>
      <c r="H431" s="164">
        <v>21250</v>
      </c>
      <c r="I431" s="161"/>
      <c r="J431"/>
      <c r="K431" s="125" t="s">
        <v>596</v>
      </c>
      <c r="L431" s="126" t="s">
        <v>690</v>
      </c>
      <c r="M431" s="127">
        <v>4</v>
      </c>
      <c r="N431" s="126" t="s">
        <v>689</v>
      </c>
      <c r="O431" s="131" t="s">
        <v>689</v>
      </c>
      <c r="P431" s="189" t="s">
        <v>596</v>
      </c>
    </row>
    <row r="432" spans="1:16" x14ac:dyDescent="0.3">
      <c r="A432" t="s">
        <v>448</v>
      </c>
      <c r="B432" s="117">
        <v>508</v>
      </c>
      <c r="C432" s="117">
        <v>795</v>
      </c>
      <c r="D432" s="141">
        <v>537</v>
      </c>
      <c r="E432" s="117">
        <v>597</v>
      </c>
      <c r="F432">
        <v>14.2</v>
      </c>
      <c r="G432" s="162">
        <v>3.63</v>
      </c>
      <c r="H432" s="164">
        <v>70417</v>
      </c>
      <c r="I432" s="161">
        <v>46830932</v>
      </c>
      <c r="J432"/>
      <c r="K432" s="125" t="s">
        <v>598</v>
      </c>
      <c r="L432" s="126" t="s">
        <v>689</v>
      </c>
      <c r="M432" s="127">
        <v>2</v>
      </c>
      <c r="N432" s="126" t="s">
        <v>689</v>
      </c>
      <c r="O432" s="131" t="s">
        <v>689</v>
      </c>
      <c r="P432" s="189" t="s">
        <v>1173</v>
      </c>
    </row>
    <row r="433" spans="1:16" x14ac:dyDescent="0.3">
      <c r="A433" t="s">
        <v>449</v>
      </c>
      <c r="B433" s="117">
        <v>8812</v>
      </c>
      <c r="C433" s="117">
        <v>8914</v>
      </c>
      <c r="D433" s="141">
        <v>8736</v>
      </c>
      <c r="E433" s="117">
        <v>8895</v>
      </c>
      <c r="F433">
        <v>28.3</v>
      </c>
      <c r="G433" s="162">
        <v>3.48</v>
      </c>
      <c r="H433" s="164">
        <v>43054</v>
      </c>
      <c r="I433" s="161">
        <v>998002570</v>
      </c>
      <c r="J433"/>
      <c r="K433" s="125" t="s">
        <v>600</v>
      </c>
      <c r="L433" s="126" t="s">
        <v>689</v>
      </c>
      <c r="M433" s="127">
        <v>4</v>
      </c>
      <c r="N433" s="126" t="s">
        <v>689</v>
      </c>
      <c r="O433" s="131" t="s">
        <v>689</v>
      </c>
      <c r="P433" s="189" t="s">
        <v>1174</v>
      </c>
    </row>
    <row r="434" spans="1:16" x14ac:dyDescent="0.3">
      <c r="A434" t="s">
        <v>450</v>
      </c>
      <c r="B434" s="117">
        <v>12673</v>
      </c>
      <c r="C434" s="117">
        <v>12390</v>
      </c>
      <c r="D434" s="141">
        <v>12267</v>
      </c>
      <c r="E434" s="117">
        <v>12990</v>
      </c>
      <c r="F434">
        <v>15.2</v>
      </c>
      <c r="G434" s="162">
        <v>3.78</v>
      </c>
      <c r="H434" s="164">
        <v>59717</v>
      </c>
      <c r="I434" s="161">
        <v>2067457926</v>
      </c>
      <c r="J434"/>
      <c r="K434" s="125" t="s">
        <v>602</v>
      </c>
      <c r="L434" s="126" t="s">
        <v>689</v>
      </c>
      <c r="M434" s="127">
        <v>3</v>
      </c>
      <c r="N434" s="126" t="s">
        <v>689</v>
      </c>
      <c r="O434" s="131" t="s">
        <v>689</v>
      </c>
      <c r="P434" s="189" t="s">
        <v>1175</v>
      </c>
    </row>
    <row r="435" spans="1:16" x14ac:dyDescent="0.3">
      <c r="A435" t="s">
        <v>451</v>
      </c>
      <c r="B435" s="117">
        <v>508</v>
      </c>
      <c r="C435" s="117">
        <v>493</v>
      </c>
      <c r="D435" s="141">
        <v>161</v>
      </c>
      <c r="E435" s="117">
        <v>160</v>
      </c>
      <c r="F435">
        <v>5.7</v>
      </c>
      <c r="G435" s="162">
        <v>3.68</v>
      </c>
      <c r="H435" s="164">
        <v>60417</v>
      </c>
      <c r="I435" s="161">
        <v>23253137</v>
      </c>
      <c r="J435"/>
      <c r="K435" s="125" t="s">
        <v>603</v>
      </c>
      <c r="L435" s="126" t="s">
        <v>690</v>
      </c>
      <c r="M435" s="127">
        <v>3</v>
      </c>
      <c r="N435" s="126" t="s">
        <v>689</v>
      </c>
      <c r="O435" s="131" t="s">
        <v>689</v>
      </c>
      <c r="P435" s="189" t="s">
        <v>1176</v>
      </c>
    </row>
    <row r="436" spans="1:16" x14ac:dyDescent="0.3">
      <c r="A436" t="s">
        <v>452</v>
      </c>
      <c r="B436" s="117">
        <v>482</v>
      </c>
      <c r="C436" s="117">
        <v>529</v>
      </c>
      <c r="D436" s="141">
        <v>499</v>
      </c>
      <c r="E436" s="117">
        <v>694</v>
      </c>
      <c r="F436">
        <v>20.8</v>
      </c>
      <c r="G436" s="162">
        <v>5.0999999999999996</v>
      </c>
      <c r="H436" s="164">
        <v>56250</v>
      </c>
      <c r="I436" s="161">
        <v>69913406</v>
      </c>
      <c r="J436"/>
      <c r="K436" s="125" t="s">
        <v>604</v>
      </c>
      <c r="L436" s="126" t="s">
        <v>690</v>
      </c>
      <c r="M436" s="127">
        <v>1</v>
      </c>
      <c r="N436" s="126" t="s">
        <v>689</v>
      </c>
      <c r="O436" s="131" t="s">
        <v>689</v>
      </c>
      <c r="P436" s="189" t="s">
        <v>1177</v>
      </c>
    </row>
    <row r="437" spans="1:16" x14ac:dyDescent="0.3">
      <c r="A437" t="s">
        <v>453</v>
      </c>
      <c r="B437" s="117">
        <v>278</v>
      </c>
      <c r="C437" s="117">
        <v>374</v>
      </c>
      <c r="D437" s="141">
        <v>245</v>
      </c>
      <c r="E437" s="117">
        <v>240</v>
      </c>
      <c r="F437">
        <v>31.8</v>
      </c>
      <c r="G437" s="162">
        <v>4.08</v>
      </c>
      <c r="H437" s="164">
        <v>36136</v>
      </c>
      <c r="I437" s="161">
        <v>12544728</v>
      </c>
      <c r="J437"/>
      <c r="K437" s="125" t="s">
        <v>605</v>
      </c>
      <c r="L437" s="126" t="s">
        <v>689</v>
      </c>
      <c r="M437" s="127">
        <v>8</v>
      </c>
      <c r="N437" s="126" t="s">
        <v>689</v>
      </c>
      <c r="O437" s="131" t="s">
        <v>689</v>
      </c>
      <c r="P437" s="189" t="s">
        <v>1178</v>
      </c>
    </row>
    <row r="438" spans="1:16" x14ac:dyDescent="0.3">
      <c r="A438" t="s">
        <v>454</v>
      </c>
      <c r="B438" s="117">
        <v>39775</v>
      </c>
      <c r="C438" s="117">
        <v>40834</v>
      </c>
      <c r="D438" s="141">
        <v>40352</v>
      </c>
      <c r="E438" s="117">
        <v>41504</v>
      </c>
      <c r="F438">
        <v>11</v>
      </c>
      <c r="G438" s="162">
        <v>3.72</v>
      </c>
      <c r="H438" s="164">
        <v>66589</v>
      </c>
      <c r="I438" s="161">
        <v>4554312465</v>
      </c>
      <c r="J438"/>
      <c r="K438" s="125" t="s">
        <v>606</v>
      </c>
      <c r="L438" s="126" t="s">
        <v>689</v>
      </c>
      <c r="M438" s="127">
        <v>4</v>
      </c>
      <c r="N438" s="126" t="s">
        <v>689</v>
      </c>
      <c r="O438" s="131" t="s">
        <v>689</v>
      </c>
      <c r="P438" s="189" t="s">
        <v>1179</v>
      </c>
    </row>
    <row r="439" spans="1:16" x14ac:dyDescent="0.3">
      <c r="A439" t="s">
        <v>455</v>
      </c>
      <c r="B439" s="117">
        <v>1012</v>
      </c>
      <c r="C439" s="117">
        <v>845</v>
      </c>
      <c r="D439" s="141">
        <v>568</v>
      </c>
      <c r="E439" s="117">
        <v>562</v>
      </c>
      <c r="F439">
        <v>23.2</v>
      </c>
      <c r="G439" s="162">
        <v>4.0599999999999996</v>
      </c>
      <c r="H439" s="164">
        <v>58250</v>
      </c>
      <c r="I439" s="161">
        <v>26910900</v>
      </c>
      <c r="J439"/>
      <c r="K439" s="125" t="s">
        <v>608</v>
      </c>
      <c r="L439" s="126" t="s">
        <v>689</v>
      </c>
      <c r="M439" s="127">
        <v>5</v>
      </c>
      <c r="N439" s="126" t="s">
        <v>689</v>
      </c>
      <c r="O439" s="131" t="s">
        <v>689</v>
      </c>
      <c r="P439" s="189" t="s">
        <v>1180</v>
      </c>
    </row>
    <row r="440" spans="1:16" x14ac:dyDescent="0.3">
      <c r="A440" t="s">
        <v>456</v>
      </c>
      <c r="B440" s="117">
        <v>458</v>
      </c>
      <c r="C440" s="117">
        <v>443</v>
      </c>
      <c r="D440" s="141">
        <v>393</v>
      </c>
      <c r="E440" s="117">
        <v>397</v>
      </c>
      <c r="F440">
        <v>4.0999999999999996</v>
      </c>
      <c r="G440" s="162">
        <v>4.4400000000000004</v>
      </c>
      <c r="H440" s="164">
        <v>70000</v>
      </c>
      <c r="I440" s="161">
        <v>27617080</v>
      </c>
      <c r="J440"/>
      <c r="K440" s="125" t="s">
        <v>611</v>
      </c>
      <c r="L440" s="126" t="s">
        <v>690</v>
      </c>
      <c r="M440" s="127">
        <v>8</v>
      </c>
      <c r="N440" s="126" t="s">
        <v>689</v>
      </c>
      <c r="O440" s="131" t="s">
        <v>689</v>
      </c>
      <c r="P440" s="189" t="s">
        <v>1181</v>
      </c>
    </row>
    <row r="441" spans="1:16" x14ac:dyDescent="0.3">
      <c r="A441" t="s">
        <v>457</v>
      </c>
      <c r="B441" s="117">
        <v>652</v>
      </c>
      <c r="C441" s="117">
        <v>1009</v>
      </c>
      <c r="D441" s="141">
        <v>779</v>
      </c>
      <c r="E441" s="117">
        <v>828</v>
      </c>
      <c r="F441">
        <v>9.8000000000000007</v>
      </c>
      <c r="G441" s="162">
        <v>3.35</v>
      </c>
      <c r="H441" s="164">
        <v>55893</v>
      </c>
      <c r="I441" s="161">
        <v>146154995</v>
      </c>
      <c r="J441"/>
      <c r="K441" s="125" t="s">
        <v>612</v>
      </c>
      <c r="L441" s="126" t="s">
        <v>689</v>
      </c>
      <c r="M441" s="127">
        <v>8</v>
      </c>
      <c r="N441" s="126" t="s">
        <v>689</v>
      </c>
      <c r="O441" s="131" t="s">
        <v>689</v>
      </c>
      <c r="P441" s="189" t="s">
        <v>1182</v>
      </c>
    </row>
    <row r="442" spans="1:16" x14ac:dyDescent="0.3">
      <c r="A442" t="s">
        <v>458</v>
      </c>
      <c r="B442" s="117">
        <v>2997</v>
      </c>
      <c r="C442" s="117">
        <v>2822</v>
      </c>
      <c r="D442" s="141">
        <v>2835</v>
      </c>
      <c r="E442" s="117">
        <v>3186</v>
      </c>
      <c r="F442">
        <v>39.1</v>
      </c>
      <c r="G442" s="162">
        <v>5.0999999999999996</v>
      </c>
      <c r="H442" s="164">
        <v>25889</v>
      </c>
      <c r="I442" s="161">
        <v>293534038</v>
      </c>
      <c r="J442"/>
      <c r="K442" s="125" t="s">
        <v>613</v>
      </c>
      <c r="L442" s="126" t="s">
        <v>689</v>
      </c>
      <c r="M442" s="127">
        <v>1</v>
      </c>
      <c r="N442" s="126" t="s">
        <v>689</v>
      </c>
      <c r="O442" s="131" t="s">
        <v>689</v>
      </c>
      <c r="P442" s="189" t="s">
        <v>1183</v>
      </c>
    </row>
    <row r="443" spans="1:16" x14ac:dyDescent="0.3">
      <c r="A443" t="s">
        <v>459</v>
      </c>
      <c r="B443" s="117">
        <v>61891</v>
      </c>
      <c r="C443" s="117">
        <v>65550</v>
      </c>
      <c r="D443" s="141">
        <v>60451</v>
      </c>
      <c r="E443" s="117">
        <v>68737</v>
      </c>
      <c r="F443">
        <v>9.6999999999999993</v>
      </c>
      <c r="G443" s="162">
        <v>3.33</v>
      </c>
      <c r="H443" s="164">
        <v>80396</v>
      </c>
      <c r="I443" s="161">
        <v>9987629104</v>
      </c>
      <c r="J443"/>
      <c r="K443" s="125" t="s">
        <v>614</v>
      </c>
      <c r="L443" s="126" t="s">
        <v>689</v>
      </c>
      <c r="M443" s="127">
        <v>8</v>
      </c>
      <c r="N443" s="126" t="s">
        <v>689</v>
      </c>
      <c r="O443" s="131" t="s">
        <v>689</v>
      </c>
      <c r="P443" s="189" t="s">
        <v>1184</v>
      </c>
    </row>
    <row r="444" spans="1:16" x14ac:dyDescent="0.3">
      <c r="A444" t="s">
        <v>460</v>
      </c>
      <c r="B444" s="117">
        <v>13513</v>
      </c>
      <c r="C444" s="117">
        <v>13244</v>
      </c>
      <c r="D444" s="141">
        <v>12991</v>
      </c>
      <c r="E444" s="117">
        <v>13472</v>
      </c>
      <c r="F444">
        <v>9.8000000000000007</v>
      </c>
      <c r="G444" s="162">
        <v>3.8</v>
      </c>
      <c r="H444" s="164">
        <v>67917</v>
      </c>
      <c r="I444" s="161">
        <v>2266419460</v>
      </c>
      <c r="J444"/>
      <c r="K444" s="125" t="s">
        <v>615</v>
      </c>
      <c r="L444" s="126" t="s">
        <v>690</v>
      </c>
      <c r="M444" s="127">
        <v>10</v>
      </c>
      <c r="N444" s="126" t="s">
        <v>689</v>
      </c>
      <c r="O444" s="131" t="s">
        <v>689</v>
      </c>
      <c r="P444" s="189" t="s">
        <v>1185</v>
      </c>
    </row>
    <row r="445" spans="1:16" x14ac:dyDescent="0.3">
      <c r="A445" t="s">
        <v>461</v>
      </c>
      <c r="B445" s="117">
        <v>39561</v>
      </c>
      <c r="C445" s="117">
        <v>39542</v>
      </c>
      <c r="D445" s="141">
        <v>39064</v>
      </c>
      <c r="E445" s="117">
        <v>39495</v>
      </c>
      <c r="F445">
        <v>17.5</v>
      </c>
      <c r="G445" s="162">
        <v>3.36</v>
      </c>
      <c r="H445" s="164">
        <v>63300</v>
      </c>
      <c r="I445" s="161">
        <v>5682660495</v>
      </c>
      <c r="J445"/>
      <c r="K445" s="125" t="s">
        <v>616</v>
      </c>
      <c r="L445" s="126" t="s">
        <v>689</v>
      </c>
      <c r="M445" s="127">
        <v>2</v>
      </c>
      <c r="N445" s="126" t="s">
        <v>689</v>
      </c>
      <c r="O445" s="131" t="s">
        <v>689</v>
      </c>
      <c r="P445" s="189" t="s">
        <v>616</v>
      </c>
    </row>
    <row r="446" spans="1:16" x14ac:dyDescent="0.3">
      <c r="A446" t="s">
        <v>463</v>
      </c>
      <c r="B446" s="117">
        <v>678</v>
      </c>
      <c r="C446" s="117">
        <v>776</v>
      </c>
      <c r="D446" s="141">
        <v>712</v>
      </c>
      <c r="E446" s="117">
        <v>755</v>
      </c>
      <c r="F446">
        <v>15.2</v>
      </c>
      <c r="G446" s="162">
        <v>3.7</v>
      </c>
      <c r="H446" s="164">
        <v>62396</v>
      </c>
      <c r="I446" s="161">
        <v>50394374</v>
      </c>
      <c r="J446"/>
      <c r="K446" s="125" t="s">
        <v>617</v>
      </c>
      <c r="L446" s="126" t="s">
        <v>689</v>
      </c>
      <c r="M446" s="127">
        <v>4</v>
      </c>
      <c r="N446" s="126" t="s">
        <v>689</v>
      </c>
      <c r="O446" s="131" t="s">
        <v>689</v>
      </c>
      <c r="P446" s="189" t="s">
        <v>1186</v>
      </c>
    </row>
    <row r="447" spans="1:16" x14ac:dyDescent="0.3">
      <c r="A447" t="s">
        <v>464</v>
      </c>
      <c r="B447" s="117">
        <v>1635</v>
      </c>
      <c r="C447" s="117">
        <v>1483</v>
      </c>
      <c r="D447" s="141">
        <v>1427</v>
      </c>
      <c r="E447" s="117">
        <v>1435</v>
      </c>
      <c r="F447">
        <v>12.4</v>
      </c>
      <c r="G447" s="162">
        <v>3.28</v>
      </c>
      <c r="H447" s="164">
        <v>49200</v>
      </c>
      <c r="I447" s="161">
        <v>194419212</v>
      </c>
      <c r="J447"/>
      <c r="K447" s="125" t="s">
        <v>618</v>
      </c>
      <c r="L447" s="126" t="s">
        <v>689</v>
      </c>
      <c r="M447" s="127">
        <v>3</v>
      </c>
      <c r="N447" s="126" t="s">
        <v>689</v>
      </c>
      <c r="O447" s="131" t="s">
        <v>689</v>
      </c>
      <c r="P447" s="189" t="s">
        <v>618</v>
      </c>
    </row>
    <row r="448" spans="1:16" x14ac:dyDescent="0.3">
      <c r="A448" t="s">
        <v>465</v>
      </c>
      <c r="B448" s="117">
        <v>1284</v>
      </c>
      <c r="C448" s="117">
        <v>1351</v>
      </c>
      <c r="D448" s="141">
        <v>1394</v>
      </c>
      <c r="E448" s="117">
        <v>1474</v>
      </c>
      <c r="F448">
        <v>3.5</v>
      </c>
      <c r="G448" s="162">
        <v>3.35</v>
      </c>
      <c r="H448" s="164">
        <v>109375</v>
      </c>
      <c r="I448" s="161">
        <v>1059556069</v>
      </c>
      <c r="J448"/>
      <c r="K448" s="125" t="s">
        <v>619</v>
      </c>
      <c r="L448" s="126" t="s">
        <v>689</v>
      </c>
      <c r="M448" s="127">
        <v>6</v>
      </c>
      <c r="N448" s="126" t="s">
        <v>689</v>
      </c>
      <c r="O448" s="131" t="s">
        <v>689</v>
      </c>
      <c r="P448" s="189" t="s">
        <v>619</v>
      </c>
    </row>
    <row r="449" spans="1:16" x14ac:dyDescent="0.3">
      <c r="A449" t="s">
        <v>466</v>
      </c>
      <c r="B449" s="117">
        <v>2188</v>
      </c>
      <c r="C449" s="117">
        <v>2031</v>
      </c>
      <c r="D449" s="141">
        <v>2062</v>
      </c>
      <c r="E449" s="117">
        <v>2354</v>
      </c>
      <c r="F449">
        <v>8</v>
      </c>
      <c r="G449" s="162">
        <v>3.11</v>
      </c>
      <c r="H449" s="164">
        <v>75263</v>
      </c>
      <c r="I449" s="161">
        <v>154206898</v>
      </c>
      <c r="J449"/>
      <c r="K449" s="125" t="s">
        <v>621</v>
      </c>
      <c r="L449" s="126" t="s">
        <v>689</v>
      </c>
      <c r="M449" s="127">
        <v>3</v>
      </c>
      <c r="N449" s="126" t="s">
        <v>689</v>
      </c>
      <c r="O449" s="131" t="s">
        <v>689</v>
      </c>
      <c r="P449" s="189" t="s">
        <v>1187</v>
      </c>
    </row>
    <row r="450" spans="1:16" x14ac:dyDescent="0.3">
      <c r="A450" t="s">
        <v>467</v>
      </c>
      <c r="B450" s="117">
        <v>1694</v>
      </c>
      <c r="C450" s="117">
        <v>1806</v>
      </c>
      <c r="D450" s="141">
        <v>1476</v>
      </c>
      <c r="E450" s="117">
        <v>1586</v>
      </c>
      <c r="F450">
        <v>6.1</v>
      </c>
      <c r="G450" s="162">
        <v>3.33</v>
      </c>
      <c r="H450" s="164">
        <v>80833</v>
      </c>
      <c r="I450" s="161">
        <v>201317951</v>
      </c>
      <c r="J450"/>
      <c r="K450" s="125" t="s">
        <v>622</v>
      </c>
      <c r="L450" s="126" t="s">
        <v>690</v>
      </c>
      <c r="M450" s="127">
        <v>13</v>
      </c>
      <c r="N450" s="126" t="s">
        <v>689</v>
      </c>
      <c r="O450" s="131" t="s">
        <v>689</v>
      </c>
      <c r="P450" s="189" t="s">
        <v>622</v>
      </c>
    </row>
    <row r="451" spans="1:16" x14ac:dyDescent="0.3">
      <c r="A451" t="s">
        <v>468</v>
      </c>
      <c r="B451" s="117">
        <v>16382</v>
      </c>
      <c r="C451" s="117">
        <v>18256</v>
      </c>
      <c r="D451" s="141">
        <v>17760</v>
      </c>
      <c r="E451" s="117">
        <v>19364</v>
      </c>
      <c r="F451">
        <v>4.3</v>
      </c>
      <c r="G451" s="162">
        <v>3.33</v>
      </c>
      <c r="H451" s="164">
        <v>109802</v>
      </c>
      <c r="I451" s="161">
        <v>6004616249</v>
      </c>
      <c r="J451"/>
      <c r="K451" s="125" t="s">
        <v>623</v>
      </c>
      <c r="L451" s="126" t="s">
        <v>690</v>
      </c>
      <c r="M451" s="127">
        <v>4</v>
      </c>
      <c r="N451" s="126" t="s">
        <v>689</v>
      </c>
      <c r="O451" s="131" t="s">
        <v>689</v>
      </c>
      <c r="P451" s="189" t="s">
        <v>1188</v>
      </c>
    </row>
    <row r="452" spans="1:16" x14ac:dyDescent="0.3">
      <c r="A452" t="s">
        <v>469</v>
      </c>
      <c r="B452" s="117">
        <v>1412</v>
      </c>
      <c r="C452" s="117">
        <v>1426</v>
      </c>
      <c r="D452" s="141">
        <v>1211</v>
      </c>
      <c r="E452" s="117">
        <v>1202</v>
      </c>
      <c r="F452">
        <v>13.1</v>
      </c>
      <c r="G452" s="162">
        <v>5.26</v>
      </c>
      <c r="H452" s="164">
        <v>60458</v>
      </c>
      <c r="I452" s="161">
        <v>75546837</v>
      </c>
      <c r="J452"/>
      <c r="K452" s="125" t="s">
        <v>628</v>
      </c>
      <c r="L452" s="126" t="s">
        <v>689</v>
      </c>
      <c r="M452" s="127">
        <v>3</v>
      </c>
      <c r="N452" s="126" t="s">
        <v>689</v>
      </c>
      <c r="O452" s="131" t="s">
        <v>689</v>
      </c>
      <c r="P452" s="189" t="s">
        <v>1189</v>
      </c>
    </row>
    <row r="453" spans="1:16" x14ac:dyDescent="0.3">
      <c r="A453" t="s">
        <v>470</v>
      </c>
      <c r="B453" s="117">
        <v>8923</v>
      </c>
      <c r="C453" s="117">
        <v>11055</v>
      </c>
      <c r="D453" s="141">
        <v>10657</v>
      </c>
      <c r="E453" s="117">
        <v>11379</v>
      </c>
      <c r="F453">
        <v>13.8</v>
      </c>
      <c r="G453" s="162">
        <v>3.72</v>
      </c>
      <c r="H453" s="164">
        <v>69354</v>
      </c>
      <c r="I453" s="161">
        <v>3874729834</v>
      </c>
      <c r="J453"/>
      <c r="K453" s="125" t="s">
        <v>629</v>
      </c>
      <c r="L453" s="126" t="s">
        <v>689</v>
      </c>
      <c r="M453" s="127">
        <v>4</v>
      </c>
      <c r="N453" s="126" t="s">
        <v>689</v>
      </c>
      <c r="O453" s="131" t="s">
        <v>689</v>
      </c>
      <c r="P453" s="189" t="s">
        <v>1190</v>
      </c>
    </row>
    <row r="454" spans="1:16" x14ac:dyDescent="0.3">
      <c r="A454" t="s">
        <v>471</v>
      </c>
      <c r="B454" s="117">
        <v>636</v>
      </c>
      <c r="C454" s="117">
        <v>527</v>
      </c>
      <c r="D454" s="141">
        <v>452</v>
      </c>
      <c r="E454" s="117">
        <v>451</v>
      </c>
      <c r="F454">
        <v>24.9</v>
      </c>
      <c r="G454" s="162">
        <v>3.95</v>
      </c>
      <c r="H454" s="164">
        <v>46635</v>
      </c>
      <c r="I454" s="161">
        <v>40975285</v>
      </c>
      <c r="J454"/>
      <c r="K454" s="125" t="s">
        <v>630</v>
      </c>
      <c r="L454" s="126" t="s">
        <v>689</v>
      </c>
      <c r="M454" s="127">
        <v>7</v>
      </c>
      <c r="N454" s="126" t="s">
        <v>689</v>
      </c>
      <c r="O454" s="131" t="s">
        <v>689</v>
      </c>
      <c r="P454" s="189" t="s">
        <v>1191</v>
      </c>
    </row>
    <row r="455" spans="1:16" x14ac:dyDescent="0.3">
      <c r="A455" t="s">
        <v>472</v>
      </c>
      <c r="B455" s="117">
        <v>179961</v>
      </c>
      <c r="C455" s="117">
        <v>177193</v>
      </c>
      <c r="D455" s="141">
        <v>174037</v>
      </c>
      <c r="E455" s="117">
        <v>182572</v>
      </c>
      <c r="F455">
        <v>19.8</v>
      </c>
      <c r="G455" s="162">
        <v>4.0999999999999996</v>
      </c>
      <c r="H455" s="164">
        <v>58188</v>
      </c>
      <c r="I455" s="161">
        <v>23411840487</v>
      </c>
      <c r="J455"/>
      <c r="K455" s="125" t="s">
        <v>634</v>
      </c>
      <c r="L455" s="126" t="s">
        <v>689</v>
      </c>
      <c r="M455" s="127">
        <v>4</v>
      </c>
      <c r="N455" s="126" t="s">
        <v>689</v>
      </c>
      <c r="O455" s="131" t="s">
        <v>689</v>
      </c>
      <c r="P455" s="189" t="s">
        <v>1192</v>
      </c>
    </row>
    <row r="456" spans="1:16" x14ac:dyDescent="0.3">
      <c r="A456" t="s">
        <v>473</v>
      </c>
      <c r="B456" s="117">
        <v>4221</v>
      </c>
      <c r="C456" s="117">
        <v>4752</v>
      </c>
      <c r="D456" s="141">
        <v>4551</v>
      </c>
      <c r="E456" s="117">
        <v>5996</v>
      </c>
      <c r="F456">
        <v>11.7</v>
      </c>
      <c r="G456" s="162">
        <v>3.12</v>
      </c>
      <c r="H456" s="164">
        <v>81639</v>
      </c>
      <c r="I456" s="161">
        <v>1214870162</v>
      </c>
      <c r="J456"/>
      <c r="K456" s="125" t="s">
        <v>636</v>
      </c>
      <c r="L456" s="126" t="s">
        <v>690</v>
      </c>
      <c r="M456" s="127">
        <v>10</v>
      </c>
      <c r="N456" s="126" t="s">
        <v>689</v>
      </c>
      <c r="O456" s="131" t="s">
        <v>689</v>
      </c>
      <c r="P456" s="189" t="s">
        <v>1193</v>
      </c>
    </row>
    <row r="457" spans="1:16" x14ac:dyDescent="0.3">
      <c r="A457" t="s">
        <v>474</v>
      </c>
      <c r="B457" s="117">
        <v>4906</v>
      </c>
      <c r="C457" s="117">
        <v>5060</v>
      </c>
      <c r="D457" s="141">
        <v>5009</v>
      </c>
      <c r="E457" s="117">
        <v>5076</v>
      </c>
      <c r="F457">
        <v>9.6999999999999993</v>
      </c>
      <c r="G457" s="162">
        <v>4.12</v>
      </c>
      <c r="H457" s="164">
        <v>88204</v>
      </c>
      <c r="I457" s="161">
        <v>561107024</v>
      </c>
      <c r="J457"/>
      <c r="K457" s="125" t="s">
        <v>637</v>
      </c>
      <c r="L457" s="126" t="s">
        <v>689</v>
      </c>
      <c r="M457" s="127">
        <v>2</v>
      </c>
      <c r="N457" s="126" t="s">
        <v>689</v>
      </c>
      <c r="O457" s="131" t="s">
        <v>689</v>
      </c>
      <c r="P457" s="189" t="s">
        <v>1194</v>
      </c>
    </row>
    <row r="458" spans="1:16" x14ac:dyDescent="0.3">
      <c r="A458" t="s">
        <v>475</v>
      </c>
      <c r="B458" s="117">
        <v>3432</v>
      </c>
      <c r="C458" s="117">
        <v>3250</v>
      </c>
      <c r="D458" s="141">
        <v>3301</v>
      </c>
      <c r="E458" s="117">
        <v>3136</v>
      </c>
      <c r="F458">
        <v>29.9</v>
      </c>
      <c r="G458" s="162">
        <v>4.46</v>
      </c>
      <c r="H458" s="164">
        <v>34521</v>
      </c>
      <c r="I458" s="161">
        <v>214230722</v>
      </c>
      <c r="J458"/>
      <c r="K458" s="125" t="s">
        <v>638</v>
      </c>
      <c r="L458" s="126" t="s">
        <v>690</v>
      </c>
      <c r="M458" s="127">
        <v>4</v>
      </c>
      <c r="N458" s="126" t="s">
        <v>689</v>
      </c>
      <c r="O458" s="131" t="s">
        <v>689</v>
      </c>
      <c r="P458" s="189" t="s">
        <v>1195</v>
      </c>
    </row>
    <row r="459" spans="1:16" x14ac:dyDescent="0.3">
      <c r="A459" t="s">
        <v>476</v>
      </c>
      <c r="B459" s="117">
        <v>20682</v>
      </c>
      <c r="C459" s="117">
        <v>19891</v>
      </c>
      <c r="D459" s="141">
        <v>19326</v>
      </c>
      <c r="E459" s="117">
        <v>19847</v>
      </c>
      <c r="F459">
        <v>14</v>
      </c>
      <c r="G459" s="162">
        <v>3.35</v>
      </c>
      <c r="H459" s="164">
        <v>67758</v>
      </c>
      <c r="I459" s="161">
        <v>3831932888</v>
      </c>
      <c r="J459"/>
      <c r="K459" s="125" t="s">
        <v>639</v>
      </c>
      <c r="L459" s="126" t="s">
        <v>689</v>
      </c>
      <c r="M459" s="127">
        <v>4</v>
      </c>
      <c r="N459" s="126" t="s">
        <v>689</v>
      </c>
      <c r="O459" s="131" t="s">
        <v>689</v>
      </c>
      <c r="P459" s="189" t="s">
        <v>639</v>
      </c>
    </row>
    <row r="460" spans="1:16" x14ac:dyDescent="0.3">
      <c r="A460" t="s">
        <v>477</v>
      </c>
      <c r="B460" s="117">
        <v>2682</v>
      </c>
      <c r="C460" s="117">
        <v>2555</v>
      </c>
      <c r="D460" s="141">
        <v>2243</v>
      </c>
      <c r="E460" s="117">
        <v>1897</v>
      </c>
      <c r="F460">
        <v>30.4</v>
      </c>
      <c r="G460" s="162">
        <v>4.4400000000000004</v>
      </c>
      <c r="H460" s="164">
        <v>47059</v>
      </c>
      <c r="I460" s="161">
        <v>50081085</v>
      </c>
      <c r="J460"/>
      <c r="K460" s="125" t="s">
        <v>640</v>
      </c>
      <c r="L460" s="126" t="s">
        <v>690</v>
      </c>
      <c r="M460" s="127">
        <v>12</v>
      </c>
      <c r="N460" s="126" t="s">
        <v>689</v>
      </c>
      <c r="O460" s="131" t="s">
        <v>689</v>
      </c>
      <c r="P460" s="189" t="s">
        <v>1196</v>
      </c>
    </row>
    <row r="461" spans="1:16" x14ac:dyDescent="0.3">
      <c r="A461" t="s">
        <v>478</v>
      </c>
      <c r="B461" s="117">
        <v>526</v>
      </c>
      <c r="C461" s="117">
        <v>536</v>
      </c>
      <c r="D461" s="141">
        <v>514</v>
      </c>
      <c r="E461" s="117">
        <v>525</v>
      </c>
      <c r="F461">
        <v>10.1</v>
      </c>
      <c r="G461" s="162">
        <v>4.0599999999999996</v>
      </c>
      <c r="H461" s="164">
        <v>74688</v>
      </c>
      <c r="I461" s="161">
        <v>36911756</v>
      </c>
      <c r="J461"/>
      <c r="K461" s="125" t="s">
        <v>641</v>
      </c>
      <c r="L461" s="126" t="s">
        <v>689</v>
      </c>
      <c r="M461" s="127">
        <v>7</v>
      </c>
      <c r="N461" s="126" t="s">
        <v>689</v>
      </c>
      <c r="O461" s="131" t="s">
        <v>689</v>
      </c>
      <c r="P461" s="189" t="s">
        <v>1197</v>
      </c>
    </row>
    <row r="462" spans="1:16" x14ac:dyDescent="0.3">
      <c r="A462" t="s">
        <v>479</v>
      </c>
      <c r="B462" s="117">
        <v>282</v>
      </c>
      <c r="C462" s="117">
        <v>463</v>
      </c>
      <c r="D462" s="141">
        <v>262</v>
      </c>
      <c r="E462" s="117">
        <v>298</v>
      </c>
      <c r="F462">
        <v>9.6999999999999993</v>
      </c>
      <c r="G462" s="162">
        <v>3.67</v>
      </c>
      <c r="H462" s="164">
        <v>60714</v>
      </c>
      <c r="I462" s="161">
        <v>25783142</v>
      </c>
      <c r="J462"/>
      <c r="K462" s="125" t="s">
        <v>642</v>
      </c>
      <c r="L462" s="126" t="s">
        <v>690</v>
      </c>
      <c r="M462" s="127">
        <v>3</v>
      </c>
      <c r="N462" s="126" t="s">
        <v>689</v>
      </c>
      <c r="O462" s="131" t="s">
        <v>689</v>
      </c>
      <c r="P462" s="189" t="s">
        <v>642</v>
      </c>
    </row>
    <row r="463" spans="1:16" x14ac:dyDescent="0.3">
      <c r="A463" t="s">
        <v>480</v>
      </c>
      <c r="B463" s="117">
        <v>247</v>
      </c>
      <c r="C463" s="117">
        <v>277</v>
      </c>
      <c r="D463" s="141">
        <v>188</v>
      </c>
      <c r="E463" s="117">
        <v>176</v>
      </c>
      <c r="F463">
        <v>1.1000000000000001</v>
      </c>
      <c r="G463" s="162">
        <v>4.8499999999999996</v>
      </c>
      <c r="H463" s="164">
        <v>53542</v>
      </c>
      <c r="I463" s="161">
        <v>9124147</v>
      </c>
      <c r="J463"/>
      <c r="K463" s="125" t="s">
        <v>644</v>
      </c>
      <c r="L463" s="126" t="s">
        <v>689</v>
      </c>
      <c r="M463" s="127">
        <v>4</v>
      </c>
      <c r="N463" s="126" t="s">
        <v>689</v>
      </c>
      <c r="O463" s="131" t="s">
        <v>689</v>
      </c>
      <c r="P463" s="189" t="s">
        <v>1198</v>
      </c>
    </row>
    <row r="464" spans="1:16" x14ac:dyDescent="0.3">
      <c r="A464" t="s">
        <v>481</v>
      </c>
      <c r="B464" s="117">
        <v>1396</v>
      </c>
      <c r="C464" s="117">
        <v>1658</v>
      </c>
      <c r="D464" s="141">
        <v>1317</v>
      </c>
      <c r="E464" s="117">
        <v>1480</v>
      </c>
      <c r="F464">
        <v>9.6999999999999993</v>
      </c>
      <c r="G464" s="162">
        <v>3.11</v>
      </c>
      <c r="H464" s="164">
        <v>45500</v>
      </c>
      <c r="I464" s="161">
        <v>109163476</v>
      </c>
      <c r="J464"/>
      <c r="K464" s="125" t="s">
        <v>648</v>
      </c>
      <c r="L464" s="126" t="s">
        <v>689</v>
      </c>
      <c r="M464" s="127">
        <v>2</v>
      </c>
      <c r="N464" s="126" t="s">
        <v>689</v>
      </c>
      <c r="O464" s="131" t="s">
        <v>689</v>
      </c>
      <c r="P464" s="189" t="s">
        <v>648</v>
      </c>
    </row>
    <row r="465" spans="1:16" x14ac:dyDescent="0.3">
      <c r="A465" t="s">
        <v>482</v>
      </c>
      <c r="B465" s="117">
        <v>2013</v>
      </c>
      <c r="C465" s="117">
        <v>1619</v>
      </c>
      <c r="D465" s="141">
        <v>1274</v>
      </c>
      <c r="E465" s="117">
        <v>1265</v>
      </c>
      <c r="F465">
        <v>36.200000000000003</v>
      </c>
      <c r="G465" s="162">
        <v>5.26</v>
      </c>
      <c r="H465" s="164">
        <v>46406</v>
      </c>
      <c r="I465" s="161">
        <v>61618841</v>
      </c>
      <c r="J465"/>
      <c r="K465" s="125" t="s">
        <v>649</v>
      </c>
      <c r="L465" s="126" t="s">
        <v>690</v>
      </c>
      <c r="M465" s="127">
        <v>3</v>
      </c>
      <c r="N465" s="126" t="s">
        <v>689</v>
      </c>
      <c r="O465" s="131" t="s">
        <v>689</v>
      </c>
      <c r="P465" s="189" t="s">
        <v>1199</v>
      </c>
    </row>
    <row r="466" spans="1:16" x14ac:dyDescent="0.3">
      <c r="A466" t="s">
        <v>483</v>
      </c>
      <c r="B466" s="117">
        <v>197</v>
      </c>
      <c r="C466" s="117">
        <v>109</v>
      </c>
      <c r="D466" s="141">
        <v>119</v>
      </c>
      <c r="E466" s="117">
        <v>119</v>
      </c>
      <c r="F466">
        <v>11</v>
      </c>
      <c r="G466" s="162">
        <v>5.0999999999999996</v>
      </c>
      <c r="H466" s="164">
        <v>75625</v>
      </c>
      <c r="I466" s="161">
        <v>7791605</v>
      </c>
      <c r="J466"/>
      <c r="K466" s="125" t="s">
        <v>650</v>
      </c>
      <c r="L466" s="126" t="s">
        <v>689</v>
      </c>
      <c r="M466" s="127">
        <v>3</v>
      </c>
      <c r="N466" s="126" t="s">
        <v>689</v>
      </c>
      <c r="O466" s="131" t="s">
        <v>689</v>
      </c>
      <c r="P466" s="189" t="s">
        <v>1200</v>
      </c>
    </row>
    <row r="467" spans="1:16" x14ac:dyDescent="0.3">
      <c r="A467" t="s">
        <v>484</v>
      </c>
      <c r="B467" s="117">
        <v>4943</v>
      </c>
      <c r="C467" s="117">
        <v>4552</v>
      </c>
      <c r="D467" s="141">
        <v>4577</v>
      </c>
      <c r="E467" s="117">
        <v>4738</v>
      </c>
      <c r="F467">
        <v>20.7</v>
      </c>
      <c r="G467" s="162">
        <v>4.28</v>
      </c>
      <c r="H467" s="164">
        <v>46494</v>
      </c>
      <c r="I467" s="161">
        <v>594508085</v>
      </c>
      <c r="J467"/>
      <c r="K467" s="125" t="s">
        <v>653</v>
      </c>
      <c r="L467" s="126" t="s">
        <v>689</v>
      </c>
      <c r="M467" s="127">
        <v>8</v>
      </c>
      <c r="N467" s="126" t="s">
        <v>689</v>
      </c>
      <c r="O467" s="131" t="s">
        <v>689</v>
      </c>
      <c r="P467" s="189" t="s">
        <v>1201</v>
      </c>
    </row>
    <row r="468" spans="1:16" x14ac:dyDescent="0.3">
      <c r="A468" t="s">
        <v>485</v>
      </c>
      <c r="B468" s="117">
        <v>469698</v>
      </c>
      <c r="C468" s="117">
        <v>481031</v>
      </c>
      <c r="D468" s="141">
        <v>466335</v>
      </c>
      <c r="E468" s="117">
        <v>500639</v>
      </c>
      <c r="F468">
        <v>11.9</v>
      </c>
      <c r="G468" s="162">
        <v>3.17</v>
      </c>
      <c r="H468" s="164">
        <v>85395</v>
      </c>
      <c r="I468" s="161">
        <v>118892960998</v>
      </c>
      <c r="J468"/>
      <c r="K468" s="125" t="s">
        <v>657</v>
      </c>
      <c r="L468" s="126" t="s">
        <v>689</v>
      </c>
      <c r="M468" s="127">
        <v>3</v>
      </c>
      <c r="N468" s="126" t="s">
        <v>689</v>
      </c>
      <c r="O468" s="131" t="s">
        <v>689</v>
      </c>
      <c r="P468" s="189" t="s">
        <v>1202</v>
      </c>
    </row>
    <row r="469" spans="1:16" x14ac:dyDescent="0.3">
      <c r="A469" t="s">
        <v>486</v>
      </c>
      <c r="B469" s="117">
        <v>2048</v>
      </c>
      <c r="C469" s="117">
        <v>2150</v>
      </c>
      <c r="D469" s="141">
        <v>1767</v>
      </c>
      <c r="E469" s="117">
        <v>1784</v>
      </c>
      <c r="F469">
        <v>47.7</v>
      </c>
      <c r="G469" s="162">
        <v>3.54</v>
      </c>
      <c r="H469" s="164">
        <v>35923</v>
      </c>
      <c r="I469" s="161">
        <v>170644522</v>
      </c>
      <c r="J469"/>
      <c r="K469" s="125" t="s">
        <v>658</v>
      </c>
      <c r="L469" s="126" t="s">
        <v>689</v>
      </c>
      <c r="M469" s="127">
        <v>3</v>
      </c>
      <c r="N469" s="126" t="s">
        <v>689</v>
      </c>
      <c r="O469" s="131" t="s">
        <v>689</v>
      </c>
      <c r="P469" s="189" t="s">
        <v>658</v>
      </c>
    </row>
    <row r="470" spans="1:16" x14ac:dyDescent="0.3">
      <c r="A470" t="s">
        <v>487</v>
      </c>
      <c r="B470" s="117">
        <v>4124</v>
      </c>
      <c r="C470" s="117">
        <v>4644</v>
      </c>
      <c r="D470" s="141">
        <v>4594</v>
      </c>
      <c r="E470" s="117">
        <v>4711</v>
      </c>
      <c r="F470">
        <v>32.6</v>
      </c>
      <c r="G470" s="162">
        <v>3.54</v>
      </c>
      <c r="H470" s="164">
        <v>53456</v>
      </c>
      <c r="I470" s="161">
        <v>623352084</v>
      </c>
      <c r="J470"/>
      <c r="K470" s="125" t="s">
        <v>660</v>
      </c>
      <c r="L470" s="126" t="s">
        <v>690</v>
      </c>
      <c r="M470" s="127">
        <v>7</v>
      </c>
      <c r="N470" s="126" t="s">
        <v>689</v>
      </c>
      <c r="O470" s="131" t="s">
        <v>689</v>
      </c>
      <c r="P470" s="189" t="s">
        <v>1203</v>
      </c>
    </row>
    <row r="471" spans="1:16" x14ac:dyDescent="0.3">
      <c r="A471" t="s">
        <v>488</v>
      </c>
      <c r="B471" s="117">
        <v>143460</v>
      </c>
      <c r="C471" s="117">
        <v>146348</v>
      </c>
      <c r="D471" s="141">
        <v>143681</v>
      </c>
      <c r="E471" s="117">
        <v>146650</v>
      </c>
      <c r="F471">
        <v>14.5</v>
      </c>
      <c r="G471" s="162">
        <v>3.54</v>
      </c>
      <c r="H471" s="164">
        <v>61022</v>
      </c>
      <c r="I471" s="161">
        <v>18633435361</v>
      </c>
      <c r="J471"/>
      <c r="K471" s="125" t="s">
        <v>661</v>
      </c>
      <c r="L471" s="126" t="s">
        <v>689</v>
      </c>
      <c r="M471" s="127">
        <v>5</v>
      </c>
      <c r="N471" s="126" t="s">
        <v>689</v>
      </c>
      <c r="O471" s="131" t="s">
        <v>689</v>
      </c>
      <c r="P471" s="189" t="s">
        <v>1204</v>
      </c>
    </row>
    <row r="472" spans="1:16" x14ac:dyDescent="0.3">
      <c r="A472" t="s">
        <v>489</v>
      </c>
      <c r="B472" s="117">
        <v>3643</v>
      </c>
      <c r="C472" s="117">
        <v>4617</v>
      </c>
      <c r="D472" s="141">
        <v>4531</v>
      </c>
      <c r="E472" s="117">
        <v>4767</v>
      </c>
      <c r="F472">
        <v>5.5</v>
      </c>
      <c r="G472" s="162">
        <v>3.74</v>
      </c>
      <c r="H472" s="164">
        <v>78033</v>
      </c>
      <c r="I472" s="161">
        <v>497682106</v>
      </c>
      <c r="J472"/>
      <c r="K472" s="125" t="s">
        <v>662</v>
      </c>
      <c r="L472" s="126" t="s">
        <v>689</v>
      </c>
      <c r="M472" s="127">
        <v>7</v>
      </c>
      <c r="N472" s="126" t="s">
        <v>689</v>
      </c>
      <c r="O472" s="131" t="s">
        <v>689</v>
      </c>
      <c r="P472" s="189" t="s">
        <v>1205</v>
      </c>
    </row>
    <row r="473" spans="1:16" x14ac:dyDescent="0.3">
      <c r="A473" t="s">
        <v>490</v>
      </c>
      <c r="B473" s="117">
        <v>41</v>
      </c>
      <c r="C473" s="117">
        <v>42</v>
      </c>
      <c r="D473" s="141">
        <v>61</v>
      </c>
      <c r="E473" s="117">
        <v>61</v>
      </c>
      <c r="F473">
        <v>14.3</v>
      </c>
      <c r="G473" s="162">
        <v>5.0999999999999996</v>
      </c>
      <c r="H473" s="164"/>
      <c r="I473" s="161">
        <v>3570222</v>
      </c>
      <c r="J473"/>
      <c r="K473" s="125" t="s">
        <v>806</v>
      </c>
      <c r="L473" s="126" t="s">
        <v>689</v>
      </c>
      <c r="M473" s="127">
        <v>0</v>
      </c>
      <c r="N473" s="126" t="s">
        <v>689</v>
      </c>
      <c r="O473" s="131" t="s">
        <v>689</v>
      </c>
      <c r="P473" s="189" t="s">
        <v>806</v>
      </c>
    </row>
    <row r="474" spans="1:16" x14ac:dyDescent="0.3">
      <c r="A474" t="s">
        <v>491</v>
      </c>
      <c r="B474" s="117">
        <v>710</v>
      </c>
      <c r="C474" s="117">
        <v>903</v>
      </c>
      <c r="D474" s="141">
        <v>763</v>
      </c>
      <c r="E474" s="117">
        <v>855</v>
      </c>
      <c r="F474">
        <v>7.7</v>
      </c>
      <c r="G474" s="162">
        <v>3.09</v>
      </c>
      <c r="H474" s="164">
        <v>64500</v>
      </c>
      <c r="I474" s="161">
        <v>75494627</v>
      </c>
      <c r="J474"/>
      <c r="K474" s="128" t="s">
        <v>663</v>
      </c>
      <c r="L474" s="126" t="s">
        <v>689</v>
      </c>
      <c r="M474" s="127">
        <v>7</v>
      </c>
      <c r="N474" s="126" t="s">
        <v>689</v>
      </c>
      <c r="O474" s="131" t="s">
        <v>689</v>
      </c>
      <c r="P474" s="189" t="s">
        <v>1206</v>
      </c>
    </row>
    <row r="475" spans="1:16" x14ac:dyDescent="0.3">
      <c r="A475" t="s">
        <v>492</v>
      </c>
      <c r="B475" s="117">
        <v>3446</v>
      </c>
      <c r="C475" s="117">
        <v>3405</v>
      </c>
      <c r="D475" s="141">
        <v>3347</v>
      </c>
      <c r="E475" s="117">
        <v>3504</v>
      </c>
      <c r="F475">
        <v>2.2000000000000002</v>
      </c>
      <c r="G475" s="162">
        <v>4.5</v>
      </c>
      <c r="H475" s="164">
        <v>90214</v>
      </c>
      <c r="I475" s="161"/>
      <c r="J475"/>
      <c r="K475" s="125" t="s">
        <v>664</v>
      </c>
      <c r="L475" s="126" t="s">
        <v>689</v>
      </c>
      <c r="M475" s="127">
        <v>3</v>
      </c>
      <c r="N475" s="126" t="s">
        <v>689</v>
      </c>
      <c r="O475" s="131" t="s">
        <v>689</v>
      </c>
      <c r="P475" s="189" t="s">
        <v>664</v>
      </c>
    </row>
    <row r="476" spans="1:16" x14ac:dyDescent="0.3">
      <c r="A476" t="s">
        <v>493</v>
      </c>
      <c r="B476" s="117">
        <v>3291</v>
      </c>
      <c r="C476" s="117">
        <v>3125</v>
      </c>
      <c r="D476" s="141">
        <v>3084</v>
      </c>
      <c r="E476" s="117">
        <v>3130</v>
      </c>
      <c r="F476">
        <v>40</v>
      </c>
      <c r="G476" s="162">
        <v>5.0999999999999996</v>
      </c>
      <c r="H476" s="164">
        <v>20833</v>
      </c>
      <c r="I476" s="161">
        <v>245495878</v>
      </c>
      <c r="J476"/>
      <c r="K476" s="125" t="s">
        <v>666</v>
      </c>
      <c r="L476" s="126" t="s">
        <v>690</v>
      </c>
      <c r="M476" s="127">
        <v>3</v>
      </c>
      <c r="N476" s="126" t="s">
        <v>689</v>
      </c>
      <c r="O476" s="131" t="s">
        <v>689</v>
      </c>
      <c r="P476" s="189" t="s">
        <v>1207</v>
      </c>
    </row>
    <row r="477" spans="1:16" x14ac:dyDescent="0.3">
      <c r="A477" t="s">
        <v>494</v>
      </c>
      <c r="B477" s="117">
        <v>13928</v>
      </c>
      <c r="C477" s="117">
        <v>14585</v>
      </c>
      <c r="D477" s="141">
        <v>14553</v>
      </c>
      <c r="E477" s="117">
        <v>14886</v>
      </c>
      <c r="F477">
        <v>21.1</v>
      </c>
      <c r="G477" s="162">
        <v>3.84</v>
      </c>
      <c r="H477" s="164">
        <v>42921</v>
      </c>
      <c r="I477" s="161">
        <v>1712913734</v>
      </c>
      <c r="J477"/>
      <c r="K477" s="125" t="s">
        <v>667</v>
      </c>
      <c r="L477" s="126" t="s">
        <v>690</v>
      </c>
      <c r="M477" s="127">
        <v>8</v>
      </c>
      <c r="N477" s="126" t="s">
        <v>689</v>
      </c>
      <c r="O477" s="131" t="s">
        <v>689</v>
      </c>
      <c r="P477" s="189" t="s">
        <v>1208</v>
      </c>
    </row>
    <row r="478" spans="1:16" x14ac:dyDescent="0.3">
      <c r="A478" t="s">
        <v>495</v>
      </c>
      <c r="B478" s="117">
        <v>400</v>
      </c>
      <c r="C478" s="117">
        <v>292</v>
      </c>
      <c r="D478" s="141">
        <v>279</v>
      </c>
      <c r="E478" s="117">
        <v>280</v>
      </c>
      <c r="F478">
        <v>33.9</v>
      </c>
      <c r="G478" s="162">
        <v>5.0999999999999996</v>
      </c>
      <c r="H478" s="164">
        <v>26875</v>
      </c>
      <c r="I478" s="161">
        <v>18415686</v>
      </c>
      <c r="J478"/>
      <c r="K478" s="125" t="s">
        <v>669</v>
      </c>
      <c r="L478" s="126" t="s">
        <v>690</v>
      </c>
      <c r="M478" s="127">
        <v>2</v>
      </c>
      <c r="N478" s="126" t="s">
        <v>689</v>
      </c>
      <c r="O478" s="131" t="s">
        <v>689</v>
      </c>
      <c r="P478" s="189" t="s">
        <v>669</v>
      </c>
    </row>
    <row r="479" spans="1:16" x14ac:dyDescent="0.3">
      <c r="A479" t="s">
        <v>496</v>
      </c>
      <c r="B479" s="117">
        <v>993</v>
      </c>
      <c r="C479" s="117">
        <v>1166</v>
      </c>
      <c r="D479" s="141">
        <v>992</v>
      </c>
      <c r="E479" s="117">
        <v>1005</v>
      </c>
      <c r="F479">
        <v>10.4</v>
      </c>
      <c r="G479" s="162">
        <v>3.53</v>
      </c>
      <c r="H479" s="164">
        <v>63125</v>
      </c>
      <c r="I479" s="161">
        <v>59316237</v>
      </c>
      <c r="J479"/>
      <c r="K479" s="125" t="s">
        <v>670</v>
      </c>
      <c r="L479" s="126" t="s">
        <v>689</v>
      </c>
      <c r="M479" s="127">
        <v>1</v>
      </c>
      <c r="N479" s="126" t="s">
        <v>689</v>
      </c>
      <c r="O479" s="131" t="s">
        <v>689</v>
      </c>
      <c r="P479" s="189" t="s">
        <v>1209</v>
      </c>
    </row>
    <row r="480" spans="1:16" x14ac:dyDescent="0.3">
      <c r="A480" t="s">
        <v>497</v>
      </c>
      <c r="B480" s="117">
        <v>741</v>
      </c>
      <c r="C480" s="117">
        <v>880</v>
      </c>
      <c r="D480" s="141">
        <v>877</v>
      </c>
      <c r="E480" s="117">
        <v>838</v>
      </c>
      <c r="F480">
        <v>35.200000000000003</v>
      </c>
      <c r="G480" s="162">
        <v>4.47</v>
      </c>
      <c r="H480" s="164">
        <v>37031</v>
      </c>
      <c r="I480" s="161">
        <v>51367579</v>
      </c>
      <c r="J480"/>
      <c r="K480" s="125" t="s">
        <v>671</v>
      </c>
      <c r="L480" s="126" t="s">
        <v>689</v>
      </c>
      <c r="M480" s="127">
        <v>2</v>
      </c>
      <c r="N480" s="126" t="s">
        <v>689</v>
      </c>
      <c r="O480" s="131" t="s">
        <v>689</v>
      </c>
      <c r="P480" s="189" t="s">
        <v>1210</v>
      </c>
    </row>
    <row r="481" spans="1:16" x14ac:dyDescent="0.3">
      <c r="A481" t="s">
        <v>498</v>
      </c>
      <c r="B481" s="117">
        <v>892</v>
      </c>
      <c r="C481" s="117">
        <v>937</v>
      </c>
      <c r="D481" s="141">
        <v>576</v>
      </c>
      <c r="E481" s="117">
        <v>613</v>
      </c>
      <c r="F481">
        <v>11.4</v>
      </c>
      <c r="G481" s="162">
        <v>3.09</v>
      </c>
      <c r="H481" s="164">
        <v>70750</v>
      </c>
      <c r="I481" s="161">
        <v>95833952</v>
      </c>
      <c r="J481"/>
      <c r="K481" s="128" t="s">
        <v>672</v>
      </c>
      <c r="L481" s="126" t="s">
        <v>689</v>
      </c>
      <c r="M481" s="127">
        <v>7</v>
      </c>
      <c r="N481" s="126" t="s">
        <v>689</v>
      </c>
      <c r="O481" s="131" t="s">
        <v>689</v>
      </c>
      <c r="P481" s="189" t="s">
        <v>1211</v>
      </c>
    </row>
    <row r="482" spans="1:16" x14ac:dyDescent="0.3">
      <c r="A482" t="s">
        <v>499</v>
      </c>
      <c r="B482" s="117">
        <v>2870</v>
      </c>
      <c r="C482" s="117">
        <v>2335</v>
      </c>
      <c r="D482" s="141">
        <v>2299</v>
      </c>
      <c r="E482" s="117">
        <v>2478</v>
      </c>
      <c r="F482">
        <v>11.1</v>
      </c>
      <c r="G482" s="162">
        <v>3.8</v>
      </c>
      <c r="H482" s="164">
        <v>65163</v>
      </c>
      <c r="I482" s="161">
        <v>232589065</v>
      </c>
      <c r="J482"/>
      <c r="K482" s="125" t="s">
        <v>673</v>
      </c>
      <c r="L482" s="126" t="s">
        <v>689</v>
      </c>
      <c r="M482" s="127">
        <v>6</v>
      </c>
      <c r="N482" s="126" t="s">
        <v>689</v>
      </c>
      <c r="O482" s="131" t="s">
        <v>689</v>
      </c>
      <c r="P482" s="189" t="s">
        <v>1212</v>
      </c>
    </row>
    <row r="483" spans="1:16" x14ac:dyDescent="0.3">
      <c r="A483" t="s">
        <v>500</v>
      </c>
      <c r="B483" s="117">
        <v>44759</v>
      </c>
      <c r="C483" s="117">
        <v>42344</v>
      </c>
      <c r="D483" s="141">
        <v>42801</v>
      </c>
      <c r="E483" s="117">
        <v>42261</v>
      </c>
      <c r="F483">
        <v>25.2</v>
      </c>
      <c r="G483" s="162">
        <v>4.03</v>
      </c>
      <c r="H483" s="164">
        <v>44883</v>
      </c>
      <c r="I483" s="161">
        <v>4877310011</v>
      </c>
      <c r="J483"/>
      <c r="K483" s="125" t="s">
        <v>674</v>
      </c>
      <c r="L483" s="126" t="s">
        <v>689</v>
      </c>
      <c r="M483" s="127">
        <v>2</v>
      </c>
      <c r="N483" s="126" t="s">
        <v>689</v>
      </c>
      <c r="O483" s="131" t="s">
        <v>689</v>
      </c>
      <c r="P483" s="189" t="s">
        <v>1213</v>
      </c>
    </row>
    <row r="484" spans="1:16" x14ac:dyDescent="0.3">
      <c r="A484" t="s">
        <v>501</v>
      </c>
      <c r="B484" s="117">
        <v>3036</v>
      </c>
      <c r="C484" s="117">
        <v>2874</v>
      </c>
      <c r="D484" s="141">
        <v>2904</v>
      </c>
      <c r="E484" s="117">
        <v>2921</v>
      </c>
      <c r="F484">
        <v>8.1999999999999993</v>
      </c>
      <c r="G484" s="162">
        <v>3.68</v>
      </c>
      <c r="H484" s="164">
        <v>71824</v>
      </c>
      <c r="I484" s="161">
        <v>460323878</v>
      </c>
      <c r="J484"/>
      <c r="K484" s="125" t="s">
        <v>675</v>
      </c>
      <c r="L484" s="126" t="s">
        <v>689</v>
      </c>
      <c r="M484" s="127">
        <v>2</v>
      </c>
      <c r="N484" s="126" t="s">
        <v>689</v>
      </c>
      <c r="O484" s="131" t="s">
        <v>689</v>
      </c>
      <c r="P484" s="189" t="s">
        <v>1214</v>
      </c>
    </row>
    <row r="485" spans="1:16" x14ac:dyDescent="0.3">
      <c r="A485" t="s">
        <v>503</v>
      </c>
      <c r="B485" s="117">
        <v>14562</v>
      </c>
      <c r="C485" s="117">
        <v>14856</v>
      </c>
      <c r="D485" s="141">
        <v>15142</v>
      </c>
      <c r="E485" s="117">
        <v>14592</v>
      </c>
      <c r="F485">
        <v>18.399999999999999</v>
      </c>
      <c r="G485" s="162">
        <v>5.19</v>
      </c>
      <c r="H485" s="164">
        <v>53690</v>
      </c>
      <c r="I485" s="161">
        <v>1537827400</v>
      </c>
      <c r="J485"/>
      <c r="K485" s="125" t="s">
        <v>676</v>
      </c>
      <c r="L485" s="126" t="s">
        <v>689</v>
      </c>
      <c r="M485" s="127">
        <v>5</v>
      </c>
      <c r="N485" s="126" t="s">
        <v>689</v>
      </c>
      <c r="O485" s="131" t="s">
        <v>689</v>
      </c>
      <c r="P485" s="189" t="s">
        <v>1215</v>
      </c>
    </row>
    <row r="486" spans="1:16" x14ac:dyDescent="0.3">
      <c r="A486" t="s">
        <v>504</v>
      </c>
      <c r="B486" s="117">
        <v>1615</v>
      </c>
      <c r="C486" s="117">
        <v>1893</v>
      </c>
      <c r="D486" s="141">
        <v>1179</v>
      </c>
      <c r="E486" s="117">
        <v>1260</v>
      </c>
      <c r="F486">
        <v>22.1</v>
      </c>
      <c r="G486" s="162">
        <v>3.33</v>
      </c>
      <c r="H486" s="164">
        <v>53438</v>
      </c>
      <c r="I486" s="161">
        <v>94431525</v>
      </c>
      <c r="J486"/>
      <c r="K486" s="125" t="s">
        <v>677</v>
      </c>
      <c r="L486" s="126" t="s">
        <v>689</v>
      </c>
      <c r="M486" s="127">
        <v>7</v>
      </c>
      <c r="N486" s="126" t="s">
        <v>689</v>
      </c>
      <c r="O486" s="131" t="s">
        <v>689</v>
      </c>
      <c r="P486" s="189" t="s">
        <v>1216</v>
      </c>
    </row>
    <row r="487" spans="1:16" x14ac:dyDescent="0.3">
      <c r="A487" t="s">
        <v>505</v>
      </c>
      <c r="B487" s="117">
        <v>854</v>
      </c>
      <c r="C487" s="117">
        <v>577</v>
      </c>
      <c r="D487" s="141">
        <v>584</v>
      </c>
      <c r="E487" s="117">
        <v>569</v>
      </c>
      <c r="F487">
        <v>40.9</v>
      </c>
      <c r="G487" s="162">
        <v>3.47</v>
      </c>
      <c r="H487" s="164">
        <v>17802</v>
      </c>
      <c r="I487" s="161">
        <v>91728759</v>
      </c>
      <c r="J487"/>
      <c r="K487" s="125" t="s">
        <v>678</v>
      </c>
      <c r="L487" s="126" t="s">
        <v>689</v>
      </c>
      <c r="M487" s="127">
        <v>2</v>
      </c>
      <c r="N487" s="126" t="s">
        <v>689</v>
      </c>
      <c r="O487" s="131" t="s">
        <v>689</v>
      </c>
      <c r="P487" s="189" t="s">
        <v>678</v>
      </c>
    </row>
    <row r="488" spans="1:16" x14ac:dyDescent="0.3">
      <c r="A488" t="s">
        <v>506</v>
      </c>
      <c r="B488" s="117">
        <v>1601</v>
      </c>
      <c r="C488" s="117">
        <v>1220</v>
      </c>
      <c r="D488" s="141">
        <v>1262</v>
      </c>
      <c r="E488" s="117">
        <v>1226</v>
      </c>
      <c r="F488">
        <v>29.8</v>
      </c>
      <c r="G488" s="162">
        <v>4.08</v>
      </c>
      <c r="H488" s="164">
        <v>43523</v>
      </c>
      <c r="I488" s="161">
        <v>116538964</v>
      </c>
      <c r="J488"/>
      <c r="K488" s="125" t="s">
        <v>680</v>
      </c>
      <c r="L488" s="126" t="s">
        <v>690</v>
      </c>
      <c r="M488" s="127">
        <v>10</v>
      </c>
      <c r="N488" s="126" t="s">
        <v>689</v>
      </c>
      <c r="O488" s="131" t="s">
        <v>689</v>
      </c>
      <c r="P488" s="189" t="s">
        <v>1217</v>
      </c>
    </row>
    <row r="489" spans="1:16" x14ac:dyDescent="0.3">
      <c r="A489" t="s">
        <v>507</v>
      </c>
      <c r="B489" s="117">
        <v>131656</v>
      </c>
      <c r="C489" s="117">
        <v>116902</v>
      </c>
      <c r="D489" s="141">
        <v>115743</v>
      </c>
      <c r="E489" s="117">
        <v>117440</v>
      </c>
      <c r="F489">
        <v>27.2</v>
      </c>
      <c r="G489" s="162">
        <v>5.0999999999999996</v>
      </c>
      <c r="H489" s="164">
        <v>41978</v>
      </c>
      <c r="I489" s="161">
        <v>9750598431</v>
      </c>
      <c r="J489"/>
      <c r="K489" s="125" t="s">
        <v>682</v>
      </c>
      <c r="L489" s="126" t="s">
        <v>690</v>
      </c>
      <c r="M489" s="127">
        <v>8</v>
      </c>
      <c r="N489" s="126" t="s">
        <v>689</v>
      </c>
      <c r="O489" s="131" t="s">
        <v>689</v>
      </c>
      <c r="P489" s="189" t="s">
        <v>682</v>
      </c>
    </row>
    <row r="490" spans="1:16" x14ac:dyDescent="0.3">
      <c r="A490" t="s">
        <v>508</v>
      </c>
      <c r="B490" s="117">
        <v>91051</v>
      </c>
      <c r="C490" s="117">
        <v>92131</v>
      </c>
      <c r="D490" s="141">
        <v>90869</v>
      </c>
      <c r="E490" s="117">
        <v>93213</v>
      </c>
      <c r="F490">
        <v>16.3</v>
      </c>
      <c r="G490" s="162">
        <v>3.84</v>
      </c>
      <c r="H490" s="164">
        <v>57053</v>
      </c>
      <c r="I490" s="161">
        <v>12510696027</v>
      </c>
      <c r="J490"/>
      <c r="K490" s="125" t="s">
        <v>683</v>
      </c>
      <c r="L490" s="126" t="s">
        <v>689</v>
      </c>
      <c r="M490" s="127">
        <v>1</v>
      </c>
      <c r="N490" s="126" t="s">
        <v>689</v>
      </c>
      <c r="O490" s="131" t="s">
        <v>689</v>
      </c>
      <c r="P490" s="189" t="s">
        <v>683</v>
      </c>
    </row>
    <row r="491" spans="1:16" x14ac:dyDescent="0.3">
      <c r="A491" t="s">
        <v>509</v>
      </c>
      <c r="B491" s="117">
        <v>8771</v>
      </c>
      <c r="C491" s="117">
        <v>8967</v>
      </c>
      <c r="D491" s="141">
        <v>9262</v>
      </c>
      <c r="E491" s="117">
        <v>9074</v>
      </c>
      <c r="F491">
        <v>30.6</v>
      </c>
      <c r="G491" s="162">
        <v>4.03</v>
      </c>
      <c r="H491" s="164">
        <v>37224</v>
      </c>
      <c r="I491" s="161">
        <v>884890054</v>
      </c>
      <c r="J491"/>
      <c r="K491" s="125" t="s">
        <v>684</v>
      </c>
      <c r="L491" s="126" t="s">
        <v>689</v>
      </c>
      <c r="M491" s="127">
        <v>6</v>
      </c>
      <c r="N491" s="126" t="s">
        <v>689</v>
      </c>
      <c r="O491" s="131" t="s">
        <v>689</v>
      </c>
      <c r="P491" s="189" t="s">
        <v>1218</v>
      </c>
    </row>
    <row r="492" spans="1:16" x14ac:dyDescent="0.3">
      <c r="A492" t="s">
        <v>510</v>
      </c>
      <c r="B492" s="117">
        <v>2090</v>
      </c>
      <c r="C492" s="117">
        <v>2782</v>
      </c>
      <c r="D492" s="141">
        <v>2332</v>
      </c>
      <c r="E492" s="117">
        <v>2460</v>
      </c>
      <c r="F492">
        <v>7</v>
      </c>
      <c r="G492" s="162">
        <v>3.57</v>
      </c>
      <c r="H492" s="164">
        <v>69632</v>
      </c>
      <c r="I492" s="161">
        <v>297100307</v>
      </c>
      <c r="J492"/>
      <c r="K492" s="125" t="s">
        <v>685</v>
      </c>
      <c r="L492" s="126" t="s">
        <v>689</v>
      </c>
      <c r="M492" s="127">
        <v>6</v>
      </c>
      <c r="N492" s="126" t="s">
        <v>689</v>
      </c>
      <c r="O492" s="131" t="s">
        <v>689</v>
      </c>
      <c r="P492" s="189" t="s">
        <v>685</v>
      </c>
    </row>
    <row r="493" spans="1:16" x14ac:dyDescent="0.3">
      <c r="A493" t="s">
        <v>511</v>
      </c>
      <c r="B493" s="117">
        <v>54330</v>
      </c>
      <c r="C493" s="117">
        <v>54297</v>
      </c>
      <c r="D493" s="141">
        <v>54848</v>
      </c>
      <c r="E493" s="117">
        <v>56030</v>
      </c>
      <c r="F493">
        <v>19.7</v>
      </c>
      <c r="G493" s="162">
        <v>4.88</v>
      </c>
      <c r="H493" s="164">
        <v>55534</v>
      </c>
      <c r="I493" s="161">
        <v>5929807439</v>
      </c>
      <c r="J493"/>
      <c r="K493" s="125" t="s">
        <v>686</v>
      </c>
      <c r="L493" s="126" t="s">
        <v>689</v>
      </c>
      <c r="M493" s="127">
        <v>7</v>
      </c>
      <c r="N493" s="126" t="s">
        <v>689</v>
      </c>
      <c r="O493" s="131" t="s">
        <v>689</v>
      </c>
      <c r="P493" s="189" t="s">
        <v>1219</v>
      </c>
    </row>
    <row r="494" spans="1:16" x14ac:dyDescent="0.3">
      <c r="A494" t="s">
        <v>512</v>
      </c>
      <c r="B494" s="117">
        <v>8002</v>
      </c>
      <c r="C494" s="117">
        <v>10766</v>
      </c>
      <c r="D494" s="141">
        <v>9774</v>
      </c>
      <c r="E494" s="117">
        <v>11933</v>
      </c>
      <c r="F494">
        <v>1.1000000000000001</v>
      </c>
      <c r="G494" s="162">
        <v>3.17</v>
      </c>
      <c r="H494" s="164">
        <v>149565</v>
      </c>
      <c r="I494" s="161">
        <v>2499177658</v>
      </c>
      <c r="J494"/>
      <c r="K494" s="128" t="s">
        <v>686</v>
      </c>
      <c r="L494" s="126" t="s">
        <v>689</v>
      </c>
      <c r="M494" s="127">
        <v>7</v>
      </c>
      <c r="N494" s="126" t="s">
        <v>689</v>
      </c>
      <c r="O494" s="131" t="s">
        <v>689</v>
      </c>
      <c r="P494" s="189" t="s">
        <v>1219</v>
      </c>
    </row>
    <row r="495" spans="1:16" x14ac:dyDescent="0.3">
      <c r="A495" t="s">
        <v>513</v>
      </c>
      <c r="B495" s="117">
        <v>824</v>
      </c>
      <c r="C495" s="117">
        <v>436</v>
      </c>
      <c r="D495" s="141">
        <v>437</v>
      </c>
      <c r="E495" s="117">
        <v>439</v>
      </c>
      <c r="F495">
        <v>21.3</v>
      </c>
      <c r="G495" s="162">
        <v>3.68</v>
      </c>
      <c r="H495" s="164">
        <v>48393</v>
      </c>
      <c r="I495" s="161">
        <v>21532107</v>
      </c>
      <c r="J495"/>
      <c r="K495" s="129"/>
    </row>
    <row r="496" spans="1:16" x14ac:dyDescent="0.3">
      <c r="A496" t="s">
        <v>514</v>
      </c>
      <c r="B496" s="117">
        <v>757</v>
      </c>
      <c r="C496" s="117">
        <v>384</v>
      </c>
      <c r="D496" s="141">
        <v>482</v>
      </c>
      <c r="E496" s="117">
        <v>463</v>
      </c>
      <c r="F496">
        <v>34.1</v>
      </c>
      <c r="G496" s="162">
        <v>4.46</v>
      </c>
      <c r="H496" s="164">
        <v>22819</v>
      </c>
      <c r="I496" s="161">
        <v>19320972</v>
      </c>
      <c r="J496"/>
      <c r="K496" s="129"/>
    </row>
    <row r="497" spans="1:11" x14ac:dyDescent="0.3">
      <c r="A497" t="s">
        <v>515</v>
      </c>
      <c r="B497" s="117">
        <v>2014</v>
      </c>
      <c r="C497" s="117">
        <v>1309</v>
      </c>
      <c r="D497" s="141">
        <v>1365</v>
      </c>
      <c r="E497" s="117">
        <v>1388</v>
      </c>
      <c r="F497">
        <v>23.5</v>
      </c>
      <c r="G497" s="162">
        <v>3.26</v>
      </c>
      <c r="H497" s="164">
        <v>49375</v>
      </c>
      <c r="I497" s="161">
        <v>80256086</v>
      </c>
      <c r="J497"/>
      <c r="K497" s="129"/>
    </row>
    <row r="498" spans="1:11" x14ac:dyDescent="0.3">
      <c r="A498" t="s">
        <v>516</v>
      </c>
      <c r="B498" s="117">
        <v>1048</v>
      </c>
      <c r="C498" s="117">
        <v>1123</v>
      </c>
      <c r="D498" s="141">
        <v>1147</v>
      </c>
      <c r="E498" s="117">
        <v>1173</v>
      </c>
      <c r="F498">
        <v>39.200000000000003</v>
      </c>
      <c r="G498" s="162">
        <v>3.98</v>
      </c>
      <c r="H498" s="164">
        <v>39333</v>
      </c>
      <c r="I498" s="161">
        <v>128827339</v>
      </c>
      <c r="J498"/>
      <c r="K498" s="129"/>
    </row>
    <row r="499" spans="1:11" x14ac:dyDescent="0.3">
      <c r="A499" t="s">
        <v>517</v>
      </c>
      <c r="B499" s="117">
        <v>842</v>
      </c>
      <c r="C499" s="117">
        <v>699</v>
      </c>
      <c r="D499" s="141">
        <v>705</v>
      </c>
      <c r="E499" s="117">
        <v>762</v>
      </c>
      <c r="F499">
        <v>18.5</v>
      </c>
      <c r="G499" s="162">
        <v>3.5</v>
      </c>
      <c r="H499" s="164">
        <v>53626</v>
      </c>
      <c r="I499" s="161">
        <v>31401243</v>
      </c>
      <c r="J499"/>
      <c r="K499" s="129"/>
    </row>
    <row r="500" spans="1:11" x14ac:dyDescent="0.3">
      <c r="A500" t="s">
        <v>518</v>
      </c>
      <c r="B500" s="117">
        <v>140978</v>
      </c>
      <c r="C500" s="117">
        <v>149875</v>
      </c>
      <c r="D500" s="141">
        <v>147078</v>
      </c>
      <c r="E500" s="117">
        <v>154239</v>
      </c>
      <c r="F500">
        <v>16</v>
      </c>
      <c r="G500" s="162">
        <v>3.57</v>
      </c>
      <c r="H500" s="164">
        <v>65725</v>
      </c>
      <c r="I500" s="161">
        <v>20618893145</v>
      </c>
      <c r="J500"/>
      <c r="K500" s="129"/>
    </row>
    <row r="501" spans="1:11" x14ac:dyDescent="0.3">
      <c r="A501" t="s">
        <v>519</v>
      </c>
      <c r="B501" s="117">
        <v>1130</v>
      </c>
      <c r="C501" s="117">
        <v>946</v>
      </c>
      <c r="D501" s="141">
        <v>884</v>
      </c>
      <c r="E501" s="117">
        <v>888</v>
      </c>
      <c r="F501">
        <v>33.700000000000003</v>
      </c>
      <c r="G501" s="162">
        <v>5.0999999999999996</v>
      </c>
      <c r="H501" s="164">
        <v>32500</v>
      </c>
      <c r="I501" s="161">
        <v>64882969</v>
      </c>
      <c r="J501"/>
      <c r="K501" s="129"/>
    </row>
    <row r="502" spans="1:11" x14ac:dyDescent="0.3">
      <c r="A502" t="s">
        <v>520</v>
      </c>
      <c r="B502" s="117">
        <v>8323</v>
      </c>
      <c r="C502" s="117">
        <v>8182</v>
      </c>
      <c r="D502" s="141">
        <v>8122</v>
      </c>
      <c r="E502" s="117">
        <v>8129</v>
      </c>
      <c r="F502">
        <v>33.299999999999997</v>
      </c>
      <c r="G502" s="162">
        <v>3.36</v>
      </c>
      <c r="H502" s="164">
        <v>36553</v>
      </c>
      <c r="I502" s="161">
        <v>822998375</v>
      </c>
      <c r="J502"/>
      <c r="K502" s="129"/>
    </row>
    <row r="503" spans="1:11" x14ac:dyDescent="0.3">
      <c r="A503" t="s">
        <v>521</v>
      </c>
      <c r="B503" s="117">
        <v>234</v>
      </c>
      <c r="C503" s="117">
        <v>326</v>
      </c>
      <c r="D503" s="141">
        <v>182</v>
      </c>
      <c r="E503" s="117">
        <v>169</v>
      </c>
      <c r="F503">
        <v>6.1</v>
      </c>
      <c r="G503" s="162">
        <v>4.8499999999999996</v>
      </c>
      <c r="H503" s="164">
        <v>39167</v>
      </c>
      <c r="I503" s="161">
        <v>11710150</v>
      </c>
      <c r="J503"/>
      <c r="K503" s="129"/>
    </row>
    <row r="504" spans="1:11" x14ac:dyDescent="0.3">
      <c r="A504" t="s">
        <v>522</v>
      </c>
      <c r="B504" s="117">
        <v>3227</v>
      </c>
      <c r="C504" s="117">
        <v>3466</v>
      </c>
      <c r="D504" s="141">
        <v>3368</v>
      </c>
      <c r="E504" s="117">
        <v>3500</v>
      </c>
      <c r="F504">
        <v>9.4</v>
      </c>
      <c r="G504" s="162">
        <v>3.79</v>
      </c>
      <c r="H504" s="164">
        <v>51054</v>
      </c>
      <c r="I504" s="161">
        <v>525666982</v>
      </c>
      <c r="J504"/>
      <c r="K504" s="129"/>
    </row>
    <row r="505" spans="1:11" x14ac:dyDescent="0.3">
      <c r="A505" t="s">
        <v>523</v>
      </c>
      <c r="B505" s="117">
        <v>629</v>
      </c>
      <c r="C505" s="117">
        <v>510</v>
      </c>
      <c r="D505" s="141">
        <v>345</v>
      </c>
      <c r="E505" s="117">
        <v>347</v>
      </c>
      <c r="F505">
        <v>35.700000000000003</v>
      </c>
      <c r="G505" s="162">
        <v>4.3499999999999996</v>
      </c>
      <c r="H505" s="164">
        <v>51250</v>
      </c>
      <c r="I505" s="161">
        <v>54784733</v>
      </c>
      <c r="J505"/>
      <c r="K505" s="129"/>
    </row>
    <row r="506" spans="1:11" x14ac:dyDescent="0.3">
      <c r="A506" t="s">
        <v>524</v>
      </c>
      <c r="B506" s="117">
        <v>1104</v>
      </c>
      <c r="C506" s="117">
        <v>1374</v>
      </c>
      <c r="D506" s="141">
        <v>1226</v>
      </c>
      <c r="E506" s="117">
        <v>1273</v>
      </c>
      <c r="F506">
        <v>7.7</v>
      </c>
      <c r="G506" s="162">
        <v>3.56</v>
      </c>
      <c r="H506" s="164">
        <v>67500</v>
      </c>
      <c r="I506" s="161">
        <v>196606921</v>
      </c>
      <c r="J506"/>
      <c r="K506" s="129"/>
    </row>
    <row r="507" spans="1:11" x14ac:dyDescent="0.3">
      <c r="A507" t="s">
        <v>525</v>
      </c>
      <c r="B507" s="117">
        <v>66741</v>
      </c>
      <c r="C507" s="117">
        <v>64930</v>
      </c>
      <c r="D507" s="141">
        <v>64109</v>
      </c>
      <c r="E507" s="117">
        <v>64827</v>
      </c>
      <c r="F507">
        <v>16.8</v>
      </c>
      <c r="G507" s="162">
        <v>4.3499999999999996</v>
      </c>
      <c r="H507" s="164">
        <v>51410</v>
      </c>
      <c r="I507" s="161">
        <v>11069264504</v>
      </c>
      <c r="J507"/>
      <c r="K507" s="129"/>
    </row>
    <row r="508" spans="1:11" x14ac:dyDescent="0.3">
      <c r="A508" t="s">
        <v>526</v>
      </c>
      <c r="B508" s="117">
        <v>4071</v>
      </c>
      <c r="C508" s="117">
        <v>3680</v>
      </c>
      <c r="D508" s="141">
        <v>3649</v>
      </c>
      <c r="E508" s="117">
        <v>3711</v>
      </c>
      <c r="F508">
        <v>12.7</v>
      </c>
      <c r="G508" s="162">
        <v>4.3499999999999996</v>
      </c>
      <c r="H508" s="164">
        <v>59375</v>
      </c>
      <c r="I508" s="161">
        <v>549980383</v>
      </c>
      <c r="J508"/>
      <c r="K508" s="129"/>
    </row>
    <row r="509" spans="1:11" x14ac:dyDescent="0.3">
      <c r="A509" t="s">
        <v>527</v>
      </c>
      <c r="B509" s="117">
        <v>410</v>
      </c>
      <c r="C509" s="117">
        <v>544</v>
      </c>
      <c r="D509" s="141">
        <v>420</v>
      </c>
      <c r="E509" s="117">
        <v>449</v>
      </c>
      <c r="F509">
        <v>20.6</v>
      </c>
      <c r="G509" s="162">
        <v>3.33</v>
      </c>
      <c r="H509" s="164">
        <v>75313</v>
      </c>
      <c r="I509" s="161">
        <v>46914717</v>
      </c>
      <c r="J509"/>
      <c r="K509" s="129"/>
    </row>
    <row r="510" spans="1:11" x14ac:dyDescent="0.3">
      <c r="A510" t="s">
        <v>528</v>
      </c>
      <c r="B510" s="117">
        <v>5889</v>
      </c>
      <c r="C510" s="117">
        <v>7072</v>
      </c>
      <c r="D510" s="141">
        <v>6689</v>
      </c>
      <c r="E510" s="117">
        <v>8249</v>
      </c>
      <c r="F510">
        <v>4.3</v>
      </c>
      <c r="G510" s="162">
        <v>4.04</v>
      </c>
      <c r="H510" s="164">
        <v>116383</v>
      </c>
      <c r="I510" s="161">
        <v>3578499488</v>
      </c>
      <c r="J510"/>
      <c r="K510" s="129"/>
    </row>
    <row r="511" spans="1:11" x14ac:dyDescent="0.3">
      <c r="A511" t="s">
        <v>529</v>
      </c>
      <c r="B511" s="117">
        <v>2114</v>
      </c>
      <c r="C511" s="117">
        <v>2688</v>
      </c>
      <c r="D511" s="141">
        <v>2049</v>
      </c>
      <c r="E511" s="117">
        <v>2057</v>
      </c>
      <c r="F511">
        <v>37.700000000000003</v>
      </c>
      <c r="G511" s="162">
        <v>5.0999999999999996</v>
      </c>
      <c r="H511" s="164">
        <v>36800</v>
      </c>
      <c r="I511" s="161">
        <v>268237657</v>
      </c>
      <c r="J511"/>
      <c r="K511" s="129"/>
    </row>
    <row r="512" spans="1:11" x14ac:dyDescent="0.3">
      <c r="A512" t="s">
        <v>530</v>
      </c>
      <c r="B512" s="117">
        <v>368</v>
      </c>
      <c r="C512" s="117">
        <v>550</v>
      </c>
      <c r="D512" s="141">
        <v>456</v>
      </c>
      <c r="E512" s="117">
        <v>536</v>
      </c>
      <c r="F512">
        <v>9.6999999999999993</v>
      </c>
      <c r="G512" s="162">
        <v>3.98</v>
      </c>
      <c r="H512" s="164">
        <v>83026</v>
      </c>
      <c r="I512" s="161">
        <v>97778015</v>
      </c>
      <c r="J512"/>
      <c r="K512" s="129"/>
    </row>
    <row r="513" spans="1:11" x14ac:dyDescent="0.3">
      <c r="A513" t="s">
        <v>531</v>
      </c>
      <c r="B513" s="117">
        <v>33961</v>
      </c>
      <c r="C513" s="117">
        <v>35825</v>
      </c>
      <c r="D513" s="141">
        <v>35433</v>
      </c>
      <c r="E513" s="117">
        <v>38202</v>
      </c>
      <c r="F513">
        <v>26.3</v>
      </c>
      <c r="G513" s="162">
        <v>3.57</v>
      </c>
      <c r="H513" s="164">
        <v>53716</v>
      </c>
      <c r="I513" s="161">
        <v>4525537861</v>
      </c>
      <c r="J513"/>
      <c r="K513" s="129"/>
    </row>
    <row r="514" spans="1:11" x14ac:dyDescent="0.3">
      <c r="A514" t="s">
        <v>532</v>
      </c>
      <c r="B514" s="117">
        <v>779</v>
      </c>
      <c r="C514" s="117">
        <v>683</v>
      </c>
      <c r="D514" s="141">
        <v>641</v>
      </c>
      <c r="E514" s="117">
        <v>682</v>
      </c>
      <c r="F514">
        <v>13.2</v>
      </c>
      <c r="G514" s="162">
        <v>3.3</v>
      </c>
      <c r="H514" s="164">
        <v>52137</v>
      </c>
      <c r="I514" s="161">
        <v>156003870</v>
      </c>
      <c r="J514"/>
      <c r="K514" s="129"/>
    </row>
    <row r="515" spans="1:11" x14ac:dyDescent="0.3">
      <c r="A515" t="s">
        <v>533</v>
      </c>
      <c r="B515" s="117">
        <v>63284</v>
      </c>
      <c r="C515" s="117">
        <v>59470</v>
      </c>
      <c r="D515" s="141">
        <v>58793</v>
      </c>
      <c r="E515" s="117">
        <v>59960</v>
      </c>
      <c r="F515">
        <v>21.8</v>
      </c>
      <c r="G515" s="162">
        <v>3.98</v>
      </c>
      <c r="H515" s="164">
        <v>52432</v>
      </c>
      <c r="I515" s="161">
        <v>7050073399</v>
      </c>
      <c r="J515"/>
      <c r="K515" s="129"/>
    </row>
    <row r="516" spans="1:11" x14ac:dyDescent="0.3">
      <c r="A516" t="s">
        <v>534</v>
      </c>
      <c r="B516" s="117">
        <v>212</v>
      </c>
      <c r="C516" s="117">
        <v>300</v>
      </c>
      <c r="D516" s="141">
        <v>262</v>
      </c>
      <c r="E516" s="117">
        <v>289</v>
      </c>
      <c r="F516">
        <v>12.7</v>
      </c>
      <c r="G516" s="162">
        <v>4.04</v>
      </c>
      <c r="H516" s="164">
        <v>61250</v>
      </c>
      <c r="I516" s="161">
        <v>27954424</v>
      </c>
      <c r="J516"/>
      <c r="K516" s="129"/>
    </row>
    <row r="517" spans="1:11" x14ac:dyDescent="0.3">
      <c r="A517" t="s">
        <v>535</v>
      </c>
      <c r="B517" s="117">
        <v>674</v>
      </c>
      <c r="C517" s="117">
        <v>763</v>
      </c>
      <c r="D517" s="141">
        <v>431</v>
      </c>
      <c r="E517" s="117">
        <v>430</v>
      </c>
      <c r="F517">
        <v>29.6</v>
      </c>
      <c r="G517" s="162">
        <v>4.3600000000000003</v>
      </c>
      <c r="H517" s="164">
        <v>41667</v>
      </c>
      <c r="I517" s="161">
        <v>24965092</v>
      </c>
      <c r="J517"/>
      <c r="K517" s="129"/>
    </row>
    <row r="518" spans="1:11" x14ac:dyDescent="0.3">
      <c r="A518" t="s">
        <v>536</v>
      </c>
      <c r="B518" s="117">
        <v>29758</v>
      </c>
      <c r="C518" s="117">
        <v>31478</v>
      </c>
      <c r="D518" s="141">
        <v>30331</v>
      </c>
      <c r="E518" s="117">
        <v>32813</v>
      </c>
      <c r="F518">
        <v>22</v>
      </c>
      <c r="G518" s="162">
        <v>3.54</v>
      </c>
      <c r="H518" s="164">
        <v>57586</v>
      </c>
      <c r="I518" s="161">
        <v>4727866858</v>
      </c>
      <c r="J518"/>
      <c r="K518" s="129"/>
    </row>
    <row r="519" spans="1:11" x14ac:dyDescent="0.3">
      <c r="A519" t="s">
        <v>537</v>
      </c>
      <c r="B519" s="117">
        <v>370</v>
      </c>
      <c r="C519" s="117">
        <v>291</v>
      </c>
      <c r="D519" s="141">
        <v>348</v>
      </c>
      <c r="E519" s="117">
        <v>350</v>
      </c>
      <c r="F519">
        <v>20.3</v>
      </c>
      <c r="G519" s="162">
        <v>5.09</v>
      </c>
      <c r="H519" s="164">
        <v>30469</v>
      </c>
      <c r="I519" s="161">
        <v>37002891</v>
      </c>
      <c r="J519"/>
      <c r="K519" s="129"/>
    </row>
    <row r="520" spans="1:11" x14ac:dyDescent="0.3">
      <c r="A520" t="s">
        <v>538</v>
      </c>
      <c r="B520" s="117">
        <v>5201</v>
      </c>
      <c r="C520" s="117">
        <v>5042</v>
      </c>
      <c r="D520" s="141">
        <v>5035</v>
      </c>
      <c r="E520" s="117">
        <v>5081</v>
      </c>
      <c r="F520">
        <v>9.9</v>
      </c>
      <c r="G520" s="162">
        <v>3.5</v>
      </c>
      <c r="H520" s="164">
        <v>71067</v>
      </c>
      <c r="I520" s="161">
        <v>312436666</v>
      </c>
      <c r="J520"/>
      <c r="K520" s="129"/>
    </row>
    <row r="521" spans="1:11" x14ac:dyDescent="0.3">
      <c r="A521" t="s">
        <v>539</v>
      </c>
      <c r="B521" s="117">
        <v>34921</v>
      </c>
      <c r="C521" s="117">
        <v>33590</v>
      </c>
      <c r="D521" s="141">
        <v>33299</v>
      </c>
      <c r="E521" s="117">
        <v>32860</v>
      </c>
      <c r="F521">
        <v>25.8</v>
      </c>
      <c r="G521" s="162">
        <v>5.23</v>
      </c>
      <c r="H521" s="164">
        <v>45730</v>
      </c>
      <c r="I521" s="161">
        <v>2652198165</v>
      </c>
      <c r="J521"/>
      <c r="K521" s="129"/>
    </row>
    <row r="522" spans="1:11" x14ac:dyDescent="0.3">
      <c r="A522" t="s">
        <v>540</v>
      </c>
      <c r="B522" s="117">
        <v>1770</v>
      </c>
      <c r="C522" s="117">
        <v>2006</v>
      </c>
      <c r="D522" s="141">
        <v>1681</v>
      </c>
      <c r="E522" s="117">
        <v>1638</v>
      </c>
      <c r="F522">
        <v>44.8</v>
      </c>
      <c r="G522" s="162">
        <v>5.19</v>
      </c>
      <c r="H522" s="164">
        <v>19083</v>
      </c>
      <c r="I522" s="161">
        <v>117733012</v>
      </c>
      <c r="J522"/>
      <c r="K522" s="129"/>
    </row>
    <row r="523" spans="1:11" x14ac:dyDescent="0.3">
      <c r="A523" t="s">
        <v>541</v>
      </c>
      <c r="B523" s="117">
        <v>743</v>
      </c>
      <c r="C523" s="117">
        <v>585</v>
      </c>
      <c r="D523" s="141">
        <v>532</v>
      </c>
      <c r="E523" s="117">
        <v>507</v>
      </c>
      <c r="F523">
        <v>30.9</v>
      </c>
      <c r="G523" s="162">
        <v>4.47</v>
      </c>
      <c r="H523" s="164">
        <v>25776</v>
      </c>
      <c r="I523" s="161">
        <v>29121471</v>
      </c>
      <c r="J523"/>
      <c r="K523" s="129"/>
    </row>
    <row r="524" spans="1:11" x14ac:dyDescent="0.3">
      <c r="A524" t="s">
        <v>542</v>
      </c>
      <c r="B524" s="117">
        <v>464</v>
      </c>
      <c r="C524" s="117">
        <v>407</v>
      </c>
      <c r="D524" s="141">
        <v>232</v>
      </c>
      <c r="E524" s="117">
        <v>235</v>
      </c>
      <c r="F524">
        <v>14.5</v>
      </c>
      <c r="G524" s="162">
        <v>3.54</v>
      </c>
      <c r="H524" s="164">
        <v>64926</v>
      </c>
      <c r="I524" s="161">
        <v>58221897</v>
      </c>
      <c r="J524"/>
      <c r="K524" s="129"/>
    </row>
    <row r="525" spans="1:11" x14ac:dyDescent="0.3">
      <c r="A525" t="s">
        <v>544</v>
      </c>
      <c r="B525" s="117">
        <v>471</v>
      </c>
      <c r="C525" s="117">
        <v>772</v>
      </c>
      <c r="D525" s="141">
        <v>656</v>
      </c>
      <c r="E525" s="117">
        <v>684</v>
      </c>
      <c r="F525">
        <v>6.1</v>
      </c>
      <c r="G525" s="162">
        <v>4.12</v>
      </c>
      <c r="H525" s="164">
        <v>69712</v>
      </c>
      <c r="I525" s="161">
        <v>73082517</v>
      </c>
      <c r="J525"/>
      <c r="K525" s="129"/>
    </row>
    <row r="526" spans="1:11" x14ac:dyDescent="0.3">
      <c r="A526" t="s">
        <v>546</v>
      </c>
      <c r="B526" s="117">
        <v>6950</v>
      </c>
      <c r="C526" s="117">
        <v>6817</v>
      </c>
      <c r="D526" s="141">
        <v>6325</v>
      </c>
      <c r="E526" s="117">
        <v>6783</v>
      </c>
      <c r="F526">
        <v>24.7</v>
      </c>
      <c r="G526" s="162">
        <v>3.11</v>
      </c>
      <c r="H526" s="164">
        <v>41368</v>
      </c>
      <c r="I526" s="161">
        <v>708163861</v>
      </c>
      <c r="J526"/>
      <c r="K526" s="129"/>
    </row>
    <row r="527" spans="1:11" x14ac:dyDescent="0.3">
      <c r="A527" t="s">
        <v>547</v>
      </c>
      <c r="B527" s="117">
        <v>441</v>
      </c>
      <c r="C527" s="117">
        <v>425</v>
      </c>
      <c r="D527" s="141">
        <v>316</v>
      </c>
      <c r="E527" s="117">
        <v>330</v>
      </c>
      <c r="F527">
        <v>3.3</v>
      </c>
      <c r="G527" s="162">
        <v>3.85</v>
      </c>
      <c r="H527" s="164">
        <v>111667</v>
      </c>
      <c r="I527" s="161">
        <v>249890701</v>
      </c>
      <c r="J527"/>
      <c r="K527" s="129"/>
    </row>
    <row r="528" spans="1:11" x14ac:dyDescent="0.3">
      <c r="A528" t="s">
        <v>548</v>
      </c>
      <c r="B528" s="117">
        <v>44</v>
      </c>
      <c r="C528" s="117">
        <v>32</v>
      </c>
      <c r="D528" s="141">
        <v>65</v>
      </c>
      <c r="E528" s="117">
        <v>77</v>
      </c>
      <c r="F528">
        <v>0</v>
      </c>
      <c r="G528" s="162">
        <v>3.7</v>
      </c>
      <c r="H528" s="164">
        <v>118036</v>
      </c>
      <c r="I528" s="161">
        <v>2909701</v>
      </c>
      <c r="J528"/>
      <c r="K528" s="129"/>
    </row>
    <row r="529" spans="1:11" x14ac:dyDescent="0.3">
      <c r="A529" t="s">
        <v>549</v>
      </c>
      <c r="B529" s="117">
        <v>258</v>
      </c>
      <c r="C529" s="117">
        <v>158</v>
      </c>
      <c r="D529" s="141">
        <v>186</v>
      </c>
      <c r="E529" s="117">
        <v>177</v>
      </c>
      <c r="F529">
        <v>8.9</v>
      </c>
      <c r="G529" s="162">
        <v>4.47</v>
      </c>
      <c r="H529" s="164">
        <v>62500</v>
      </c>
      <c r="I529" s="161">
        <v>71837304</v>
      </c>
      <c r="J529"/>
      <c r="K529" s="129"/>
    </row>
    <row r="530" spans="1:11" x14ac:dyDescent="0.3">
      <c r="A530" t="s">
        <v>550</v>
      </c>
      <c r="B530" s="117">
        <v>4205</v>
      </c>
      <c r="C530" s="117">
        <v>4639</v>
      </c>
      <c r="D530" s="141">
        <v>4242</v>
      </c>
      <c r="E530" s="117">
        <v>5174</v>
      </c>
      <c r="F530">
        <v>10.3</v>
      </c>
      <c r="G530" s="162">
        <v>4.04</v>
      </c>
      <c r="H530" s="164">
        <v>88367</v>
      </c>
      <c r="I530" s="161">
        <v>1149516751</v>
      </c>
      <c r="J530"/>
      <c r="K530" s="129"/>
    </row>
    <row r="531" spans="1:11" x14ac:dyDescent="0.3">
      <c r="A531" t="s">
        <v>551</v>
      </c>
      <c r="B531" s="117">
        <v>1418</v>
      </c>
      <c r="C531" s="117">
        <v>1605</v>
      </c>
      <c r="D531" s="141">
        <v>1722</v>
      </c>
      <c r="E531" s="117">
        <v>1799</v>
      </c>
      <c r="F531">
        <v>19.3</v>
      </c>
      <c r="G531" s="162">
        <v>4.95</v>
      </c>
      <c r="H531" s="164">
        <v>54709</v>
      </c>
      <c r="I531" s="161">
        <v>101414389</v>
      </c>
      <c r="J531"/>
      <c r="K531" s="129"/>
    </row>
    <row r="532" spans="1:11" x14ac:dyDescent="0.3">
      <c r="A532" t="s">
        <v>552</v>
      </c>
      <c r="B532" s="117">
        <v>20046</v>
      </c>
      <c r="C532" s="117">
        <v>22100</v>
      </c>
      <c r="D532" s="141">
        <v>21841</v>
      </c>
      <c r="E532" s="117">
        <v>22168</v>
      </c>
      <c r="F532">
        <v>17.600000000000001</v>
      </c>
      <c r="G532" s="162">
        <v>4.0599999999999996</v>
      </c>
      <c r="H532" s="164">
        <v>48376</v>
      </c>
      <c r="I532" s="161">
        <v>2835012482</v>
      </c>
      <c r="J532"/>
      <c r="K532" s="129"/>
    </row>
    <row r="533" spans="1:11" x14ac:dyDescent="0.3">
      <c r="A533" t="s">
        <v>553</v>
      </c>
      <c r="B533" s="117">
        <v>8159</v>
      </c>
      <c r="C533" s="117">
        <v>7995</v>
      </c>
      <c r="D533" s="141">
        <v>7708</v>
      </c>
      <c r="E533" s="117">
        <v>7838</v>
      </c>
      <c r="F533">
        <v>33.9</v>
      </c>
      <c r="G533" s="162">
        <v>3.12</v>
      </c>
      <c r="H533" s="164">
        <v>46566</v>
      </c>
      <c r="I533" s="161">
        <v>806232765</v>
      </c>
      <c r="J533"/>
      <c r="K533" s="129"/>
    </row>
    <row r="534" spans="1:11" x14ac:dyDescent="0.3">
      <c r="A534" t="s">
        <v>554</v>
      </c>
      <c r="B534" s="117">
        <v>462</v>
      </c>
      <c r="C534" s="117">
        <v>432</v>
      </c>
      <c r="D534" s="141">
        <v>409</v>
      </c>
      <c r="E534" s="117">
        <v>574</v>
      </c>
      <c r="F534">
        <v>27.4</v>
      </c>
      <c r="G534" s="162">
        <v>4.0999999999999996</v>
      </c>
      <c r="H534" s="164">
        <v>39464</v>
      </c>
      <c r="I534" s="161">
        <v>45272845</v>
      </c>
      <c r="J534"/>
      <c r="K534" s="129"/>
    </row>
    <row r="535" spans="1:11" x14ac:dyDescent="0.3">
      <c r="A535" t="s">
        <v>555</v>
      </c>
      <c r="B535" s="117">
        <v>374</v>
      </c>
      <c r="C535" s="117">
        <v>522</v>
      </c>
      <c r="D535" s="141">
        <v>333</v>
      </c>
      <c r="E535" s="117">
        <v>434</v>
      </c>
      <c r="F535">
        <v>3.8</v>
      </c>
      <c r="G535" s="162">
        <v>5.09</v>
      </c>
      <c r="H535" s="164">
        <v>78267</v>
      </c>
      <c r="I535" s="161">
        <v>47503999</v>
      </c>
      <c r="J535"/>
      <c r="K535" s="129"/>
    </row>
    <row r="536" spans="1:11" x14ac:dyDescent="0.3">
      <c r="A536" t="s">
        <v>556</v>
      </c>
      <c r="B536" s="117">
        <v>12697</v>
      </c>
      <c r="C536" s="117">
        <v>12116</v>
      </c>
      <c r="D536" s="141">
        <v>11335</v>
      </c>
      <c r="E536" s="117">
        <v>12373</v>
      </c>
      <c r="F536">
        <v>27.3</v>
      </c>
      <c r="G536" s="162">
        <v>3.11</v>
      </c>
      <c r="H536" s="164">
        <v>43270</v>
      </c>
      <c r="I536" s="161">
        <v>1672260137</v>
      </c>
      <c r="J536"/>
      <c r="K536" s="129"/>
    </row>
    <row r="537" spans="1:11" x14ac:dyDescent="0.3">
      <c r="A537" t="s">
        <v>557</v>
      </c>
      <c r="B537" s="117">
        <v>2257</v>
      </c>
      <c r="C537" s="117">
        <v>2438</v>
      </c>
      <c r="D537" s="141">
        <v>1580</v>
      </c>
      <c r="E537" s="117">
        <v>1574</v>
      </c>
      <c r="F537">
        <v>40.200000000000003</v>
      </c>
      <c r="G537" s="162">
        <v>3.12</v>
      </c>
      <c r="H537" s="164">
        <v>31629</v>
      </c>
      <c r="I537" s="161">
        <v>142386916</v>
      </c>
      <c r="J537"/>
      <c r="K537" s="129"/>
    </row>
    <row r="538" spans="1:11" x14ac:dyDescent="0.3">
      <c r="A538" t="s">
        <v>561</v>
      </c>
      <c r="B538" s="117">
        <v>14347</v>
      </c>
      <c r="C538" s="117">
        <v>16420</v>
      </c>
      <c r="D538" s="141">
        <v>15726</v>
      </c>
      <c r="E538" s="117">
        <v>17401</v>
      </c>
      <c r="F538">
        <v>9.6</v>
      </c>
      <c r="G538" s="162">
        <v>3.33</v>
      </c>
      <c r="H538" s="164">
        <v>88535</v>
      </c>
      <c r="I538" s="161">
        <v>4639185126</v>
      </c>
      <c r="J538"/>
      <c r="K538" s="129"/>
    </row>
    <row r="539" spans="1:11" x14ac:dyDescent="0.3">
      <c r="A539" t="s">
        <v>562</v>
      </c>
      <c r="B539" s="117">
        <v>2931</v>
      </c>
      <c r="C539" s="117">
        <v>3139</v>
      </c>
      <c r="D539" s="141">
        <v>3115</v>
      </c>
      <c r="E539" s="117">
        <v>3205</v>
      </c>
      <c r="F539">
        <v>0.6</v>
      </c>
      <c r="G539" s="162">
        <v>4.07</v>
      </c>
      <c r="H539" s="164">
        <v>131429</v>
      </c>
      <c r="I539" s="161">
        <v>1735101334</v>
      </c>
      <c r="J539"/>
      <c r="K539" s="129"/>
    </row>
    <row r="540" spans="1:11" x14ac:dyDescent="0.3">
      <c r="A540" t="s">
        <v>564</v>
      </c>
      <c r="B540" s="117">
        <v>3860</v>
      </c>
      <c r="C540" s="117">
        <v>4205</v>
      </c>
      <c r="D540" s="141">
        <v>4124</v>
      </c>
      <c r="E540" s="117">
        <v>4739</v>
      </c>
      <c r="F540">
        <v>6.4</v>
      </c>
      <c r="G540" s="162">
        <v>4.04</v>
      </c>
      <c r="H540" s="164">
        <v>87641</v>
      </c>
      <c r="I540" s="161">
        <v>1676489433</v>
      </c>
      <c r="J540"/>
      <c r="K540" s="129"/>
    </row>
    <row r="541" spans="1:11" x14ac:dyDescent="0.3">
      <c r="A541" t="s">
        <v>566</v>
      </c>
      <c r="B541" s="117">
        <v>1878</v>
      </c>
      <c r="C541" s="117">
        <v>1928</v>
      </c>
      <c r="D541" s="141">
        <v>1834</v>
      </c>
      <c r="E541" s="117">
        <v>1929</v>
      </c>
      <c r="F541">
        <v>21.5</v>
      </c>
      <c r="G541" s="162">
        <v>3.74</v>
      </c>
      <c r="H541" s="164">
        <v>42454</v>
      </c>
      <c r="I541" s="161">
        <v>205753080</v>
      </c>
      <c r="J541"/>
      <c r="K541" s="129"/>
    </row>
    <row r="542" spans="1:11" x14ac:dyDescent="0.3">
      <c r="A542" t="s">
        <v>567</v>
      </c>
      <c r="B542" s="117">
        <v>83</v>
      </c>
      <c r="C542" s="117">
        <v>64</v>
      </c>
      <c r="D542" s="141">
        <v>64</v>
      </c>
      <c r="E542" s="117">
        <v>63</v>
      </c>
      <c r="F542">
        <v>0</v>
      </c>
      <c r="G542" s="162">
        <v>5.26</v>
      </c>
      <c r="H542" s="164"/>
      <c r="I542" s="161">
        <v>4963555</v>
      </c>
      <c r="J542"/>
      <c r="K542" s="129"/>
    </row>
    <row r="543" spans="1:11" x14ac:dyDescent="0.3">
      <c r="A543" t="s">
        <v>1231</v>
      </c>
      <c r="B543" s="117"/>
      <c r="C543" s="117"/>
      <c r="D543" s="141"/>
      <c r="E543" s="117"/>
      <c r="G543" s="162">
        <v>3.74</v>
      </c>
      <c r="H543" s="164"/>
      <c r="I543" s="161"/>
      <c r="J543"/>
      <c r="K543" s="129"/>
    </row>
    <row r="544" spans="1:11" x14ac:dyDescent="0.3">
      <c r="A544" t="s">
        <v>568</v>
      </c>
      <c r="B544" s="117">
        <v>3227</v>
      </c>
      <c r="C544" s="117">
        <v>3349</v>
      </c>
      <c r="D544" s="141">
        <v>3317</v>
      </c>
      <c r="E544" s="117">
        <v>3420</v>
      </c>
      <c r="F544">
        <v>11.2</v>
      </c>
      <c r="G544" s="162">
        <v>3.57</v>
      </c>
      <c r="H544" s="164">
        <v>65465</v>
      </c>
      <c r="I544" s="161">
        <v>392311318</v>
      </c>
      <c r="J544"/>
      <c r="K544" s="129"/>
    </row>
    <row r="545" spans="1:11" x14ac:dyDescent="0.3">
      <c r="A545" t="s">
        <v>569</v>
      </c>
      <c r="B545" s="117">
        <v>4193</v>
      </c>
      <c r="C545" s="117">
        <v>4131</v>
      </c>
      <c r="D545" s="141">
        <v>4085</v>
      </c>
      <c r="E545" s="117">
        <v>4293</v>
      </c>
      <c r="F545">
        <v>21.8</v>
      </c>
      <c r="G545" s="162">
        <v>4.3499999999999996</v>
      </c>
      <c r="H545" s="164">
        <v>41262</v>
      </c>
      <c r="I545" s="161">
        <v>390018762</v>
      </c>
      <c r="J545"/>
      <c r="K545" s="129"/>
    </row>
    <row r="546" spans="1:11" x14ac:dyDescent="0.3">
      <c r="A546" t="s">
        <v>570</v>
      </c>
      <c r="B546" s="117">
        <v>1459</v>
      </c>
      <c r="C546" s="117">
        <v>1387</v>
      </c>
      <c r="D546" s="141">
        <v>1308</v>
      </c>
      <c r="E546" s="117">
        <v>1420</v>
      </c>
      <c r="F546">
        <v>11.1</v>
      </c>
      <c r="G546" s="162">
        <v>4.5</v>
      </c>
      <c r="H546" s="164">
        <v>38393</v>
      </c>
      <c r="I546" s="161">
        <v>155092085</v>
      </c>
      <c r="J546"/>
      <c r="K546" s="129"/>
    </row>
    <row r="547" spans="1:11" x14ac:dyDescent="0.3">
      <c r="A547" t="s">
        <v>571</v>
      </c>
      <c r="B547" s="117">
        <v>12093</v>
      </c>
      <c r="C547" s="117">
        <v>11573</v>
      </c>
      <c r="D547" s="141">
        <v>11566</v>
      </c>
      <c r="E547" s="117">
        <v>11659</v>
      </c>
      <c r="F547">
        <v>17.7</v>
      </c>
      <c r="G547" s="162">
        <v>4.51</v>
      </c>
      <c r="H547" s="164">
        <v>51958</v>
      </c>
      <c r="I547" s="161">
        <v>476354345</v>
      </c>
      <c r="J547"/>
      <c r="K547" s="129"/>
    </row>
    <row r="548" spans="1:11" x14ac:dyDescent="0.3">
      <c r="A548" t="s">
        <v>572</v>
      </c>
      <c r="B548" s="117">
        <v>2221</v>
      </c>
      <c r="C548" s="117">
        <v>2398</v>
      </c>
      <c r="D548" s="141">
        <v>2207</v>
      </c>
      <c r="E548" s="117">
        <v>2192</v>
      </c>
      <c r="F548">
        <v>22.5</v>
      </c>
      <c r="G548" s="162">
        <v>4.5599999999999996</v>
      </c>
      <c r="H548" s="164">
        <v>42098</v>
      </c>
      <c r="I548" s="161">
        <v>341105996</v>
      </c>
      <c r="J548"/>
      <c r="K548" s="129"/>
    </row>
    <row r="549" spans="1:11" x14ac:dyDescent="0.3">
      <c r="A549" t="s">
        <v>573</v>
      </c>
      <c r="B549" s="117">
        <v>347</v>
      </c>
      <c r="C549" s="117">
        <v>456</v>
      </c>
      <c r="D549" s="141">
        <v>472</v>
      </c>
      <c r="E549" s="117">
        <v>393</v>
      </c>
      <c r="F549">
        <v>11.2</v>
      </c>
      <c r="G549" s="162">
        <v>3.54</v>
      </c>
      <c r="H549" s="164">
        <v>80250</v>
      </c>
      <c r="I549" s="161">
        <v>35303700</v>
      </c>
      <c r="J549"/>
      <c r="K549" s="129"/>
    </row>
    <row r="550" spans="1:11" x14ac:dyDescent="0.3">
      <c r="A550" t="s">
        <v>574</v>
      </c>
      <c r="B550" s="117">
        <v>15781</v>
      </c>
      <c r="C550" s="117">
        <v>16886</v>
      </c>
      <c r="D550" s="141">
        <v>16199</v>
      </c>
      <c r="E550" s="117">
        <v>18064</v>
      </c>
      <c r="F550">
        <v>4.8</v>
      </c>
      <c r="G550" s="162">
        <v>3.26</v>
      </c>
      <c r="H550" s="164">
        <v>115974</v>
      </c>
      <c r="I550" s="161">
        <v>2882418408</v>
      </c>
      <c r="J550"/>
      <c r="K550" s="129"/>
    </row>
    <row r="551" spans="1:11" x14ac:dyDescent="0.3">
      <c r="A551" t="s">
        <v>575</v>
      </c>
      <c r="B551" s="117">
        <v>1421</v>
      </c>
      <c r="C551" s="117">
        <v>1522</v>
      </c>
      <c r="D551" s="141">
        <v>1591</v>
      </c>
      <c r="E551" s="117">
        <v>1688</v>
      </c>
      <c r="F551">
        <v>9.3000000000000007</v>
      </c>
      <c r="G551" s="162">
        <v>3.28</v>
      </c>
      <c r="H551" s="164">
        <v>79250</v>
      </c>
      <c r="I551" s="161">
        <v>211191638</v>
      </c>
      <c r="J551"/>
      <c r="K551" s="129"/>
    </row>
    <row r="552" spans="1:11" x14ac:dyDescent="0.3">
      <c r="A552" t="s">
        <v>576</v>
      </c>
      <c r="B552" s="117">
        <v>3734</v>
      </c>
      <c r="C552" s="117">
        <v>4069</v>
      </c>
      <c r="D552" s="141">
        <v>3991</v>
      </c>
      <c r="E552" s="117">
        <v>4559</v>
      </c>
      <c r="F552">
        <v>8.1</v>
      </c>
      <c r="G552" s="162">
        <v>3.74</v>
      </c>
      <c r="H552" s="164">
        <v>75461</v>
      </c>
      <c r="I552" s="161">
        <v>669373772</v>
      </c>
      <c r="J552"/>
      <c r="K552" s="129"/>
    </row>
    <row r="553" spans="1:11" x14ac:dyDescent="0.3">
      <c r="A553" t="s">
        <v>577</v>
      </c>
      <c r="B553" s="117">
        <v>62050</v>
      </c>
      <c r="C553" s="117">
        <v>64651</v>
      </c>
      <c r="D553" s="141">
        <v>62412</v>
      </c>
      <c r="E553" s="117">
        <v>66665</v>
      </c>
      <c r="F553">
        <v>15.2</v>
      </c>
      <c r="G553" s="162">
        <v>3.09</v>
      </c>
      <c r="H553" s="164">
        <v>60704</v>
      </c>
      <c r="I553" s="161">
        <v>7475209256</v>
      </c>
      <c r="J553"/>
      <c r="K553" s="129"/>
    </row>
    <row r="554" spans="1:11" x14ac:dyDescent="0.3">
      <c r="A554" t="s">
        <v>579</v>
      </c>
      <c r="B554" s="117">
        <v>531</v>
      </c>
      <c r="C554" s="117">
        <v>958</v>
      </c>
      <c r="D554" s="141">
        <v>778</v>
      </c>
      <c r="E554" s="117">
        <v>818</v>
      </c>
      <c r="F554">
        <v>20.8</v>
      </c>
      <c r="G554" s="162">
        <v>5.09</v>
      </c>
      <c r="H554" s="164">
        <v>61176</v>
      </c>
      <c r="I554" s="161">
        <v>85184619</v>
      </c>
      <c r="J554"/>
      <c r="K554" s="129"/>
    </row>
    <row r="555" spans="1:11" x14ac:dyDescent="0.3">
      <c r="A555" t="s">
        <v>580</v>
      </c>
      <c r="B555" s="117">
        <v>1327</v>
      </c>
      <c r="C555" s="117">
        <v>1282</v>
      </c>
      <c r="D555" s="141">
        <v>810</v>
      </c>
      <c r="E555" s="117">
        <v>822</v>
      </c>
      <c r="F555">
        <v>22.7</v>
      </c>
      <c r="G555" s="162">
        <v>3.89</v>
      </c>
      <c r="H555" s="164">
        <v>38125</v>
      </c>
      <c r="I555" s="161">
        <v>55487161</v>
      </c>
      <c r="J555"/>
      <c r="K555" s="129"/>
    </row>
    <row r="556" spans="1:11" x14ac:dyDescent="0.3">
      <c r="A556" t="s">
        <v>581</v>
      </c>
      <c r="B556" s="117">
        <v>27114</v>
      </c>
      <c r="C556" s="117">
        <v>29894</v>
      </c>
      <c r="D556" s="141">
        <v>28619</v>
      </c>
      <c r="E556" s="117">
        <v>31537</v>
      </c>
      <c r="F556">
        <v>20.399999999999999</v>
      </c>
      <c r="G556" s="162">
        <v>3.36</v>
      </c>
      <c r="H556" s="164">
        <v>52880</v>
      </c>
      <c r="I556" s="161">
        <v>5111123720</v>
      </c>
      <c r="J556"/>
      <c r="K556" s="129"/>
    </row>
    <row r="557" spans="1:11" x14ac:dyDescent="0.3">
      <c r="A557" t="s">
        <v>582</v>
      </c>
      <c r="B557" s="117">
        <v>1666</v>
      </c>
      <c r="C557" s="117">
        <v>1670</v>
      </c>
      <c r="D557" s="141">
        <v>1286</v>
      </c>
      <c r="E557" s="117">
        <v>1344</v>
      </c>
      <c r="F557">
        <v>7.5</v>
      </c>
      <c r="G557" s="162">
        <v>4.51</v>
      </c>
      <c r="H557" s="164">
        <v>107250</v>
      </c>
      <c r="I557" s="161">
        <v>116135986</v>
      </c>
      <c r="J557"/>
      <c r="K557" s="129"/>
    </row>
    <row r="558" spans="1:11" x14ac:dyDescent="0.3">
      <c r="A558" t="s">
        <v>583</v>
      </c>
      <c r="B558" s="117">
        <v>1169</v>
      </c>
      <c r="C558" s="117">
        <v>1249</v>
      </c>
      <c r="D558" s="141">
        <v>993</v>
      </c>
      <c r="E558" s="117">
        <v>1054</v>
      </c>
      <c r="F558">
        <v>3</v>
      </c>
      <c r="G558" s="162">
        <v>3.48</v>
      </c>
      <c r="H558" s="164">
        <v>95625</v>
      </c>
      <c r="I558" s="161">
        <v>137148661</v>
      </c>
      <c r="J558"/>
      <c r="K558" s="129"/>
    </row>
    <row r="559" spans="1:11" x14ac:dyDescent="0.3">
      <c r="A559" t="s">
        <v>584</v>
      </c>
      <c r="B559" s="117">
        <v>45688</v>
      </c>
      <c r="C559" s="117">
        <v>45139</v>
      </c>
      <c r="D559" s="141">
        <v>44444</v>
      </c>
      <c r="E559" s="117">
        <v>45570</v>
      </c>
      <c r="F559">
        <v>11.2</v>
      </c>
      <c r="G559" s="162">
        <v>3.43</v>
      </c>
      <c r="H559" s="164">
        <v>62969</v>
      </c>
      <c r="I559" s="161">
        <v>5123437918</v>
      </c>
      <c r="J559"/>
      <c r="K559" s="129"/>
    </row>
    <row r="560" spans="1:11" x14ac:dyDescent="0.3">
      <c r="A560" t="s">
        <v>586</v>
      </c>
      <c r="B560" s="117">
        <v>5451</v>
      </c>
      <c r="C560" s="117">
        <v>6004</v>
      </c>
      <c r="D560" s="141">
        <v>5948</v>
      </c>
      <c r="E560" s="117">
        <v>6332</v>
      </c>
      <c r="F560">
        <v>5.6</v>
      </c>
      <c r="G560" s="162">
        <v>4.12</v>
      </c>
      <c r="H560" s="164">
        <v>121071</v>
      </c>
      <c r="I560" s="161"/>
      <c r="J560"/>
      <c r="K560" s="129"/>
    </row>
    <row r="561" spans="1:11" x14ac:dyDescent="0.3">
      <c r="A561" t="s">
        <v>587</v>
      </c>
      <c r="B561" s="117">
        <v>1244</v>
      </c>
      <c r="C561" s="117">
        <v>1094</v>
      </c>
      <c r="D561" s="141">
        <v>1306</v>
      </c>
      <c r="E561" s="117">
        <v>1373</v>
      </c>
      <c r="F561">
        <v>28.3</v>
      </c>
      <c r="G561" s="162">
        <v>3.84</v>
      </c>
      <c r="H561" s="164">
        <v>44630</v>
      </c>
      <c r="I561" s="161">
        <v>129514972</v>
      </c>
      <c r="J561"/>
      <c r="K561" s="129"/>
    </row>
    <row r="562" spans="1:11" x14ac:dyDescent="0.3">
      <c r="A562" t="s">
        <v>588</v>
      </c>
      <c r="B562" s="117">
        <v>285</v>
      </c>
      <c r="C562" s="117">
        <v>131</v>
      </c>
      <c r="D562" s="141">
        <v>211</v>
      </c>
      <c r="E562" s="117">
        <v>222</v>
      </c>
      <c r="F562">
        <v>20.6</v>
      </c>
      <c r="G562" s="162">
        <v>3.78</v>
      </c>
      <c r="H562" s="164">
        <v>50000</v>
      </c>
      <c r="I562" s="161">
        <v>24930698</v>
      </c>
      <c r="J562"/>
      <c r="K562" s="129"/>
    </row>
    <row r="563" spans="1:11" x14ac:dyDescent="0.3">
      <c r="A563" t="s">
        <v>589</v>
      </c>
      <c r="B563" s="117">
        <v>286</v>
      </c>
      <c r="C563" s="117">
        <v>235</v>
      </c>
      <c r="D563" s="141">
        <v>333</v>
      </c>
      <c r="E563" s="117">
        <v>337</v>
      </c>
      <c r="F563">
        <v>7.4</v>
      </c>
      <c r="G563" s="162">
        <v>3.48</v>
      </c>
      <c r="H563" s="164">
        <v>53750</v>
      </c>
      <c r="I563" s="161">
        <v>32203021</v>
      </c>
      <c r="J563"/>
      <c r="K563" s="129"/>
    </row>
    <row r="564" spans="1:11" x14ac:dyDescent="0.3">
      <c r="A564" t="s">
        <v>590</v>
      </c>
      <c r="B564" s="117">
        <v>487</v>
      </c>
      <c r="C564" s="117">
        <v>539</v>
      </c>
      <c r="D564" s="141">
        <v>370</v>
      </c>
      <c r="E564" s="117">
        <v>396</v>
      </c>
      <c r="F564">
        <v>6.3</v>
      </c>
      <c r="G564" s="162">
        <v>4.28</v>
      </c>
      <c r="H564" s="164">
        <v>96094</v>
      </c>
      <c r="I564" s="161">
        <v>522345534</v>
      </c>
      <c r="J564"/>
      <c r="K564" s="129"/>
    </row>
    <row r="565" spans="1:11" x14ac:dyDescent="0.3">
      <c r="A565" t="s">
        <v>591</v>
      </c>
      <c r="B565" s="117">
        <v>11283</v>
      </c>
      <c r="C565" s="117">
        <v>11116</v>
      </c>
      <c r="D565" s="141">
        <v>10974</v>
      </c>
      <c r="E565" s="117">
        <v>11204</v>
      </c>
      <c r="F565">
        <v>7.1</v>
      </c>
      <c r="G565" s="162">
        <v>4.12</v>
      </c>
      <c r="H565" s="164">
        <v>160275</v>
      </c>
      <c r="I565" s="161">
        <v>2108047690</v>
      </c>
      <c r="J565"/>
      <c r="K565" s="129"/>
    </row>
    <row r="566" spans="1:11" x14ac:dyDescent="0.3">
      <c r="A566" t="s">
        <v>592</v>
      </c>
      <c r="B566" s="117">
        <v>3994</v>
      </c>
      <c r="C566" s="117">
        <v>4351</v>
      </c>
      <c r="D566" s="141">
        <v>4233</v>
      </c>
      <c r="E566" s="117">
        <v>4768</v>
      </c>
      <c r="F566">
        <v>5.7</v>
      </c>
      <c r="G566" s="162">
        <v>4.04</v>
      </c>
      <c r="H566" s="164">
        <v>81976</v>
      </c>
      <c r="I566" s="161">
        <v>2975232013</v>
      </c>
      <c r="J566"/>
      <c r="K566" s="129"/>
    </row>
    <row r="567" spans="1:11" x14ac:dyDescent="0.3">
      <c r="A567" t="s">
        <v>593</v>
      </c>
      <c r="B567" s="117">
        <v>3187</v>
      </c>
      <c r="C567" s="117">
        <v>4396</v>
      </c>
      <c r="D567" s="141">
        <v>3894</v>
      </c>
      <c r="E567" s="117">
        <v>4976</v>
      </c>
      <c r="F567">
        <v>5.5</v>
      </c>
      <c r="G567" s="162">
        <v>3.56</v>
      </c>
      <c r="H567" s="164">
        <v>81433</v>
      </c>
      <c r="I567" s="161">
        <v>2100782818</v>
      </c>
      <c r="J567"/>
      <c r="K567" s="129"/>
    </row>
    <row r="568" spans="1:11" x14ac:dyDescent="0.3">
      <c r="A568" t="s">
        <v>594</v>
      </c>
      <c r="B568" s="117">
        <v>71904</v>
      </c>
      <c r="C568" s="117">
        <v>71425</v>
      </c>
      <c r="D568" s="141">
        <v>71042</v>
      </c>
      <c r="E568" s="117">
        <v>71360</v>
      </c>
      <c r="F568">
        <v>16.8</v>
      </c>
      <c r="G568" s="162">
        <v>3.28</v>
      </c>
      <c r="H568" s="164">
        <v>55656</v>
      </c>
      <c r="I568" s="161">
        <v>8037937206</v>
      </c>
      <c r="J568"/>
      <c r="K568" s="129"/>
    </row>
    <row r="569" spans="1:11" x14ac:dyDescent="0.3">
      <c r="A569" t="s">
        <v>595</v>
      </c>
      <c r="B569" s="117">
        <v>14241</v>
      </c>
      <c r="C569" s="117">
        <v>14013</v>
      </c>
      <c r="D569" s="141">
        <v>14075</v>
      </c>
      <c r="E569" s="117">
        <v>13690</v>
      </c>
      <c r="F569">
        <v>19.100000000000001</v>
      </c>
      <c r="G569" s="162">
        <v>3.46</v>
      </c>
      <c r="H569" s="164">
        <v>52349</v>
      </c>
      <c r="I569" s="161">
        <v>2153460059</v>
      </c>
      <c r="J569"/>
      <c r="K569" s="129"/>
    </row>
    <row r="570" spans="1:11" x14ac:dyDescent="0.3">
      <c r="A570" t="s">
        <v>597</v>
      </c>
      <c r="B570" s="117">
        <v>3339</v>
      </c>
      <c r="C570" s="117">
        <v>3997</v>
      </c>
      <c r="D570" s="141">
        <v>3789</v>
      </c>
      <c r="E570" s="117">
        <v>4179</v>
      </c>
      <c r="F570">
        <v>14.1</v>
      </c>
      <c r="G570" s="162">
        <v>3.8</v>
      </c>
      <c r="H570" s="164">
        <v>114425</v>
      </c>
      <c r="I570" s="161">
        <v>731402250</v>
      </c>
      <c r="J570"/>
      <c r="K570" s="129"/>
    </row>
    <row r="571" spans="1:11" x14ac:dyDescent="0.3">
      <c r="A571" t="s">
        <v>598</v>
      </c>
      <c r="B571" s="117">
        <v>2254</v>
      </c>
      <c r="C571" s="117">
        <v>2517</v>
      </c>
      <c r="D571" s="141">
        <v>2466</v>
      </c>
      <c r="E571" s="117">
        <v>2825</v>
      </c>
      <c r="F571">
        <v>4.0999999999999996</v>
      </c>
      <c r="G571" s="162">
        <v>3.63</v>
      </c>
      <c r="H571" s="164">
        <v>100559</v>
      </c>
      <c r="I571" s="161"/>
      <c r="J571"/>
      <c r="K571" s="129"/>
    </row>
    <row r="572" spans="1:11" x14ac:dyDescent="0.3">
      <c r="A572" t="s">
        <v>599</v>
      </c>
      <c r="B572" s="117">
        <v>2696</v>
      </c>
      <c r="C572" s="117">
        <v>2646</v>
      </c>
      <c r="D572" s="141">
        <v>2500</v>
      </c>
      <c r="E572" s="117">
        <v>2543</v>
      </c>
      <c r="F572">
        <v>19.399999999999999</v>
      </c>
      <c r="G572" s="162">
        <v>3.45</v>
      </c>
      <c r="H572" s="164">
        <v>44086</v>
      </c>
      <c r="I572" s="161">
        <v>535325946</v>
      </c>
      <c r="J572"/>
      <c r="K572" s="129"/>
    </row>
    <row r="573" spans="1:11" x14ac:dyDescent="0.3">
      <c r="A573" t="s">
        <v>600</v>
      </c>
      <c r="B573" s="117">
        <v>4038</v>
      </c>
      <c r="C573" s="117">
        <v>3777</v>
      </c>
      <c r="D573" s="141">
        <v>3861</v>
      </c>
      <c r="E573" s="117">
        <v>3772</v>
      </c>
      <c r="F573">
        <v>32.9</v>
      </c>
      <c r="G573" s="162">
        <v>4.3600000000000003</v>
      </c>
      <c r="H573" s="164">
        <v>38714</v>
      </c>
      <c r="I573" s="161">
        <v>198253523</v>
      </c>
      <c r="J573"/>
      <c r="K573" s="129"/>
    </row>
    <row r="574" spans="1:11" x14ac:dyDescent="0.3">
      <c r="A574" t="s">
        <v>601</v>
      </c>
      <c r="B574" s="117">
        <v>122</v>
      </c>
      <c r="C574" s="117">
        <v>69</v>
      </c>
      <c r="D574" s="141">
        <v>90</v>
      </c>
      <c r="E574" s="117">
        <v>89</v>
      </c>
      <c r="F574">
        <v>8.6999999999999993</v>
      </c>
      <c r="G574" s="162">
        <v>4.97</v>
      </c>
      <c r="H574" s="164">
        <v>27014</v>
      </c>
      <c r="I574" s="161">
        <v>15717478</v>
      </c>
      <c r="J574"/>
      <c r="K574" s="129"/>
    </row>
    <row r="575" spans="1:11" x14ac:dyDescent="0.3">
      <c r="A575" t="s">
        <v>602</v>
      </c>
      <c r="B575" s="117">
        <v>10806</v>
      </c>
      <c r="C575" s="117">
        <v>10770</v>
      </c>
      <c r="D575" s="141">
        <v>10714</v>
      </c>
      <c r="E575" s="117">
        <v>10695</v>
      </c>
      <c r="F575">
        <v>18.5</v>
      </c>
      <c r="G575" s="162">
        <v>5.26</v>
      </c>
      <c r="H575" s="164">
        <v>49796</v>
      </c>
      <c r="I575" s="161">
        <v>1290227340</v>
      </c>
      <c r="J575"/>
      <c r="K575" s="129"/>
    </row>
    <row r="576" spans="1:11" x14ac:dyDescent="0.3">
      <c r="A576" t="s">
        <v>603</v>
      </c>
      <c r="B576" s="117">
        <v>2146</v>
      </c>
      <c r="C576" s="117">
        <v>2201</v>
      </c>
      <c r="D576" s="141">
        <v>2313</v>
      </c>
      <c r="E576" s="117">
        <v>2359</v>
      </c>
      <c r="F576">
        <v>27.7</v>
      </c>
      <c r="G576" s="162">
        <v>3.73</v>
      </c>
      <c r="H576" s="164">
        <v>39423</v>
      </c>
      <c r="I576" s="161">
        <v>271469911</v>
      </c>
      <c r="J576"/>
      <c r="K576" s="129"/>
    </row>
    <row r="577" spans="1:11" x14ac:dyDescent="0.3">
      <c r="A577" t="s">
        <v>604</v>
      </c>
      <c r="B577" s="117">
        <v>1054</v>
      </c>
      <c r="C577" s="117">
        <v>764</v>
      </c>
      <c r="D577" s="141">
        <v>636</v>
      </c>
      <c r="E577" s="117">
        <v>675</v>
      </c>
      <c r="F577">
        <v>15.6</v>
      </c>
      <c r="G577" s="162">
        <v>3.33</v>
      </c>
      <c r="H577" s="164">
        <v>40750</v>
      </c>
      <c r="I577" s="161">
        <v>165512607</v>
      </c>
      <c r="J577"/>
      <c r="K577" s="129"/>
    </row>
    <row r="578" spans="1:11" x14ac:dyDescent="0.3">
      <c r="A578" t="s">
        <v>605</v>
      </c>
      <c r="B578" s="117">
        <v>558</v>
      </c>
      <c r="C578" s="117">
        <v>427</v>
      </c>
      <c r="D578" s="141">
        <v>469</v>
      </c>
      <c r="E578" s="117">
        <v>513</v>
      </c>
      <c r="F578">
        <v>15.8</v>
      </c>
      <c r="G578" s="162">
        <v>3.26</v>
      </c>
      <c r="H578" s="164">
        <v>51111</v>
      </c>
      <c r="I578" s="161">
        <v>33425004</v>
      </c>
      <c r="J578"/>
      <c r="K578" s="129"/>
    </row>
    <row r="579" spans="1:11" x14ac:dyDescent="0.3">
      <c r="A579" t="s">
        <v>606</v>
      </c>
      <c r="B579" s="117">
        <v>26834</v>
      </c>
      <c r="C579" s="117">
        <v>27321</v>
      </c>
      <c r="D579" s="141">
        <v>27191</v>
      </c>
      <c r="E579" s="117">
        <v>28082</v>
      </c>
      <c r="F579">
        <v>16.3</v>
      </c>
      <c r="G579" s="162">
        <v>3.68</v>
      </c>
      <c r="H579" s="164">
        <v>60935</v>
      </c>
      <c r="I579" s="161">
        <v>2452920223</v>
      </c>
      <c r="J579"/>
      <c r="K579" s="129"/>
    </row>
    <row r="580" spans="1:11" x14ac:dyDescent="0.3">
      <c r="A580" t="s">
        <v>607</v>
      </c>
      <c r="B580" s="117">
        <v>2687</v>
      </c>
      <c r="C580" s="117">
        <v>2664</v>
      </c>
      <c r="D580" s="141">
        <v>2594</v>
      </c>
      <c r="E580" s="117">
        <v>2669</v>
      </c>
      <c r="F580">
        <v>8.4</v>
      </c>
      <c r="G580" s="162">
        <v>3.79</v>
      </c>
      <c r="H580" s="164">
        <v>80263</v>
      </c>
      <c r="I580" s="161">
        <v>267605992</v>
      </c>
      <c r="J580"/>
      <c r="K580" s="129"/>
    </row>
    <row r="581" spans="1:11" x14ac:dyDescent="0.3">
      <c r="A581" t="s">
        <v>608</v>
      </c>
      <c r="B581" s="117">
        <v>466</v>
      </c>
      <c r="C581" s="117">
        <v>406</v>
      </c>
      <c r="D581" s="141">
        <v>466</v>
      </c>
      <c r="E581" s="117">
        <v>515</v>
      </c>
      <c r="F581">
        <v>7.6</v>
      </c>
      <c r="G581" s="162">
        <v>3.33</v>
      </c>
      <c r="H581" s="164">
        <v>93250</v>
      </c>
      <c r="I581" s="161">
        <v>770539406</v>
      </c>
      <c r="J581"/>
      <c r="K581" s="129"/>
    </row>
    <row r="582" spans="1:11" x14ac:dyDescent="0.3">
      <c r="A582" t="s">
        <v>609</v>
      </c>
      <c r="B582" s="117">
        <v>34039</v>
      </c>
      <c r="C582" s="117">
        <v>33691</v>
      </c>
      <c r="D582" s="141">
        <v>33127</v>
      </c>
      <c r="E582" s="117">
        <v>33765</v>
      </c>
      <c r="F582">
        <v>13.2</v>
      </c>
      <c r="G582" s="162">
        <v>3.5</v>
      </c>
      <c r="H582" s="164">
        <v>66184</v>
      </c>
      <c r="I582" s="161">
        <v>7405757707</v>
      </c>
      <c r="J582"/>
      <c r="K582" s="129"/>
    </row>
    <row r="583" spans="1:11" x14ac:dyDescent="0.3">
      <c r="A583" t="s">
        <v>610</v>
      </c>
      <c r="B583" s="117">
        <v>4043</v>
      </c>
      <c r="C583" s="117">
        <v>4032</v>
      </c>
      <c r="D583" s="141">
        <v>4086</v>
      </c>
      <c r="E583" s="117">
        <v>4155</v>
      </c>
      <c r="F583">
        <v>3.5</v>
      </c>
      <c r="G583" s="162">
        <v>3.68</v>
      </c>
      <c r="H583" s="164">
        <v>107802</v>
      </c>
      <c r="I583" s="161">
        <v>937362586</v>
      </c>
      <c r="J583"/>
      <c r="K583" s="129"/>
    </row>
    <row r="584" spans="1:11" x14ac:dyDescent="0.3">
      <c r="A584" t="s">
        <v>611</v>
      </c>
      <c r="B584" s="117">
        <v>256</v>
      </c>
      <c r="C584" s="117">
        <v>319</v>
      </c>
      <c r="D584" s="141">
        <v>239</v>
      </c>
      <c r="E584" s="117">
        <v>308</v>
      </c>
      <c r="F584">
        <v>11.7</v>
      </c>
      <c r="G584" s="162">
        <v>3.67</v>
      </c>
      <c r="H584" s="164">
        <v>47841</v>
      </c>
      <c r="I584" s="161">
        <v>19640511</v>
      </c>
      <c r="J584"/>
      <c r="K584" s="129"/>
    </row>
    <row r="585" spans="1:11" x14ac:dyDescent="0.3">
      <c r="A585" t="s">
        <v>612</v>
      </c>
      <c r="B585" s="117">
        <v>6619</v>
      </c>
      <c r="C585" s="117">
        <v>7111</v>
      </c>
      <c r="D585" s="141">
        <v>6999</v>
      </c>
      <c r="E585" s="117">
        <v>7155</v>
      </c>
      <c r="F585">
        <v>11.6</v>
      </c>
      <c r="G585" s="162">
        <v>3.54</v>
      </c>
      <c r="H585" s="164">
        <v>82664</v>
      </c>
      <c r="I585" s="161">
        <v>1042515872</v>
      </c>
      <c r="J585"/>
      <c r="K585" s="129"/>
    </row>
    <row r="586" spans="1:11" x14ac:dyDescent="0.3">
      <c r="A586" t="s">
        <v>613</v>
      </c>
      <c r="B586" s="117">
        <v>2723</v>
      </c>
      <c r="C586" s="117">
        <v>3995</v>
      </c>
      <c r="D586" s="141">
        <v>3856</v>
      </c>
      <c r="E586" s="117">
        <v>6654</v>
      </c>
      <c r="F586">
        <v>6.1</v>
      </c>
      <c r="G586" s="162">
        <v>3.36</v>
      </c>
      <c r="H586" s="164">
        <v>98462</v>
      </c>
      <c r="I586" s="161">
        <v>1581584934</v>
      </c>
      <c r="J586"/>
      <c r="K586" s="129"/>
    </row>
    <row r="587" spans="1:11" x14ac:dyDescent="0.3">
      <c r="A587" t="s">
        <v>614</v>
      </c>
      <c r="B587" s="117">
        <v>3293</v>
      </c>
      <c r="C587" s="117">
        <v>2926</v>
      </c>
      <c r="D587" s="141">
        <v>2831</v>
      </c>
      <c r="E587" s="117">
        <v>3145</v>
      </c>
      <c r="F587">
        <v>20.2</v>
      </c>
      <c r="G587" s="162">
        <v>3.89</v>
      </c>
      <c r="H587" s="164">
        <v>51731</v>
      </c>
      <c r="I587" s="161">
        <v>278779758</v>
      </c>
      <c r="J587"/>
      <c r="K587" s="129"/>
    </row>
    <row r="588" spans="1:11" x14ac:dyDescent="0.3">
      <c r="A588" t="s">
        <v>615</v>
      </c>
      <c r="B588" s="117">
        <v>1431</v>
      </c>
      <c r="C588" s="117">
        <v>1810</v>
      </c>
      <c r="D588" s="141">
        <v>1548</v>
      </c>
      <c r="E588" s="117">
        <v>1565</v>
      </c>
      <c r="F588">
        <v>22.3</v>
      </c>
      <c r="G588" s="162">
        <v>3.35</v>
      </c>
      <c r="H588" s="164">
        <v>57721</v>
      </c>
      <c r="I588" s="161">
        <v>223905428</v>
      </c>
      <c r="J588"/>
      <c r="K588" s="129"/>
    </row>
    <row r="589" spans="1:11" x14ac:dyDescent="0.3">
      <c r="A589" t="s">
        <v>617</v>
      </c>
      <c r="B589" s="117">
        <v>427</v>
      </c>
      <c r="C589" s="117">
        <v>391</v>
      </c>
      <c r="D589" s="141">
        <v>213</v>
      </c>
      <c r="E589" s="117">
        <v>239</v>
      </c>
      <c r="F589">
        <v>5.4</v>
      </c>
      <c r="G589" s="162">
        <v>3.98</v>
      </c>
      <c r="H589" s="164"/>
      <c r="I589" s="161">
        <v>20389688</v>
      </c>
      <c r="J589"/>
      <c r="K589" s="129"/>
    </row>
    <row r="590" spans="1:11" x14ac:dyDescent="0.3">
      <c r="A590" t="s">
        <v>618</v>
      </c>
      <c r="B590" s="117">
        <v>3978</v>
      </c>
      <c r="C590" s="117">
        <v>3423</v>
      </c>
      <c r="D590" s="141">
        <v>3224</v>
      </c>
      <c r="E590" s="117">
        <v>3477</v>
      </c>
      <c r="F590">
        <v>18.7</v>
      </c>
      <c r="G590" s="162">
        <v>5.2</v>
      </c>
      <c r="H590" s="164">
        <v>41685</v>
      </c>
      <c r="I590" s="161">
        <v>455814928</v>
      </c>
      <c r="J590"/>
      <c r="K590" s="129"/>
    </row>
    <row r="591" spans="1:11" x14ac:dyDescent="0.3">
      <c r="A591" t="s">
        <v>619</v>
      </c>
      <c r="B591" s="117">
        <v>235767</v>
      </c>
      <c r="C591" s="117">
        <v>250958</v>
      </c>
      <c r="D591" s="141">
        <v>240104</v>
      </c>
      <c r="E591" s="117">
        <v>266672</v>
      </c>
      <c r="F591">
        <v>7.7</v>
      </c>
      <c r="G591" s="162">
        <v>3.26</v>
      </c>
      <c r="H591" s="164">
        <v>102900</v>
      </c>
      <c r="I591" s="161">
        <v>41498696570</v>
      </c>
      <c r="J591"/>
      <c r="K591" s="129"/>
    </row>
    <row r="592" spans="1:11" x14ac:dyDescent="0.3">
      <c r="A592" t="s">
        <v>620</v>
      </c>
      <c r="B592" s="117">
        <v>7089</v>
      </c>
      <c r="C592" s="117">
        <v>6954</v>
      </c>
      <c r="D592" s="141">
        <v>6662</v>
      </c>
      <c r="E592" s="117">
        <v>7025</v>
      </c>
      <c r="F592">
        <v>9.4</v>
      </c>
      <c r="G592" s="162">
        <v>3.26</v>
      </c>
      <c r="H592" s="164">
        <v>96028</v>
      </c>
      <c r="I592" s="161">
        <v>920726418</v>
      </c>
      <c r="J592"/>
      <c r="K592" s="129"/>
    </row>
    <row r="593" spans="1:11" x14ac:dyDescent="0.3">
      <c r="A593" t="s">
        <v>621</v>
      </c>
      <c r="B593" s="117">
        <v>4420</v>
      </c>
      <c r="C593" s="117">
        <v>4704</v>
      </c>
      <c r="D593" s="141">
        <v>4704</v>
      </c>
      <c r="E593" s="117">
        <v>5003</v>
      </c>
      <c r="F593">
        <v>12.8</v>
      </c>
      <c r="G593" s="162">
        <v>3.56</v>
      </c>
      <c r="H593" s="164">
        <v>50740</v>
      </c>
      <c r="I593" s="161">
        <v>611921768</v>
      </c>
      <c r="J593"/>
      <c r="K593" s="129"/>
    </row>
    <row r="594" spans="1:11" x14ac:dyDescent="0.3">
      <c r="A594" t="s">
        <v>622</v>
      </c>
      <c r="B594" s="117">
        <v>44614</v>
      </c>
      <c r="C594" s="117">
        <v>42322</v>
      </c>
      <c r="D594" s="141">
        <v>42375</v>
      </c>
      <c r="E594" s="117">
        <v>41540</v>
      </c>
      <c r="F594">
        <v>19.8</v>
      </c>
      <c r="G594" s="162">
        <v>4.41</v>
      </c>
      <c r="H594" s="164">
        <v>50465</v>
      </c>
      <c r="I594" s="161">
        <v>4741756376</v>
      </c>
      <c r="J594"/>
      <c r="K594" s="129"/>
    </row>
    <row r="595" spans="1:11" x14ac:dyDescent="0.3">
      <c r="A595" t="s">
        <v>623</v>
      </c>
      <c r="B595" s="117">
        <v>1070</v>
      </c>
      <c r="C595" s="117">
        <v>1030</v>
      </c>
      <c r="D595" s="141">
        <v>876</v>
      </c>
      <c r="E595" s="117">
        <v>902</v>
      </c>
      <c r="F595">
        <v>36.799999999999997</v>
      </c>
      <c r="G595" s="162">
        <v>3.68</v>
      </c>
      <c r="H595" s="164">
        <v>34514</v>
      </c>
      <c r="I595" s="161">
        <v>83882175</v>
      </c>
      <c r="J595"/>
      <c r="K595" s="129"/>
    </row>
    <row r="596" spans="1:11" x14ac:dyDescent="0.3">
      <c r="A596" t="s">
        <v>624</v>
      </c>
      <c r="B596" s="117">
        <v>221</v>
      </c>
      <c r="C596" s="117">
        <v>209</v>
      </c>
      <c r="D596" s="141">
        <v>192</v>
      </c>
      <c r="E596" s="117">
        <v>201</v>
      </c>
      <c r="F596">
        <v>29.2</v>
      </c>
      <c r="G596" s="162">
        <v>3.78</v>
      </c>
      <c r="H596" s="164">
        <v>35833</v>
      </c>
      <c r="I596" s="161">
        <v>25155757</v>
      </c>
      <c r="J596"/>
      <c r="K596" s="129"/>
    </row>
    <row r="597" spans="1:11" x14ac:dyDescent="0.3">
      <c r="A597" t="s">
        <v>625</v>
      </c>
      <c r="B597" s="117">
        <v>776</v>
      </c>
      <c r="C597" s="117">
        <v>782</v>
      </c>
      <c r="D597" s="141">
        <v>539</v>
      </c>
      <c r="E597" s="117">
        <v>586</v>
      </c>
      <c r="F597">
        <v>19.899999999999999</v>
      </c>
      <c r="G597" s="162">
        <v>4.04</v>
      </c>
      <c r="H597" s="164">
        <v>54844</v>
      </c>
      <c r="I597" s="161">
        <v>79039398</v>
      </c>
      <c r="J597"/>
      <c r="K597" s="129"/>
    </row>
    <row r="598" spans="1:11" x14ac:dyDescent="0.3">
      <c r="A598" t="s">
        <v>626</v>
      </c>
      <c r="B598" s="117">
        <v>906</v>
      </c>
      <c r="C598" s="117">
        <v>1644</v>
      </c>
      <c r="D598" s="141">
        <v>970</v>
      </c>
      <c r="E598" s="117">
        <v>1059</v>
      </c>
      <c r="F598">
        <v>6.7</v>
      </c>
      <c r="G598" s="162">
        <v>3.33</v>
      </c>
      <c r="H598" s="164">
        <v>73581</v>
      </c>
      <c r="I598" s="161">
        <v>207160426</v>
      </c>
      <c r="J598"/>
      <c r="K598" s="129"/>
    </row>
    <row r="599" spans="1:11" x14ac:dyDescent="0.3">
      <c r="A599" t="s">
        <v>627</v>
      </c>
      <c r="B599" s="117">
        <v>292</v>
      </c>
      <c r="C599" s="117">
        <v>171</v>
      </c>
      <c r="D599" s="141">
        <v>308</v>
      </c>
      <c r="E599" s="117">
        <v>310</v>
      </c>
      <c r="F599">
        <v>2.9</v>
      </c>
      <c r="G599" s="162">
        <v>4.0599999999999996</v>
      </c>
      <c r="H599" s="164"/>
      <c r="I599" s="161">
        <v>17975840</v>
      </c>
      <c r="J599"/>
      <c r="K599" s="129"/>
    </row>
    <row r="600" spans="1:11" x14ac:dyDescent="0.3">
      <c r="A600" t="s">
        <v>628</v>
      </c>
      <c r="B600" s="117">
        <v>605</v>
      </c>
      <c r="C600" s="117">
        <v>518</v>
      </c>
      <c r="D600" s="141">
        <v>631</v>
      </c>
      <c r="E600" s="117">
        <v>659</v>
      </c>
      <c r="F600">
        <v>19.3</v>
      </c>
      <c r="G600" s="162">
        <v>4.51</v>
      </c>
      <c r="H600" s="164">
        <v>70938</v>
      </c>
      <c r="I600" s="161">
        <v>48289832</v>
      </c>
      <c r="J600"/>
      <c r="K600" s="129"/>
    </row>
    <row r="601" spans="1:11" x14ac:dyDescent="0.3">
      <c r="A601" t="s">
        <v>629</v>
      </c>
      <c r="B601" s="117">
        <v>5273</v>
      </c>
      <c r="C601" s="117">
        <v>4972</v>
      </c>
      <c r="D601" s="141">
        <v>5001</v>
      </c>
      <c r="E601" s="117">
        <v>5018</v>
      </c>
      <c r="F601">
        <v>27.4</v>
      </c>
      <c r="G601" s="162">
        <v>4.4400000000000004</v>
      </c>
      <c r="H601" s="164">
        <v>42667</v>
      </c>
      <c r="I601" s="161">
        <v>369514215</v>
      </c>
      <c r="J601"/>
      <c r="K601" s="129"/>
    </row>
    <row r="602" spans="1:11" x14ac:dyDescent="0.3">
      <c r="A602" t="s">
        <v>630</v>
      </c>
      <c r="B602" s="117">
        <v>954</v>
      </c>
      <c r="C602" s="117">
        <v>754</v>
      </c>
      <c r="D602" s="141">
        <v>607</v>
      </c>
      <c r="E602" s="117">
        <v>600</v>
      </c>
      <c r="F602">
        <v>9.5</v>
      </c>
      <c r="G602" s="162">
        <v>5.23</v>
      </c>
      <c r="H602" s="164">
        <v>52159</v>
      </c>
      <c r="I602" s="161">
        <v>33110440</v>
      </c>
      <c r="J602"/>
      <c r="K602" s="129"/>
    </row>
    <row r="603" spans="1:11" x14ac:dyDescent="0.3">
      <c r="A603" t="s">
        <v>631</v>
      </c>
      <c r="B603" s="117">
        <v>1091662</v>
      </c>
      <c r="C603" s="117">
        <v>1178653</v>
      </c>
      <c r="D603" s="141">
        <v>1132064</v>
      </c>
      <c r="E603" s="117">
        <v>1235748</v>
      </c>
      <c r="F603">
        <v>8.1</v>
      </c>
      <c r="G603" s="162">
        <v>3.17</v>
      </c>
      <c r="H603" s="164">
        <v>105768</v>
      </c>
      <c r="I603" s="161">
        <v>306569860239</v>
      </c>
      <c r="J603"/>
      <c r="K603" s="129"/>
    </row>
    <row r="604" spans="1:11" x14ac:dyDescent="0.3">
      <c r="A604" t="s">
        <v>632</v>
      </c>
      <c r="B604" s="117">
        <v>44068</v>
      </c>
      <c r="C604" s="117">
        <v>52844</v>
      </c>
      <c r="D604" s="141">
        <v>48168</v>
      </c>
      <c r="E604" s="117">
        <v>59199</v>
      </c>
      <c r="F604">
        <v>4.5</v>
      </c>
      <c r="G604" s="162">
        <v>3.17</v>
      </c>
      <c r="H604" s="164">
        <v>123802</v>
      </c>
      <c r="I604" s="161">
        <v>11878651096</v>
      </c>
      <c r="J604"/>
      <c r="K604" s="129"/>
    </row>
    <row r="605" spans="1:11" x14ac:dyDescent="0.3">
      <c r="A605" t="s">
        <v>633</v>
      </c>
      <c r="B605" s="117">
        <v>5166</v>
      </c>
      <c r="C605" s="117">
        <v>5873</v>
      </c>
      <c r="D605" s="141">
        <v>5732</v>
      </c>
      <c r="E605" s="117">
        <v>5988</v>
      </c>
      <c r="F605">
        <v>10.8</v>
      </c>
      <c r="G605" s="162">
        <v>3.79</v>
      </c>
      <c r="H605" s="164">
        <v>82615</v>
      </c>
      <c r="I605" s="161">
        <v>671187031</v>
      </c>
      <c r="J605"/>
      <c r="K605" s="129"/>
    </row>
    <row r="606" spans="1:11" x14ac:dyDescent="0.3">
      <c r="A606" t="s">
        <v>634</v>
      </c>
      <c r="B606" s="117">
        <v>3883</v>
      </c>
      <c r="C606" s="117">
        <v>3457</v>
      </c>
      <c r="D606" s="141">
        <v>3403</v>
      </c>
      <c r="E606" s="117">
        <v>3495</v>
      </c>
      <c r="F606">
        <v>30.4</v>
      </c>
      <c r="G606" s="162">
        <v>3.3</v>
      </c>
      <c r="H606" s="164">
        <v>51250</v>
      </c>
      <c r="I606" s="161">
        <v>281595008</v>
      </c>
      <c r="J606"/>
      <c r="K606" s="129"/>
    </row>
    <row r="607" spans="1:11" x14ac:dyDescent="0.3">
      <c r="A607" t="s">
        <v>635</v>
      </c>
      <c r="B607" s="117">
        <v>3073</v>
      </c>
      <c r="C607" s="117">
        <v>3150</v>
      </c>
      <c r="D607" s="141">
        <v>3072</v>
      </c>
      <c r="E607" s="117">
        <v>3218</v>
      </c>
      <c r="F607">
        <v>2.4</v>
      </c>
      <c r="G607" s="162">
        <v>3.68</v>
      </c>
      <c r="H607" s="164">
        <v>88406</v>
      </c>
      <c r="I607" s="161">
        <v>382679627</v>
      </c>
      <c r="J607"/>
      <c r="K607" s="129"/>
    </row>
    <row r="608" spans="1:11" x14ac:dyDescent="0.3">
      <c r="A608" t="s">
        <v>636</v>
      </c>
      <c r="B608" s="117">
        <v>2088</v>
      </c>
      <c r="C608" s="117">
        <v>2115</v>
      </c>
      <c r="D608" s="141">
        <v>1582</v>
      </c>
      <c r="E608" s="117">
        <v>1609</v>
      </c>
      <c r="F608">
        <v>18.399999999999999</v>
      </c>
      <c r="G608" s="162">
        <v>3.43</v>
      </c>
      <c r="H608" s="164">
        <v>44815</v>
      </c>
      <c r="I608" s="161">
        <v>168321988</v>
      </c>
      <c r="J608"/>
      <c r="K608" s="129"/>
    </row>
    <row r="609" spans="1:11" x14ac:dyDescent="0.3">
      <c r="A609" t="s">
        <v>637</v>
      </c>
      <c r="B609" s="117">
        <v>1419</v>
      </c>
      <c r="C609" s="117">
        <v>1422</v>
      </c>
      <c r="D609" s="141">
        <v>1080</v>
      </c>
      <c r="E609" s="117">
        <v>1286</v>
      </c>
      <c r="F609">
        <v>6.6</v>
      </c>
      <c r="G609" s="162">
        <v>3.7</v>
      </c>
      <c r="H609" s="164">
        <v>166250</v>
      </c>
      <c r="I609" s="161">
        <v>211618034</v>
      </c>
      <c r="J609"/>
      <c r="K609" s="129"/>
    </row>
    <row r="610" spans="1:11" x14ac:dyDescent="0.3">
      <c r="A610" t="s">
        <v>638</v>
      </c>
      <c r="B610" s="117">
        <v>236</v>
      </c>
      <c r="C610" s="117">
        <v>313</v>
      </c>
      <c r="D610" s="141">
        <v>196</v>
      </c>
      <c r="E610" s="117">
        <v>196</v>
      </c>
      <c r="F610">
        <v>11.8</v>
      </c>
      <c r="G610" s="162">
        <v>3.12</v>
      </c>
      <c r="H610" s="164">
        <v>42500</v>
      </c>
      <c r="I610" s="161">
        <v>14563758</v>
      </c>
      <c r="J610"/>
      <c r="K610" s="129"/>
    </row>
    <row r="611" spans="1:11" x14ac:dyDescent="0.3">
      <c r="A611" t="s">
        <v>639</v>
      </c>
      <c r="B611" s="117">
        <v>19746</v>
      </c>
      <c r="C611" s="117">
        <v>18795</v>
      </c>
      <c r="D611" s="141">
        <v>18589</v>
      </c>
      <c r="E611" s="117">
        <v>18851</v>
      </c>
      <c r="F611">
        <v>21.1</v>
      </c>
      <c r="G611" s="162">
        <v>4.68</v>
      </c>
      <c r="H611" s="164">
        <v>50638</v>
      </c>
      <c r="I611" s="161">
        <v>2836495468</v>
      </c>
      <c r="J611"/>
      <c r="K611" s="129"/>
    </row>
    <row r="612" spans="1:11" x14ac:dyDescent="0.3">
      <c r="A612" t="s">
        <v>640</v>
      </c>
      <c r="B612" s="117">
        <v>1036</v>
      </c>
      <c r="C612" s="117">
        <v>772</v>
      </c>
      <c r="D612" s="141">
        <v>819</v>
      </c>
      <c r="E612" s="117">
        <v>835</v>
      </c>
      <c r="F612">
        <v>14.2</v>
      </c>
      <c r="G612" s="162">
        <v>4.68</v>
      </c>
      <c r="H612" s="164">
        <v>43750</v>
      </c>
      <c r="I612" s="161">
        <v>69955051</v>
      </c>
      <c r="J612"/>
      <c r="K612" s="129"/>
    </row>
    <row r="613" spans="1:11" x14ac:dyDescent="0.3">
      <c r="A613" t="s">
        <v>641</v>
      </c>
      <c r="B613" s="117">
        <v>3108</v>
      </c>
      <c r="C613" s="117">
        <v>2746</v>
      </c>
      <c r="D613" s="141">
        <v>2731</v>
      </c>
      <c r="E613" s="117">
        <v>2769</v>
      </c>
      <c r="F613">
        <v>17.7</v>
      </c>
      <c r="G613" s="162">
        <v>3.26</v>
      </c>
      <c r="H613" s="164">
        <v>54297</v>
      </c>
      <c r="I613" s="161">
        <v>268179713</v>
      </c>
      <c r="J613"/>
      <c r="K613" s="129"/>
    </row>
    <row r="614" spans="1:11" x14ac:dyDescent="0.3">
      <c r="A614" t="s">
        <v>642</v>
      </c>
      <c r="B614" s="117">
        <v>11788</v>
      </c>
      <c r="C614" s="117">
        <v>10812</v>
      </c>
      <c r="D614" s="141">
        <v>10944</v>
      </c>
      <c r="E614" s="117">
        <v>10456</v>
      </c>
      <c r="F614">
        <v>24.1</v>
      </c>
      <c r="G614" s="162">
        <v>4.46</v>
      </c>
      <c r="H614" s="164">
        <v>41813</v>
      </c>
      <c r="I614" s="161">
        <v>1038376235</v>
      </c>
      <c r="J614"/>
      <c r="K614" s="129"/>
    </row>
    <row r="615" spans="1:11" x14ac:dyDescent="0.3">
      <c r="A615" t="s">
        <v>643</v>
      </c>
      <c r="B615" s="117">
        <v>601</v>
      </c>
      <c r="C615" s="117">
        <v>456</v>
      </c>
      <c r="D615" s="141">
        <v>389</v>
      </c>
      <c r="E615" s="117">
        <v>384</v>
      </c>
      <c r="F615">
        <v>16.399999999999999</v>
      </c>
      <c r="G615" s="162">
        <v>3.68</v>
      </c>
      <c r="H615" s="164">
        <v>88750</v>
      </c>
      <c r="I615" s="161">
        <v>58009861</v>
      </c>
      <c r="J615"/>
      <c r="K615" s="129"/>
    </row>
    <row r="616" spans="1:11" x14ac:dyDescent="0.3">
      <c r="A616" t="s">
        <v>644</v>
      </c>
      <c r="B616" s="117">
        <v>9555</v>
      </c>
      <c r="C616" s="117">
        <v>9726</v>
      </c>
      <c r="D616" s="141">
        <v>9867</v>
      </c>
      <c r="E616" s="117">
        <v>9785</v>
      </c>
      <c r="F616">
        <v>23.1</v>
      </c>
      <c r="G616" s="162">
        <v>3.68</v>
      </c>
      <c r="H616" s="164">
        <v>40186</v>
      </c>
      <c r="I616" s="161">
        <v>1006419854</v>
      </c>
      <c r="J616"/>
      <c r="K616" s="129"/>
    </row>
    <row r="617" spans="1:11" x14ac:dyDescent="0.3">
      <c r="A617" t="s">
        <v>645</v>
      </c>
      <c r="B617" s="117">
        <v>55669</v>
      </c>
      <c r="C617" s="117">
        <v>55123</v>
      </c>
      <c r="D617" s="141">
        <v>54553</v>
      </c>
      <c r="E617" s="117">
        <v>56175</v>
      </c>
      <c r="F617">
        <v>25.5</v>
      </c>
      <c r="G617" s="162">
        <v>3.42</v>
      </c>
      <c r="H617" s="164">
        <v>51693</v>
      </c>
      <c r="I617" s="161">
        <v>14624138393</v>
      </c>
      <c r="J617"/>
      <c r="K617" s="129"/>
    </row>
    <row r="618" spans="1:11" x14ac:dyDescent="0.3">
      <c r="A618" t="s">
        <v>646</v>
      </c>
      <c r="B618" s="117">
        <v>255</v>
      </c>
      <c r="C618" s="117">
        <v>271</v>
      </c>
      <c r="D618" s="141">
        <v>181</v>
      </c>
      <c r="E618" s="117">
        <v>200</v>
      </c>
      <c r="F618">
        <v>16.600000000000001</v>
      </c>
      <c r="G618" s="162">
        <v>3.33</v>
      </c>
      <c r="H618" s="164">
        <v>48125</v>
      </c>
      <c r="I618" s="161">
        <v>12040209</v>
      </c>
      <c r="J618"/>
      <c r="K618" s="129"/>
    </row>
    <row r="619" spans="1:11" x14ac:dyDescent="0.3">
      <c r="A619" t="s">
        <v>647</v>
      </c>
      <c r="B619" s="117">
        <v>16165</v>
      </c>
      <c r="C619" s="117">
        <v>22275</v>
      </c>
      <c r="D619" s="141">
        <v>20848</v>
      </c>
      <c r="E619" s="117">
        <v>24135</v>
      </c>
      <c r="F619">
        <v>4.5</v>
      </c>
      <c r="G619" s="162">
        <v>3.26</v>
      </c>
      <c r="H619" s="164">
        <v>131894</v>
      </c>
      <c r="I619" s="161">
        <v>3397821003</v>
      </c>
      <c r="J619"/>
      <c r="K619" s="129"/>
    </row>
    <row r="620" spans="1:11" x14ac:dyDescent="0.3">
      <c r="A620" t="s">
        <v>648</v>
      </c>
      <c r="B620" s="117">
        <v>123785</v>
      </c>
      <c r="C620" s="117">
        <v>118652</v>
      </c>
      <c r="D620" s="141">
        <v>117393</v>
      </c>
      <c r="E620" s="117">
        <v>119395</v>
      </c>
      <c r="F620">
        <v>17.3</v>
      </c>
      <c r="G620" s="162">
        <v>3.7</v>
      </c>
      <c r="H620" s="164">
        <v>59733</v>
      </c>
      <c r="I620" s="161">
        <v>9746411807</v>
      </c>
      <c r="J620"/>
      <c r="K620" s="129"/>
    </row>
    <row r="621" spans="1:11" x14ac:dyDescent="0.3">
      <c r="A621" t="s">
        <v>649</v>
      </c>
      <c r="B621" s="117">
        <v>10145</v>
      </c>
      <c r="C621" s="117">
        <v>10502</v>
      </c>
      <c r="D621" s="141">
        <v>10210</v>
      </c>
      <c r="E621" s="117">
        <v>10633</v>
      </c>
      <c r="F621">
        <v>15.9</v>
      </c>
      <c r="G621" s="162">
        <v>3.62</v>
      </c>
      <c r="H621" s="164">
        <v>54923</v>
      </c>
      <c r="I621" s="161">
        <v>1695670695</v>
      </c>
      <c r="J621"/>
      <c r="K621" s="129"/>
    </row>
    <row r="622" spans="1:11" x14ac:dyDescent="0.3">
      <c r="A622" t="s">
        <v>650</v>
      </c>
      <c r="B622" s="117">
        <v>3956</v>
      </c>
      <c r="C622" s="117">
        <v>4687</v>
      </c>
      <c r="D622" s="141">
        <v>4620</v>
      </c>
      <c r="E622" s="117">
        <v>5116</v>
      </c>
      <c r="F622">
        <v>4.2</v>
      </c>
      <c r="G622" s="162">
        <v>4.3899999999999997</v>
      </c>
      <c r="H622" s="164">
        <v>88221</v>
      </c>
      <c r="I622" s="161">
        <v>1297231097</v>
      </c>
      <c r="J622"/>
      <c r="K622" s="129"/>
    </row>
    <row r="623" spans="1:11" x14ac:dyDescent="0.3">
      <c r="A623" t="s">
        <v>651</v>
      </c>
      <c r="B623" s="117">
        <v>325</v>
      </c>
      <c r="C623" s="117">
        <v>470</v>
      </c>
      <c r="D623" s="141">
        <v>360</v>
      </c>
      <c r="E623" s="117">
        <v>374</v>
      </c>
      <c r="F623">
        <v>24.5</v>
      </c>
      <c r="G623" s="162">
        <v>3.45</v>
      </c>
      <c r="H623" s="164">
        <v>61528</v>
      </c>
      <c r="I623" s="161">
        <v>57509896</v>
      </c>
      <c r="J623"/>
      <c r="K623" s="129"/>
    </row>
    <row r="624" spans="1:11" x14ac:dyDescent="0.3">
      <c r="A624" t="s">
        <v>652</v>
      </c>
      <c r="B624" s="117">
        <v>11000</v>
      </c>
      <c r="C624" s="117">
        <v>13805</v>
      </c>
      <c r="D624" s="141">
        <v>13326</v>
      </c>
      <c r="E624" s="117">
        <v>14751</v>
      </c>
      <c r="F624">
        <v>4</v>
      </c>
      <c r="G624" s="162">
        <v>3.49</v>
      </c>
      <c r="H624" s="164">
        <v>190766</v>
      </c>
      <c r="I624" s="161">
        <v>3584444347</v>
      </c>
      <c r="J624"/>
      <c r="K624" s="129"/>
    </row>
    <row r="625" spans="1:11" x14ac:dyDescent="0.3">
      <c r="A625" t="s">
        <v>653</v>
      </c>
      <c r="B625" s="117">
        <v>1668</v>
      </c>
      <c r="C625" s="117">
        <v>1642</v>
      </c>
      <c r="D625" s="141">
        <v>1440</v>
      </c>
      <c r="E625" s="117">
        <v>1393</v>
      </c>
      <c r="F625">
        <v>17.5</v>
      </c>
      <c r="G625" s="162">
        <v>5.19</v>
      </c>
      <c r="H625" s="164">
        <v>48350</v>
      </c>
      <c r="I625" s="161">
        <v>274291100</v>
      </c>
      <c r="J625"/>
      <c r="K625" s="129"/>
    </row>
    <row r="626" spans="1:11" x14ac:dyDescent="0.3">
      <c r="A626" t="s">
        <v>654</v>
      </c>
      <c r="B626" s="117">
        <v>7962</v>
      </c>
      <c r="C626" s="117">
        <v>13064</v>
      </c>
      <c r="D626" s="141">
        <v>9980</v>
      </c>
      <c r="E626" s="117">
        <v>16996</v>
      </c>
      <c r="F626">
        <v>3.2</v>
      </c>
      <c r="G626" s="162">
        <v>3.17</v>
      </c>
      <c r="H626" s="164">
        <v>95787</v>
      </c>
      <c r="I626" s="161">
        <v>2940719545</v>
      </c>
      <c r="J626"/>
      <c r="K626" s="129"/>
    </row>
    <row r="627" spans="1:11" x14ac:dyDescent="0.3">
      <c r="A627" t="s">
        <v>655</v>
      </c>
      <c r="B627" s="117">
        <v>2720</v>
      </c>
      <c r="C627" s="117">
        <v>2692</v>
      </c>
      <c r="D627" s="141">
        <v>2651</v>
      </c>
      <c r="E627" s="117">
        <v>2699</v>
      </c>
      <c r="F627">
        <v>18.100000000000001</v>
      </c>
      <c r="G627" s="162">
        <v>3.84</v>
      </c>
      <c r="H627" s="164">
        <v>68500</v>
      </c>
      <c r="I627" s="161"/>
      <c r="J627"/>
      <c r="K627" s="129"/>
    </row>
    <row r="628" spans="1:11" x14ac:dyDescent="0.3">
      <c r="A628" t="s">
        <v>656</v>
      </c>
      <c r="B628" s="117">
        <v>9287</v>
      </c>
      <c r="C628" s="117">
        <v>9090</v>
      </c>
      <c r="D628" s="141">
        <v>8773</v>
      </c>
      <c r="E628" s="117">
        <v>9459</v>
      </c>
      <c r="F628">
        <v>4.5</v>
      </c>
      <c r="G628" s="162">
        <v>3.26</v>
      </c>
      <c r="H628" s="164">
        <v>132188</v>
      </c>
      <c r="I628" s="161">
        <v>1663064065</v>
      </c>
      <c r="J628"/>
      <c r="K628" s="129"/>
    </row>
    <row r="629" spans="1:11" x14ac:dyDescent="0.3">
      <c r="A629" t="s">
        <v>657</v>
      </c>
      <c r="B629" s="117">
        <v>1767</v>
      </c>
      <c r="C629" s="117">
        <v>1436</v>
      </c>
      <c r="D629" s="141">
        <v>1308</v>
      </c>
      <c r="E629" s="117">
        <v>1365</v>
      </c>
      <c r="F629">
        <v>20.8</v>
      </c>
      <c r="G629" s="162">
        <v>3.12</v>
      </c>
      <c r="H629" s="164">
        <v>46827</v>
      </c>
      <c r="I629" s="161">
        <v>448725783</v>
      </c>
      <c r="J629"/>
      <c r="K629" s="129"/>
    </row>
    <row r="630" spans="1:11" x14ac:dyDescent="0.3">
      <c r="A630" t="s">
        <v>659</v>
      </c>
      <c r="B630" s="117">
        <v>3357</v>
      </c>
      <c r="C630" s="117">
        <v>5211</v>
      </c>
      <c r="D630" s="141">
        <v>5040</v>
      </c>
      <c r="E630" s="117">
        <v>5615</v>
      </c>
      <c r="F630">
        <v>5.3</v>
      </c>
      <c r="G630" s="162">
        <v>3.33</v>
      </c>
      <c r="H630" s="164">
        <v>126450</v>
      </c>
      <c r="I630" s="161">
        <v>1033612958</v>
      </c>
      <c r="J630"/>
      <c r="K630" s="129"/>
    </row>
    <row r="631" spans="1:11" x14ac:dyDescent="0.3">
      <c r="A631" t="s">
        <v>660</v>
      </c>
      <c r="B631" s="117">
        <v>581</v>
      </c>
      <c r="C631" s="117">
        <v>494</v>
      </c>
      <c r="D631" s="141">
        <v>635</v>
      </c>
      <c r="E631" s="117">
        <v>643</v>
      </c>
      <c r="F631">
        <v>10.5</v>
      </c>
      <c r="G631" s="162">
        <v>4.88</v>
      </c>
      <c r="H631" s="164">
        <v>48869</v>
      </c>
      <c r="I631" s="161">
        <v>50718032</v>
      </c>
      <c r="J631"/>
      <c r="K631" s="129"/>
    </row>
    <row r="632" spans="1:11" x14ac:dyDescent="0.3">
      <c r="A632" t="s">
        <v>661</v>
      </c>
      <c r="B632" s="117">
        <v>978</v>
      </c>
      <c r="C632" s="117">
        <v>970</v>
      </c>
      <c r="D632" s="141">
        <v>842</v>
      </c>
      <c r="E632" s="117">
        <v>844</v>
      </c>
      <c r="F632">
        <v>5.9</v>
      </c>
      <c r="G632" s="162">
        <v>4.97</v>
      </c>
      <c r="H632" s="164">
        <v>84375</v>
      </c>
      <c r="I632" s="161">
        <v>320784224</v>
      </c>
      <c r="J632"/>
      <c r="K632" s="129"/>
    </row>
    <row r="633" spans="1:11" x14ac:dyDescent="0.3">
      <c r="A633" t="s">
        <v>662</v>
      </c>
      <c r="B633" s="117">
        <v>5348</v>
      </c>
      <c r="C633" s="117">
        <v>4696</v>
      </c>
      <c r="D633" s="141">
        <v>4742</v>
      </c>
      <c r="E633" s="117">
        <v>4689</v>
      </c>
      <c r="F633">
        <v>20.7</v>
      </c>
      <c r="G633" s="162">
        <v>4.3600000000000003</v>
      </c>
      <c r="H633" s="164">
        <v>31167</v>
      </c>
      <c r="I633" s="161">
        <v>546071639</v>
      </c>
      <c r="J633"/>
      <c r="K633" s="129"/>
    </row>
    <row r="634" spans="1:11" x14ac:dyDescent="0.3">
      <c r="A634" t="s">
        <v>663</v>
      </c>
      <c r="B634" s="117">
        <v>745</v>
      </c>
      <c r="C634" s="117">
        <v>569</v>
      </c>
      <c r="D634" s="141">
        <v>598</v>
      </c>
      <c r="E634" s="117">
        <v>594</v>
      </c>
      <c r="F634">
        <v>2.8</v>
      </c>
      <c r="G634" s="162">
        <v>4.12</v>
      </c>
      <c r="H634" s="164">
        <v>83393</v>
      </c>
      <c r="I634" s="161">
        <v>79917601</v>
      </c>
      <c r="J634"/>
      <c r="K634" s="129"/>
    </row>
    <row r="635" spans="1:11" x14ac:dyDescent="0.3">
      <c r="A635" t="s">
        <v>665</v>
      </c>
      <c r="B635" s="117">
        <v>68341</v>
      </c>
      <c r="C635" s="117">
        <v>65935</v>
      </c>
      <c r="D635" s="141">
        <v>65548</v>
      </c>
      <c r="E635" s="117">
        <v>65329</v>
      </c>
      <c r="F635">
        <v>16.7</v>
      </c>
      <c r="G635" s="162">
        <v>3.68</v>
      </c>
      <c r="H635" s="164">
        <v>51721</v>
      </c>
      <c r="I635" s="161">
        <v>6491488668</v>
      </c>
      <c r="J635"/>
      <c r="K635" s="129"/>
    </row>
    <row r="636" spans="1:11" x14ac:dyDescent="0.3">
      <c r="A636" t="s">
        <v>666</v>
      </c>
      <c r="B636" s="117">
        <v>3457</v>
      </c>
      <c r="C636" s="117">
        <v>3646</v>
      </c>
      <c r="D636" s="141">
        <v>3660</v>
      </c>
      <c r="E636" s="117">
        <v>3625</v>
      </c>
      <c r="F636">
        <v>22.6</v>
      </c>
      <c r="G636" s="162">
        <v>3.68</v>
      </c>
      <c r="H636" s="164">
        <v>40907</v>
      </c>
      <c r="I636" s="161">
        <v>744705841</v>
      </c>
      <c r="J636"/>
      <c r="K636" s="129"/>
    </row>
    <row r="637" spans="1:11" x14ac:dyDescent="0.3">
      <c r="A637" t="s">
        <v>667</v>
      </c>
      <c r="B637" s="117">
        <v>5251</v>
      </c>
      <c r="C637" s="117">
        <v>5112</v>
      </c>
      <c r="D637" s="141">
        <v>5210</v>
      </c>
      <c r="E637" s="117">
        <v>5067</v>
      </c>
      <c r="F637">
        <v>36.299999999999997</v>
      </c>
      <c r="G637" s="162">
        <v>4.08</v>
      </c>
      <c r="H637" s="164">
        <v>38738</v>
      </c>
      <c r="I637" s="161">
        <v>430440423</v>
      </c>
      <c r="J637"/>
      <c r="K637" s="129"/>
    </row>
    <row r="638" spans="1:11" x14ac:dyDescent="0.3">
      <c r="A638" t="s">
        <v>668</v>
      </c>
      <c r="B638" s="117">
        <v>122162</v>
      </c>
      <c r="C638" s="117">
        <v>120805</v>
      </c>
      <c r="D638" s="141">
        <v>116164</v>
      </c>
      <c r="E638" s="117">
        <v>126256</v>
      </c>
      <c r="F638">
        <v>16</v>
      </c>
      <c r="G638" s="162">
        <v>3.36</v>
      </c>
      <c r="H638" s="164">
        <v>66738</v>
      </c>
      <c r="I638" s="161">
        <v>23121609369</v>
      </c>
      <c r="J638"/>
      <c r="K638" s="129"/>
    </row>
    <row r="639" spans="1:11" x14ac:dyDescent="0.3">
      <c r="A639" t="s">
        <v>669</v>
      </c>
      <c r="B639" s="117">
        <v>81579</v>
      </c>
      <c r="C639" s="117">
        <v>79290</v>
      </c>
      <c r="D639" s="141">
        <v>79325</v>
      </c>
      <c r="E639" s="117">
        <v>80679</v>
      </c>
      <c r="F639">
        <v>19.8</v>
      </c>
      <c r="G639" s="162">
        <v>5.09</v>
      </c>
      <c r="H639" s="164">
        <v>56423</v>
      </c>
      <c r="I639" s="161">
        <v>11218992433</v>
      </c>
      <c r="J639"/>
      <c r="K639" s="129"/>
    </row>
    <row r="640" spans="1:11" x14ac:dyDescent="0.3">
      <c r="A640" t="s">
        <v>671</v>
      </c>
      <c r="B640" s="117">
        <v>2698</v>
      </c>
      <c r="C640" s="117">
        <v>2753</v>
      </c>
      <c r="D640" s="141">
        <v>2573</v>
      </c>
      <c r="E640" s="117">
        <v>2891</v>
      </c>
      <c r="F640">
        <v>31.9</v>
      </c>
      <c r="G640" s="162">
        <v>3.11</v>
      </c>
      <c r="H640" s="164">
        <v>62813</v>
      </c>
      <c r="I640" s="161">
        <v>376937163</v>
      </c>
      <c r="J640"/>
      <c r="K640" s="129"/>
    </row>
    <row r="641" spans="1:11" x14ac:dyDescent="0.3">
      <c r="A641" t="s">
        <v>670</v>
      </c>
      <c r="B641" s="117">
        <v>49310</v>
      </c>
      <c r="C641" s="117">
        <v>48370</v>
      </c>
      <c r="D641" s="141">
        <v>48714</v>
      </c>
      <c r="E641" s="117">
        <v>49666</v>
      </c>
      <c r="F641">
        <v>23</v>
      </c>
      <c r="G641" s="162">
        <v>5.09</v>
      </c>
      <c r="H641" s="164">
        <v>52485</v>
      </c>
      <c r="I641" s="161">
        <v>6543775169</v>
      </c>
      <c r="J641"/>
      <c r="K641" s="129"/>
    </row>
    <row r="642" spans="1:11" x14ac:dyDescent="0.3">
      <c r="A642" t="s">
        <v>672</v>
      </c>
      <c r="B642" s="117">
        <v>3422</v>
      </c>
      <c r="C642" s="117">
        <v>3269</v>
      </c>
      <c r="D642" s="141">
        <v>3407</v>
      </c>
      <c r="E642" s="117">
        <v>3479</v>
      </c>
      <c r="F642">
        <v>15.5</v>
      </c>
      <c r="G642" s="162">
        <v>4.8499999999999996</v>
      </c>
      <c r="H642" s="164">
        <v>40714</v>
      </c>
      <c r="I642" s="161">
        <v>155040656</v>
      </c>
      <c r="J642"/>
      <c r="K642" s="129"/>
    </row>
    <row r="643" spans="1:11" x14ac:dyDescent="0.3">
      <c r="A643" t="s">
        <v>673</v>
      </c>
      <c r="B643" s="117">
        <v>820</v>
      </c>
      <c r="C643" s="117">
        <v>697</v>
      </c>
      <c r="D643" s="141">
        <v>549</v>
      </c>
      <c r="E643" s="117">
        <v>581</v>
      </c>
      <c r="F643">
        <v>13.6</v>
      </c>
      <c r="G643" s="162">
        <v>3.8</v>
      </c>
      <c r="H643" s="164">
        <v>77083</v>
      </c>
      <c r="I643" s="161">
        <v>65291627</v>
      </c>
      <c r="J643"/>
      <c r="K643" s="129"/>
    </row>
    <row r="644" spans="1:11" x14ac:dyDescent="0.3">
      <c r="A644" t="s">
        <v>674</v>
      </c>
      <c r="B644" s="117">
        <v>4456</v>
      </c>
      <c r="C644" s="117">
        <v>4425</v>
      </c>
      <c r="D644" s="141">
        <v>4358</v>
      </c>
      <c r="E644" s="117">
        <v>4669</v>
      </c>
      <c r="F644">
        <v>17</v>
      </c>
      <c r="G644" s="162">
        <v>3.26</v>
      </c>
      <c r="H644" s="164">
        <v>63068</v>
      </c>
      <c r="I644" s="161">
        <v>212447251</v>
      </c>
      <c r="J644"/>
      <c r="K644" s="129"/>
    </row>
    <row r="645" spans="1:11" x14ac:dyDescent="0.3">
      <c r="A645" t="s">
        <v>675</v>
      </c>
      <c r="B645" s="117">
        <v>245787</v>
      </c>
      <c r="C645" s="117">
        <v>252037</v>
      </c>
      <c r="D645" s="141">
        <v>249757</v>
      </c>
      <c r="E645" s="117">
        <v>259045</v>
      </c>
      <c r="F645">
        <v>17.7</v>
      </c>
      <c r="G645" s="162">
        <v>3.79</v>
      </c>
      <c r="H645" s="164">
        <v>59268</v>
      </c>
      <c r="I645" s="161">
        <v>28043645026</v>
      </c>
      <c r="J645"/>
      <c r="K645" s="129"/>
    </row>
    <row r="646" spans="1:11" x14ac:dyDescent="0.3">
      <c r="A646" t="s">
        <v>676</v>
      </c>
      <c r="B646" s="117">
        <v>10062</v>
      </c>
      <c r="C646" s="117">
        <v>10725</v>
      </c>
      <c r="D646" s="141">
        <v>10610</v>
      </c>
      <c r="E646" s="117">
        <v>11393</v>
      </c>
      <c r="F646">
        <v>9.8000000000000007</v>
      </c>
      <c r="G646" s="162">
        <v>4.0999999999999996</v>
      </c>
      <c r="H646" s="164">
        <v>83193</v>
      </c>
      <c r="I646" s="161">
        <v>1486381023</v>
      </c>
      <c r="J646"/>
      <c r="K646" s="129"/>
    </row>
    <row r="647" spans="1:11" x14ac:dyDescent="0.3">
      <c r="A647" t="s">
        <v>677</v>
      </c>
      <c r="B647" s="117">
        <v>841</v>
      </c>
      <c r="C647" s="117">
        <v>593</v>
      </c>
      <c r="D647" s="141">
        <v>645</v>
      </c>
      <c r="E647" s="117">
        <v>628</v>
      </c>
      <c r="F647">
        <v>24.1</v>
      </c>
      <c r="G647" s="162">
        <v>4.22</v>
      </c>
      <c r="H647" s="164">
        <v>48036</v>
      </c>
      <c r="I647" s="161">
        <v>36544197</v>
      </c>
      <c r="J647"/>
      <c r="K647" s="129"/>
    </row>
    <row r="648" spans="1:11" x14ac:dyDescent="0.3">
      <c r="A648" t="s">
        <v>679</v>
      </c>
      <c r="B648" s="117">
        <v>6689</v>
      </c>
      <c r="C648" s="117">
        <v>8048</v>
      </c>
      <c r="D648" s="141">
        <v>7965</v>
      </c>
      <c r="E648" s="117">
        <v>8157</v>
      </c>
      <c r="F648">
        <v>14.1</v>
      </c>
      <c r="G648" s="162">
        <v>4.3899999999999997</v>
      </c>
      <c r="H648" s="164">
        <v>71384</v>
      </c>
      <c r="I648" s="161">
        <v>1373373286</v>
      </c>
      <c r="J648"/>
      <c r="K648" s="129"/>
    </row>
    <row r="649" spans="1:11" x14ac:dyDescent="0.3">
      <c r="A649" t="s">
        <v>680</v>
      </c>
      <c r="B649" s="117">
        <v>850</v>
      </c>
      <c r="C649" s="117">
        <v>497</v>
      </c>
      <c r="D649" s="141">
        <v>552</v>
      </c>
      <c r="E649" s="117">
        <v>526</v>
      </c>
      <c r="F649">
        <v>22.4</v>
      </c>
      <c r="G649" s="162">
        <v>4.47</v>
      </c>
      <c r="H649" s="164">
        <v>37750</v>
      </c>
      <c r="I649" s="161">
        <v>32212584</v>
      </c>
      <c r="J649"/>
      <c r="K649" s="129"/>
    </row>
    <row r="650" spans="1:11" x14ac:dyDescent="0.3">
      <c r="A650" t="s">
        <v>681</v>
      </c>
      <c r="B650" s="117">
        <v>2541</v>
      </c>
      <c r="C650" s="117">
        <v>2665</v>
      </c>
      <c r="D650" s="141">
        <v>2480</v>
      </c>
      <c r="E650" s="117">
        <v>2512</v>
      </c>
      <c r="F650">
        <v>4</v>
      </c>
      <c r="G650" s="162">
        <v>3.36</v>
      </c>
      <c r="H650" s="164">
        <v>151563</v>
      </c>
      <c r="I650" s="161">
        <v>3882637908</v>
      </c>
      <c r="J650"/>
      <c r="K650" s="129"/>
    </row>
    <row r="651" spans="1:11" x14ac:dyDescent="0.3">
      <c r="A651" t="s">
        <v>682</v>
      </c>
      <c r="B651" s="117">
        <v>37589</v>
      </c>
      <c r="C651" s="117">
        <v>37574</v>
      </c>
      <c r="D651" s="141">
        <v>37087</v>
      </c>
      <c r="E651" s="117">
        <v>37955</v>
      </c>
      <c r="F651">
        <v>14</v>
      </c>
      <c r="G651" s="162">
        <v>3.13</v>
      </c>
      <c r="H651" s="164">
        <v>62932</v>
      </c>
      <c r="I651" s="161">
        <v>4130346668</v>
      </c>
      <c r="J651"/>
      <c r="K651" s="129"/>
    </row>
    <row r="652" spans="1:11" x14ac:dyDescent="0.3">
      <c r="A652" t="s">
        <v>684</v>
      </c>
      <c r="B652" s="117">
        <v>2892</v>
      </c>
      <c r="C652" s="117">
        <v>3004</v>
      </c>
      <c r="D652" s="141">
        <v>2987</v>
      </c>
      <c r="E652" s="117">
        <v>3063</v>
      </c>
      <c r="F652">
        <v>21.4</v>
      </c>
      <c r="G652" s="162">
        <v>3.13</v>
      </c>
      <c r="H652" s="164">
        <v>53125</v>
      </c>
      <c r="I652" s="161">
        <v>386055431</v>
      </c>
      <c r="J652"/>
      <c r="K652" s="129"/>
    </row>
    <row r="653" spans="1:11" x14ac:dyDescent="0.3">
      <c r="A653" t="s">
        <v>685</v>
      </c>
      <c r="B653" s="117">
        <v>17870</v>
      </c>
      <c r="C653" s="117">
        <v>18797</v>
      </c>
      <c r="D653" s="141">
        <v>18407</v>
      </c>
      <c r="E653" s="117">
        <v>18683</v>
      </c>
      <c r="F653">
        <v>15.2</v>
      </c>
      <c r="G653" s="162">
        <v>4.22</v>
      </c>
      <c r="H653" s="164">
        <v>58709</v>
      </c>
      <c r="I653" s="161">
        <v>4049845703</v>
      </c>
      <c r="J653"/>
      <c r="K653" s="129"/>
    </row>
    <row r="654" spans="1:11" x14ac:dyDescent="0.3">
      <c r="A654" t="s">
        <v>686</v>
      </c>
      <c r="B654" s="117">
        <v>2830</v>
      </c>
      <c r="C654" s="117">
        <v>2215</v>
      </c>
      <c r="D654" s="141">
        <v>1875</v>
      </c>
      <c r="E654" s="117">
        <v>1843</v>
      </c>
      <c r="F654">
        <v>38.299999999999997</v>
      </c>
      <c r="G654" s="162">
        <v>3.64</v>
      </c>
      <c r="H654" s="164">
        <v>27655</v>
      </c>
      <c r="I654" s="161">
        <v>130108361</v>
      </c>
      <c r="J654"/>
      <c r="K654" s="129"/>
    </row>
    <row r="655" spans="1:11" x14ac:dyDescent="0.3">
      <c r="A655" t="s">
        <v>687</v>
      </c>
      <c r="B655" s="117">
        <v>2225</v>
      </c>
      <c r="C655" s="117">
        <v>3011</v>
      </c>
      <c r="D655" s="141">
        <v>2088</v>
      </c>
      <c r="E655" s="117">
        <v>3088</v>
      </c>
      <c r="F655">
        <v>14.3</v>
      </c>
      <c r="G655" s="162">
        <v>3.33</v>
      </c>
      <c r="H655" s="164">
        <v>86528</v>
      </c>
      <c r="I655" s="161">
        <v>639096909</v>
      </c>
      <c r="J655"/>
    </row>
    <row r="656" spans="1:11" x14ac:dyDescent="0.3">
      <c r="A656" t="s">
        <v>688</v>
      </c>
      <c r="B656" s="117">
        <v>5712</v>
      </c>
      <c r="C656" s="117">
        <v>8711</v>
      </c>
      <c r="D656" s="141">
        <v>7048</v>
      </c>
      <c r="E656" s="117">
        <v>9206</v>
      </c>
      <c r="F656">
        <v>9</v>
      </c>
      <c r="G656" s="162">
        <v>3.17</v>
      </c>
      <c r="H656" s="164">
        <v>79112</v>
      </c>
      <c r="I656" s="161">
        <v>2562209876</v>
      </c>
    </row>
  </sheetData>
  <sheetProtection algorithmName="SHA-512" hashValue="+ry1jjvxNTb2n3PE2pgVN/jOpJlg83ai15ufKkLyMT4f2l3arKKUvQduoafPa+u5qEklp+wfYlgft2qtK50yHg==" saltValue="AGQQKMRxFoe+eJAD3gfsHA==" spinCount="100000" sheet="1" objects="1" scenarios="1" formatRows="0" insertHyperlinks="0"/>
  <mergeCells count="1">
    <mergeCell ref="A1:A2"/>
  </mergeCells>
  <phoneticPr fontId="37"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TaxCatchAll xmlns="33677e10-7ad4-4e7f-83f4-e93a73428e26" xsi:nil="true"/>
    <OfferExecuted_x003f_ xmlns="3720eb1a-f32f-4799-b754-856c9ddc0885">true</OfferExecuted_x003f_>
    <Notes xmlns="3720eb1a-f32f-4799-b754-856c9ddc0885" xsi:nil="true"/>
    <_ip_UnifiedCompliancePolicyProperties xmlns="http://schemas.microsoft.com/sharepoint/v3" xsi:nil="true"/>
    <lcf76f155ced4ddcb4097134ff3c332f xmlns="3720eb1a-f32f-4799-b754-856c9ddc0885">
      <Terms xmlns="http://schemas.microsoft.com/office/infopath/2007/PartnerControls"/>
    </lcf76f155ced4ddcb4097134ff3c332f>
  </documentManagement>
</p:properties>
</file>

<file path=customXml/item2.xml>��< ? x m l   v e r s i o n = " 1 . 0 "   e n c o d i n g = " u t f - 1 6 " ? > < D a t a M a s h u p   x m l n s = " h t t p : / / s c h e m a s . m i c r o s o f t . c o m / D a t a M a s h u p " > A A A A A B Q D A A B Q S w M E F A A C A A g A V 6 / v 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V 6 / 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v 7 1 o o i k e 4 D g A A A B E A A A A T A B w A R m 9 y b X V s Y X M v U 2 V j d G l v b j E u b S C i G A A o o B Q A A A A A A A A A A A A A A A A A A A A A A A A A A A A r T k 0 u y c z P U w i G 0 I b W A F B L A Q I t A B Q A A g A I A F e v 7 1 o k 7 I e k p A A A A P Y A A A A S A A A A A A A A A A A A A A A A A A A A A A B D b 2 5 m a W c v U G F j a 2 F n Z S 5 4 b W x Q S w E C L Q A U A A I A C A B X r + 9 a D 8 r p q 6 Q A A A D p A A A A E w A A A A A A A A A A A A A A A A D w A A A A W 0 N v b n R l b n R f V H l w Z X N d L n h t b F B L A Q I t A B Q A A g A I A F e v 7 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e q S L m l k a R b G 2 E N i C Y 6 5 E A A A A A A I A A A A A A A N m A A D A A A A A E A A A A A X q E d o c A X W j O n y e 0 x l o y R Q A A A A A B I A A A K A A A A A Q A A A A D 6 f y 7 b z Y / P Z F x Q 8 i Z B o F C F A A A A B y / + 3 O k t 1 n I 5 X H U q U g B e v c a / 4 X a G X u K f 7 P k T 4 S 7 U z V X K w r C Y B u c w G m E t h N b o m C S N o O L h k t p R N N I t j y G H H c O R G L L b h L h k 8 6 h s E I p T P M 9 b 3 y 3 x Q A A A A R p u y a o G S H F E 7 E 4 R k t + g 1 f 6 x 8 H H 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21" ma:contentTypeDescription="Create a new document." ma:contentTypeScope="" ma:versionID="da61a4dc37ae802d73c69d06869d7ad6">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f6f0eeb922647b930ac31176c073b021"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otes" minOccurs="0"/>
                <xsd:element ref="ns2:OfferExecut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description="Who to mail to, numbers of copies" ma:format="Dropdown" ma:internalName="Notes">
      <xsd:simpleType>
        <xsd:restriction base="dms:Text">
          <xsd:maxLength value="255"/>
        </xsd:restriction>
      </xsd:simpleType>
    </xsd:element>
    <xsd:element name="OfferExecuted_x003f_" ma:index="28" nillable="true" ma:displayName="Offer Executed?" ma:default="1" ma:format="Dropdown" ma:internalName="OfferExecut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591fc26-2b3b-434c-ad51-ae22f7ccf704}" ma:internalName="TaxCatchAll" ma:showField="CatchAllData" ma:web="33677e10-7ad4-4e7f-83f4-e93a73428e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DB7A87-239D-4CB2-B9A9-C8A71340E999}">
  <ds:schemaRefs>
    <ds:schemaRef ds:uri="http://schemas.microsoft.com/office/2006/metadata/properties"/>
    <ds:schemaRef ds:uri="http://schemas.microsoft.com/office/infopath/2007/PartnerControls"/>
    <ds:schemaRef ds:uri="http://schemas.microsoft.com/sharepoint/v3"/>
    <ds:schemaRef ds:uri="3720eb1a-f32f-4799-b754-856c9ddc0885"/>
    <ds:schemaRef ds:uri="33677e10-7ad4-4e7f-83f4-e93a73428e26"/>
  </ds:schemaRefs>
</ds:datastoreItem>
</file>

<file path=customXml/itemProps2.xml><?xml version="1.0" encoding="utf-8"?>
<ds:datastoreItem xmlns:ds="http://schemas.openxmlformats.org/officeDocument/2006/customXml" ds:itemID="{E15BAEEF-0935-4EA7-A263-94C95C2886C5}">
  <ds:schemaRefs>
    <ds:schemaRef ds:uri="http://schemas.microsoft.com/DataMashup"/>
  </ds:schemaRefs>
</ds:datastoreItem>
</file>

<file path=customXml/itemProps3.xml><?xml version="1.0" encoding="utf-8"?>
<ds:datastoreItem xmlns:ds="http://schemas.openxmlformats.org/officeDocument/2006/customXml" ds:itemID="{7D09E3EB-C9B0-4C1B-AAC0-C1BE16566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20eb1a-f32f-4799-b754-856c9ddc0885"/>
    <ds:schemaRef ds:uri="33677e10-7ad4-4e7f-83f4-e93a73428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CAEB51-16E5-4E40-80CC-6D86D0FF7C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61</vt:i4>
      </vt:variant>
    </vt:vector>
  </HeadingPairs>
  <TitlesOfParts>
    <vt:vector size="63"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AI_Pop._Source</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SB_MHI</vt:lpstr>
      <vt:lpstr>SB_PCh_ACS</vt:lpstr>
      <vt:lpstr>SB_PCh_OSBM</vt:lpstr>
      <vt:lpstr>SB_PR</vt:lpstr>
      <vt:lpstr>SB_PVPC_ACS</vt:lpstr>
      <vt:lpstr>SB_PVPC_OSBM</vt:lpstr>
      <vt:lpstr>SB_UR</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2025-07-23T20:45:27Z</cp:lastPrinted>
  <dcterms:created xsi:type="dcterms:W3CDTF">2022-08-10T10:20:26Z</dcterms:created>
  <dcterms:modified xsi:type="dcterms:W3CDTF">2026-08-03T16:57:47Z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ies>
</file>