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WaterResources\WRPlanning\Jordan Lake\Water Supply Allocation\Allocation Round 4\Allocation Application\"/>
    </mc:Choice>
  </mc:AlternateContent>
  <bookViews>
    <workbookView xWindow="0" yWindow="0" windowWidth="25200" windowHeight="11970" tabRatio="707" firstSheet="1" activeTab="1"/>
  </bookViews>
  <sheets>
    <sheet name="Instructions" sheetId="14" state="hidden" r:id="rId1"/>
    <sheet name="ReportTables" sheetId="10" r:id="rId2"/>
    <sheet name="ReportFigures" sheetId="12" r:id="rId3"/>
    <sheet name="DemandTables" sheetId="11" r:id="rId4"/>
    <sheet name="ContactInfo_Use Sector Desc" sheetId="8" r:id="rId5"/>
    <sheet name="Population&amp;Demand Projections" sheetId="1" r:id="rId6"/>
    <sheet name="Supply Alternative 1" sheetId="2" r:id="rId7"/>
    <sheet name="Supply Alternative 2" sheetId="3" r:id="rId8"/>
    <sheet name="Supply Alternative 3" sheetId="4" r:id="rId9"/>
    <sheet name="Supply Alternative 4" sheetId="6" r:id="rId10"/>
    <sheet name="Supply Alternative 5" sheetId="5" r:id="rId11"/>
    <sheet name="Supply Alternatives Summary" sheetId="7" r:id="rId12"/>
  </sheets>
  <calcPr calcId="152511"/>
</workbook>
</file>

<file path=xl/calcChain.xml><?xml version="1.0" encoding="utf-8"?>
<calcChain xmlns="http://schemas.openxmlformats.org/spreadsheetml/2006/main">
  <c r="C106" i="10" l="1"/>
  <c r="M9" i="2"/>
  <c r="H8" i="5" l="1"/>
  <c r="M8" i="5"/>
  <c r="L8" i="5"/>
  <c r="K8" i="5"/>
  <c r="J8" i="5"/>
  <c r="I8" i="5"/>
  <c r="U81" i="10"/>
  <c r="T81" i="10"/>
  <c r="S81" i="10"/>
  <c r="R81" i="10"/>
  <c r="Q81" i="10"/>
  <c r="P81" i="10"/>
  <c r="O81" i="10"/>
  <c r="N81" i="10"/>
  <c r="M81" i="10"/>
  <c r="L81" i="10"/>
  <c r="K81" i="10"/>
  <c r="U73" i="10"/>
  <c r="T73" i="10"/>
  <c r="S73" i="10"/>
  <c r="R73" i="10"/>
  <c r="Q73" i="10"/>
  <c r="P73" i="10"/>
  <c r="O73" i="10"/>
  <c r="N73" i="10"/>
  <c r="M73" i="10"/>
  <c r="L73" i="10"/>
  <c r="K73" i="10"/>
  <c r="L22" i="11"/>
  <c r="N22" i="11"/>
  <c r="J22" i="11"/>
  <c r="I22" i="11"/>
  <c r="H22" i="11"/>
  <c r="G22" i="11"/>
  <c r="F22" i="11"/>
  <c r="E22" i="11"/>
  <c r="D22" i="11"/>
  <c r="B26" i="7" l="1"/>
  <c r="F26" i="7"/>
  <c r="E26" i="7"/>
  <c r="D26" i="7"/>
  <c r="C26" i="7"/>
  <c r="M79" i="1" l="1"/>
  <c r="L79" i="1"/>
  <c r="K79" i="1"/>
  <c r="J79" i="1"/>
  <c r="I79" i="1"/>
  <c r="H79" i="1"/>
  <c r="G79" i="1"/>
  <c r="F79" i="1"/>
  <c r="E79" i="1"/>
  <c r="D79" i="1"/>
  <c r="C79" i="1"/>
  <c r="N65" i="10" l="1"/>
  <c r="R65" i="10"/>
  <c r="M65" i="10"/>
  <c r="Q65" i="10"/>
  <c r="U65" i="10"/>
  <c r="L65" i="10"/>
  <c r="P65" i="10"/>
  <c r="T65" i="10"/>
  <c r="K65" i="10"/>
  <c r="O65" i="10"/>
  <c r="S65" i="10"/>
  <c r="G109" i="10"/>
  <c r="G108" i="10"/>
  <c r="G107" i="10"/>
  <c r="G106" i="10"/>
  <c r="G105" i="10"/>
  <c r="G110" i="10"/>
  <c r="F110" i="10"/>
  <c r="F108" i="10"/>
  <c r="F107" i="10"/>
  <c r="F106" i="10"/>
  <c r="F105" i="10"/>
  <c r="F109" i="10"/>
  <c r="E110" i="10"/>
  <c r="E109" i="10"/>
  <c r="D109" i="10"/>
  <c r="C109" i="10"/>
  <c r="E107" i="10"/>
  <c r="E106" i="10"/>
  <c r="E105" i="10"/>
  <c r="E108" i="10"/>
  <c r="D110" i="10"/>
  <c r="D108" i="10"/>
  <c r="D106" i="10"/>
  <c r="D105" i="10"/>
  <c r="C110" i="10"/>
  <c r="C108" i="10"/>
  <c r="C107" i="10"/>
  <c r="D107" i="10"/>
  <c r="G96" i="10"/>
  <c r="H96" i="10" s="1"/>
  <c r="F96" i="10"/>
  <c r="E96" i="10"/>
  <c r="D96" i="10"/>
  <c r="G95" i="10"/>
  <c r="H95" i="10" s="1"/>
  <c r="F95" i="10"/>
  <c r="E95" i="10"/>
  <c r="D95" i="10"/>
  <c r="G94" i="10"/>
  <c r="H94" i="10" s="1"/>
  <c r="F94" i="10"/>
  <c r="E94" i="10"/>
  <c r="D94" i="10"/>
  <c r="G93" i="10"/>
  <c r="H93" i="10" s="1"/>
  <c r="F93" i="10"/>
  <c r="E93" i="10"/>
  <c r="D93" i="10"/>
  <c r="B96" i="10"/>
  <c r="B95" i="10"/>
  <c r="B109" i="10" s="1"/>
  <c r="B94" i="10"/>
  <c r="B92" i="10"/>
  <c r="B91" i="10"/>
  <c r="G92" i="10"/>
  <c r="H92" i="10" s="1"/>
  <c r="G91" i="10"/>
  <c r="H91" i="10" s="1"/>
  <c r="F92" i="10"/>
  <c r="F91" i="10"/>
  <c r="E92" i="10"/>
  <c r="D92" i="10"/>
  <c r="D91" i="10"/>
  <c r="E91" i="10"/>
  <c r="G111" i="10" l="1"/>
  <c r="D26" i="10"/>
  <c r="B8" i="2" l="1"/>
  <c r="B9" i="3"/>
  <c r="F16" i="7" l="1"/>
  <c r="E16" i="7"/>
  <c r="D16" i="7"/>
  <c r="C16" i="7"/>
  <c r="B16" i="7"/>
  <c r="C10" i="6"/>
  <c r="D10" i="6"/>
  <c r="E10" i="6"/>
  <c r="F10" i="6"/>
  <c r="G10" i="6"/>
  <c r="H10" i="6"/>
  <c r="I10" i="6"/>
  <c r="J10" i="6"/>
  <c r="K10" i="6"/>
  <c r="L10" i="6"/>
  <c r="M10" i="6"/>
  <c r="AA86" i="1" l="1"/>
  <c r="Z86" i="1"/>
  <c r="Y86" i="1"/>
  <c r="X86" i="1"/>
  <c r="W86" i="1"/>
  <c r="V86" i="1"/>
  <c r="U86" i="1"/>
  <c r="T86" i="1"/>
  <c r="S86" i="1"/>
  <c r="R86" i="1"/>
  <c r="Q86" i="1"/>
  <c r="AA85" i="1"/>
  <c r="AA92" i="1" s="1"/>
  <c r="Z85" i="1"/>
  <c r="Z91" i="1" s="1"/>
  <c r="Y85" i="1"/>
  <c r="Y91" i="1" s="1"/>
  <c r="X85" i="1"/>
  <c r="X92" i="1" s="1"/>
  <c r="W85" i="1"/>
  <c r="W91" i="1" s="1"/>
  <c r="V85" i="1"/>
  <c r="V91" i="1" s="1"/>
  <c r="U85" i="1"/>
  <c r="U91" i="1" s="1"/>
  <c r="T85" i="1"/>
  <c r="T92" i="1" s="1"/>
  <c r="S85" i="1"/>
  <c r="S92" i="1" s="1"/>
  <c r="R85" i="1"/>
  <c r="R91" i="1" s="1"/>
  <c r="Q85" i="1"/>
  <c r="Q91" i="1" s="1"/>
  <c r="Z83" i="1"/>
  <c r="V83" i="1"/>
  <c r="R83" i="1"/>
  <c r="M86" i="1"/>
  <c r="L86" i="1"/>
  <c r="K86" i="1"/>
  <c r="J86" i="1"/>
  <c r="I86" i="1"/>
  <c r="H86" i="1"/>
  <c r="G86" i="1"/>
  <c r="F86" i="1"/>
  <c r="E86" i="1"/>
  <c r="D86" i="1"/>
  <c r="C86" i="1"/>
  <c r="M85" i="1"/>
  <c r="M92" i="1" s="1"/>
  <c r="L85" i="1"/>
  <c r="L92" i="1" s="1"/>
  <c r="K85" i="1"/>
  <c r="K91" i="1" s="1"/>
  <c r="J85" i="1"/>
  <c r="I85" i="1"/>
  <c r="I92" i="1" s="1"/>
  <c r="H85" i="1"/>
  <c r="H92" i="1" s="1"/>
  <c r="G85" i="1"/>
  <c r="G91" i="1" s="1"/>
  <c r="F85" i="1"/>
  <c r="E85" i="1"/>
  <c r="E92" i="1" s="1"/>
  <c r="D85" i="1"/>
  <c r="D92" i="1" s="1"/>
  <c r="C85" i="1"/>
  <c r="C91" i="1" s="1"/>
  <c r="L83" i="1"/>
  <c r="S151" i="12" s="1"/>
  <c r="H83" i="1"/>
  <c r="O151" i="12" s="1"/>
  <c r="D83" i="1"/>
  <c r="K151" i="12" s="1"/>
  <c r="AO86" i="1"/>
  <c r="AN86" i="1"/>
  <c r="AM86" i="1"/>
  <c r="AL86" i="1"/>
  <c r="AK86" i="1"/>
  <c r="AJ86" i="1"/>
  <c r="AI86" i="1"/>
  <c r="AH86" i="1"/>
  <c r="AG86" i="1"/>
  <c r="AF86" i="1"/>
  <c r="AE86" i="1"/>
  <c r="AO85" i="1"/>
  <c r="AO92" i="1" s="1"/>
  <c r="AN85" i="1"/>
  <c r="AN91" i="1" s="1"/>
  <c r="AM85" i="1"/>
  <c r="AM91" i="1" s="1"/>
  <c r="AL85" i="1"/>
  <c r="AL92" i="1" s="1"/>
  <c r="AK85" i="1"/>
  <c r="AK91" i="1" s="1"/>
  <c r="AJ85" i="1"/>
  <c r="AJ91" i="1" s="1"/>
  <c r="AI85" i="1"/>
  <c r="AI91" i="1" s="1"/>
  <c r="AH85" i="1"/>
  <c r="AH91" i="1" s="1"/>
  <c r="AG85" i="1"/>
  <c r="AG92" i="1" s="1"/>
  <c r="AF85" i="1"/>
  <c r="AF91" i="1" s="1"/>
  <c r="AE85" i="1"/>
  <c r="AE91" i="1" s="1"/>
  <c r="AN83" i="1"/>
  <c r="AM83" i="1"/>
  <c r="AJ83" i="1"/>
  <c r="AI83" i="1"/>
  <c r="AG83" i="1"/>
  <c r="AF83" i="1"/>
  <c r="AE83" i="1"/>
  <c r="AO83" i="1"/>
  <c r="AK83" i="1"/>
  <c r="BC86" i="1"/>
  <c r="BB86" i="1"/>
  <c r="BA86" i="1"/>
  <c r="AZ86" i="1"/>
  <c r="AY86" i="1"/>
  <c r="AX86" i="1"/>
  <c r="AW86" i="1"/>
  <c r="AV86" i="1"/>
  <c r="AU86" i="1"/>
  <c r="AT86" i="1"/>
  <c r="AS86" i="1"/>
  <c r="BC85" i="1"/>
  <c r="BB85" i="1"/>
  <c r="BB92" i="1" s="1"/>
  <c r="BA85" i="1"/>
  <c r="BA91" i="1" s="1"/>
  <c r="AZ85" i="1"/>
  <c r="AZ91" i="1" s="1"/>
  <c r="AY85" i="1"/>
  <c r="AX85" i="1"/>
  <c r="AX92" i="1" s="1"/>
  <c r="AW85" i="1"/>
  <c r="AW91" i="1" s="1"/>
  <c r="AV85" i="1"/>
  <c r="AV91" i="1" s="1"/>
  <c r="AU85" i="1"/>
  <c r="AT85" i="1"/>
  <c r="AT92" i="1" s="1"/>
  <c r="AS85" i="1"/>
  <c r="AS91" i="1" s="1"/>
  <c r="BA83" i="1"/>
  <c r="R170" i="12" s="1"/>
  <c r="AW83" i="1"/>
  <c r="N170" i="12" s="1"/>
  <c r="AS83" i="1"/>
  <c r="J170" i="12" s="1"/>
  <c r="BQ86" i="1"/>
  <c r="BP86" i="1"/>
  <c r="BO86" i="1"/>
  <c r="BN86" i="1"/>
  <c r="BM86" i="1"/>
  <c r="BL86" i="1"/>
  <c r="BK86" i="1"/>
  <c r="BJ86" i="1"/>
  <c r="BI86" i="1"/>
  <c r="BH86" i="1"/>
  <c r="BG86" i="1"/>
  <c r="BQ85" i="1"/>
  <c r="BQ91" i="1" s="1"/>
  <c r="BP85" i="1"/>
  <c r="BP92" i="1" s="1"/>
  <c r="BO85" i="1"/>
  <c r="BO92" i="1" s="1"/>
  <c r="BN85" i="1"/>
  <c r="BN92" i="1" s="1"/>
  <c r="BM85" i="1"/>
  <c r="BM91" i="1" s="1"/>
  <c r="BL85" i="1"/>
  <c r="BL91" i="1" s="1"/>
  <c r="BK85" i="1"/>
  <c r="BK92" i="1" s="1"/>
  <c r="BJ85" i="1"/>
  <c r="BJ92" i="1" s="1"/>
  <c r="BI85" i="1"/>
  <c r="BI91" i="1" s="1"/>
  <c r="BH85" i="1"/>
  <c r="BH92" i="1" s="1"/>
  <c r="BG85" i="1"/>
  <c r="BG92" i="1" s="1"/>
  <c r="BP83" i="1"/>
  <c r="S189" i="12" s="1"/>
  <c r="BO83" i="1"/>
  <c r="R189" i="12" s="1"/>
  <c r="BN83" i="1"/>
  <c r="Q189" i="12" s="1"/>
  <c r="BK83" i="1"/>
  <c r="N189" i="12" s="1"/>
  <c r="BJ83" i="1"/>
  <c r="M189" i="12" s="1"/>
  <c r="BH83" i="1"/>
  <c r="K189" i="12" s="1"/>
  <c r="BL83" i="1"/>
  <c r="O189" i="12" s="1"/>
  <c r="Q92" i="1" l="1"/>
  <c r="R92" i="1"/>
  <c r="AM92" i="1"/>
  <c r="AI92" i="1"/>
  <c r="AF92" i="1"/>
  <c r="C92" i="1"/>
  <c r="Z92" i="1"/>
  <c r="AV92" i="1"/>
  <c r="AE92" i="1"/>
  <c r="AN92" i="1"/>
  <c r="Y92" i="1"/>
  <c r="BG83" i="1"/>
  <c r="J189" i="12" s="1"/>
  <c r="BI83" i="1"/>
  <c r="L189" i="12" s="1"/>
  <c r="BM83" i="1"/>
  <c r="P189" i="12" s="1"/>
  <c r="BQ83" i="1"/>
  <c r="T189" i="12" s="1"/>
  <c r="BQ92" i="1"/>
  <c r="BM92" i="1"/>
  <c r="AU83" i="1"/>
  <c r="L170" i="12" s="1"/>
  <c r="AY83" i="1"/>
  <c r="P170" i="12" s="1"/>
  <c r="BC83" i="1"/>
  <c r="T170" i="12" s="1"/>
  <c r="E83" i="1"/>
  <c r="L151" i="12" s="1"/>
  <c r="I83" i="1"/>
  <c r="P151" i="12" s="1"/>
  <c r="M83" i="1"/>
  <c r="T151" i="12" s="1"/>
  <c r="F83" i="1"/>
  <c r="M151" i="12" s="1"/>
  <c r="J83" i="1"/>
  <c r="Q151" i="12" s="1"/>
  <c r="C83" i="1"/>
  <c r="J151" i="12" s="1"/>
  <c r="G83" i="1"/>
  <c r="N151" i="12" s="1"/>
  <c r="K83" i="1"/>
  <c r="R151" i="12" s="1"/>
  <c r="K92" i="1"/>
  <c r="T83" i="1"/>
  <c r="X83" i="1"/>
  <c r="V92" i="1"/>
  <c r="BI92" i="1"/>
  <c r="AT83" i="1"/>
  <c r="K170" i="12" s="1"/>
  <c r="AX83" i="1"/>
  <c r="O170" i="12" s="1"/>
  <c r="BB83" i="1"/>
  <c r="S170" i="12" s="1"/>
  <c r="AV83" i="1"/>
  <c r="M170" i="12" s="1"/>
  <c r="AZ83" i="1"/>
  <c r="Q170" i="12" s="1"/>
  <c r="AZ92" i="1"/>
  <c r="AH83" i="1"/>
  <c r="AL83" i="1"/>
  <c r="AJ92" i="1"/>
  <c r="G92" i="1"/>
  <c r="S83" i="1"/>
  <c r="W83" i="1"/>
  <c r="AA83" i="1"/>
  <c r="Q83" i="1"/>
  <c r="U83" i="1"/>
  <c r="Y83" i="1"/>
  <c r="U92" i="1"/>
  <c r="T91" i="1"/>
  <c r="S91" i="1"/>
  <c r="AA91" i="1"/>
  <c r="W92" i="1"/>
  <c r="X91" i="1"/>
  <c r="F91" i="1"/>
  <c r="J91" i="1"/>
  <c r="E91" i="1"/>
  <c r="I91" i="1"/>
  <c r="M91" i="1"/>
  <c r="F92" i="1"/>
  <c r="J92" i="1"/>
  <c r="D91" i="1"/>
  <c r="H91" i="1"/>
  <c r="L91" i="1"/>
  <c r="AL91" i="1"/>
  <c r="AG91" i="1"/>
  <c r="AO91" i="1"/>
  <c r="AH92" i="1"/>
  <c r="AK92" i="1"/>
  <c r="AU91" i="1"/>
  <c r="BC91" i="1"/>
  <c r="AX91" i="1"/>
  <c r="AU92" i="1"/>
  <c r="AY92" i="1"/>
  <c r="AS92" i="1"/>
  <c r="AW92" i="1"/>
  <c r="BA92" i="1"/>
  <c r="AY91" i="1"/>
  <c r="AT91" i="1"/>
  <c r="BB91" i="1"/>
  <c r="BC92" i="1"/>
  <c r="BH91" i="1"/>
  <c r="BP91" i="1"/>
  <c r="BG91" i="1"/>
  <c r="BK91" i="1"/>
  <c r="BO91" i="1"/>
  <c r="BL92" i="1"/>
  <c r="BJ91" i="1"/>
  <c r="BN91" i="1"/>
  <c r="AP45" i="1"/>
  <c r="AO45" i="1"/>
  <c r="AN45" i="1"/>
  <c r="AM45" i="1"/>
  <c r="AL45" i="1"/>
  <c r="AK45" i="1"/>
  <c r="AJ45" i="1"/>
  <c r="AI45" i="1"/>
  <c r="AH45" i="1"/>
  <c r="AG45" i="1"/>
  <c r="AF45" i="1"/>
  <c r="BR45" i="1" l="1"/>
  <c r="BQ45" i="1"/>
  <c r="BP45" i="1"/>
  <c r="BO45" i="1"/>
  <c r="BN45" i="1"/>
  <c r="BM45" i="1"/>
  <c r="BL45" i="1"/>
  <c r="BK45" i="1"/>
  <c r="BJ45" i="1"/>
  <c r="BI45" i="1"/>
  <c r="BH45" i="1"/>
  <c r="BD45" i="1"/>
  <c r="BC45" i="1"/>
  <c r="BB45" i="1"/>
  <c r="BA45" i="1"/>
  <c r="AZ45" i="1"/>
  <c r="AY45" i="1"/>
  <c r="AX45" i="1"/>
  <c r="AW45" i="1"/>
  <c r="AV45" i="1"/>
  <c r="AU45" i="1"/>
  <c r="AT45" i="1"/>
  <c r="AB45" i="1"/>
  <c r="N45" i="1" s="1"/>
  <c r="AA45" i="1"/>
  <c r="M45" i="1" s="1"/>
  <c r="Z45" i="1"/>
  <c r="L45" i="1" s="1"/>
  <c r="Y45" i="1"/>
  <c r="K45" i="1" s="1"/>
  <c r="X45" i="1"/>
  <c r="J45" i="1" s="1"/>
  <c r="W45" i="1"/>
  <c r="I45" i="1" s="1"/>
  <c r="V45" i="1"/>
  <c r="H45" i="1" s="1"/>
  <c r="U45" i="1"/>
  <c r="G45" i="1" s="1"/>
  <c r="T45" i="1"/>
  <c r="F45" i="1" s="1"/>
  <c r="S45" i="1"/>
  <c r="E45" i="1" s="1"/>
  <c r="R45" i="1"/>
  <c r="D45" i="1" s="1"/>
  <c r="D9" i="5" l="1"/>
  <c r="E9" i="5"/>
  <c r="F9" i="5"/>
  <c r="G9" i="5"/>
  <c r="H9" i="5"/>
  <c r="I9" i="5"/>
  <c r="J9" i="5"/>
  <c r="K9" i="5"/>
  <c r="L9" i="5"/>
  <c r="M9" i="5"/>
  <c r="D10" i="5"/>
  <c r="E10" i="5"/>
  <c r="F10" i="5"/>
  <c r="G10" i="5"/>
  <c r="H10" i="5"/>
  <c r="I10" i="5"/>
  <c r="J10" i="5"/>
  <c r="K10" i="5"/>
  <c r="L10" i="5"/>
  <c r="M10" i="5"/>
  <c r="C10" i="5"/>
  <c r="C9" i="5"/>
  <c r="D8" i="6"/>
  <c r="E8" i="6"/>
  <c r="F8" i="6"/>
  <c r="G8" i="6"/>
  <c r="H8" i="6"/>
  <c r="I8" i="6"/>
  <c r="J8" i="6"/>
  <c r="K8" i="6"/>
  <c r="L8" i="6"/>
  <c r="M8" i="6"/>
  <c r="D9" i="6"/>
  <c r="E9" i="6"/>
  <c r="F9" i="6"/>
  <c r="G9" i="6"/>
  <c r="H9" i="6"/>
  <c r="I9" i="6"/>
  <c r="J9" i="6"/>
  <c r="K9" i="6"/>
  <c r="L9" i="6"/>
  <c r="M9" i="6"/>
  <c r="C9" i="6"/>
  <c r="C8" i="6"/>
  <c r="C8" i="4"/>
  <c r="D10" i="3"/>
  <c r="E10" i="3"/>
  <c r="F10" i="3"/>
  <c r="G10" i="3"/>
  <c r="H10" i="3"/>
  <c r="I10" i="3"/>
  <c r="J10" i="3"/>
  <c r="K10" i="3"/>
  <c r="L10" i="3"/>
  <c r="M10" i="3"/>
  <c r="C10" i="3"/>
  <c r="C120" i="10" l="1"/>
  <c r="D120" i="10"/>
  <c r="E120" i="10"/>
  <c r="F120" i="10"/>
  <c r="G120" i="10"/>
  <c r="D10" i="4"/>
  <c r="E10" i="4"/>
  <c r="F10" i="4"/>
  <c r="G10" i="4"/>
  <c r="H10" i="4"/>
  <c r="I10" i="4"/>
  <c r="J10" i="4"/>
  <c r="K10" i="4"/>
  <c r="L10" i="4"/>
  <c r="M10" i="4"/>
  <c r="C10" i="4"/>
  <c r="D9" i="4"/>
  <c r="E9" i="4"/>
  <c r="F9" i="4"/>
  <c r="G9" i="4"/>
  <c r="H9" i="4"/>
  <c r="I9" i="4"/>
  <c r="J9" i="4"/>
  <c r="K9" i="4"/>
  <c r="L9" i="4"/>
  <c r="M9" i="4"/>
  <c r="C9" i="4"/>
  <c r="F111" i="10" l="1"/>
  <c r="E111" i="10"/>
  <c r="D111" i="10"/>
  <c r="B10" i="5"/>
  <c r="B9" i="5"/>
  <c r="G8" i="5"/>
  <c r="F8" i="5"/>
  <c r="E8" i="5"/>
  <c r="D8" i="5"/>
  <c r="C8" i="5"/>
  <c r="B8" i="5"/>
  <c r="B10" i="6"/>
  <c r="B9" i="6"/>
  <c r="B8" i="6"/>
  <c r="B10" i="4"/>
  <c r="B9" i="4"/>
  <c r="M8" i="4"/>
  <c r="T217" i="12" s="1"/>
  <c r="L8" i="4"/>
  <c r="S217" i="12" s="1"/>
  <c r="K8" i="4"/>
  <c r="R217" i="12" s="1"/>
  <c r="J8" i="4"/>
  <c r="Q217" i="12" s="1"/>
  <c r="I8" i="4"/>
  <c r="P217" i="12" s="1"/>
  <c r="H8" i="4"/>
  <c r="O217" i="12" s="1"/>
  <c r="G8" i="4"/>
  <c r="N217" i="12" s="1"/>
  <c r="F8" i="4"/>
  <c r="M217" i="12" s="1"/>
  <c r="E8" i="4"/>
  <c r="L217" i="12" s="1"/>
  <c r="D8" i="4"/>
  <c r="K217" i="12" s="1"/>
  <c r="J217" i="12"/>
  <c r="B8" i="4"/>
  <c r="B10" i="3"/>
  <c r="J138" i="10" l="1"/>
  <c r="B8" i="3"/>
  <c r="E8" i="3" l="1"/>
  <c r="I8" i="3"/>
  <c r="M8" i="3"/>
  <c r="C8" i="3"/>
  <c r="F8" i="3"/>
  <c r="J8" i="3"/>
  <c r="G8" i="3"/>
  <c r="K8" i="3"/>
  <c r="D8" i="3"/>
  <c r="H8" i="3"/>
  <c r="L8" i="3"/>
  <c r="G9" i="3"/>
  <c r="K9" i="3"/>
  <c r="D9" i="3"/>
  <c r="H9" i="3"/>
  <c r="L9" i="3"/>
  <c r="E9" i="3"/>
  <c r="I9" i="3"/>
  <c r="M9" i="3"/>
  <c r="F9" i="3"/>
  <c r="J9" i="3"/>
  <c r="C9" i="3"/>
  <c r="C8" i="2"/>
  <c r="K138" i="10" s="1"/>
  <c r="J139" i="10" l="1"/>
  <c r="B9" i="2" l="1"/>
  <c r="I139" i="10"/>
  <c r="I138" i="10"/>
  <c r="C105" i="10"/>
  <c r="C111" i="10" s="1"/>
  <c r="G8" i="2"/>
  <c r="I8" i="2"/>
  <c r="Q138" i="10" s="1"/>
  <c r="H8" i="2"/>
  <c r="P138" i="10" s="1"/>
  <c r="F8" i="2"/>
  <c r="N138" i="10" s="1"/>
  <c r="L8" i="2"/>
  <c r="T138" i="10" s="1"/>
  <c r="J8" i="2"/>
  <c r="R138" i="10" s="1"/>
  <c r="K8" i="2"/>
  <c r="S138" i="10" s="1"/>
  <c r="M8" i="2"/>
  <c r="U138" i="10" s="1"/>
  <c r="D8" i="2"/>
  <c r="L138" i="10" s="1"/>
  <c r="E8" i="2"/>
  <c r="M138" i="10" s="1"/>
  <c r="G10" i="2"/>
  <c r="K10" i="2"/>
  <c r="I10" i="2"/>
  <c r="D10" i="2"/>
  <c r="H10" i="2"/>
  <c r="L10" i="2"/>
  <c r="F10" i="2"/>
  <c r="J10" i="2"/>
  <c r="C10" i="2"/>
  <c r="E10" i="2"/>
  <c r="M10" i="2"/>
  <c r="B10" i="2"/>
  <c r="G9" i="2"/>
  <c r="O139" i="10" s="1"/>
  <c r="K9" i="2"/>
  <c r="S139" i="10" s="1"/>
  <c r="E9" i="2"/>
  <c r="M139" i="10" s="1"/>
  <c r="C9" i="2"/>
  <c r="D9" i="2"/>
  <c r="L139" i="10" s="1"/>
  <c r="H9" i="2"/>
  <c r="P139" i="10" s="1"/>
  <c r="L9" i="2"/>
  <c r="T139" i="10" s="1"/>
  <c r="I9" i="2"/>
  <c r="Q139" i="10" s="1"/>
  <c r="U139" i="10"/>
  <c r="F9" i="2"/>
  <c r="N139" i="10" s="1"/>
  <c r="J9" i="2"/>
  <c r="R139" i="10" s="1"/>
  <c r="C126" i="10"/>
  <c r="D126" i="10"/>
  <c r="E126" i="10"/>
  <c r="F126" i="10"/>
  <c r="G126" i="10"/>
  <c r="C127" i="10"/>
  <c r="D127" i="10"/>
  <c r="E127" i="10"/>
  <c r="F127" i="10"/>
  <c r="G127" i="10"/>
  <c r="C125" i="10"/>
  <c r="D125" i="10"/>
  <c r="E125" i="10"/>
  <c r="F125" i="10"/>
  <c r="G125" i="10"/>
  <c r="B106" i="10"/>
  <c r="B107" i="10"/>
  <c r="B108" i="10"/>
  <c r="B110" i="10"/>
  <c r="U140" i="10" l="1"/>
  <c r="N140" i="10"/>
  <c r="S140" i="10"/>
  <c r="P140" i="10"/>
  <c r="J215" i="12"/>
  <c r="K139" i="10"/>
  <c r="K140" i="10" s="1"/>
  <c r="M140" i="10"/>
  <c r="Q140" i="10"/>
  <c r="R140" i="10"/>
  <c r="L140" i="10"/>
  <c r="T140" i="10"/>
  <c r="N215" i="12"/>
  <c r="O138" i="10"/>
  <c r="O140" i="10" s="1"/>
  <c r="K215" i="12"/>
  <c r="L215" i="12"/>
  <c r="P215" i="12"/>
  <c r="T215" i="12"/>
  <c r="M215" i="12"/>
  <c r="S215" i="12"/>
  <c r="Q215" i="12"/>
  <c r="R215" i="12"/>
  <c r="O215" i="12"/>
  <c r="B2" i="7"/>
  <c r="F116" i="10"/>
  <c r="G116" i="10"/>
  <c r="F117" i="10"/>
  <c r="G117" i="10"/>
  <c r="G124" i="10"/>
  <c r="F124" i="10"/>
  <c r="E124" i="10"/>
  <c r="D124" i="10"/>
  <c r="C124" i="10"/>
  <c r="G123" i="10"/>
  <c r="F123" i="10"/>
  <c r="E123" i="10"/>
  <c r="D123" i="10"/>
  <c r="C123" i="10"/>
  <c r="G122" i="10"/>
  <c r="F122" i="10"/>
  <c r="E122" i="10"/>
  <c r="D122" i="10"/>
  <c r="C122" i="10"/>
  <c r="G119" i="10"/>
  <c r="F119" i="10"/>
  <c r="E119" i="10"/>
  <c r="D119" i="10"/>
  <c r="C119" i="10"/>
  <c r="G118" i="10"/>
  <c r="F118" i="10"/>
  <c r="E118" i="10"/>
  <c r="D118" i="10"/>
  <c r="C118" i="10"/>
  <c r="E117" i="10"/>
  <c r="D117" i="10"/>
  <c r="C117" i="10"/>
  <c r="E116" i="10"/>
  <c r="D116" i="10"/>
  <c r="C116" i="10"/>
  <c r="C129" i="10"/>
  <c r="D129" i="10"/>
  <c r="E129" i="10"/>
  <c r="F129" i="10"/>
  <c r="G129" i="10"/>
  <c r="C128" i="10"/>
  <c r="D128" i="10"/>
  <c r="E128" i="10"/>
  <c r="F128" i="10"/>
  <c r="G128" i="10"/>
  <c r="I46" i="10" l="1"/>
  <c r="G55" i="10" l="1"/>
  <c r="B2" i="5"/>
  <c r="B1" i="5"/>
  <c r="B2" i="6"/>
  <c r="B1" i="6"/>
  <c r="B2" i="4"/>
  <c r="B1" i="4"/>
  <c r="B2" i="3"/>
  <c r="B1" i="3"/>
  <c r="B2" i="2"/>
  <c r="B1" i="2"/>
  <c r="N219" i="12" l="1"/>
  <c r="P219" i="12" l="1"/>
  <c r="N216" i="12"/>
  <c r="P216" i="12"/>
  <c r="N218" i="12"/>
  <c r="P218" i="12"/>
  <c r="L219" i="12"/>
  <c r="L218" i="12"/>
  <c r="L216" i="12"/>
  <c r="J219" i="12" l="1"/>
  <c r="R218" i="12"/>
  <c r="J216" i="12"/>
  <c r="T219" i="12"/>
  <c r="T216" i="12"/>
  <c r="S216" i="12"/>
  <c r="S218" i="12"/>
  <c r="O219" i="12"/>
  <c r="S219" i="12"/>
  <c r="O218" i="12"/>
  <c r="O216" i="12"/>
  <c r="T218" i="12"/>
  <c r="J218" i="12"/>
  <c r="R219" i="12"/>
  <c r="R216" i="12"/>
  <c r="Q216" i="12" l="1"/>
  <c r="M216" i="12"/>
  <c r="K216" i="12"/>
  <c r="Q219" i="12"/>
  <c r="Q218" i="12"/>
  <c r="K218" i="12"/>
  <c r="M219" i="12"/>
  <c r="K219" i="12"/>
  <c r="M218" i="12"/>
  <c r="K13" i="10" l="1"/>
  <c r="O13" i="10" l="1"/>
  <c r="M14" i="10"/>
  <c r="Q14" i="10"/>
  <c r="L14" i="10"/>
  <c r="O14" i="10"/>
  <c r="P14" i="10"/>
  <c r="P13" i="10"/>
  <c r="L13" i="10"/>
  <c r="Q13" i="10"/>
  <c r="S13" i="10"/>
  <c r="N13" i="10"/>
  <c r="U13" i="10"/>
  <c r="AO9" i="1" l="1"/>
  <c r="T13" i="10" s="1"/>
  <c r="M13" i="10"/>
  <c r="AM9" i="1"/>
  <c r="R13" i="10" s="1"/>
  <c r="N14" i="10"/>
  <c r="K14" i="10"/>
  <c r="U14" i="10" l="1"/>
  <c r="S14" i="10"/>
  <c r="BC9" i="1" l="1"/>
  <c r="T14" i="10" s="1"/>
  <c r="BA9" i="1"/>
  <c r="R14" i="10" s="1"/>
  <c r="E57" i="11" l="1"/>
  <c r="F57" i="11"/>
  <c r="G57" i="11"/>
  <c r="H57" i="11"/>
  <c r="I57" i="11"/>
  <c r="L57" i="11"/>
  <c r="N57" i="11"/>
  <c r="D57" i="11"/>
  <c r="D56" i="11"/>
  <c r="E56" i="11"/>
  <c r="F56" i="11"/>
  <c r="G56" i="11"/>
  <c r="H56" i="11"/>
  <c r="I56" i="11"/>
  <c r="J56" i="11"/>
  <c r="L56" i="11"/>
  <c r="N56" i="11"/>
  <c r="E58" i="11"/>
  <c r="F58" i="11"/>
  <c r="G58" i="11"/>
  <c r="H58" i="11"/>
  <c r="I58" i="11"/>
  <c r="J58" i="11"/>
  <c r="L58" i="11"/>
  <c r="N58" i="11"/>
  <c r="D58" i="11"/>
  <c r="D52" i="11"/>
  <c r="E52" i="11"/>
  <c r="F52" i="11"/>
  <c r="G52" i="11"/>
  <c r="H52" i="11"/>
  <c r="I52" i="11"/>
  <c r="L52" i="11"/>
  <c r="N52" i="11"/>
  <c r="D53" i="11"/>
  <c r="E53" i="11"/>
  <c r="F53" i="11"/>
  <c r="G53" i="11"/>
  <c r="H53" i="11"/>
  <c r="I53" i="11"/>
  <c r="J53" i="11"/>
  <c r="L53" i="11"/>
  <c r="N53" i="11"/>
  <c r="D54" i="11"/>
  <c r="E54" i="11"/>
  <c r="F54" i="11"/>
  <c r="G54" i="11"/>
  <c r="H54" i="11"/>
  <c r="I54" i="11"/>
  <c r="J54" i="11"/>
  <c r="L54" i="11"/>
  <c r="N54" i="11"/>
  <c r="D55" i="11"/>
  <c r="E55" i="11"/>
  <c r="F55" i="11"/>
  <c r="G55" i="11"/>
  <c r="H55" i="11"/>
  <c r="I55" i="11"/>
  <c r="J55" i="11"/>
  <c r="N55" i="11"/>
  <c r="E51" i="11"/>
  <c r="H51" i="11"/>
  <c r="I51" i="11"/>
  <c r="J51" i="11"/>
  <c r="L51" i="11"/>
  <c r="N51" i="11"/>
  <c r="E45" i="11"/>
  <c r="F45" i="11"/>
  <c r="G45" i="11"/>
  <c r="H45" i="11"/>
  <c r="I45" i="11"/>
  <c r="L45" i="11"/>
  <c r="N45" i="11"/>
  <c r="D45" i="11"/>
  <c r="D44" i="11"/>
  <c r="E44" i="11"/>
  <c r="F44" i="11"/>
  <c r="G44" i="11"/>
  <c r="H44" i="11"/>
  <c r="I44" i="11"/>
  <c r="J44" i="11"/>
  <c r="L44" i="11"/>
  <c r="N44" i="11"/>
  <c r="E46" i="11"/>
  <c r="F46" i="11"/>
  <c r="G46" i="11"/>
  <c r="H46" i="11"/>
  <c r="I46" i="11"/>
  <c r="J46" i="11"/>
  <c r="L46" i="11"/>
  <c r="N46" i="11"/>
  <c r="D46" i="11"/>
  <c r="D40" i="11"/>
  <c r="E40" i="11"/>
  <c r="F40" i="11"/>
  <c r="G40" i="11"/>
  <c r="H40" i="11"/>
  <c r="I40" i="11"/>
  <c r="L40" i="11"/>
  <c r="N40" i="11"/>
  <c r="D41" i="11"/>
  <c r="E41" i="11"/>
  <c r="F41" i="11"/>
  <c r="G41" i="11"/>
  <c r="H41" i="11"/>
  <c r="I41" i="11"/>
  <c r="J41" i="11"/>
  <c r="L41" i="11"/>
  <c r="N41" i="11"/>
  <c r="D42" i="11"/>
  <c r="E42" i="11"/>
  <c r="F42" i="11"/>
  <c r="G42" i="11"/>
  <c r="H42" i="11"/>
  <c r="I42" i="11"/>
  <c r="J42" i="11"/>
  <c r="L42" i="11"/>
  <c r="N42" i="11"/>
  <c r="D43" i="11"/>
  <c r="E43" i="11"/>
  <c r="F43" i="11"/>
  <c r="G43" i="11"/>
  <c r="H43" i="11"/>
  <c r="I43" i="11"/>
  <c r="J43" i="11"/>
  <c r="N43" i="11"/>
  <c r="J39" i="11"/>
  <c r="L39" i="11"/>
  <c r="E33" i="11"/>
  <c r="F33" i="11"/>
  <c r="G33" i="11"/>
  <c r="H33" i="11"/>
  <c r="I33" i="11"/>
  <c r="L33" i="11"/>
  <c r="N33" i="11"/>
  <c r="D33" i="11"/>
  <c r="D32" i="11"/>
  <c r="E32" i="11"/>
  <c r="F32" i="11"/>
  <c r="G32" i="11"/>
  <c r="H32" i="11"/>
  <c r="I32" i="11"/>
  <c r="J32" i="11"/>
  <c r="L32" i="11"/>
  <c r="N32" i="11"/>
  <c r="E34" i="11"/>
  <c r="F34" i="11"/>
  <c r="G34" i="11"/>
  <c r="H34" i="11"/>
  <c r="I34" i="11"/>
  <c r="J34" i="11"/>
  <c r="N34" i="11"/>
  <c r="D34" i="11"/>
  <c r="E30" i="11"/>
  <c r="F30" i="11"/>
  <c r="G30" i="11"/>
  <c r="H30" i="11"/>
  <c r="I30" i="11"/>
  <c r="L30" i="11"/>
  <c r="N30" i="11"/>
  <c r="D30" i="11"/>
  <c r="E29" i="11"/>
  <c r="F29" i="11"/>
  <c r="G29" i="11"/>
  <c r="H29" i="11"/>
  <c r="I29" i="11"/>
  <c r="J29" i="11"/>
  <c r="L29" i="11"/>
  <c r="N29" i="11"/>
  <c r="D29" i="11"/>
  <c r="E28" i="11"/>
  <c r="F28" i="11"/>
  <c r="G28" i="11"/>
  <c r="H28" i="11"/>
  <c r="I28" i="11"/>
  <c r="J28" i="11"/>
  <c r="L28" i="11"/>
  <c r="N28" i="11"/>
  <c r="D28" i="11"/>
  <c r="E27" i="11"/>
  <c r="F27" i="11"/>
  <c r="G27" i="11"/>
  <c r="H27" i="11"/>
  <c r="I27" i="11"/>
  <c r="J27" i="11"/>
  <c r="L27" i="11"/>
  <c r="N27" i="11"/>
  <c r="D27" i="11"/>
  <c r="E26" i="11"/>
  <c r="F26" i="11"/>
  <c r="G26" i="11"/>
  <c r="H26" i="11"/>
  <c r="I26" i="11"/>
  <c r="J26" i="11"/>
  <c r="L26" i="11"/>
  <c r="N26" i="11"/>
  <c r="D26" i="11"/>
  <c r="AU16" i="1" l="1"/>
  <c r="AU28" i="1" s="1"/>
  <c r="AU33" i="1" s="1"/>
  <c r="E39" i="11"/>
  <c r="AV16" i="1"/>
  <c r="F39" i="11"/>
  <c r="BK16" i="1"/>
  <c r="BK28" i="1" s="1"/>
  <c r="BK33" i="1" s="1"/>
  <c r="G51" i="11"/>
  <c r="BO18" i="1"/>
  <c r="K52" i="11" s="1"/>
  <c r="J52" i="11"/>
  <c r="AT16" i="1"/>
  <c r="AT28" i="1" s="1"/>
  <c r="AT33" i="1" s="1"/>
  <c r="D39" i="11"/>
  <c r="AX16" i="1"/>
  <c r="AX28" i="1" s="1"/>
  <c r="AX33" i="1" s="1"/>
  <c r="AW84" i="1" s="1"/>
  <c r="H39" i="11"/>
  <c r="BD16" i="1"/>
  <c r="BD28" i="1" s="1"/>
  <c r="BD33" i="1" s="1"/>
  <c r="BD46" i="1" s="1"/>
  <c r="N39" i="11"/>
  <c r="BH16" i="1"/>
  <c r="BH28" i="1" s="1"/>
  <c r="BH33" i="1" s="1"/>
  <c r="BH46" i="1" s="1"/>
  <c r="D51" i="11"/>
  <c r="AM24" i="1"/>
  <c r="K30" i="11" s="1"/>
  <c r="J30" i="11"/>
  <c r="AO31" i="1"/>
  <c r="M34" i="11" s="1"/>
  <c r="L34" i="11"/>
  <c r="AY16" i="1"/>
  <c r="AY28" i="1" s="1"/>
  <c r="AY33" i="1" s="1"/>
  <c r="I39" i="11"/>
  <c r="BJ16" i="1"/>
  <c r="BJ28" i="1" s="1"/>
  <c r="BJ33" i="1" s="1"/>
  <c r="F51" i="11"/>
  <c r="AM30" i="1"/>
  <c r="K33" i="11" s="1"/>
  <c r="J33" i="11"/>
  <c r="BC24" i="1"/>
  <c r="M43" i="11" s="1"/>
  <c r="L43" i="11"/>
  <c r="BA18" i="1"/>
  <c r="K40" i="11" s="1"/>
  <c r="J40" i="11"/>
  <c r="BA30" i="1"/>
  <c r="K45" i="11" s="1"/>
  <c r="J45" i="11"/>
  <c r="BQ24" i="1"/>
  <c r="M55" i="11" s="1"/>
  <c r="L55" i="11"/>
  <c r="BO30" i="1"/>
  <c r="K57" i="11" s="1"/>
  <c r="J57" i="11"/>
  <c r="AW16" i="1"/>
  <c r="AW28" i="1" s="1"/>
  <c r="AW33" i="1" s="1"/>
  <c r="G39" i="11"/>
  <c r="AM18" i="1"/>
  <c r="K27" i="11" s="1"/>
  <c r="AM31" i="1"/>
  <c r="K34" i="11" s="1"/>
  <c r="AM29" i="1"/>
  <c r="K32" i="11" s="1"/>
  <c r="BA22" i="1"/>
  <c r="K42" i="11" s="1"/>
  <c r="BC20" i="1"/>
  <c r="M41" i="11" s="1"/>
  <c r="BA31" i="1"/>
  <c r="K46" i="11" s="1"/>
  <c r="BA29" i="1"/>
  <c r="K44" i="11" s="1"/>
  <c r="BM16" i="1"/>
  <c r="BM28" i="1" s="1"/>
  <c r="BM33" i="1" s="1"/>
  <c r="BM46" i="1" s="1"/>
  <c r="BI16" i="1"/>
  <c r="BI28" i="1" s="1"/>
  <c r="BI33" i="1" s="1"/>
  <c r="BI46" i="1" s="1"/>
  <c r="BO22" i="1"/>
  <c r="K54" i="11" s="1"/>
  <c r="BQ20" i="1"/>
  <c r="M53" i="11" s="1"/>
  <c r="BO31" i="1"/>
  <c r="K58" i="11" s="1"/>
  <c r="BO29" i="1"/>
  <c r="K56" i="11" s="1"/>
  <c r="AP16" i="1"/>
  <c r="AJ16" i="1"/>
  <c r="AO18" i="1"/>
  <c r="M27" i="11" s="1"/>
  <c r="AO29" i="1"/>
  <c r="M32" i="11" s="1"/>
  <c r="BA24" i="1"/>
  <c r="K43" i="11" s="1"/>
  <c r="BC22" i="1"/>
  <c r="M42" i="11" s="1"/>
  <c r="BC31" i="1"/>
  <c r="M46" i="11" s="1"/>
  <c r="BC29" i="1"/>
  <c r="M44" i="11" s="1"/>
  <c r="BO24" i="1"/>
  <c r="K55" i="11" s="1"/>
  <c r="BQ22" i="1"/>
  <c r="M54" i="11" s="1"/>
  <c r="BQ31" i="1"/>
  <c r="M58" i="11" s="1"/>
  <c r="BQ29" i="1"/>
  <c r="M56" i="11" s="1"/>
  <c r="AO22" i="1"/>
  <c r="M29" i="11" s="1"/>
  <c r="AM20" i="1"/>
  <c r="K28" i="11" s="1"/>
  <c r="D15" i="11"/>
  <c r="I15" i="11"/>
  <c r="E15" i="11"/>
  <c r="J20" i="11"/>
  <c r="F20" i="11"/>
  <c r="L19" i="11"/>
  <c r="G19" i="11"/>
  <c r="N21" i="11"/>
  <c r="H21" i="11"/>
  <c r="D21" i="11"/>
  <c r="I18" i="11"/>
  <c r="E18" i="11"/>
  <c r="J17" i="11"/>
  <c r="F17" i="11"/>
  <c r="L16" i="11"/>
  <c r="G16" i="11"/>
  <c r="K12" i="10"/>
  <c r="K15" i="10" s="1"/>
  <c r="D9" i="1"/>
  <c r="P12" i="10"/>
  <c r="P15" i="10" s="1"/>
  <c r="I9" i="1"/>
  <c r="L12" i="10"/>
  <c r="L15" i="10" s="1"/>
  <c r="E9" i="1"/>
  <c r="AO20" i="1"/>
  <c r="M28" i="11" s="1"/>
  <c r="J31" i="11"/>
  <c r="BN16" i="1"/>
  <c r="BN28" i="1" s="1"/>
  <c r="BN33" i="1" s="1"/>
  <c r="BO17" i="1"/>
  <c r="J15" i="11"/>
  <c r="F15" i="11"/>
  <c r="L20" i="11"/>
  <c r="G20" i="11"/>
  <c r="N19" i="11"/>
  <c r="H19" i="11"/>
  <c r="D19" i="11"/>
  <c r="I21" i="11"/>
  <c r="E21" i="11"/>
  <c r="J18" i="11"/>
  <c r="F18" i="11"/>
  <c r="L17" i="11"/>
  <c r="G17" i="11"/>
  <c r="N16" i="11"/>
  <c r="H16" i="11"/>
  <c r="D16" i="11"/>
  <c r="Q12" i="10"/>
  <c r="Q15" i="10" s="1"/>
  <c r="Y9" i="1"/>
  <c r="J9" i="1"/>
  <c r="M12" i="10"/>
  <c r="M15" i="10" s="1"/>
  <c r="F9" i="1"/>
  <c r="AM17" i="1"/>
  <c r="AL16" i="1"/>
  <c r="L31" i="11"/>
  <c r="AZ16" i="1"/>
  <c r="AZ28" i="1" s="1"/>
  <c r="AZ33" i="1" s="1"/>
  <c r="BA17" i="1"/>
  <c r="BP16" i="1"/>
  <c r="BP28" i="1" s="1"/>
  <c r="BP33" i="1" s="1"/>
  <c r="BQ17" i="1"/>
  <c r="M51" i="11" s="1"/>
  <c r="L15" i="11"/>
  <c r="G15" i="11"/>
  <c r="N20" i="11"/>
  <c r="H20" i="11"/>
  <c r="D20" i="11"/>
  <c r="I19" i="11"/>
  <c r="E19" i="11"/>
  <c r="J21" i="11"/>
  <c r="F21" i="11"/>
  <c r="L18" i="11"/>
  <c r="G18" i="11"/>
  <c r="N17" i="11"/>
  <c r="H17" i="11"/>
  <c r="D17" i="11"/>
  <c r="I16" i="11"/>
  <c r="E16" i="11"/>
  <c r="S12" i="10"/>
  <c r="S15" i="10" s="1"/>
  <c r="AA9" i="1"/>
  <c r="L9" i="1"/>
  <c r="N12" i="10"/>
  <c r="N15" i="10" s="1"/>
  <c r="G9" i="1"/>
  <c r="AN16" i="1"/>
  <c r="AO17" i="1"/>
  <c r="BC17" i="1"/>
  <c r="M39" i="11" s="1"/>
  <c r="BB16" i="1"/>
  <c r="BB28" i="1" s="1"/>
  <c r="BB33" i="1" s="1"/>
  <c r="H15" i="11"/>
  <c r="I20" i="11"/>
  <c r="E20" i="11"/>
  <c r="J19" i="11"/>
  <c r="F19" i="11"/>
  <c r="L21" i="11"/>
  <c r="G21" i="11"/>
  <c r="N18" i="11"/>
  <c r="H18" i="11"/>
  <c r="D18" i="11"/>
  <c r="I17" i="11"/>
  <c r="E17" i="11"/>
  <c r="J16" i="11"/>
  <c r="F16" i="11"/>
  <c r="U12" i="10"/>
  <c r="U15" i="10" s="1"/>
  <c r="N9" i="1"/>
  <c r="O12" i="10"/>
  <c r="O15" i="10" s="1"/>
  <c r="H9" i="1"/>
  <c r="AF16" i="1"/>
  <c r="AK16" i="1"/>
  <c r="AG16" i="1"/>
  <c r="AH16" i="1"/>
  <c r="AV28" i="1"/>
  <c r="AV33" i="1" s="1"/>
  <c r="AI16" i="1"/>
  <c r="AM22" i="1"/>
  <c r="K29" i="11" s="1"/>
  <c r="AO24" i="1"/>
  <c r="M30" i="11" s="1"/>
  <c r="AO30" i="1"/>
  <c r="M33" i="11" s="1"/>
  <c r="BA20" i="1"/>
  <c r="K41" i="11" s="1"/>
  <c r="BC18" i="1"/>
  <c r="M40" i="11" s="1"/>
  <c r="BC30" i="1"/>
  <c r="M45" i="11" s="1"/>
  <c r="BR16" i="1"/>
  <c r="BR28" i="1" s="1"/>
  <c r="BR33" i="1" s="1"/>
  <c r="BL16" i="1"/>
  <c r="BL28" i="1" s="1"/>
  <c r="BL33" i="1" s="1"/>
  <c r="BO20" i="1"/>
  <c r="K53" i="11" s="1"/>
  <c r="BQ18" i="1"/>
  <c r="M52" i="11" s="1"/>
  <c r="BQ30" i="1"/>
  <c r="M57" i="11" s="1"/>
  <c r="L35" i="11" l="1"/>
  <c r="J35" i="11"/>
  <c r="BH84" i="1"/>
  <c r="BH93" i="1" s="1"/>
  <c r="AX46" i="1"/>
  <c r="BG84" i="1"/>
  <c r="BL84" i="1"/>
  <c r="BL87" i="1" s="1"/>
  <c r="BL88" i="1" s="1"/>
  <c r="AS84" i="1"/>
  <c r="AS87" i="1" s="1"/>
  <c r="AS88" i="1" s="1"/>
  <c r="AT46" i="1"/>
  <c r="BA16" i="1"/>
  <c r="BA28" i="1" s="1"/>
  <c r="BA33" i="1" s="1"/>
  <c r="K39" i="11"/>
  <c r="E26" i="1"/>
  <c r="E31" i="11"/>
  <c r="E35" i="11" s="1"/>
  <c r="AO16" i="1"/>
  <c r="M26" i="11"/>
  <c r="N16" i="1"/>
  <c r="N15" i="11"/>
  <c r="N26" i="1"/>
  <c r="N31" i="11"/>
  <c r="N35" i="11" s="1"/>
  <c r="G26" i="1"/>
  <c r="G31" i="11"/>
  <c r="G35" i="11" s="1"/>
  <c r="D26" i="1"/>
  <c r="D31" i="11"/>
  <c r="D35" i="11" s="1"/>
  <c r="BO16" i="1"/>
  <c r="BO28" i="1" s="1"/>
  <c r="BO33" i="1" s="1"/>
  <c r="K51" i="11"/>
  <c r="H26" i="1"/>
  <c r="H31" i="11"/>
  <c r="H35" i="11" s="1"/>
  <c r="AM16" i="1"/>
  <c r="K26" i="11"/>
  <c r="F26" i="1"/>
  <c r="F31" i="11"/>
  <c r="F35" i="11" s="1"/>
  <c r="I26" i="1"/>
  <c r="I31" i="11"/>
  <c r="I35" i="11" s="1"/>
  <c r="BC84" i="1"/>
  <c r="BC93" i="1" s="1"/>
  <c r="E20" i="1"/>
  <c r="G20" i="1"/>
  <c r="F20" i="1"/>
  <c r="BC16" i="1"/>
  <c r="BC28" i="1" s="1"/>
  <c r="BC33" i="1" s="1"/>
  <c r="BB84" i="1" s="1"/>
  <c r="H20" i="1"/>
  <c r="BQ16" i="1"/>
  <c r="BQ28" i="1" s="1"/>
  <c r="BQ33" i="1" s="1"/>
  <c r="BQ46" i="1" s="1"/>
  <c r="BK84" i="1"/>
  <c r="BL46" i="1"/>
  <c r="BK46" i="1"/>
  <c r="BJ84" i="1"/>
  <c r="F16" i="1"/>
  <c r="AH28" i="1"/>
  <c r="Y20" i="1"/>
  <c r="K16" i="11" s="1"/>
  <c r="I22" i="1"/>
  <c r="H24" i="1"/>
  <c r="G31" i="1"/>
  <c r="F29" i="1"/>
  <c r="E30" i="1"/>
  <c r="V28" i="1"/>
  <c r="J16" i="1"/>
  <c r="AL28" i="1"/>
  <c r="AL33" i="1" s="1"/>
  <c r="J33" i="1" s="1"/>
  <c r="J11" i="11" s="1"/>
  <c r="D20" i="1"/>
  <c r="AA22" i="1"/>
  <c r="M17" i="11" s="1"/>
  <c r="L22" i="1"/>
  <c r="J24" i="1"/>
  <c r="Y24" i="1"/>
  <c r="K18" i="11" s="1"/>
  <c r="I31" i="1"/>
  <c r="H29" i="1"/>
  <c r="G30" i="1"/>
  <c r="T28" i="1"/>
  <c r="BN46" i="1"/>
  <c r="BM84" i="1"/>
  <c r="J26" i="1"/>
  <c r="AM26" i="1"/>
  <c r="AA20" i="1"/>
  <c r="M16" i="11" s="1"/>
  <c r="J22" i="1"/>
  <c r="Y22" i="1"/>
  <c r="K17" i="11" s="1"/>
  <c r="I24" i="1"/>
  <c r="H31" i="1"/>
  <c r="G29" i="1"/>
  <c r="F30" i="1"/>
  <c r="S28" i="1"/>
  <c r="E16" i="1"/>
  <c r="R28" i="1"/>
  <c r="G16" i="1"/>
  <c r="AI28" i="1"/>
  <c r="AX84" i="1"/>
  <c r="AY46" i="1"/>
  <c r="D16" i="1"/>
  <c r="AF28" i="1"/>
  <c r="BA84" i="1"/>
  <c r="BB46" i="1"/>
  <c r="H22" i="1"/>
  <c r="G24" i="1"/>
  <c r="F31" i="1"/>
  <c r="E29" i="1"/>
  <c r="D30" i="1"/>
  <c r="N30" i="1"/>
  <c r="Z28" i="1"/>
  <c r="AA16" i="1"/>
  <c r="AY84" i="1"/>
  <c r="AZ46" i="1"/>
  <c r="L26" i="1"/>
  <c r="AO26" i="1"/>
  <c r="AU46" i="1"/>
  <c r="AT84" i="1"/>
  <c r="I16" i="1"/>
  <c r="AK28" i="1"/>
  <c r="E22" i="1"/>
  <c r="D24" i="1"/>
  <c r="N24" i="1"/>
  <c r="AA31" i="1"/>
  <c r="M21" i="11" s="1"/>
  <c r="L31" i="1"/>
  <c r="J29" i="1"/>
  <c r="Y29" i="1"/>
  <c r="K19" i="11" s="1"/>
  <c r="I30" i="1"/>
  <c r="AB28" i="1"/>
  <c r="L16" i="1"/>
  <c r="AN28" i="1"/>
  <c r="AN33" i="1" s="1"/>
  <c r="L33" i="1" s="1"/>
  <c r="L11" i="11" s="1"/>
  <c r="T12" i="10"/>
  <c r="T15" i="10" s="1"/>
  <c r="M9" i="1"/>
  <c r="G22" i="1"/>
  <c r="F24" i="1"/>
  <c r="E31" i="1"/>
  <c r="D29" i="1"/>
  <c r="N29" i="1"/>
  <c r="L30" i="1"/>
  <c r="AA30" i="1"/>
  <c r="M20" i="11" s="1"/>
  <c r="X28" i="1"/>
  <c r="Y16" i="1"/>
  <c r="K15" i="11" s="1"/>
  <c r="F22" i="1"/>
  <c r="E24" i="1"/>
  <c r="D31" i="1"/>
  <c r="N31" i="1"/>
  <c r="AA29" i="1"/>
  <c r="M19" i="11" s="1"/>
  <c r="L29" i="1"/>
  <c r="J30" i="1"/>
  <c r="Y30" i="1"/>
  <c r="K20" i="11" s="1"/>
  <c r="W28" i="1"/>
  <c r="BG87" i="1"/>
  <c r="BG88" i="1" s="1"/>
  <c r="BG93" i="1"/>
  <c r="AW93" i="1"/>
  <c r="AW87" i="1"/>
  <c r="AW88" i="1" s="1"/>
  <c r="BQ84" i="1"/>
  <c r="BR46" i="1"/>
  <c r="AW46" i="1"/>
  <c r="AV84" i="1"/>
  <c r="AU84" i="1"/>
  <c r="AV46" i="1"/>
  <c r="BI84" i="1"/>
  <c r="BJ46" i="1"/>
  <c r="D22" i="1"/>
  <c r="N22" i="1"/>
  <c r="AA24" i="1"/>
  <c r="M18" i="11" s="1"/>
  <c r="L24" i="1"/>
  <c r="J31" i="1"/>
  <c r="Y31" i="1"/>
  <c r="K21" i="11" s="1"/>
  <c r="I29" i="1"/>
  <c r="H30" i="1"/>
  <c r="U28" i="1"/>
  <c r="BP46" i="1"/>
  <c r="BO84" i="1"/>
  <c r="R12" i="10"/>
  <c r="R15" i="10" s="1"/>
  <c r="K9" i="1"/>
  <c r="J20" i="1"/>
  <c r="N20" i="1"/>
  <c r="AP28" i="1"/>
  <c r="I20" i="1"/>
  <c r="L20" i="1"/>
  <c r="H16" i="1"/>
  <c r="AG28" i="1"/>
  <c r="AG33" i="1" s="1"/>
  <c r="E33" i="1" s="1"/>
  <c r="E11" i="11" s="1"/>
  <c r="AJ28" i="1"/>
  <c r="AJ33" i="1" s="1"/>
  <c r="H33" i="1" s="1"/>
  <c r="H11" i="11" s="1"/>
  <c r="J10" i="11" l="1"/>
  <c r="N8" i="11"/>
  <c r="G5" i="11"/>
  <c r="J8" i="11"/>
  <c r="J5" i="11"/>
  <c r="F8" i="11"/>
  <c r="H4" i="11"/>
  <c r="I4" i="11"/>
  <c r="J4" i="11"/>
  <c r="L7" i="11"/>
  <c r="F10" i="11"/>
  <c r="F9" i="11"/>
  <c r="J7" i="11"/>
  <c r="G9" i="11"/>
  <c r="J6" i="11"/>
  <c r="E9" i="11"/>
  <c r="G4" i="11"/>
  <c r="G7" i="11"/>
  <c r="E7" i="11"/>
  <c r="L4" i="11"/>
  <c r="N4" i="11"/>
  <c r="I8" i="11"/>
  <c r="L8" i="11"/>
  <c r="E6" i="11"/>
  <c r="E10" i="11"/>
  <c r="I9" i="11"/>
  <c r="E8" i="11"/>
  <c r="I6" i="11"/>
  <c r="D4" i="11"/>
  <c r="H6" i="11"/>
  <c r="F4" i="11"/>
  <c r="BL93" i="1"/>
  <c r="O192" i="12" s="1"/>
  <c r="BH87" i="1"/>
  <c r="BH88" i="1" s="1"/>
  <c r="AS93" i="1"/>
  <c r="AS94" i="1" s="1"/>
  <c r="D5" i="11"/>
  <c r="N10" i="11"/>
  <c r="D6" i="11"/>
  <c r="N9" i="11"/>
  <c r="G6" i="11"/>
  <c r="G8" i="11"/>
  <c r="H8" i="11"/>
  <c r="L5" i="11"/>
  <c r="E4" i="11"/>
  <c r="N5" i="11"/>
  <c r="F5" i="11"/>
  <c r="L9" i="11"/>
  <c r="F6" i="11"/>
  <c r="N6" i="11"/>
  <c r="I5" i="11"/>
  <c r="I7" i="11"/>
  <c r="H9" i="11"/>
  <c r="L6" i="11"/>
  <c r="J9" i="11"/>
  <c r="D10" i="11"/>
  <c r="D8" i="11"/>
  <c r="L10" i="11"/>
  <c r="E5" i="11"/>
  <c r="D9" i="11"/>
  <c r="H5" i="11"/>
  <c r="H10" i="11"/>
  <c r="I10" i="11"/>
  <c r="G10" i="11"/>
  <c r="F7" i="11"/>
  <c r="H7" i="11"/>
  <c r="D7" i="11"/>
  <c r="N7" i="11"/>
  <c r="K20" i="1"/>
  <c r="BP84" i="1"/>
  <c r="BP87" i="1" s="1"/>
  <c r="BP88" i="1" s="1"/>
  <c r="AO28" i="1"/>
  <c r="AO33" i="1" s="1"/>
  <c r="BH94" i="1"/>
  <c r="L80" i="10"/>
  <c r="K192" i="12"/>
  <c r="BG94" i="1"/>
  <c r="R190" i="12"/>
  <c r="N190" i="12"/>
  <c r="J190" i="12"/>
  <c r="J191" i="12" s="1"/>
  <c r="M190" i="12"/>
  <c r="K80" i="10"/>
  <c r="S190" i="12"/>
  <c r="O190" i="12"/>
  <c r="K190" i="12"/>
  <c r="K191" i="12" s="1"/>
  <c r="J192" i="12"/>
  <c r="T190" i="12"/>
  <c r="P190" i="12"/>
  <c r="L190" i="12"/>
  <c r="Q190" i="12"/>
  <c r="BC87" i="1"/>
  <c r="BC88" i="1" s="1"/>
  <c r="BC94" i="1"/>
  <c r="T173" i="12"/>
  <c r="U72" i="10"/>
  <c r="AW94" i="1"/>
  <c r="O72" i="10"/>
  <c r="N173" i="12"/>
  <c r="N171" i="12"/>
  <c r="N172" i="12" s="1"/>
  <c r="AM28" i="1"/>
  <c r="AM33" i="1" s="1"/>
  <c r="F3" i="11"/>
  <c r="N3" i="11"/>
  <c r="L3" i="11"/>
  <c r="M26" i="1"/>
  <c r="M31" i="11"/>
  <c r="M35" i="11" s="1"/>
  <c r="M16" i="1"/>
  <c r="M15" i="11"/>
  <c r="E3" i="11"/>
  <c r="H3" i="11"/>
  <c r="D3" i="11"/>
  <c r="G3" i="11"/>
  <c r="J3" i="11"/>
  <c r="K26" i="1"/>
  <c r="K31" i="11"/>
  <c r="K35" i="11" s="1"/>
  <c r="I3" i="11"/>
  <c r="BC46" i="1"/>
  <c r="I47" i="11"/>
  <c r="AJ46" i="1"/>
  <c r="AI84" i="1"/>
  <c r="N28" i="1"/>
  <c r="AP33" i="1"/>
  <c r="N33" i="1" s="1"/>
  <c r="N11" i="11" s="1"/>
  <c r="BO87" i="1"/>
  <c r="BO88" i="1" s="1"/>
  <c r="BO93" i="1"/>
  <c r="M24" i="1"/>
  <c r="J28" i="1"/>
  <c r="I28" i="1"/>
  <c r="AK33" i="1"/>
  <c r="I33" i="1" s="1"/>
  <c r="I11" i="11" s="1"/>
  <c r="L28" i="1"/>
  <c r="BP93" i="1"/>
  <c r="BK87" i="1"/>
  <c r="BK88" i="1" s="1"/>
  <c r="BK93" i="1"/>
  <c r="AZ84" i="1"/>
  <c r="BA46" i="1"/>
  <c r="M29" i="1"/>
  <c r="G28" i="1"/>
  <c r="AI33" i="1"/>
  <c r="G33" i="1" s="1"/>
  <c r="G11" i="11" s="1"/>
  <c r="BM93" i="1"/>
  <c r="BM87" i="1"/>
  <c r="BM88" i="1" s="1"/>
  <c r="AV87" i="1"/>
  <c r="AV88" i="1" s="1"/>
  <c r="AV93" i="1"/>
  <c r="K30" i="1"/>
  <c r="AT93" i="1"/>
  <c r="AT87" i="1"/>
  <c r="AT88" i="1" s="1"/>
  <c r="AA28" i="1"/>
  <c r="AA33" i="1" s="1"/>
  <c r="BA87" i="1"/>
  <c r="BA88" i="1" s="1"/>
  <c r="BA93" i="1"/>
  <c r="AX93" i="1"/>
  <c r="AX87" i="1"/>
  <c r="AX88" i="1" s="1"/>
  <c r="E28" i="1"/>
  <c r="K24" i="1"/>
  <c r="H28" i="1"/>
  <c r="N47" i="11"/>
  <c r="D47" i="11"/>
  <c r="E47" i="11"/>
  <c r="M20" i="1"/>
  <c r="G47" i="11"/>
  <c r="J47" i="11"/>
  <c r="F47" i="11"/>
  <c r="BN84" i="1"/>
  <c r="BO46" i="1"/>
  <c r="K31" i="1"/>
  <c r="AN46" i="1"/>
  <c r="AM84" i="1"/>
  <c r="K29" i="1"/>
  <c r="K22" i="1"/>
  <c r="BB93" i="1"/>
  <c r="BB87" i="1"/>
  <c r="BB88" i="1" s="1"/>
  <c r="T84" i="1"/>
  <c r="U46" i="1"/>
  <c r="AU87" i="1"/>
  <c r="AU88" i="1" s="1"/>
  <c r="AU93" i="1"/>
  <c r="Y28" i="1"/>
  <c r="Y33" i="1" s="1"/>
  <c r="D28" i="1"/>
  <c r="AF33" i="1"/>
  <c r="D33" i="1" s="1"/>
  <c r="D11" i="11" s="1"/>
  <c r="R46" i="1"/>
  <c r="Q84" i="1"/>
  <c r="F28" i="1"/>
  <c r="AH33" i="1"/>
  <c r="F33" i="1" s="1"/>
  <c r="F11" i="11" s="1"/>
  <c r="AG46" i="1"/>
  <c r="AF84" i="1"/>
  <c r="BI93" i="1"/>
  <c r="BI87" i="1"/>
  <c r="BI88" i="1" s="1"/>
  <c r="BQ93" i="1"/>
  <c r="BQ87" i="1"/>
  <c r="BQ88" i="1" s="1"/>
  <c r="V84" i="1"/>
  <c r="W46" i="1"/>
  <c r="M30" i="1"/>
  <c r="AA84" i="1"/>
  <c r="AB46" i="1"/>
  <c r="M31" i="1"/>
  <c r="AY93" i="1"/>
  <c r="AY87" i="1"/>
  <c r="AY88" i="1" s="1"/>
  <c r="T46" i="1"/>
  <c r="S84" i="1"/>
  <c r="M22" i="1"/>
  <c r="AL46" i="1"/>
  <c r="AK84" i="1"/>
  <c r="BJ93" i="1"/>
  <c r="BJ87" i="1"/>
  <c r="BJ88" i="1" s="1"/>
  <c r="L47" i="11"/>
  <c r="K16" i="1"/>
  <c r="H47" i="11"/>
  <c r="K22" i="11" l="1"/>
  <c r="K33" i="1"/>
  <c r="K11" i="11" s="1"/>
  <c r="M22" i="11"/>
  <c r="M33" i="1"/>
  <c r="M11" i="11" s="1"/>
  <c r="D46" i="1"/>
  <c r="Q171" i="12"/>
  <c r="BL94" i="1"/>
  <c r="P80" i="10"/>
  <c r="P82" i="10" s="1"/>
  <c r="O191" i="12"/>
  <c r="O171" i="12"/>
  <c r="O172" i="12" s="1"/>
  <c r="K171" i="12"/>
  <c r="K172" i="12" s="1"/>
  <c r="P171" i="12"/>
  <c r="P172" i="12" s="1"/>
  <c r="R171" i="12"/>
  <c r="R172" i="12" s="1"/>
  <c r="M171" i="12"/>
  <c r="M172" i="12" s="1"/>
  <c r="J173" i="12"/>
  <c r="J171" i="12"/>
  <c r="T171" i="12"/>
  <c r="T172" i="12" s="1"/>
  <c r="S171" i="12"/>
  <c r="S172" i="12" s="1"/>
  <c r="M5" i="11"/>
  <c r="M9" i="11"/>
  <c r="M3" i="11"/>
  <c r="K8" i="11"/>
  <c r="M8" i="11"/>
  <c r="K5" i="11"/>
  <c r="K10" i="11"/>
  <c r="M7" i="11"/>
  <c r="M10" i="11"/>
  <c r="M4" i="11"/>
  <c r="K7" i="11"/>
  <c r="L171" i="12"/>
  <c r="L172" i="12" s="1"/>
  <c r="K72" i="10"/>
  <c r="K75" i="10" s="1"/>
  <c r="J172" i="12"/>
  <c r="K9" i="11"/>
  <c r="K6" i="11"/>
  <c r="M6" i="11"/>
  <c r="K4" i="11"/>
  <c r="AY94" i="1"/>
  <c r="P173" i="12"/>
  <c r="Q72" i="10"/>
  <c r="BB94" i="1"/>
  <c r="T72" i="10"/>
  <c r="S173" i="12"/>
  <c r="AT94" i="1"/>
  <c r="L72" i="10"/>
  <c r="K173" i="12"/>
  <c r="AV94" i="1"/>
  <c r="N72" i="10"/>
  <c r="M173" i="12"/>
  <c r="BP94" i="1"/>
  <c r="S191" i="12"/>
  <c r="T80" i="10"/>
  <c r="S192" i="12"/>
  <c r="BO94" i="1"/>
  <c r="S80" i="10"/>
  <c r="R192" i="12"/>
  <c r="R191" i="12"/>
  <c r="O75" i="10"/>
  <c r="O74" i="10"/>
  <c r="U75" i="10"/>
  <c r="U74" i="10"/>
  <c r="BI94" i="1"/>
  <c r="L192" i="12"/>
  <c r="L191" i="12"/>
  <c r="M80" i="10"/>
  <c r="BA94" i="1"/>
  <c r="S72" i="10"/>
  <c r="R173" i="12"/>
  <c r="BK94" i="1"/>
  <c r="N192" i="12"/>
  <c r="N191" i="12"/>
  <c r="O80" i="10"/>
  <c r="K83" i="10"/>
  <c r="K82" i="10"/>
  <c r="L82" i="10"/>
  <c r="L83" i="10"/>
  <c r="BJ94" i="1"/>
  <c r="M192" i="12"/>
  <c r="M191" i="12"/>
  <c r="N80" i="10"/>
  <c r="BQ94" i="1"/>
  <c r="T192" i="12"/>
  <c r="T191" i="12"/>
  <c r="U80" i="10"/>
  <c r="AU94" i="1"/>
  <c r="L173" i="12"/>
  <c r="M72" i="10"/>
  <c r="AX94" i="1"/>
  <c r="O173" i="12"/>
  <c r="P72" i="10"/>
  <c r="BM94" i="1"/>
  <c r="P192" i="12"/>
  <c r="P191" i="12"/>
  <c r="Q80" i="10"/>
  <c r="K3" i="11"/>
  <c r="H59" i="11"/>
  <c r="E59" i="11"/>
  <c r="F59" i="11"/>
  <c r="G59" i="11"/>
  <c r="K47" i="11"/>
  <c r="AA87" i="1"/>
  <c r="AA88" i="1" s="1"/>
  <c r="AA93" i="1"/>
  <c r="AA94" i="1" s="1"/>
  <c r="E84" i="1"/>
  <c r="BN87" i="1"/>
  <c r="BN88" i="1" s="1"/>
  <c r="BN93" i="1"/>
  <c r="G84" i="1"/>
  <c r="Z84" i="1"/>
  <c r="AA46" i="1"/>
  <c r="M46" i="1" s="1"/>
  <c r="F84" i="1"/>
  <c r="AZ93" i="1"/>
  <c r="AZ87" i="1"/>
  <c r="AZ88" i="1" s="1"/>
  <c r="Y84" i="1"/>
  <c r="Z46" i="1"/>
  <c r="L46" i="1" s="1"/>
  <c r="W84" i="1"/>
  <c r="X46" i="1"/>
  <c r="J46" i="1" s="1"/>
  <c r="M84" i="1"/>
  <c r="AH46" i="1"/>
  <c r="F46" i="1" s="1"/>
  <c r="AG84" i="1"/>
  <c r="Q93" i="1"/>
  <c r="Q94" i="1" s="1"/>
  <c r="Q87" i="1"/>
  <c r="Q88" i="1" s="1"/>
  <c r="X84" i="1"/>
  <c r="Y46" i="1"/>
  <c r="AM87" i="1"/>
  <c r="AM88" i="1" s="1"/>
  <c r="AM93" i="1"/>
  <c r="AM94" i="1" s="1"/>
  <c r="R84" i="1"/>
  <c r="S46" i="1"/>
  <c r="E46" i="1" s="1"/>
  <c r="AH84" i="1"/>
  <c r="AI46" i="1"/>
  <c r="G46" i="1" s="1"/>
  <c r="K84" i="1"/>
  <c r="I84" i="1"/>
  <c r="AO84" i="1"/>
  <c r="AP46" i="1"/>
  <c r="N46" i="1" s="1"/>
  <c r="AI93" i="1"/>
  <c r="AI94" i="1" s="1"/>
  <c r="AI87" i="1"/>
  <c r="AI88" i="1" s="1"/>
  <c r="V93" i="1"/>
  <c r="V94" i="1" s="1"/>
  <c r="V87" i="1"/>
  <c r="V88" i="1" s="1"/>
  <c r="C84" i="1"/>
  <c r="T87" i="1"/>
  <c r="T88" i="1" s="1"/>
  <c r="T93" i="1"/>
  <c r="T94" i="1" s="1"/>
  <c r="D84" i="1"/>
  <c r="AN84" i="1"/>
  <c r="AO46" i="1"/>
  <c r="H84" i="1"/>
  <c r="AK87" i="1"/>
  <c r="AK88" i="1" s="1"/>
  <c r="AK93" i="1"/>
  <c r="AK94" i="1" s="1"/>
  <c r="S93" i="1"/>
  <c r="S94" i="1" s="1"/>
  <c r="S87" i="1"/>
  <c r="S88" i="1" s="1"/>
  <c r="AF93" i="1"/>
  <c r="AF94" i="1" s="1"/>
  <c r="AF87" i="1"/>
  <c r="AF88" i="1" s="1"/>
  <c r="AF46" i="1"/>
  <c r="AE84" i="1"/>
  <c r="AL84" i="1"/>
  <c r="AM46" i="1"/>
  <c r="V46" i="1"/>
  <c r="H46" i="1" s="1"/>
  <c r="U84" i="1"/>
  <c r="AJ84" i="1"/>
  <c r="AK46" i="1"/>
  <c r="I46" i="1" s="1"/>
  <c r="J59" i="11"/>
  <c r="L59" i="11"/>
  <c r="N59" i="11"/>
  <c r="M28" i="1"/>
  <c r="K28" i="1"/>
  <c r="D59" i="11"/>
  <c r="I59" i="11"/>
  <c r="M47" i="11"/>
  <c r="K46" i="1" l="1"/>
  <c r="P83" i="10"/>
  <c r="K74" i="10"/>
  <c r="AZ94" i="1"/>
  <c r="R72" i="10"/>
  <c r="Q173" i="12"/>
  <c r="Q172" i="12"/>
  <c r="BN94" i="1"/>
  <c r="Q192" i="12"/>
  <c r="Q191" i="12"/>
  <c r="R80" i="10"/>
  <c r="M74" i="10"/>
  <c r="M75" i="10"/>
  <c r="S74" i="10"/>
  <c r="S75" i="10"/>
  <c r="T82" i="10"/>
  <c r="T83" i="10"/>
  <c r="L75" i="10"/>
  <c r="L74" i="10"/>
  <c r="T75" i="10"/>
  <c r="T74" i="10"/>
  <c r="Q75" i="10"/>
  <c r="Q74" i="10"/>
  <c r="Q83" i="10"/>
  <c r="Q82" i="10"/>
  <c r="P75" i="10"/>
  <c r="P74" i="10"/>
  <c r="U82" i="10"/>
  <c r="U83" i="10"/>
  <c r="N82" i="10"/>
  <c r="N83" i="10"/>
  <c r="S83" i="10"/>
  <c r="S82" i="10"/>
  <c r="N75" i="10"/>
  <c r="N74" i="10"/>
  <c r="O82" i="10"/>
  <c r="O83" i="10"/>
  <c r="M82" i="10"/>
  <c r="M83" i="10"/>
  <c r="K59" i="11"/>
  <c r="L84" i="1"/>
  <c r="AG87" i="1"/>
  <c r="AG88" i="1" s="1"/>
  <c r="AG93" i="1"/>
  <c r="AG94" i="1" s="1"/>
  <c r="M93" i="1"/>
  <c r="M87" i="1"/>
  <c r="M88" i="1" s="1"/>
  <c r="AJ93" i="1"/>
  <c r="AJ94" i="1" s="1"/>
  <c r="AJ87" i="1"/>
  <c r="AJ88" i="1" s="1"/>
  <c r="H87" i="1"/>
  <c r="H88" i="1" s="1"/>
  <c r="H93" i="1"/>
  <c r="Y87" i="1"/>
  <c r="Y88" i="1" s="1"/>
  <c r="Y93" i="1"/>
  <c r="Y94" i="1" s="1"/>
  <c r="F93" i="1"/>
  <c r="F87" i="1"/>
  <c r="F88" i="1" s="1"/>
  <c r="G93" i="1"/>
  <c r="G87" i="1"/>
  <c r="G88" i="1" s="1"/>
  <c r="AL93" i="1"/>
  <c r="AL94" i="1" s="1"/>
  <c r="AL87" i="1"/>
  <c r="AL88" i="1" s="1"/>
  <c r="D87" i="1"/>
  <c r="D88" i="1" s="1"/>
  <c r="D93" i="1"/>
  <c r="I87" i="1"/>
  <c r="I88" i="1" s="1"/>
  <c r="I93" i="1"/>
  <c r="AH87" i="1"/>
  <c r="AH88" i="1" s="1"/>
  <c r="AH93" i="1"/>
  <c r="AH94" i="1" s="1"/>
  <c r="R87" i="1"/>
  <c r="R88" i="1" s="1"/>
  <c r="R93" i="1"/>
  <c r="R94" i="1" s="1"/>
  <c r="X93" i="1"/>
  <c r="X94" i="1" s="1"/>
  <c r="X87" i="1"/>
  <c r="X88" i="1" s="1"/>
  <c r="W93" i="1"/>
  <c r="W94" i="1" s="1"/>
  <c r="W87" i="1"/>
  <c r="W88" i="1" s="1"/>
  <c r="Z87" i="1"/>
  <c r="Z88" i="1" s="1"/>
  <c r="Z93" i="1"/>
  <c r="Z94" i="1" s="1"/>
  <c r="M59" i="11"/>
  <c r="AN93" i="1"/>
  <c r="AN94" i="1" s="1"/>
  <c r="AN87" i="1"/>
  <c r="AN88" i="1" s="1"/>
  <c r="AO87" i="1"/>
  <c r="AO88" i="1" s="1"/>
  <c r="AO93" i="1"/>
  <c r="AO94" i="1" s="1"/>
  <c r="J84" i="1"/>
  <c r="U87" i="1"/>
  <c r="U88" i="1" s="1"/>
  <c r="U93" i="1"/>
  <c r="U94" i="1" s="1"/>
  <c r="AE93" i="1"/>
  <c r="AE94" i="1" s="1"/>
  <c r="AE87" i="1"/>
  <c r="AE88" i="1" s="1"/>
  <c r="C93" i="1"/>
  <c r="C87" i="1"/>
  <c r="C88" i="1" s="1"/>
  <c r="K93" i="1"/>
  <c r="K87" i="1"/>
  <c r="K88" i="1" s="1"/>
  <c r="E87" i="1"/>
  <c r="E88" i="1" s="1"/>
  <c r="E93" i="1"/>
  <c r="M94" i="1" l="1"/>
  <c r="T154" i="12"/>
  <c r="U64" i="10"/>
  <c r="C94" i="1"/>
  <c r="C7" i="2" s="1"/>
  <c r="R152" i="12"/>
  <c r="R153" i="12" s="1"/>
  <c r="N152" i="12"/>
  <c r="N153" i="12" s="1"/>
  <c r="J152" i="12"/>
  <c r="J153" i="12" s="1"/>
  <c r="Q152" i="12"/>
  <c r="K64" i="10"/>
  <c r="S152" i="12"/>
  <c r="O152" i="12"/>
  <c r="O153" i="12" s="1"/>
  <c r="K152" i="12"/>
  <c r="K153" i="12" s="1"/>
  <c r="J154" i="12"/>
  <c r="T152" i="12"/>
  <c r="T153" i="12" s="1"/>
  <c r="P152" i="12"/>
  <c r="P153" i="12" s="1"/>
  <c r="L152" i="12"/>
  <c r="L153" i="12" s="1"/>
  <c r="M152" i="12"/>
  <c r="M153" i="12" s="1"/>
  <c r="I94" i="1"/>
  <c r="I7" i="2" s="1"/>
  <c r="P154" i="12"/>
  <c r="Q64" i="10"/>
  <c r="R75" i="10"/>
  <c r="R74" i="10"/>
  <c r="E94" i="1"/>
  <c r="E7" i="2" s="1"/>
  <c r="L154" i="12"/>
  <c r="M64" i="10"/>
  <c r="F94" i="1"/>
  <c r="F7" i="2" s="1"/>
  <c r="M154" i="12"/>
  <c r="N64" i="10"/>
  <c r="G94" i="1"/>
  <c r="G7" i="2" s="1"/>
  <c r="N154" i="12"/>
  <c r="O64" i="10"/>
  <c r="K94" i="1"/>
  <c r="S64" i="10"/>
  <c r="R154" i="12"/>
  <c r="D94" i="1"/>
  <c r="D7" i="2" s="1"/>
  <c r="L64" i="10"/>
  <c r="K154" i="12"/>
  <c r="H94" i="1"/>
  <c r="H7" i="2" s="1"/>
  <c r="P64" i="10"/>
  <c r="O154" i="12"/>
  <c r="R82" i="10"/>
  <c r="R83" i="10"/>
  <c r="L93" i="1"/>
  <c r="L87" i="1"/>
  <c r="L88" i="1" s="1"/>
  <c r="J93" i="1"/>
  <c r="J87" i="1"/>
  <c r="J88" i="1" s="1"/>
  <c r="K7" i="3" l="1"/>
  <c r="K7" i="2"/>
  <c r="R214" i="12"/>
  <c r="K7" i="4"/>
  <c r="K7" i="6"/>
  <c r="K7" i="5"/>
  <c r="M7" i="6"/>
  <c r="M7" i="5"/>
  <c r="M7" i="3"/>
  <c r="M7" i="2"/>
  <c r="T214" i="12"/>
  <c r="M7" i="4"/>
  <c r="H7" i="4"/>
  <c r="H7" i="3"/>
  <c r="H7" i="5"/>
  <c r="H7" i="6"/>
  <c r="F7" i="5"/>
  <c r="F7" i="6"/>
  <c r="F7" i="4"/>
  <c r="F7" i="3"/>
  <c r="I7" i="6"/>
  <c r="I7" i="4"/>
  <c r="I7" i="3"/>
  <c r="I7" i="5"/>
  <c r="G7" i="3"/>
  <c r="G7" i="5"/>
  <c r="G7" i="6"/>
  <c r="G7" i="4"/>
  <c r="D7" i="4"/>
  <c r="D7" i="3"/>
  <c r="D7" i="5"/>
  <c r="D7" i="6"/>
  <c r="E7" i="6"/>
  <c r="E7" i="4"/>
  <c r="E7" i="3"/>
  <c r="E7" i="5"/>
  <c r="C7" i="3"/>
  <c r="C7" i="5"/>
  <c r="C7" i="6"/>
  <c r="C7" i="4"/>
  <c r="D103" i="10"/>
  <c r="E103" i="10"/>
  <c r="F103" i="10"/>
  <c r="C103" i="10"/>
  <c r="G103" i="10"/>
  <c r="N214" i="12"/>
  <c r="O214" i="12"/>
  <c r="M214" i="12"/>
  <c r="P214" i="12"/>
  <c r="K214" i="12"/>
  <c r="L214" i="12"/>
  <c r="J214" i="12"/>
  <c r="J94" i="1"/>
  <c r="J7" i="2" s="1"/>
  <c r="R64" i="10"/>
  <c r="Q154" i="12"/>
  <c r="Q153" i="12"/>
  <c r="L94" i="1"/>
  <c r="S153" i="12"/>
  <c r="T64" i="10"/>
  <c r="S154" i="12"/>
  <c r="S214" i="12" l="1"/>
  <c r="L7" i="4"/>
  <c r="L7" i="6"/>
  <c r="L7" i="5"/>
  <c r="L7" i="3"/>
  <c r="L7" i="2"/>
  <c r="J7" i="5"/>
  <c r="J7" i="6"/>
  <c r="J7" i="4"/>
  <c r="J7" i="3"/>
  <c r="F102" i="10"/>
  <c r="C102" i="10"/>
  <c r="G102" i="10"/>
  <c r="D102" i="10"/>
  <c r="E102" i="10"/>
  <c r="Q214" i="12"/>
  <c r="D11" i="5"/>
  <c r="D11" i="3"/>
  <c r="D11" i="4"/>
  <c r="D11" i="6"/>
  <c r="D11" i="2"/>
  <c r="C11" i="3"/>
  <c r="C11" i="4"/>
  <c r="C11" i="2"/>
  <c r="C11" i="6"/>
  <c r="C11" i="5"/>
  <c r="H11" i="6"/>
  <c r="H11" i="2"/>
  <c r="H11" i="3"/>
  <c r="H11" i="5"/>
  <c r="H11" i="4"/>
  <c r="U67" i="10"/>
  <c r="U66" i="10"/>
  <c r="M11" i="6"/>
  <c r="M11" i="2"/>
  <c r="M11" i="3"/>
  <c r="M11" i="4"/>
  <c r="M11" i="5"/>
  <c r="I11" i="6"/>
  <c r="I11" i="3"/>
  <c r="I11" i="4"/>
  <c r="I11" i="2"/>
  <c r="I11" i="5"/>
  <c r="O66" i="10"/>
  <c r="O67" i="10"/>
  <c r="K67" i="10"/>
  <c r="K66" i="10"/>
  <c r="M66" i="10"/>
  <c r="M67" i="10"/>
  <c r="F11" i="6"/>
  <c r="F11" i="5"/>
  <c r="F11" i="4"/>
  <c r="F11" i="3"/>
  <c r="F11" i="2"/>
  <c r="S67" i="10"/>
  <c r="S66" i="10"/>
  <c r="G11" i="6"/>
  <c r="G11" i="5"/>
  <c r="G11" i="3"/>
  <c r="G11" i="4"/>
  <c r="G11" i="2"/>
  <c r="P67" i="10"/>
  <c r="P66" i="10"/>
  <c r="L66" i="10"/>
  <c r="L67" i="10"/>
  <c r="E11" i="5"/>
  <c r="E11" i="3"/>
  <c r="E11" i="4"/>
  <c r="E11" i="6"/>
  <c r="E11" i="2"/>
  <c r="Q67" i="10"/>
  <c r="Q66" i="10"/>
  <c r="N66" i="10"/>
  <c r="N67" i="10"/>
  <c r="K11" i="3"/>
  <c r="K11" i="5"/>
  <c r="K11" i="2"/>
  <c r="K11" i="4"/>
  <c r="K11" i="6"/>
  <c r="F20" i="6"/>
  <c r="M20" i="6"/>
  <c r="E18" i="7" s="1"/>
  <c r="F121" i="10" s="1"/>
  <c r="H20" i="3"/>
  <c r="M22" i="5" l="1"/>
  <c r="F18" i="7" s="1"/>
  <c r="G121" i="10" s="1"/>
  <c r="F20" i="2"/>
  <c r="I20" i="3"/>
  <c r="T66" i="10"/>
  <c r="T67" i="10"/>
  <c r="R66" i="10"/>
  <c r="R67" i="10"/>
  <c r="J11" i="5"/>
  <c r="J11" i="2"/>
  <c r="J11" i="3"/>
  <c r="J11" i="6"/>
  <c r="J11" i="4"/>
  <c r="L11" i="2"/>
  <c r="L11" i="3"/>
  <c r="L11" i="6"/>
  <c r="L11" i="4"/>
  <c r="L11" i="5"/>
  <c r="M20" i="3"/>
  <c r="C18" i="7" s="1"/>
  <c r="D121" i="10" s="1"/>
  <c r="I20" i="6"/>
  <c r="H22" i="5"/>
  <c r="K20" i="3"/>
  <c r="K22" i="5"/>
  <c r="K20" i="2"/>
  <c r="H20" i="6"/>
  <c r="E20" i="4"/>
  <c r="F20" i="3"/>
  <c r="F22" i="5"/>
  <c r="M20" i="2"/>
  <c r="B18" i="7" s="1"/>
  <c r="C121" i="10" s="1"/>
  <c r="G20" i="3"/>
  <c r="K20" i="6"/>
  <c r="G22" i="5"/>
  <c r="F20" i="4"/>
  <c r="D20" i="2"/>
  <c r="E20" i="2"/>
  <c r="H20" i="4"/>
  <c r="G20" i="4"/>
  <c r="G20" i="2"/>
  <c r="M20" i="4"/>
  <c r="D18" i="7" s="1"/>
  <c r="E121" i="10" s="1"/>
  <c r="I20" i="4"/>
  <c r="D22" i="5"/>
  <c r="D20" i="6"/>
  <c r="E20" i="6"/>
  <c r="D20" i="3"/>
  <c r="H20" i="2"/>
  <c r="E20" i="3"/>
  <c r="G20" i="6"/>
  <c r="I22" i="5"/>
  <c r="I20" i="2"/>
  <c r="D20" i="4"/>
  <c r="E22" i="5"/>
  <c r="K20" i="4"/>
  <c r="J20" i="4" l="1"/>
  <c r="J20" i="6"/>
  <c r="L20" i="6"/>
  <c r="J20" i="2"/>
  <c r="J20" i="3"/>
  <c r="L20" i="3"/>
  <c r="L22" i="5"/>
  <c r="L20" i="4"/>
  <c r="L20" i="2"/>
  <c r="J22" i="5"/>
  <c r="C20" i="4" l="1"/>
  <c r="C20" i="6"/>
  <c r="C22" i="5"/>
  <c r="C20" i="3" l="1"/>
  <c r="C20" i="2"/>
</calcChain>
</file>

<file path=xl/comments1.xml><?xml version="1.0" encoding="utf-8"?>
<comments xmlns="http://schemas.openxmlformats.org/spreadsheetml/2006/main">
  <authors>
    <author>lsh1</author>
  </authors>
  <commentList>
    <comment ref="J11" authorId="0" shapeId="0">
      <text>
        <r>
          <rPr>
            <b/>
            <sz val="9"/>
            <color indexed="81"/>
            <rFont val="Tahoma"/>
            <family val="2"/>
          </rPr>
          <t xml:space="preserve">TJCOG:  Only need to include this portion if you have distinct service area populations you'd like to break out.
</t>
        </r>
        <r>
          <rPr>
            <sz val="9"/>
            <color indexed="81"/>
            <rFont val="Tahoma"/>
            <family val="2"/>
          </rPr>
          <t xml:space="preserve">
</t>
        </r>
      </text>
    </comment>
  </commentList>
</comments>
</file>

<file path=xl/comments2.xml><?xml version="1.0" encoding="utf-8"?>
<comments xmlns="http://schemas.openxmlformats.org/spreadsheetml/2006/main">
  <authors>
    <author>Donald Rayno</author>
  </authors>
  <commentList>
    <comment ref="C29"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Q29"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AE29"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AS29"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BG29"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C31"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Q31"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AE31"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AS31"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 ref="BG31" authorId="0" shape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List>
</comments>
</file>

<file path=xl/comments3.xml><?xml version="1.0" encoding="utf-8"?>
<comments xmlns="http://schemas.openxmlformats.org/spreadsheetml/2006/main">
  <authors>
    <author>lsh1</author>
  </authors>
  <commentList>
    <comment ref="A25" authorId="0" shape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comments4.xml><?xml version="1.0" encoding="utf-8"?>
<comments xmlns="http://schemas.openxmlformats.org/spreadsheetml/2006/main">
  <authors>
    <author>lsh1</author>
  </authors>
  <commentList>
    <comment ref="A25" authorId="0" shape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comments5.xml><?xml version="1.0" encoding="utf-8"?>
<comments xmlns="http://schemas.openxmlformats.org/spreadsheetml/2006/main">
  <authors>
    <author>lsh1</author>
  </authors>
  <commentList>
    <comment ref="A25" authorId="0" shape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comments6.xml><?xml version="1.0" encoding="utf-8"?>
<comments xmlns="http://schemas.openxmlformats.org/spreadsheetml/2006/main">
  <authors>
    <author>lsh1</author>
  </authors>
  <commentList>
    <comment ref="A25" authorId="0" shape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comments7.xml><?xml version="1.0" encoding="utf-8"?>
<comments xmlns="http://schemas.openxmlformats.org/spreadsheetml/2006/main">
  <authors>
    <author>lsh1</author>
  </authors>
  <commentList>
    <comment ref="A27" authorId="0" shape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sharedStrings.xml><?xml version="1.0" encoding="utf-8"?>
<sst xmlns="http://schemas.openxmlformats.org/spreadsheetml/2006/main" count="1206" uniqueCount="413">
  <si>
    <t>(1) Residential</t>
  </si>
  <si>
    <t>(2) Commercial</t>
  </si>
  <si>
    <t>(3) Industrial</t>
  </si>
  <si>
    <t>(4) Institutional</t>
  </si>
  <si>
    <t xml:space="preserve">(7) Total Service Area Demand </t>
  </si>
  <si>
    <t xml:space="preserve">(5) Total Available Supply </t>
  </si>
  <si>
    <t>Available Supply , MGD</t>
  </si>
  <si>
    <t>(6) Service Area Demand</t>
  </si>
  <si>
    <t>(9) Total Average Daily Demand</t>
  </si>
  <si>
    <t>(10) Demand as Percent of Supply</t>
  </si>
  <si>
    <t>Additional Information for J.L. Allocation</t>
  </si>
  <si>
    <t>(12) Sales Under Existing Contracts</t>
  </si>
  <si>
    <t>(13) Expected Sales Under Future Contracts</t>
  </si>
  <si>
    <t>(14) Demand in Each Planning Period</t>
  </si>
  <si>
    <t>Source or Facility Name</t>
  </si>
  <si>
    <t>PWSID</t>
  </si>
  <si>
    <t>SW or GW</t>
  </si>
  <si>
    <t>Sub-Basin</t>
  </si>
  <si>
    <t xml:space="preserve">Wat Qual </t>
  </si>
  <si>
    <t>Classification</t>
  </si>
  <si>
    <t>Supply</t>
  </si>
  <si>
    <t>Development</t>
  </si>
  <si>
    <t>Time</t>
  </si>
  <si>
    <t xml:space="preserve">Year </t>
  </si>
  <si>
    <t>Online</t>
  </si>
  <si>
    <t>Emergency</t>
  </si>
  <si>
    <t>(label the alternative presented in this table)</t>
  </si>
  <si>
    <t>(8)     Amount NOT returned to Source Basin</t>
  </si>
  <si>
    <t>List details of the future supply options included in this alternative scenario</t>
  </si>
  <si>
    <t>Future Source</t>
  </si>
  <si>
    <t>Wat. Qual</t>
  </si>
  <si>
    <t>Additional</t>
  </si>
  <si>
    <t>Time (years)</t>
  </si>
  <si>
    <t>Year</t>
  </si>
  <si>
    <t>Applicant</t>
  </si>
  <si>
    <t>Date</t>
  </si>
  <si>
    <t>Basin</t>
  </si>
  <si>
    <t>GS 143-215.22G</t>
  </si>
  <si>
    <t>Sub-total</t>
  </si>
  <si>
    <t>Total Sales Contracts</t>
  </si>
  <si>
    <t>Sales Commitments</t>
  </si>
  <si>
    <t>Total System Demand</t>
  </si>
  <si>
    <t>Existing commitments for additional Future Sales (list buyer)</t>
  </si>
  <si>
    <t>Supply mgd</t>
  </si>
  <si>
    <t>Show all water volumes in millions of gallons per day</t>
  </si>
  <si>
    <t>Indicate months of seasonal use</t>
  </si>
  <si>
    <t>Jan</t>
  </si>
  <si>
    <t>Feb</t>
  </si>
  <si>
    <t>Dec</t>
  </si>
  <si>
    <t>Nov</t>
  </si>
  <si>
    <t>Oct</t>
  </si>
  <si>
    <t>Sept</t>
  </si>
  <si>
    <t>Aug</t>
  </si>
  <si>
    <t>Jul</t>
  </si>
  <si>
    <t>June</t>
  </si>
  <si>
    <t>May</t>
  </si>
  <si>
    <t>Apr</t>
  </si>
  <si>
    <t>Mar</t>
  </si>
  <si>
    <r>
      <t xml:space="preserve">Existing Sales Contracts </t>
    </r>
    <r>
      <rPr>
        <b/>
        <sz val="10"/>
        <rFont val="Arial"/>
        <family val="2"/>
      </rPr>
      <t xml:space="preserve"> (list buyer and years covered by contract)</t>
    </r>
  </si>
  <si>
    <t>Type of Population to be Served</t>
  </si>
  <si>
    <r>
      <t>Type of Use (</t>
    </r>
    <r>
      <rPr>
        <b/>
        <sz val="10"/>
        <rFont val="Arial"/>
        <family val="2"/>
      </rPr>
      <t>Average Daily Service Area Demand in Million Gallons per Day (MGD)  Do not include sales to other systems</t>
    </r>
    <r>
      <rPr>
        <b/>
        <sz val="12"/>
        <rFont val="Arial"/>
        <family val="2"/>
      </rPr>
      <t>)</t>
    </r>
  </si>
  <si>
    <t>Future Supplies  List all new supplies or facilities which were under development as of July 1, 2012</t>
  </si>
  <si>
    <t>Local Water Supply Plan  supplemental information  for Jordan Lake Allocation Application</t>
  </si>
  <si>
    <t xml:space="preserve"> Demand - Supply  Comparison  (Show all quantities in Million Gallons per Day )</t>
  </si>
  <si>
    <t>(1) Existing Surface Water Supply</t>
  </si>
  <si>
    <t>(2) Existing Ground Water Supply</t>
  </si>
  <si>
    <t xml:space="preserve">(3) Existing Purchase Contracts </t>
  </si>
  <si>
    <t xml:space="preserve">(4) Future Supplies                      </t>
  </si>
  <si>
    <t xml:space="preserve">(7) Existing Sales Contracts       </t>
  </si>
  <si>
    <t xml:space="preserve">(8) Contracts for Future Sales </t>
  </si>
  <si>
    <t>Expected</t>
  </si>
  <si>
    <t>(1) Line (15) From Demand - Supply Comparison Table</t>
  </si>
  <si>
    <t>List the Components of each alternative scenario including the expected period when each component will come online.</t>
  </si>
  <si>
    <t>(3)               Supply Available for future needs</t>
  </si>
  <si>
    <t>Future Supply Alternative 5</t>
  </si>
  <si>
    <t>Future Supply Alternative 4</t>
  </si>
  <si>
    <t>Future Supply Alternative 3</t>
  </si>
  <si>
    <t>Future Supply Alternative 2</t>
  </si>
  <si>
    <t>(15) Supply Deficit    (Demand minus Supply)</t>
  </si>
  <si>
    <t>Alternatives</t>
  </si>
  <si>
    <t>Summary Description</t>
  </si>
  <si>
    <t>Alternative 1</t>
  </si>
  <si>
    <t>Alternative 2</t>
  </si>
  <si>
    <t>Alternative 3</t>
  </si>
  <si>
    <t>Alternative 4</t>
  </si>
  <si>
    <t>Alternative 5</t>
  </si>
  <si>
    <t>Total Supply (MGD)</t>
  </si>
  <si>
    <t>Environmental Impacts</t>
  </si>
  <si>
    <t>Water Quality Classification</t>
  </si>
  <si>
    <t>Interbasin Transfer (MGD)</t>
  </si>
  <si>
    <t>Regional Partnerships</t>
  </si>
  <si>
    <t>Technical Complexity</t>
  </si>
  <si>
    <t>Institutional Complexity</t>
  </si>
  <si>
    <t>Political Complexity</t>
  </si>
  <si>
    <t>Public Benefits</t>
  </si>
  <si>
    <t>Consistency with local plans</t>
  </si>
  <si>
    <t>Total Cost ($ millions)</t>
  </si>
  <si>
    <t>Allocation Request (% of storage)</t>
  </si>
  <si>
    <t>Jordan Lake Allocation</t>
  </si>
  <si>
    <t>Use Sector</t>
  </si>
  <si>
    <t>Use Sub-sector</t>
  </si>
  <si>
    <t>Description</t>
  </si>
  <si>
    <t>Residential</t>
  </si>
  <si>
    <t>Commercial</t>
  </si>
  <si>
    <t>Industrial</t>
  </si>
  <si>
    <t>Institutional</t>
  </si>
  <si>
    <t>Provide a description of the groups of customers included in each use sector or sub-sector</t>
  </si>
  <si>
    <t>Year-round population</t>
  </si>
  <si>
    <t>Seasonal Population (if applicable)</t>
  </si>
  <si>
    <t>Sector</t>
  </si>
  <si>
    <t>Subsector</t>
  </si>
  <si>
    <t>System Process</t>
  </si>
  <si>
    <t>Non-Revenue</t>
  </si>
  <si>
    <t>WTP Process</t>
  </si>
  <si>
    <t>Other Non-Revenue</t>
  </si>
  <si>
    <t xml:space="preserve">Section I </t>
  </si>
  <si>
    <t>Table I.1 - Title</t>
  </si>
  <si>
    <t>TOTAL</t>
  </si>
  <si>
    <t>General Tables Here</t>
  </si>
  <si>
    <t>Timeline Tables here</t>
  </si>
  <si>
    <t>Table I.1 - Use Sector Descriptions</t>
  </si>
  <si>
    <t>(See "Use Sector Descriptions" tab)</t>
  </si>
  <si>
    <t>See Table at right</t>
  </si>
  <si>
    <t>Table I.2 - Population Projections 2010 - 2060</t>
  </si>
  <si>
    <t xml:space="preserve">Section II </t>
  </si>
  <si>
    <t>Section III</t>
  </si>
  <si>
    <t xml:space="preserve">Figure III.1 - Map of Water Sources and Treatment Plants </t>
  </si>
  <si>
    <t>Section II</t>
  </si>
  <si>
    <t>No tables are set for all partners.  Partners are encouraged to add tables as necessary to support their applications/</t>
  </si>
  <si>
    <t>Table IV.1 - Water Supply Needs</t>
  </si>
  <si>
    <t>See Timeline table at Right</t>
  </si>
  <si>
    <t>Source</t>
  </si>
  <si>
    <t>WQ Classification</t>
  </si>
  <si>
    <t>Available Supply (MGD)</t>
  </si>
  <si>
    <t>http://www.ncwater.org/water_supply_planning/local_water_supply_plan/docs/river_basin_map.pdf</t>
  </si>
  <si>
    <t>Basins</t>
  </si>
  <si>
    <t>Haw (2-1)</t>
  </si>
  <si>
    <t>Deep (2-2)</t>
  </si>
  <si>
    <t>Cape Fear (2-3)</t>
  </si>
  <si>
    <t>Neuse (10-1)</t>
  </si>
  <si>
    <t>Contentnea (10-2)</t>
  </si>
  <si>
    <t>WQ Classifications:</t>
  </si>
  <si>
    <t>http://portal.ncdenr.org/web/wq/ps/csu/classifications</t>
  </si>
  <si>
    <t>SW</t>
  </si>
  <si>
    <t>Table III Notes, References</t>
  </si>
  <si>
    <t>(5) System Process   - Distribution Process</t>
  </si>
  <si>
    <t xml:space="preserve">   System Process - WTP Process</t>
  </si>
  <si>
    <t>(6) Other Non-revenue water (Unaccounted-for)</t>
  </si>
  <si>
    <t>Demand</t>
  </si>
  <si>
    <t>Need</t>
  </si>
  <si>
    <t>Demand % of Supply</t>
  </si>
  <si>
    <t xml:space="preserve">Table I.3 - Demand Projections </t>
  </si>
  <si>
    <t>Supplier</t>
  </si>
  <si>
    <t>Begin Year</t>
  </si>
  <si>
    <t>End Year</t>
  </si>
  <si>
    <t>Equiv. Supply (MGD)</t>
  </si>
  <si>
    <t>Regular or Emergency</t>
  </si>
  <si>
    <t>Pipe Size (in.)</t>
  </si>
  <si>
    <t>Table III.1X - Purchase Contracts  (use for regular purchases, or if no sources)</t>
  </si>
  <si>
    <t>Note: Equivalent supply may be what you rate the purchase contract to be able to provide on an average day basis, if the contract amount is fixed.</t>
  </si>
  <si>
    <t>Contract Amount (MGD)</t>
  </si>
  <si>
    <t>Sum of Equiv. Supply shouild only include Regular contracts.</t>
  </si>
  <si>
    <t>Section V</t>
  </si>
  <si>
    <t>Figure I.X2  - Demand Projections by Sector</t>
  </si>
  <si>
    <t>Figure I.1 - Map of Service Area</t>
  </si>
  <si>
    <t>No set figures.  Partners may add figures as they wish to support this section.</t>
  </si>
  <si>
    <t>Apex</t>
  </si>
  <si>
    <t>RTP South</t>
  </si>
  <si>
    <t>Table I.2 - Population Projections --&gt;</t>
  </si>
  <si>
    <t>Section IV  - Water Supply Need</t>
  </si>
  <si>
    <t xml:space="preserve"> (See Demand Tables Tab)</t>
  </si>
  <si>
    <t>Source Options</t>
  </si>
  <si>
    <t>Type</t>
  </si>
  <si>
    <t>Year Online (earliest)</t>
  </si>
  <si>
    <t>Selected Alternative</t>
  </si>
  <si>
    <t>Not Complex</t>
  </si>
  <si>
    <t>Very Complex</t>
  </si>
  <si>
    <t>More Than</t>
  </si>
  <si>
    <t>Supply Range (MGD)</t>
  </si>
  <si>
    <t>Modify Reservoir</t>
  </si>
  <si>
    <t>Stream Withdrawal</t>
  </si>
  <si>
    <t>Storage Allocation</t>
  </si>
  <si>
    <t>Jordan Lake</t>
  </si>
  <si>
    <t>Quarry/Raw Transfer</t>
  </si>
  <si>
    <t>#</t>
  </si>
  <si>
    <t>Fill out Values in "Supply Alternatives Summary Table"</t>
  </si>
  <si>
    <t>None</t>
  </si>
  <si>
    <t>Tab</t>
  </si>
  <si>
    <t>Instructions</t>
  </si>
  <si>
    <t>JLPData</t>
  </si>
  <si>
    <t>This tab will contain a wealth of JLP Data related especially to population, demand projections, source information, and need. Find your system's information here if you don't have it handy.</t>
  </si>
  <si>
    <t>DataIn</t>
  </si>
  <si>
    <t>Put the appropriate data in the Green cells.  This data will be used by the rest of the work book.</t>
  </si>
  <si>
    <t>ReportTables</t>
  </si>
  <si>
    <t xml:space="preserve">These tables are organized by section of the report, and are mostly self populating from the DataIn tab or other tabs.  These tables are preformatted, and can be dropped into the report (some resizing of fonts, and rows and columns may be needed).  </t>
  </si>
  <si>
    <t>ReportFigures</t>
  </si>
  <si>
    <t>This section contain charts and graphs that are pre-generated (mostly from the DataIn tab).  Copy and paste (recommend pasting as image) into the allocation.</t>
  </si>
  <si>
    <t>Demand Tables</t>
  </si>
  <si>
    <t xml:space="preserve">These tables are a bit more complicated, so tables related to sector demand are here.  </t>
  </si>
  <si>
    <t>Existing Portions of Draft JLA4 Workbook</t>
  </si>
  <si>
    <t>Population and Demand Projections</t>
  </si>
  <si>
    <t>Supply Alternatives</t>
  </si>
  <si>
    <t>Supply Alternative 1</t>
  </si>
  <si>
    <t>Supply Alternative 2</t>
  </si>
  <si>
    <t>Supply Alternative 3</t>
  </si>
  <si>
    <t>Supply Alternative 4</t>
  </si>
  <si>
    <t>Supply Alternative 5</t>
  </si>
  <si>
    <t>Supply Alternatives Summary</t>
  </si>
  <si>
    <t>These sheets are where you fill in basic information about the Alternatives</t>
  </si>
  <si>
    <t>Other Alternative.</t>
  </si>
  <si>
    <t>This is the Jordan Lake RWSP Alternative.</t>
  </si>
  <si>
    <t>Support for your Allocation</t>
  </si>
  <si>
    <t xml:space="preserve">Table I.4 - Sales Contracts  </t>
  </si>
  <si>
    <t>Sources:</t>
  </si>
  <si>
    <t>Total New Supply (MGD)</t>
  </si>
  <si>
    <t>Other Notes:</t>
  </si>
  <si>
    <t>Purchaser</t>
  </si>
  <si>
    <t>Contact Information</t>
  </si>
  <si>
    <t>Local Government Entity</t>
  </si>
  <si>
    <t>Water System PWSID #</t>
  </si>
  <si>
    <t xml:space="preserve">Contact Person </t>
  </si>
  <si>
    <t>Title</t>
  </si>
  <si>
    <t>Email</t>
  </si>
  <si>
    <t>Phone 1</t>
  </si>
  <si>
    <t>Total Projected Need (2045)</t>
  </si>
  <si>
    <t>Total Projected Need (2060)</t>
  </si>
  <si>
    <t>Need and Source Options</t>
  </si>
  <si>
    <t>*</t>
  </si>
  <si>
    <t>Rd. 4 Allocation Request (% of storage)</t>
  </si>
  <si>
    <t>Cary</t>
  </si>
  <si>
    <t>Morrisville</t>
  </si>
  <si>
    <t>Cape Fear River</t>
  </si>
  <si>
    <t>WS IV B NSW CA</t>
  </si>
  <si>
    <t>Year Online</t>
  </si>
  <si>
    <t>Jordan Lake Allocation - Future</t>
  </si>
  <si>
    <t>Future Supply Alternative 1 - JLP Recommended Alternative</t>
  </si>
  <si>
    <t>Timeliness</t>
  </si>
  <si>
    <t>Alt. 1</t>
  </si>
  <si>
    <t>Alt. 2</t>
  </si>
  <si>
    <t>Alt. 3</t>
  </si>
  <si>
    <t>Alt. 4</t>
  </si>
  <si>
    <t>Alt. 5</t>
  </si>
  <si>
    <t xml:space="preserve">Section V </t>
  </si>
  <si>
    <t>Section IV</t>
  </si>
  <si>
    <t>Figure V.2 – Timeline of need versus new water supply for the alternatives</t>
  </si>
  <si>
    <t>Figure V.1 –Map of Water Supply Source Options</t>
  </si>
  <si>
    <t>(optional map.  Re-number if you don't include)</t>
  </si>
  <si>
    <t>(This figure shows the timing of additional sources coming online.)</t>
  </si>
  <si>
    <t>Section VI</t>
  </si>
  <si>
    <t>Instructions:</t>
  </si>
  <si>
    <t>Fill out as much information as you can for the DataIn tab.  Use the JLPData tab to help.</t>
  </si>
  <si>
    <t>1. Fill Out DataIn</t>
  </si>
  <si>
    <t>2. Fill Out Contact Info_Use Sector Desc</t>
  </si>
  <si>
    <t>Fill out your contact info and sector descriptions in the Contact Info_Use Sector Desc tab</t>
  </si>
  <si>
    <t>3. Verify &amp; Complete Population &amp; Demand Projections</t>
  </si>
  <si>
    <t>Open the Population&amp;Demand Projections tab.  Verify that numbers are correct.  Complete the Existing and Future Sales sections, and Future Sources sections if applicable.  Double check all numbers and calculations.</t>
  </si>
  <si>
    <t>5. Construct other supply alternatives</t>
  </si>
  <si>
    <t>4. Construct Supply Alternative 1</t>
  </si>
  <si>
    <t>Go to Supply Alternative 1 tab.  Look to the green cells at bottom left and enter 1, 2, or 3 to activate the source next to the box.  If necessary, manually adjust the Supply or year online.  Use the JLPData tab to verify that Alternative 1 is correct for your system.</t>
  </si>
  <si>
    <t>6. Fill Out Supply Alternatives Summary</t>
  </si>
  <si>
    <t>Fill out Alternative Descriptions and the Alternative Ratings table for all of the Alternatives you are evaluating.</t>
  </si>
  <si>
    <t xml:space="preserve">Go to the ReportTables to find report tables formatted and organized by report section.  </t>
  </si>
  <si>
    <t>Go to the ReportFigures tab to find some of the figures needed for the application organized by section.</t>
  </si>
  <si>
    <t>This include Contact information and Use Sector Descriptions.</t>
  </si>
  <si>
    <t xml:space="preserve">This has the population and demand projections, including information on sources. </t>
  </si>
  <si>
    <t>Contact Info_Use Sector Desc</t>
  </si>
  <si>
    <t xml:space="preserve">If the data format is too confusing, manually enter data wherever you need to, and verify the totals, etc. where needed. </t>
  </si>
  <si>
    <t>These are your worksheets - Adjust as needed.</t>
  </si>
  <si>
    <t>Projected Need</t>
  </si>
  <si>
    <t>Table V.1 Source options descriptions</t>
  </si>
  <si>
    <r>
      <t xml:space="preserve">Table V.2 - Alternatives description  -  </t>
    </r>
    <r>
      <rPr>
        <sz val="10"/>
        <rFont val="Arial"/>
        <family val="2"/>
      </rPr>
      <t>See the Supply Alternatives summary.  Copy and paste text into report's table V.2</t>
    </r>
  </si>
  <si>
    <t>Table V.3 - Source Composition of Supply Alternatives</t>
  </si>
  <si>
    <t>&lt;-- Note: The sources are presented in the same order you place them in the Source options table.</t>
  </si>
  <si>
    <t>Table V.4 - Water Supply Alternatives Ratings</t>
  </si>
  <si>
    <t>Table VI.1 - Implementation timeline</t>
  </si>
  <si>
    <t xml:space="preserve">   (work in progress)</t>
  </si>
  <si>
    <t>Table VI.2 - Jordan Lake Costs</t>
  </si>
  <si>
    <t xml:space="preserve">  (no template provided - see guidance in application guidance.)</t>
  </si>
  <si>
    <t>Table VI.3 - Overall costs for selected alternative</t>
  </si>
  <si>
    <t>(Create your own table to represent your cost data.)</t>
  </si>
  <si>
    <t>Add drawings, maps, schematics, photos as necessary to provide more complete descriptions of the Alternatives.</t>
  </si>
  <si>
    <t>Figures V.X - XX - Source Alternative Figures</t>
  </si>
  <si>
    <t>Repeat process of activating source by typing 1, 2, or 3 at lower left for the rest of the 'Supply Alternative _' tabs.  Fill out discharge/consumptive use section of upper table on your own.</t>
  </si>
  <si>
    <t xml:space="preserve">This is where you provide a brief description of and rate all of the alternatives.  </t>
  </si>
  <si>
    <t>This tab.  Start here and read below.</t>
  </si>
  <si>
    <t xml:space="preserve">Data entered into tables in DataIn tab </t>
  </si>
  <si>
    <t>Any data already entered into the DataIn tab, or the supply alternatives summary is just to illustrate the data format.  Please delete this data and replace with your own.</t>
  </si>
  <si>
    <t>8. Use ReportFigures for report.</t>
  </si>
  <si>
    <t>7.  Use the ReportTables to fill out report.</t>
  </si>
  <si>
    <t>Version 1.</t>
  </si>
  <si>
    <t>Last modified 11/11/13</t>
  </si>
  <si>
    <t>Paste this table as a whole into a new blank row in the word document.  Don't try to paste values into existing table.</t>
  </si>
  <si>
    <t>&lt;-- It's clearer if you make the text after the first instance match the background formatting.</t>
  </si>
  <si>
    <t>TOTAL NEW SUPPLY</t>
  </si>
  <si>
    <t xml:space="preserve">   Leave off equivalent supply column if it is equivalent to the Contract Amount.</t>
  </si>
  <si>
    <t>Service Area</t>
  </si>
  <si>
    <t>Distribution System Process</t>
  </si>
  <si>
    <t>Water Treatment Process</t>
  </si>
  <si>
    <t>Current Supply</t>
  </si>
  <si>
    <t>Existing Demand</t>
  </si>
  <si>
    <t>Currently Supportable Demand</t>
  </si>
  <si>
    <t>Optional</t>
  </si>
  <si>
    <t>Town of Cary</t>
  </si>
  <si>
    <t>Town of Apex</t>
  </si>
  <si>
    <t>03-92-020</t>
  </si>
  <si>
    <t>03-92-045</t>
  </si>
  <si>
    <t>Leila Goodwin</t>
  </si>
  <si>
    <t>Water Resources Manager</t>
  </si>
  <si>
    <t>leila.goodwin@townofcary.org</t>
  </si>
  <si>
    <t>919-462-3846</t>
  </si>
  <si>
    <t>03-92-020 / 03-92-045</t>
  </si>
  <si>
    <t>Single Family Residential</t>
  </si>
  <si>
    <t>Multi Family Residential</t>
  </si>
  <si>
    <t>Projections - Apex</t>
  </si>
  <si>
    <t>Projections - Cary</t>
  </si>
  <si>
    <t>Projections - Morrisville</t>
  </si>
  <si>
    <t>Projections - RTP South</t>
  </si>
  <si>
    <t>(x) Bulk Sales</t>
  </si>
  <si>
    <t>City of Durham</t>
  </si>
  <si>
    <t>Orange Water and Sewer Authority</t>
  </si>
  <si>
    <t>City of Raleigh</t>
  </si>
  <si>
    <t>Harnett County</t>
  </si>
  <si>
    <t>Town of Holly Springs</t>
  </si>
  <si>
    <t>Includes potable water use for single family and multi family dwellings for Cary, Apex and Morrisville</t>
  </si>
  <si>
    <t>Includes potable water use for single family dwellings for Cary and Morrisville</t>
  </si>
  <si>
    <t>Includes potable water use for multi family dwellings (e.g., apartments and condominiums) for Cary and Morrisville</t>
  </si>
  <si>
    <t>Includes potable water use for retail stores, business offices, hotels, hospitals, restaurants, golf courses, etc. for Cary, Apex, Morrisville and RTP South. RDU potable use is also included in this sector.</t>
  </si>
  <si>
    <t>Includes potable water use for manufacturing facilities, processing facilities, warehouses, etc. for Cary, Apex, Morrisville and RTP South. RDU potable use is also included in this sector.</t>
  </si>
  <si>
    <t>Includes potable water use for parks, government facilities, schools, utility pumping stations, etc. for Cary, Apex and Morrisville</t>
  </si>
  <si>
    <t>Water used in distribution system flushing and other distribution system operations for Cary, Apex, Morrisville, and RTP South</t>
  </si>
  <si>
    <t>Bulk Sales</t>
  </si>
  <si>
    <t>Potable water sent to the distribution system that is not captured by metered use or used in system processes, e.g., customer metering inaccuracies, fire flows, system leakage, etc. for Cary, Apex, Morrisville and RTP South</t>
  </si>
  <si>
    <t>Water used in treatment processes  (Cary/Apex Water Treatment Facility), such as filter backwashing, that is not sent to the distribution system</t>
  </si>
  <si>
    <t>Includes potable water sales for construction activities through hydrant meters for Cary</t>
  </si>
  <si>
    <t>Increased Jordan Lake Water Supply Pool</t>
  </si>
  <si>
    <t>Cape Fear River @ Harnett County</t>
  </si>
  <si>
    <t>Crabtree Creek &amp; Triangle Quarry</t>
  </si>
  <si>
    <t>Kerr Lake</t>
  </si>
  <si>
    <t>Roanoke (14-1)</t>
  </si>
  <si>
    <t>WS IV CA</t>
  </si>
  <si>
    <t>C NSW</t>
  </si>
  <si>
    <t>WS III B CA</t>
  </si>
  <si>
    <t>Yes, JLP</t>
  </si>
  <si>
    <t>Same As</t>
  </si>
  <si>
    <t>Yes</t>
  </si>
  <si>
    <t>Complex</t>
  </si>
  <si>
    <t>Few</t>
  </si>
  <si>
    <t>Jordan Lake Allocation - Round 4</t>
  </si>
  <si>
    <t>Note: These costs are in 2012 dollars.</t>
  </si>
  <si>
    <t>(6)              Total discharge to Receiving Basin (Cape Fear)</t>
  </si>
  <si>
    <t>(7)         Consumptive Use in Receiving Basin (Neuse)</t>
  </si>
  <si>
    <t>(4)                   Total discharge to Source Basin (Haw)</t>
  </si>
  <si>
    <t>(5)              Consumptive Use in Source Basin (Haw)</t>
  </si>
  <si>
    <t>(6)              Total discharge to Receiving Basin (Neuse)</t>
  </si>
  <si>
    <t>(7)         Consumptive Use in Receiving Basin (Cape Fear)</t>
  </si>
  <si>
    <t>Max Day Basis</t>
  </si>
  <si>
    <t>Max Day Demand with Minimum Month Discharge</t>
  </si>
  <si>
    <t>Average Day Discharge</t>
  </si>
  <si>
    <t>(4)                   Total discharge to Source Basin (Cape Fear)</t>
  </si>
  <si>
    <t>(5)              Consumptive Use in Source Basin (Cape Fear)</t>
  </si>
  <si>
    <t>(6)              Total discharge to Receiving Basin (Haw)</t>
  </si>
  <si>
    <t>(7)         Consumptive Use in Receiving Basin (Haw)</t>
  </si>
  <si>
    <t>(4)                   Total discharge to Source Basin (Neuse)</t>
  </si>
  <si>
    <t>(5)              Consumptive Use in Source Basin (Neuse)</t>
  </si>
  <si>
    <t>(4)                   Total discharge to Source Basin (Roanoke)</t>
  </si>
  <si>
    <t>(5)              Consumptive Use in Source Basin (Roanoke)</t>
  </si>
  <si>
    <t>Distribution Process</t>
  </si>
  <si>
    <t>Multi Family Res.</t>
  </si>
  <si>
    <t>Single Family Res.</t>
  </si>
  <si>
    <t>03-32-010</t>
  </si>
  <si>
    <t>03-68-010</t>
  </si>
  <si>
    <t>Orange Water &amp; Sewer Authority</t>
  </si>
  <si>
    <t>03-92-010</t>
  </si>
  <si>
    <t>03-43-045</t>
  </si>
  <si>
    <t>03-93-050</t>
  </si>
  <si>
    <t>Recurring</t>
  </si>
  <si>
    <t>Jordan Lake Allocation - Cary/Apex</t>
  </si>
  <si>
    <t>Jordan Lake Allocation - Morrisville</t>
  </si>
  <si>
    <t>Jordan Lake Allocation - Wake/RTP South</t>
  </si>
  <si>
    <t>Table III.1 - Source Summary of Existing Water Supply Sources</t>
  </si>
  <si>
    <t>Increased Jordan Lake WS Pool</t>
  </si>
  <si>
    <t>Projections - Cary/Apex</t>
  </si>
  <si>
    <t>Maximum Month Finished Water Demand for New Source</t>
  </si>
  <si>
    <t>Max Month Demand with Minimum Month Discharge</t>
  </si>
  <si>
    <t>Max Month Basis</t>
  </si>
  <si>
    <t>Max Month IBT at 2060</t>
  </si>
  <si>
    <t>Unit Cost ($ millions/MGD)</t>
  </si>
  <si>
    <t>Cary/Apex</t>
  </si>
  <si>
    <t>Table IV.1 - Cary/Apex Water Supply Needs</t>
  </si>
  <si>
    <t>Table IV.1 - Morrisville Water Supply Needs</t>
  </si>
  <si>
    <t>Table IV.1 - RTP South Water Supply Needs</t>
  </si>
  <si>
    <t>Figure IV.1 - Cary/Apex Projected Demand and Need relative to Current Supply.</t>
  </si>
  <si>
    <t>Figure IV.1 - Morrisville Projected Demand and Need relative to Current Supply.</t>
  </si>
  <si>
    <t>Figure IV.1 - RTP South Projected Demand and Need relative to Current Supply.</t>
  </si>
  <si>
    <t>Interim Purchase</t>
  </si>
  <si>
    <t>Triangle Quarry</t>
  </si>
  <si>
    <t>Kerr Lake Allocation</t>
  </si>
  <si>
    <r>
      <t xml:space="preserve">Water Supply from Crabtree Creek with Storage in Existing </t>
    </r>
    <r>
      <rPr>
        <b/>
        <sz val="12"/>
        <rFont val="Arial"/>
        <family val="2"/>
      </rPr>
      <t>Triangle Quarry</t>
    </r>
    <r>
      <rPr>
        <sz val="12"/>
        <rFont val="Arial"/>
        <family val="2"/>
      </rPr>
      <t xml:space="preserve"> - Raw water would be pumped from Crabtree Creek, stored in Wake Stone Corporation Triangle Quarry, treated at a new WTP located nearby, and distributed through the existing water system.</t>
    </r>
  </si>
  <si>
    <r>
      <t xml:space="preserve">Water Supply from </t>
    </r>
    <r>
      <rPr>
        <b/>
        <sz val="12"/>
        <rFont val="Arial"/>
        <family val="2"/>
      </rPr>
      <t>Cape Fear River</t>
    </r>
    <r>
      <rPr>
        <sz val="12"/>
        <rFont val="Arial"/>
        <family val="2"/>
      </rPr>
      <t xml:space="preserve"> - Raw water would be pumped from the Cape Fear River in the reach between Jordan Lake Dam and the Town of Lillington. Water would be withdrawn using either a reservoir intake within the Buckhorn Dam impoundment or a run-of-river intake. Water would be treated either at a new WTP, between the intake location and the connection to the Towns’ current distribution systems, or at the existing Cary/Apex WTP.</t>
    </r>
  </si>
  <si>
    <t>Increased Jordan Lake Water Supply</t>
  </si>
  <si>
    <r>
      <rPr>
        <b/>
        <sz val="12"/>
        <rFont val="Arial"/>
        <family val="2"/>
      </rPr>
      <t>Jordan Lake Allocation</t>
    </r>
    <r>
      <rPr>
        <sz val="12"/>
        <rFont val="Arial"/>
        <family val="2"/>
      </rPr>
      <t xml:space="preserve"> - Round 4 and Future Round</t>
    </r>
  </si>
  <si>
    <t>Cary / Apex</t>
  </si>
  <si>
    <t>Note: In general, DWR wants to see the entire Contract amount available for supply for both sales and purchase contracts.</t>
  </si>
  <si>
    <t>If you use the equivalent supply column to claim a lower supply than the contract amount, explain why in Section III.</t>
  </si>
  <si>
    <r>
      <rPr>
        <b/>
        <sz val="12"/>
        <rFont val="Arial"/>
        <family val="2"/>
      </rPr>
      <t>Increased Jordan Lake Water Supply</t>
    </r>
    <r>
      <rPr>
        <sz val="12"/>
        <rFont val="Arial"/>
        <family val="2"/>
      </rPr>
      <t xml:space="preserve"> Pool - A study would need to be completed by the USACE to reallocate water from the sediment or flood control storage pools to the conservation pool. For the Towns to access additional water supply from the increased Jordan Lake water supply pool, Jordan Lake water supply allocations would have to be approved by the EMC under the normal process.</t>
    </r>
  </si>
  <si>
    <r>
      <t xml:space="preserve">Water Supply from </t>
    </r>
    <r>
      <rPr>
        <b/>
        <sz val="12"/>
        <rFont val="Arial"/>
        <family val="2"/>
      </rPr>
      <t>Kerr Lake</t>
    </r>
    <r>
      <rPr>
        <sz val="12"/>
        <rFont val="Arial"/>
        <family val="2"/>
      </rPr>
      <t xml:space="preserve"> - Raw water supply would be withdrawn from Kerr Lake on the North Carolina-Virginia line. Raw water would be conveyed to either Raleigh or Durham via pipeline and treated at a new or expanded WTP from a new intake structure. After treatment, the finished water would be provided to Cary either through an interconnection with Raleigh or Durham or direct pipeline from the new WTP.  An interim purchase of water may be required while the Kerr supply is developed.</t>
    </r>
  </si>
  <si>
    <t>Timely</t>
  </si>
  <si>
    <r>
      <t xml:space="preserve">Interbasin Transfer (MGD) </t>
    </r>
    <r>
      <rPr>
        <b/>
        <vertAlign val="superscript"/>
        <sz val="10"/>
        <color rgb="FFFFFFFF"/>
        <rFont val="Tw Cen MT Condensed"/>
        <family val="2"/>
      </rPr>
      <t>1</t>
    </r>
  </si>
  <si>
    <r>
      <t xml:space="preserve">1. </t>
    </r>
    <r>
      <rPr>
        <b/>
        <sz val="10"/>
        <rFont val="Arial"/>
        <family val="2"/>
      </rPr>
      <t>IBT estimate is only for the purpose of comparing supply alternatives.</t>
    </r>
  </si>
  <si>
    <t>David Hughes</t>
  </si>
  <si>
    <t>Assistant Public Works and Utilities Director</t>
  </si>
  <si>
    <t>david.hughes@apexnc.org</t>
  </si>
  <si>
    <t>919-249-3427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</si>
</sst>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_);[Red]\(0.000\)"/>
    <numFmt numFmtId="165" formatCode="0.000"/>
    <numFmt numFmtId="166" formatCode="[$-409]d\-mmm\-yy;@"/>
    <numFmt numFmtId="167" formatCode="0.0"/>
    <numFmt numFmtId="168" formatCode="#,##0.0"/>
    <numFmt numFmtId="169" formatCode="0.00_);[Red]\(0.00\)"/>
  </numFmts>
  <fonts count="52" x14ac:knownFonts="1">
    <font>
      <sz val="10"/>
      <name val="Arial"/>
    </font>
    <font>
      <sz val="10"/>
      <name val="Arial"/>
      <family val="2"/>
    </font>
    <font>
      <sz val="9"/>
      <name val="Arial"/>
      <family val="2"/>
    </font>
    <font>
      <b/>
      <sz val="9"/>
      <name val="Arial"/>
      <family val="2"/>
    </font>
    <font>
      <b/>
      <sz val="11"/>
      <name val="Arial"/>
      <family val="2"/>
    </font>
    <font>
      <sz val="8"/>
      <name val="Arial"/>
      <family val="2"/>
    </font>
    <font>
      <sz val="11"/>
      <name val="Arial"/>
      <family val="2"/>
    </font>
    <font>
      <b/>
      <sz val="12"/>
      <name val="Arial"/>
      <family val="2"/>
    </font>
    <font>
      <sz val="12"/>
      <name val="Arial"/>
      <family val="2"/>
    </font>
    <font>
      <sz val="10"/>
      <name val="Arial"/>
      <family val="2"/>
    </font>
    <font>
      <b/>
      <sz val="10"/>
      <name val="Arial"/>
      <family val="2"/>
    </font>
    <font>
      <b/>
      <sz val="14"/>
      <name val="Arial"/>
      <family val="2"/>
    </font>
    <font>
      <sz val="8"/>
      <color indexed="81"/>
      <name val="Tahoma"/>
      <family val="2"/>
    </font>
    <font>
      <b/>
      <sz val="8"/>
      <color indexed="81"/>
      <name val="Tahoma"/>
      <family val="2"/>
    </font>
    <font>
      <b/>
      <sz val="12"/>
      <name val="Calibri"/>
      <family val="2"/>
    </font>
    <font>
      <b/>
      <sz val="12"/>
      <name val="Tw Cen MT Condensed"/>
      <family val="2"/>
    </font>
    <font>
      <sz val="12"/>
      <name val="Arial Narrow"/>
      <family val="2"/>
    </font>
    <font>
      <b/>
      <u/>
      <sz val="10"/>
      <name val="Arial"/>
      <family val="2"/>
    </font>
    <font>
      <b/>
      <sz val="10"/>
      <name val="Arial Narrow"/>
      <family val="2"/>
    </font>
    <font>
      <b/>
      <sz val="12"/>
      <color rgb="FFFF0000"/>
      <name val="Arial"/>
      <family val="2"/>
    </font>
    <font>
      <b/>
      <sz val="12"/>
      <color rgb="FFFFFFFF"/>
      <name val="Tw Cen MT Condensed"/>
      <family val="2"/>
    </font>
    <font>
      <b/>
      <sz val="11"/>
      <color theme="0"/>
      <name val="Tw Cen MT Condensed"/>
      <family val="2"/>
    </font>
    <font>
      <b/>
      <sz val="11"/>
      <name val="Tw Cen MT Condensed"/>
      <family val="2"/>
    </font>
    <font>
      <b/>
      <sz val="11"/>
      <name val="Arial Narrow"/>
      <family val="2"/>
    </font>
    <font>
      <b/>
      <sz val="11"/>
      <color rgb="FFFFFFFF"/>
      <name val="Tw Cen MT Condensed"/>
      <family val="2"/>
    </font>
    <font>
      <u/>
      <sz val="10"/>
      <color theme="10"/>
      <name val="Arial"/>
      <family val="2"/>
    </font>
    <font>
      <b/>
      <sz val="12"/>
      <name val="Arial Narrow"/>
      <family val="2"/>
    </font>
    <font>
      <sz val="12"/>
      <name val="Tw Cen MT Condensed"/>
      <family val="2"/>
    </font>
    <font>
      <i/>
      <sz val="12"/>
      <name val="Arial Narrow"/>
      <family val="2"/>
    </font>
    <font>
      <b/>
      <sz val="14"/>
      <name val="Tw Cen MT Condensed"/>
      <family val="2"/>
    </font>
    <font>
      <b/>
      <sz val="10"/>
      <color rgb="FF006600"/>
      <name val="Arial"/>
      <family val="2"/>
    </font>
    <font>
      <sz val="9"/>
      <color indexed="81"/>
      <name val="Tahoma"/>
      <family val="2"/>
    </font>
    <font>
      <b/>
      <sz val="9"/>
      <color indexed="81"/>
      <name val="Tahoma"/>
      <family val="2"/>
    </font>
    <font>
      <b/>
      <sz val="10"/>
      <color theme="0"/>
      <name val="Arial"/>
      <family val="2"/>
    </font>
    <font>
      <b/>
      <i/>
      <sz val="12"/>
      <color rgb="FFC00000"/>
      <name val="Arial Narrow"/>
      <family val="2"/>
    </font>
    <font>
      <b/>
      <u/>
      <sz val="12"/>
      <color rgb="FFFFFFFF"/>
      <name val="Tw Cen MT Condensed"/>
      <family val="2"/>
    </font>
    <font>
      <b/>
      <sz val="14"/>
      <name val="Arial Narrow"/>
      <family val="2"/>
    </font>
    <font>
      <b/>
      <i/>
      <sz val="12"/>
      <name val="Arial"/>
      <family val="2"/>
    </font>
    <font>
      <sz val="24"/>
      <name val="Arial"/>
      <family val="2"/>
    </font>
    <font>
      <sz val="10"/>
      <color theme="0"/>
      <name val="Arial"/>
      <family val="2"/>
    </font>
    <font>
      <b/>
      <sz val="9"/>
      <color rgb="FF006600"/>
      <name val="Arial"/>
      <family val="2"/>
    </font>
    <font>
      <b/>
      <sz val="9"/>
      <color theme="0"/>
      <name val="Arial"/>
      <family val="2"/>
    </font>
    <font>
      <b/>
      <sz val="11"/>
      <color rgb="FF006600"/>
      <name val="Arial"/>
      <family val="2"/>
    </font>
    <font>
      <b/>
      <sz val="11"/>
      <name val="Calibri"/>
      <family val="2"/>
    </font>
    <font>
      <sz val="11"/>
      <name val="Arial Narrow"/>
      <family val="2"/>
    </font>
    <font>
      <sz val="11"/>
      <name val="Tw Cen MT Condensed"/>
      <family val="2"/>
    </font>
    <font>
      <b/>
      <sz val="10"/>
      <color rgb="FFFFFFFF"/>
      <name val="Tw Cen MT Condensed"/>
      <family val="2"/>
    </font>
    <font>
      <sz val="10"/>
      <name val="Tw Cen MT Condensed"/>
      <family val="2"/>
    </font>
    <font>
      <sz val="11"/>
      <color theme="1"/>
      <name val="Arial Narrow"/>
      <family val="2"/>
    </font>
    <font>
      <b/>
      <sz val="14"/>
      <color theme="0"/>
      <name val="Tw Cen MT Condensed"/>
      <family val="2"/>
    </font>
    <font>
      <sz val="14"/>
      <color theme="0"/>
      <name val="Tw Cen MT Condensed"/>
      <family val="2"/>
    </font>
    <font>
      <b/>
      <vertAlign val="superscript"/>
      <sz val="10"/>
      <color rgb="FFFFFFFF"/>
      <name val="Tw Cen MT Condensed"/>
      <family val="2"/>
    </font>
  </fonts>
  <fills count="61">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
      <patternFill patternType="gray0625">
        <fgColor indexed="8"/>
        <bgColor indexed="41"/>
      </patternFill>
    </fill>
    <fill>
      <patternFill patternType="gray0625">
        <fgColor indexed="8"/>
        <bgColor indexed="43"/>
      </patternFill>
    </fill>
    <fill>
      <patternFill patternType="solid">
        <fgColor indexed="51"/>
        <bgColor indexed="64"/>
      </patternFill>
    </fill>
    <fill>
      <patternFill patternType="solid">
        <fgColor indexed="45"/>
        <bgColor indexed="64"/>
      </patternFill>
    </fill>
    <fill>
      <patternFill patternType="solid">
        <fgColor rgb="FF00FFFF"/>
        <bgColor indexed="64"/>
      </patternFill>
    </fill>
    <fill>
      <patternFill patternType="solid">
        <fgColor rgb="FFCCFFFF"/>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66FF"/>
        <bgColor indexed="64"/>
      </patternFill>
    </fill>
    <fill>
      <patternFill patternType="solid">
        <fgColor theme="7" tint="0.59999389629810485"/>
        <bgColor indexed="64"/>
      </patternFill>
    </fill>
    <fill>
      <patternFill patternType="solid">
        <fgColor rgb="FF66FF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CC6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66FF66"/>
        <bgColor indexed="64"/>
      </patternFill>
    </fill>
    <fill>
      <patternFill patternType="solid">
        <fgColor rgb="FF66FF99"/>
        <bgColor indexed="64"/>
      </patternFill>
    </fill>
    <fill>
      <patternFill patternType="solid">
        <fgColor rgb="FF003399"/>
        <bgColor indexed="64"/>
      </patternFill>
    </fill>
    <fill>
      <patternFill patternType="solid">
        <fgColor rgb="FF003300"/>
        <bgColor indexed="64"/>
      </patternFill>
    </fill>
    <fill>
      <patternFill patternType="solid">
        <fgColor rgb="FF62BA56"/>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00B0F0"/>
        <bgColor indexed="64"/>
      </patternFill>
    </fill>
    <fill>
      <patternFill patternType="solid">
        <fgColor rgb="FF21B2C9"/>
        <bgColor indexed="64"/>
      </patternFill>
    </fill>
    <fill>
      <patternFill patternType="gray0625">
        <fgColor indexed="8"/>
        <bgColor theme="4" tint="0.59999389629810485"/>
      </patternFill>
    </fill>
    <fill>
      <patternFill patternType="solid">
        <fgColor theme="0"/>
        <bgColor indexed="64"/>
      </patternFill>
    </fill>
    <fill>
      <patternFill patternType="solid">
        <fgColor rgb="FFE6E17A"/>
        <bgColor indexed="64"/>
      </patternFill>
    </fill>
    <fill>
      <patternFill patternType="solid">
        <fgColor rgb="FF00660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2" tint="-0.89999084444715716"/>
        <bgColor indexed="64"/>
      </patternFill>
    </fill>
    <fill>
      <patternFill patternType="solid">
        <fgColor rgb="FFC0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2"/>
        <bgColor indexed="64"/>
      </patternFill>
    </fill>
    <fill>
      <patternFill patternType="solid">
        <fgColor rgb="FF0070C0"/>
        <bgColor indexed="64"/>
      </patternFill>
    </fill>
    <fill>
      <patternFill patternType="solid">
        <fgColor theme="2" tint="-0.749992370372631"/>
        <bgColor indexed="64"/>
      </patternFill>
    </fill>
    <fill>
      <patternFill patternType="solid">
        <fgColor theme="5" tint="-0.249977111117893"/>
        <bgColor indexed="64"/>
      </patternFill>
    </fill>
    <fill>
      <patternFill patternType="solid">
        <fgColor rgb="FF9FA301"/>
        <bgColor indexed="64"/>
      </patternFill>
    </fill>
    <fill>
      <patternFill patternType="solid">
        <fgColor rgb="FF5535A5"/>
        <bgColor indexed="64"/>
      </patternFill>
    </fill>
    <fill>
      <patternFill patternType="solid">
        <fgColor rgb="FFBE6402"/>
        <bgColor indexed="64"/>
      </patternFill>
    </fill>
    <fill>
      <patternFill patternType="solid">
        <fgColor rgb="FFEF8585"/>
        <bgColor indexed="64"/>
      </patternFill>
    </fill>
    <fill>
      <patternFill patternType="solid">
        <fgColor rgb="FFB19BD1"/>
        <bgColor indexed="64"/>
      </patternFill>
    </fill>
    <fill>
      <patternFill patternType="solid">
        <fgColor rgb="FFFAAE62"/>
        <bgColor indexed="64"/>
      </patternFill>
    </fill>
    <fill>
      <patternFill patternType="solid">
        <fgColor rgb="FFFFFF33"/>
        <bgColor indexed="64"/>
      </patternFill>
    </fill>
    <fill>
      <patternFill patternType="solid">
        <fgColor rgb="FF4DB3F9"/>
        <bgColor indexed="64"/>
      </patternFill>
    </fill>
  </fills>
  <borders count="5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double">
        <color indexed="64"/>
      </bottom>
      <diagonal/>
    </border>
    <border>
      <left/>
      <right/>
      <top/>
      <bottom style="thick">
        <color indexed="64"/>
      </bottom>
      <diagonal/>
    </border>
    <border>
      <left/>
      <right/>
      <top style="double">
        <color indexed="64"/>
      </top>
      <bottom style="thick">
        <color indexed="64"/>
      </bottom>
      <diagonal/>
    </border>
    <border>
      <left style="medium">
        <color rgb="FFFFFFFF"/>
      </left>
      <right/>
      <top style="thick">
        <color rgb="FF000000"/>
      </top>
      <bottom style="double">
        <color indexed="64"/>
      </bottom>
      <diagonal/>
    </border>
    <border>
      <left/>
      <right/>
      <top style="thick">
        <color rgb="FF000000"/>
      </top>
      <bottom style="double">
        <color indexed="64"/>
      </bottom>
      <diagonal/>
    </border>
    <border>
      <left/>
      <right/>
      <top/>
      <bottom style="medium">
        <color rgb="FFFFFFFF"/>
      </bottom>
      <diagonal/>
    </border>
    <border>
      <left/>
      <right/>
      <top style="medium">
        <color rgb="FFFFFFFF"/>
      </top>
      <bottom style="double">
        <color indexed="64"/>
      </bottom>
      <diagonal/>
    </border>
    <border>
      <left/>
      <right/>
      <top style="double">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double">
        <color indexed="64"/>
      </bottom>
      <diagonal/>
    </border>
    <border>
      <left/>
      <right/>
      <top/>
      <bottom style="medium">
        <color indexed="64"/>
      </bottom>
      <diagonal/>
    </border>
    <border>
      <left/>
      <right/>
      <top style="thin">
        <color theme="0" tint="-0.499984740745262"/>
      </top>
      <bottom style="medium">
        <color indexed="64"/>
      </bottom>
      <diagonal/>
    </border>
    <border>
      <left/>
      <right/>
      <top style="double">
        <color indexed="64"/>
      </top>
      <bottom style="medium">
        <color theme="0"/>
      </bottom>
      <diagonal/>
    </border>
    <border>
      <left/>
      <right/>
      <top style="medium">
        <color theme="0"/>
      </top>
      <bottom style="medium">
        <color theme="0"/>
      </bottom>
      <diagonal/>
    </border>
    <border>
      <left/>
      <right/>
      <top style="medium">
        <color theme="0"/>
      </top>
      <bottom style="double">
        <color indexed="64"/>
      </bottom>
      <diagonal/>
    </border>
    <border>
      <left/>
      <right/>
      <top/>
      <bottom style="medium">
        <color theme="0"/>
      </bottom>
      <diagonal/>
    </border>
    <border>
      <left/>
      <right/>
      <top/>
      <bottom style="thin">
        <color theme="0" tint="-0.499984740745262"/>
      </bottom>
      <diagonal/>
    </border>
    <border>
      <left style="medium">
        <color rgb="FFFFFFFF"/>
      </left>
      <right/>
      <top style="thick">
        <color rgb="FF000000"/>
      </top>
      <bottom/>
      <diagonal/>
    </border>
    <border>
      <left style="medium">
        <color rgb="FFFFFFFF"/>
      </left>
      <right/>
      <top/>
      <bottom style="double">
        <color indexed="64"/>
      </bottom>
      <diagonal/>
    </border>
    <border>
      <left/>
      <right/>
      <top style="thick">
        <color rgb="FF000000"/>
      </top>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style="thin">
        <color theme="1" tint="0.499984740745262"/>
      </bottom>
      <diagonal/>
    </border>
    <border>
      <left/>
      <right/>
      <top style="thin">
        <color theme="1" tint="0.499984740745262"/>
      </top>
      <bottom style="thin">
        <color theme="1" tint="0.499984740745262"/>
      </bottom>
      <diagonal/>
    </border>
    <border>
      <left/>
      <right/>
      <top style="medium">
        <color theme="0"/>
      </top>
      <bottom/>
      <diagonal/>
    </border>
    <border>
      <left/>
      <right/>
      <top style="double">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thin">
        <color theme="0"/>
      </top>
      <bottom style="thin">
        <color theme="0"/>
      </bottom>
      <diagonal/>
    </border>
    <border>
      <left/>
      <right/>
      <top style="medium">
        <color theme="0"/>
      </top>
      <bottom style="thin">
        <color theme="0"/>
      </bottom>
      <diagonal/>
    </border>
    <border>
      <left/>
      <right/>
      <top style="thin">
        <color theme="0"/>
      </top>
      <bottom style="medium">
        <color indexed="64"/>
      </bottom>
      <diagonal/>
    </border>
    <border>
      <left/>
      <right/>
      <top style="double">
        <color indexed="64"/>
      </top>
      <bottom/>
      <diagonal/>
    </border>
    <border>
      <left/>
      <right/>
      <top style="double">
        <color indexed="64"/>
      </top>
      <bottom style="thin">
        <color theme="0"/>
      </bottom>
      <diagonal/>
    </border>
    <border>
      <left/>
      <right/>
      <top/>
      <bottom style="thin">
        <color theme="1" tint="0.499984740745262"/>
      </bottom>
      <diagonal/>
    </border>
    <border>
      <left/>
      <right/>
      <top style="thin">
        <color theme="1" tint="0.499984740745262"/>
      </top>
      <bottom style="thick">
        <color indexed="64"/>
      </bottom>
      <diagonal/>
    </border>
  </borders>
  <cellStyleXfs count="3">
    <xf numFmtId="0" fontId="0" fillId="0" borderId="0"/>
    <xf numFmtId="9" fontId="1" fillId="0" borderId="0" applyFont="0" applyFill="0" applyBorder="0" applyAlignment="0" applyProtection="0"/>
    <xf numFmtId="0" fontId="25" fillId="0" borderId="0" applyNumberFormat="0" applyFill="0" applyBorder="0" applyAlignment="0" applyProtection="0"/>
  </cellStyleXfs>
  <cellXfs count="346">
    <xf numFmtId="0" fontId="0" fillId="0" borderId="0" xfId="0"/>
    <xf numFmtId="0" fontId="2" fillId="0" borderId="0" xfId="0" applyFont="1"/>
    <xf numFmtId="0" fontId="3" fillId="0" borderId="0" xfId="0" applyFont="1"/>
    <xf numFmtId="0" fontId="2" fillId="2" borderId="1" xfId="0" applyFont="1" applyFill="1" applyBorder="1"/>
    <xf numFmtId="0" fontId="3" fillId="2" borderId="2" xfId="0" applyFont="1" applyFill="1" applyBorder="1" applyAlignment="1">
      <alignment horizontal="right"/>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2" xfId="0" applyFont="1" applyFill="1" applyBorder="1"/>
    <xf numFmtId="0" fontId="2" fillId="0" borderId="0" xfId="0" applyFont="1" applyBorder="1"/>
    <xf numFmtId="0" fontId="2" fillId="3" borderId="0" xfId="0" applyFont="1" applyFill="1" applyBorder="1"/>
    <xf numFmtId="0" fontId="2" fillId="3" borderId="7" xfId="0" applyFont="1" applyFill="1" applyBorder="1"/>
    <xf numFmtId="0" fontId="2" fillId="3" borderId="11" xfId="0" applyFont="1" applyFill="1" applyBorder="1"/>
    <xf numFmtId="0" fontId="2" fillId="3" borderId="3" xfId="0" quotePrefix="1" applyFont="1" applyFill="1" applyBorder="1" applyAlignment="1">
      <alignment horizontal="center"/>
    </xf>
    <xf numFmtId="0" fontId="3" fillId="3" borderId="12" xfId="0" applyFont="1" applyFill="1" applyBorder="1"/>
    <xf numFmtId="0" fontId="3" fillId="3" borderId="13" xfId="0" applyFont="1" applyFill="1" applyBorder="1"/>
    <xf numFmtId="0" fontId="3" fillId="3" borderId="14" xfId="0" applyFont="1" applyFill="1" applyBorder="1"/>
    <xf numFmtId="0" fontId="2" fillId="3" borderId="15" xfId="0" applyFont="1" applyFill="1" applyBorder="1"/>
    <xf numFmtId="0" fontId="2" fillId="3" borderId="15" xfId="0" applyFont="1" applyFill="1" applyBorder="1" applyAlignment="1">
      <alignment horizontal="center"/>
    </xf>
    <xf numFmtId="0" fontId="2" fillId="3" borderId="0" xfId="0" applyFont="1" applyFill="1" applyAlignment="1">
      <alignment horizontal="center"/>
    </xf>
    <xf numFmtId="0" fontId="2" fillId="3" borderId="4" xfId="0" applyFont="1" applyFill="1" applyBorder="1"/>
    <xf numFmtId="0" fontId="2" fillId="2" borderId="2" xfId="0" applyFont="1" applyFill="1" applyBorder="1" applyAlignment="1">
      <alignment horizontal="right"/>
    </xf>
    <xf numFmtId="0" fontId="2" fillId="2" borderId="0" xfId="0" applyFont="1" applyFill="1" applyBorder="1"/>
    <xf numFmtId="0" fontId="2" fillId="2" borderId="7" xfId="0" applyFont="1" applyFill="1" applyBorder="1"/>
    <xf numFmtId="0" fontId="2" fillId="3" borderId="6" xfId="0" quotePrefix="1" applyFont="1" applyFill="1" applyBorder="1" applyAlignment="1">
      <alignment horizontal="center"/>
    </xf>
    <xf numFmtId="0" fontId="2" fillId="0" borderId="10" xfId="0" applyFont="1" applyBorder="1"/>
    <xf numFmtId="0" fontId="2" fillId="3" borderId="15" xfId="0" applyFont="1" applyFill="1" applyBorder="1" applyAlignment="1">
      <alignment horizontal="center" wrapText="1"/>
    </xf>
    <xf numFmtId="0" fontId="6" fillId="0" borderId="0" xfId="0" applyFont="1"/>
    <xf numFmtId="0" fontId="4" fillId="0" borderId="0" xfId="0" applyFont="1"/>
    <xf numFmtId="0" fontId="6" fillId="0" borderId="0" xfId="0" applyFont="1" applyAlignment="1">
      <alignment horizontal="center"/>
    </xf>
    <xf numFmtId="0" fontId="6" fillId="0" borderId="0" xfId="0" applyFont="1" applyBorder="1" applyAlignment="1">
      <alignment horizontal="center"/>
    </xf>
    <xf numFmtId="0" fontId="6" fillId="0" borderId="16" xfId="0" applyFont="1" applyBorder="1" applyAlignment="1">
      <alignment horizontal="center"/>
    </xf>
    <xf numFmtId="0" fontId="7" fillId="4" borderId="4" xfId="0" applyFont="1" applyFill="1" applyBorder="1"/>
    <xf numFmtId="0" fontId="7" fillId="5" borderId="2" xfId="0" applyFont="1" applyFill="1" applyBorder="1"/>
    <xf numFmtId="0" fontId="8" fillId="5" borderId="5" xfId="0" applyFont="1" applyFill="1" applyBorder="1" applyAlignment="1">
      <alignment horizontal="center"/>
    </xf>
    <xf numFmtId="0" fontId="7" fillId="4" borderId="2" xfId="0" applyFont="1" applyFill="1" applyBorder="1"/>
    <xf numFmtId="0" fontId="7" fillId="5" borderId="6" xfId="0" quotePrefix="1" applyFont="1" applyFill="1" applyBorder="1" applyAlignment="1">
      <alignment horizontal="center"/>
    </xf>
    <xf numFmtId="0" fontId="7" fillId="6" borderId="2" xfId="0" applyFont="1" applyFill="1" applyBorder="1" applyAlignment="1">
      <alignment horizontal="center"/>
    </xf>
    <xf numFmtId="0" fontId="7" fillId="4" borderId="2" xfId="0" applyFont="1" applyFill="1" applyBorder="1" applyAlignment="1">
      <alignment horizontal="center"/>
    </xf>
    <xf numFmtId="0" fontId="7" fillId="3" borderId="12" xfId="0" applyFont="1" applyFill="1" applyBorder="1"/>
    <xf numFmtId="0" fontId="7" fillId="2" borderId="2" xfId="0" applyFont="1" applyFill="1" applyBorder="1"/>
    <xf numFmtId="0" fontId="7" fillId="7" borderId="2" xfId="0" applyFont="1" applyFill="1" applyBorder="1" applyAlignment="1">
      <alignment horizontal="center"/>
    </xf>
    <xf numFmtId="0" fontId="7" fillId="2" borderId="2" xfId="0" applyFont="1" applyFill="1" applyBorder="1" applyAlignment="1">
      <alignment horizontal="center"/>
    </xf>
    <xf numFmtId="0" fontId="7" fillId="7" borderId="2" xfId="0" applyFont="1" applyFill="1" applyBorder="1" applyAlignment="1">
      <alignment horizontal="left"/>
    </xf>
    <xf numFmtId="0" fontId="7" fillId="0" borderId="0" xfId="0" applyFont="1"/>
    <xf numFmtId="0" fontId="7" fillId="3" borderId="2" xfId="0" applyFont="1" applyFill="1" applyBorder="1" applyAlignment="1">
      <alignment horizontal="center"/>
    </xf>
    <xf numFmtId="0" fontId="7" fillId="3" borderId="2" xfId="0" quotePrefix="1"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right"/>
    </xf>
    <xf numFmtId="0" fontId="7" fillId="8" borderId="12" xfId="0" applyFont="1" applyFill="1" applyBorder="1"/>
    <xf numFmtId="0" fontId="7" fillId="3" borderId="3" xfId="0" quotePrefix="1" applyFont="1" applyFill="1" applyBorder="1" applyAlignment="1">
      <alignment horizontal="center"/>
    </xf>
    <xf numFmtId="0" fontId="7" fillId="2" borderId="1" xfId="0" applyFont="1" applyFill="1" applyBorder="1"/>
    <xf numFmtId="0" fontId="7" fillId="2" borderId="3" xfId="0" applyFont="1" applyFill="1" applyBorder="1" applyAlignment="1">
      <alignment horizontal="center"/>
    </xf>
    <xf numFmtId="0" fontId="7" fillId="8" borderId="14" xfId="0" applyFont="1" applyFill="1" applyBorder="1" applyAlignment="1">
      <alignment horizontal="center"/>
    </xf>
    <xf numFmtId="0" fontId="7" fillId="8" borderId="13" xfId="0" applyFont="1" applyFill="1" applyBorder="1" applyAlignment="1">
      <alignment horizontal="center"/>
    </xf>
    <xf numFmtId="0" fontId="7" fillId="9" borderId="3" xfId="0" applyFont="1" applyFill="1" applyBorder="1"/>
    <xf numFmtId="0" fontId="7" fillId="9" borderId="15" xfId="0" applyFont="1" applyFill="1" applyBorder="1"/>
    <xf numFmtId="0" fontId="7" fillId="3" borderId="17" xfId="0" quotePrefix="1" applyFont="1" applyFill="1" applyBorder="1" applyAlignment="1">
      <alignment horizontal="center"/>
    </xf>
    <xf numFmtId="0" fontId="7" fillId="4" borderId="2" xfId="0" applyFont="1" applyFill="1" applyBorder="1" applyAlignment="1">
      <alignment horizontal="right"/>
    </xf>
    <xf numFmtId="0" fontId="8" fillId="10" borderId="5" xfId="0" applyFont="1" applyFill="1" applyBorder="1" applyAlignment="1">
      <alignment horizontal="center"/>
    </xf>
    <xf numFmtId="0" fontId="7" fillId="10" borderId="6" xfId="0" applyFont="1" applyFill="1" applyBorder="1" applyAlignment="1">
      <alignment horizontal="center"/>
    </xf>
    <xf numFmtId="0" fontId="7" fillId="10" borderId="6" xfId="0" quotePrefix="1" applyFont="1" applyFill="1" applyBorder="1" applyAlignment="1">
      <alignment horizontal="center"/>
    </xf>
    <xf numFmtId="0" fontId="7" fillId="10" borderId="3" xfId="0" quotePrefix="1" applyFont="1" applyFill="1" applyBorder="1" applyAlignment="1">
      <alignment horizontal="center"/>
    </xf>
    <xf numFmtId="0" fontId="7" fillId="11" borderId="2" xfId="0" applyFont="1" applyFill="1" applyBorder="1" applyAlignment="1">
      <alignment horizontal="center"/>
    </xf>
    <xf numFmtId="0" fontId="7" fillId="12" borderId="2" xfId="0" applyFont="1" applyFill="1" applyBorder="1" applyAlignment="1">
      <alignment horizontal="center"/>
    </xf>
    <xf numFmtId="0" fontId="7" fillId="8" borderId="2" xfId="0" applyFont="1" applyFill="1" applyBorder="1" applyAlignment="1">
      <alignment horizontal="center"/>
    </xf>
    <xf numFmtId="165" fontId="7" fillId="13" borderId="2" xfId="0" applyNumberFormat="1" applyFont="1" applyFill="1" applyBorder="1" applyAlignment="1">
      <alignment horizontal="center"/>
    </xf>
    <xf numFmtId="0" fontId="2" fillId="14" borderId="4" xfId="0" applyFont="1" applyFill="1" applyBorder="1"/>
    <xf numFmtId="164" fontId="7" fillId="14" borderId="2" xfId="0" applyNumberFormat="1" applyFont="1" applyFill="1" applyBorder="1" applyAlignment="1">
      <alignment horizontal="center"/>
    </xf>
    <xf numFmtId="2" fontId="7" fillId="4" borderId="2" xfId="0" applyNumberFormat="1" applyFont="1" applyFill="1" applyBorder="1" applyAlignment="1">
      <alignment horizontal="center"/>
    </xf>
    <xf numFmtId="165" fontId="7" fillId="15" borderId="2" xfId="0" applyNumberFormat="1" applyFont="1" applyFill="1" applyBorder="1" applyAlignment="1">
      <alignment horizontal="center"/>
    </xf>
    <xf numFmtId="0" fontId="7" fillId="16" borderId="2" xfId="0" applyFont="1" applyFill="1" applyBorder="1" applyAlignment="1">
      <alignment horizontal="center"/>
    </xf>
    <xf numFmtId="0" fontId="4" fillId="0" borderId="0" xfId="0" applyFont="1" applyBorder="1" applyAlignment="1">
      <alignment horizontal="left"/>
    </xf>
    <xf numFmtId="0" fontId="7" fillId="0" borderId="0" xfId="0" applyFont="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166" fontId="6" fillId="0" borderId="12" xfId="0" applyNumberFormat="1" applyFont="1" applyBorder="1" applyAlignment="1">
      <alignment horizontal="center"/>
    </xf>
    <xf numFmtId="166" fontId="2" fillId="0" borderId="16" xfId="0" applyNumberFormat="1" applyFont="1" applyBorder="1"/>
    <xf numFmtId="0" fontId="7" fillId="0" borderId="0" xfId="0" applyFont="1" applyBorder="1" applyAlignment="1">
      <alignment horizontal="right"/>
    </xf>
    <xf numFmtId="0" fontId="7" fillId="17" borderId="12" xfId="0" applyFont="1" applyFill="1" applyBorder="1"/>
    <xf numFmtId="0" fontId="7" fillId="17" borderId="13" xfId="0" applyFont="1" applyFill="1" applyBorder="1" applyAlignment="1">
      <alignment horizontal="center"/>
    </xf>
    <xf numFmtId="0" fontId="7" fillId="17" borderId="14" xfId="0" applyFont="1" applyFill="1" applyBorder="1" applyAlignment="1">
      <alignment horizontal="center"/>
    </xf>
    <xf numFmtId="0" fontId="7" fillId="17" borderId="15" xfId="0" applyFont="1" applyFill="1" applyBorder="1"/>
    <xf numFmtId="0" fontId="7" fillId="17" borderId="15" xfId="0" applyFont="1" applyFill="1" applyBorder="1" applyAlignment="1">
      <alignment horizontal="center"/>
    </xf>
    <xf numFmtId="0" fontId="7" fillId="17" borderId="0" xfId="0" applyFont="1" applyFill="1" applyAlignment="1">
      <alignment horizontal="center"/>
    </xf>
    <xf numFmtId="0" fontId="7" fillId="17" borderId="4" xfId="0" applyFont="1" applyFill="1" applyBorder="1"/>
    <xf numFmtId="0" fontId="7" fillId="17" borderId="4" xfId="0" applyFont="1" applyFill="1" applyBorder="1" applyAlignment="1">
      <alignment horizontal="center"/>
    </xf>
    <xf numFmtId="0" fontId="6" fillId="18" borderId="2" xfId="0" applyFont="1" applyFill="1" applyBorder="1"/>
    <xf numFmtId="0" fontId="6" fillId="18" borderId="2" xfId="0" applyFont="1" applyFill="1" applyBorder="1" applyAlignment="1">
      <alignment horizontal="center"/>
    </xf>
    <xf numFmtId="0" fontId="8" fillId="0" borderId="0" xfId="0" applyFont="1"/>
    <xf numFmtId="0" fontId="11" fillId="19" borderId="0" xfId="0" applyFont="1" applyFill="1" applyAlignment="1">
      <alignment vertical="center"/>
    </xf>
    <xf numFmtId="0" fontId="8" fillId="19" borderId="0" xfId="0" applyFont="1" applyFill="1" applyAlignment="1">
      <alignment horizontal="center"/>
    </xf>
    <xf numFmtId="0" fontId="7" fillId="0" borderId="12" xfId="0" applyFont="1" applyFill="1" applyBorder="1"/>
    <xf numFmtId="0" fontId="7" fillId="0" borderId="13" xfId="0" applyFont="1" applyFill="1" applyBorder="1" applyAlignment="1">
      <alignment horizontal="center"/>
    </xf>
    <xf numFmtId="165" fontId="7" fillId="0" borderId="0" xfId="0" applyNumberFormat="1" applyFont="1" applyFill="1" applyBorder="1" applyAlignment="1">
      <alignment horizontal="center"/>
    </xf>
    <xf numFmtId="0" fontId="7" fillId="3" borderId="12" xfId="0" applyFont="1" applyFill="1" applyBorder="1" applyAlignment="1">
      <alignment vertical="center"/>
    </xf>
    <xf numFmtId="0" fontId="7" fillId="14" borderId="4" xfId="0" applyFont="1" applyFill="1" applyBorder="1" applyAlignment="1">
      <alignment horizontal="left"/>
    </xf>
    <xf numFmtId="0" fontId="7" fillId="0" borderId="0" xfId="0" applyFont="1" applyBorder="1"/>
    <xf numFmtId="0" fontId="7" fillId="0" borderId="2" xfId="0" applyFont="1" applyBorder="1" applyAlignment="1">
      <alignment horizontal="right"/>
    </xf>
    <xf numFmtId="0" fontId="8" fillId="0" borderId="13" xfId="0" applyFont="1" applyBorder="1" applyAlignment="1">
      <alignment horizontal="center"/>
    </xf>
    <xf numFmtId="0" fontId="8" fillId="0" borderId="14" xfId="0" applyFont="1" applyBorder="1" applyAlignment="1">
      <alignment horizontal="center"/>
    </xf>
    <xf numFmtId="0" fontId="8" fillId="0" borderId="0" xfId="0" applyFont="1" applyBorder="1" applyAlignment="1">
      <alignment horizontal="center"/>
    </xf>
    <xf numFmtId="0" fontId="8" fillId="0" borderId="0" xfId="0" applyFont="1" applyBorder="1"/>
    <xf numFmtId="0" fontId="8" fillId="0" borderId="0" xfId="0" applyFont="1" applyBorder="1" applyAlignment="1">
      <alignment horizontal="right"/>
    </xf>
    <xf numFmtId="0" fontId="7" fillId="0" borderId="2" xfId="0" applyFont="1" applyBorder="1"/>
    <xf numFmtId="0" fontId="7" fillId="0" borderId="2" xfId="0" applyFont="1" applyFill="1" applyBorder="1"/>
    <xf numFmtId="0" fontId="7" fillId="20" borderId="2" xfId="0" applyFont="1" applyFill="1" applyBorder="1" applyAlignment="1">
      <alignment horizontal="right"/>
    </xf>
    <xf numFmtId="0" fontId="7" fillId="20" borderId="12" xfId="0" applyFont="1" applyFill="1" applyBorder="1"/>
    <xf numFmtId="0" fontId="7" fillId="20" borderId="13" xfId="0" applyFont="1" applyFill="1" applyBorder="1"/>
    <xf numFmtId="0" fontId="7" fillId="20" borderId="13" xfId="0" applyFont="1" applyFill="1" applyBorder="1" applyAlignment="1">
      <alignment horizontal="center"/>
    </xf>
    <xf numFmtId="0" fontId="7" fillId="20" borderId="14" xfId="0" applyFont="1" applyFill="1" applyBorder="1"/>
    <xf numFmtId="0" fontId="7" fillId="20" borderId="2" xfId="0" applyFont="1" applyFill="1" applyBorder="1" applyAlignment="1">
      <alignment horizontal="center"/>
    </xf>
    <xf numFmtId="0" fontId="8" fillId="0" borderId="2" xfId="0" applyFont="1" applyBorder="1" applyAlignment="1">
      <alignment wrapText="1"/>
    </xf>
    <xf numFmtId="0" fontId="0" fillId="0" borderId="0" xfId="0" applyAlignment="1">
      <alignment wrapText="1"/>
    </xf>
    <xf numFmtId="0" fontId="19" fillId="0" borderId="0" xfId="0" applyFont="1" applyAlignment="1"/>
    <xf numFmtId="0" fontId="4" fillId="22" borderId="2" xfId="0" applyFont="1" applyFill="1" applyBorder="1"/>
    <xf numFmtId="0" fontId="4" fillId="22" borderId="2" xfId="0" applyFont="1" applyFill="1" applyBorder="1" applyAlignment="1">
      <alignment horizontal="center"/>
    </xf>
    <xf numFmtId="0" fontId="7" fillId="23" borderId="2" xfId="0" applyFont="1" applyFill="1" applyBorder="1" applyAlignment="1">
      <alignment horizontal="right"/>
    </xf>
    <xf numFmtId="0" fontId="6" fillId="23" borderId="2" xfId="0" applyFont="1" applyFill="1" applyBorder="1" applyAlignment="1">
      <alignment horizontal="center"/>
    </xf>
    <xf numFmtId="0" fontId="7" fillId="23" borderId="1" xfId="0" applyFont="1" applyFill="1" applyBorder="1" applyAlignment="1">
      <alignment horizontal="right"/>
    </xf>
    <xf numFmtId="0" fontId="7" fillId="22" borderId="2" xfId="0" applyFont="1" applyFill="1" applyBorder="1" applyAlignment="1">
      <alignment horizontal="right"/>
    </xf>
    <xf numFmtId="0" fontId="6" fillId="22" borderId="2" xfId="0" applyFont="1" applyFill="1" applyBorder="1" applyAlignment="1">
      <alignment horizontal="center"/>
    </xf>
    <xf numFmtId="0" fontId="7" fillId="23" borderId="12" xfId="0" applyFont="1" applyFill="1" applyBorder="1"/>
    <xf numFmtId="0" fontId="6" fillId="23" borderId="13" xfId="0" applyFont="1" applyFill="1" applyBorder="1" applyAlignment="1">
      <alignment horizontal="center"/>
    </xf>
    <xf numFmtId="0" fontId="6" fillId="23" borderId="14" xfId="0" applyFont="1" applyFill="1" applyBorder="1" applyAlignment="1">
      <alignment horizontal="center"/>
    </xf>
    <xf numFmtId="0" fontId="4" fillId="23" borderId="1" xfId="0" applyFont="1" applyFill="1" applyBorder="1"/>
    <xf numFmtId="0" fontId="6" fillId="23" borderId="6" xfId="0" quotePrefix="1" applyFont="1" applyFill="1" applyBorder="1" applyAlignment="1">
      <alignment horizontal="center"/>
    </xf>
    <xf numFmtId="0" fontId="7" fillId="23" borderId="6" xfId="0" quotePrefix="1" applyFont="1" applyFill="1" applyBorder="1" applyAlignment="1">
      <alignment horizontal="center"/>
    </xf>
    <xf numFmtId="0" fontId="7" fillId="23" borderId="3" xfId="0" quotePrefix="1" applyFont="1" applyFill="1" applyBorder="1" applyAlignment="1">
      <alignment horizontal="center"/>
    </xf>
    <xf numFmtId="0" fontId="9" fillId="0" borderId="0" xfId="0" applyFont="1"/>
    <xf numFmtId="0" fontId="20" fillId="24" borderId="21" xfId="0" applyFont="1" applyFill="1" applyBorder="1" applyAlignment="1">
      <alignment horizontal="center" vertical="center" wrapText="1"/>
    </xf>
    <xf numFmtId="0" fontId="20" fillId="24" borderId="22" xfId="0" applyFont="1" applyFill="1" applyBorder="1" applyAlignment="1">
      <alignment horizontal="center" vertical="center" wrapText="1"/>
    </xf>
    <xf numFmtId="0" fontId="20" fillId="25" borderId="23" xfId="0" applyFont="1" applyFill="1" applyBorder="1" applyAlignment="1">
      <alignment vertical="center" wrapText="1"/>
    </xf>
    <xf numFmtId="0" fontId="15" fillId="27" borderId="19" xfId="0" applyFont="1" applyFill="1" applyBorder="1" applyAlignment="1">
      <alignment vertical="center" wrapText="1"/>
    </xf>
    <xf numFmtId="0" fontId="14" fillId="27" borderId="19" xfId="0" applyFont="1" applyFill="1" applyBorder="1" applyAlignment="1">
      <alignment horizontal="center" vertical="center" wrapText="1"/>
    </xf>
    <xf numFmtId="0" fontId="10" fillId="0" borderId="0" xfId="0" applyFont="1"/>
    <xf numFmtId="0" fontId="17" fillId="0" borderId="0" xfId="0" applyFont="1"/>
    <xf numFmtId="0" fontId="24" fillId="24" borderId="21" xfId="0" applyFont="1" applyFill="1" applyBorder="1" applyAlignment="1">
      <alignment horizontal="right" vertical="center" wrapText="1"/>
    </xf>
    <xf numFmtId="0" fontId="24" fillId="24" borderId="22" xfId="0" applyFont="1" applyFill="1" applyBorder="1" applyAlignment="1">
      <alignment horizontal="right" vertical="center" wrapText="1"/>
    </xf>
    <xf numFmtId="0" fontId="10" fillId="20" borderId="0" xfId="0" applyFont="1" applyFill="1"/>
    <xf numFmtId="0" fontId="0" fillId="20" borderId="0" xfId="0" applyFill="1"/>
    <xf numFmtId="0" fontId="9" fillId="20" borderId="0" xfId="0" applyFont="1" applyFill="1"/>
    <xf numFmtId="0" fontId="15" fillId="26" borderId="23" xfId="0" applyFont="1" applyFill="1" applyBorder="1" applyAlignment="1">
      <alignment horizontal="center" vertical="center" wrapText="1"/>
    </xf>
    <xf numFmtId="0" fontId="25" fillId="0" borderId="0" xfId="2"/>
    <xf numFmtId="0" fontId="20" fillId="25" borderId="24" xfId="0" applyFont="1" applyFill="1" applyBorder="1" applyAlignment="1">
      <alignment vertical="center" wrapText="1"/>
    </xf>
    <xf numFmtId="0" fontId="15" fillId="27" borderId="19" xfId="0" applyFont="1" applyFill="1" applyBorder="1" applyAlignment="1">
      <alignment horizontal="right" vertical="center" wrapText="1"/>
    </xf>
    <xf numFmtId="2" fontId="23" fillId="27" borderId="20" xfId="0" applyNumberFormat="1" applyFont="1" applyFill="1" applyBorder="1" applyAlignment="1">
      <alignment horizontal="center" vertical="center" wrapText="1"/>
    </xf>
    <xf numFmtId="0" fontId="24" fillId="25" borderId="23" xfId="0" applyFont="1" applyFill="1" applyBorder="1" applyAlignment="1">
      <alignment vertical="center" wrapText="1"/>
    </xf>
    <xf numFmtId="0" fontId="22" fillId="26" borderId="23" xfId="0" applyFont="1" applyFill="1" applyBorder="1" applyAlignment="1">
      <alignment vertical="center" wrapText="1"/>
    </xf>
    <xf numFmtId="0" fontId="26" fillId="27" borderId="19" xfId="0" applyFont="1" applyFill="1" applyBorder="1" applyAlignment="1">
      <alignment horizontal="center" vertical="center" wrapText="1"/>
    </xf>
    <xf numFmtId="0" fontId="26" fillId="27" borderId="20" xfId="0" applyFont="1" applyFill="1" applyBorder="1" applyAlignment="1">
      <alignment horizontal="center" vertical="center" wrapText="1"/>
    </xf>
    <xf numFmtId="167" fontId="26" fillId="27" borderId="20" xfId="0" applyNumberFormat="1" applyFont="1" applyFill="1" applyBorder="1" applyAlignment="1">
      <alignment horizontal="center" vertical="center" wrapText="1"/>
    </xf>
    <xf numFmtId="0" fontId="1" fillId="0" borderId="0" xfId="0" applyFont="1"/>
    <xf numFmtId="0" fontId="1" fillId="0" borderId="0" xfId="0" applyFont="1" applyAlignment="1">
      <alignment wrapText="1"/>
    </xf>
    <xf numFmtId="0" fontId="0" fillId="21" borderId="0" xfId="0" applyFill="1"/>
    <xf numFmtId="0" fontId="9" fillId="21" borderId="0" xfId="0" applyFont="1" applyFill="1"/>
    <xf numFmtId="0" fontId="9" fillId="30" borderId="0" xfId="0" applyFont="1" applyFill="1"/>
    <xf numFmtId="0" fontId="0" fillId="30" borderId="0" xfId="0" applyFill="1"/>
    <xf numFmtId="0" fontId="1" fillId="20" borderId="0" xfId="0" applyFont="1" applyFill="1"/>
    <xf numFmtId="0" fontId="29" fillId="27" borderId="19" xfId="0" applyFont="1" applyFill="1" applyBorder="1" applyAlignment="1">
      <alignment horizontal="right" vertical="center" wrapText="1"/>
    </xf>
    <xf numFmtId="0" fontId="1" fillId="31" borderId="0" xfId="0" applyFont="1" applyFill="1"/>
    <xf numFmtId="0" fontId="1" fillId="32" borderId="0" xfId="0" applyFont="1" applyFill="1"/>
    <xf numFmtId="0" fontId="1" fillId="33" borderId="0" xfId="0" applyFont="1" applyFill="1"/>
    <xf numFmtId="0" fontId="1" fillId="34" borderId="0" xfId="0" applyFont="1" applyFill="1"/>
    <xf numFmtId="0" fontId="1" fillId="29" borderId="0" xfId="0" applyFont="1" applyFill="1"/>
    <xf numFmtId="0" fontId="1" fillId="15" borderId="0" xfId="0" applyFont="1" applyFill="1"/>
    <xf numFmtId="0" fontId="17" fillId="0" borderId="0" xfId="0" applyFont="1" applyFill="1"/>
    <xf numFmtId="0" fontId="1" fillId="35" borderId="0" xfId="0" applyFont="1" applyFill="1"/>
    <xf numFmtId="167" fontId="26" fillId="0" borderId="25"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25" xfId="0" applyFont="1" applyBorder="1" applyAlignment="1">
      <alignment horizontal="center" vertical="center" wrapText="1"/>
    </xf>
    <xf numFmtId="167" fontId="26" fillId="0" borderId="26" xfId="0" applyNumberFormat="1" applyFont="1" applyBorder="1" applyAlignment="1">
      <alignment horizontal="center" vertical="center" wrapText="1"/>
    </xf>
    <xf numFmtId="0" fontId="26" fillId="0" borderId="26" xfId="0" applyFont="1" applyBorder="1" applyAlignment="1">
      <alignment horizontal="center" vertical="center" wrapText="1"/>
    </xf>
    <xf numFmtId="0" fontId="27" fillId="0" borderId="26" xfId="0" applyFont="1" applyBorder="1" applyAlignment="1">
      <alignment horizontal="center" vertical="center" wrapText="1"/>
    </xf>
    <xf numFmtId="167" fontId="26" fillId="0" borderId="27" xfId="0" applyNumberFormat="1" applyFont="1" applyBorder="1" applyAlignment="1">
      <alignment horizontal="center"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wrapText="1"/>
    </xf>
    <xf numFmtId="167" fontId="16" fillId="0" borderId="25" xfId="0" applyNumberFormat="1" applyFont="1" applyBorder="1" applyAlignment="1">
      <alignment horizontal="center" vertical="center" wrapText="1"/>
    </xf>
    <xf numFmtId="0" fontId="16" fillId="0" borderId="26" xfId="0" applyFont="1" applyBorder="1" applyAlignment="1">
      <alignment horizontal="center" vertical="center" wrapText="1"/>
    </xf>
    <xf numFmtId="9" fontId="28" fillId="30" borderId="26" xfId="1" applyNumberFormat="1" applyFont="1" applyFill="1" applyBorder="1" applyAlignment="1">
      <alignment horizontal="center" vertical="center"/>
    </xf>
    <xf numFmtId="0" fontId="20" fillId="25" borderId="28" xfId="0" applyFont="1" applyFill="1" applyBorder="1" applyAlignment="1">
      <alignment vertical="center" wrapText="1"/>
    </xf>
    <xf numFmtId="0" fontId="35" fillId="36" borderId="31" xfId="0" applyFont="1" applyFill="1" applyBorder="1" applyAlignment="1">
      <alignment vertical="center" wrapText="1"/>
    </xf>
    <xf numFmtId="0" fontId="26" fillId="36" borderId="26" xfId="0" applyFont="1" applyFill="1" applyBorder="1" applyAlignment="1">
      <alignment horizontal="center" vertical="center" wrapText="1"/>
    </xf>
    <xf numFmtId="0" fontId="36" fillId="27" borderId="20" xfId="0" applyFont="1" applyFill="1" applyBorder="1" applyAlignment="1">
      <alignment horizontal="center" vertical="center" wrapText="1"/>
    </xf>
    <xf numFmtId="9" fontId="11" fillId="2" borderId="2" xfId="1" applyFont="1" applyFill="1" applyBorder="1" applyAlignment="1">
      <alignment horizontal="center"/>
    </xf>
    <xf numFmtId="0" fontId="37" fillId="33" borderId="2" xfId="0" applyFont="1" applyFill="1" applyBorder="1"/>
    <xf numFmtId="0" fontId="37" fillId="37" borderId="2" xfId="0" applyFont="1" applyFill="1" applyBorder="1" applyAlignment="1">
      <alignment horizontal="center"/>
    </xf>
    <xf numFmtId="165" fontId="37" fillId="33" borderId="2" xfId="0" applyNumberFormat="1" applyFont="1" applyFill="1" applyBorder="1" applyAlignment="1">
      <alignment horizontal="center"/>
    </xf>
    <xf numFmtId="0" fontId="10" fillId="0" borderId="0" xfId="0" applyFont="1" applyAlignment="1">
      <alignment horizontal="right"/>
    </xf>
    <xf numFmtId="0" fontId="0" fillId="33" borderId="0" xfId="0" applyFill="1"/>
    <xf numFmtId="0" fontId="30" fillId="0" borderId="0" xfId="0" applyFont="1"/>
    <xf numFmtId="0" fontId="38" fillId="0" borderId="0" xfId="0" applyFont="1" applyAlignment="1">
      <alignment horizontal="right"/>
    </xf>
    <xf numFmtId="0" fontId="22" fillId="26" borderId="23" xfId="0" applyFont="1" applyFill="1" applyBorder="1" applyAlignment="1">
      <alignment horizontal="center" vertical="center" wrapText="1"/>
    </xf>
    <xf numFmtId="0" fontId="1" fillId="0" borderId="2" xfId="0" applyFont="1" applyBorder="1"/>
    <xf numFmtId="0" fontId="33" fillId="40" borderId="0" xfId="0" applyFont="1" applyFill="1"/>
    <xf numFmtId="0" fontId="33" fillId="42" borderId="0" xfId="0" applyFont="1" applyFill="1"/>
    <xf numFmtId="0" fontId="39" fillId="41" borderId="0" xfId="0" applyFont="1" applyFill="1"/>
    <xf numFmtId="0" fontId="39" fillId="43" borderId="0" xfId="0" applyFont="1" applyFill="1"/>
    <xf numFmtId="0" fontId="39" fillId="44" borderId="0" xfId="0" applyFont="1" applyFill="1"/>
    <xf numFmtId="0" fontId="40" fillId="29" borderId="2" xfId="0" applyFont="1" applyFill="1" applyBorder="1"/>
    <xf numFmtId="0" fontId="41" fillId="40" borderId="0" xfId="0" applyFont="1" applyFill="1"/>
    <xf numFmtId="0" fontId="3" fillId="3" borderId="15" xfId="0" applyFont="1" applyFill="1" applyBorder="1" applyAlignment="1">
      <alignment horizontal="center"/>
    </xf>
    <xf numFmtId="0" fontId="3" fillId="3" borderId="4" xfId="0" applyFont="1" applyFill="1" applyBorder="1" applyAlignment="1">
      <alignment horizontal="center"/>
    </xf>
    <xf numFmtId="0" fontId="2" fillId="0" borderId="39" xfId="0" applyFont="1" applyBorder="1"/>
    <xf numFmtId="0" fontId="3" fillId="33" borderId="1" xfId="0" applyFont="1" applyFill="1" applyBorder="1"/>
    <xf numFmtId="0" fontId="2" fillId="33" borderId="0" xfId="0" applyFont="1" applyFill="1" applyBorder="1"/>
    <xf numFmtId="0" fontId="2" fillId="33" borderId="5" xfId="0" applyFont="1" applyFill="1" applyBorder="1"/>
    <xf numFmtId="0" fontId="2" fillId="33" borderId="6" xfId="0" applyFont="1" applyFill="1" applyBorder="1"/>
    <xf numFmtId="0" fontId="2" fillId="33" borderId="1" xfId="0" applyFont="1" applyFill="1" applyBorder="1"/>
    <xf numFmtId="0" fontId="2" fillId="33" borderId="8" xfId="0" applyFont="1" applyFill="1" applyBorder="1"/>
    <xf numFmtId="0" fontId="2" fillId="33" borderId="9" xfId="0" applyFont="1" applyFill="1" applyBorder="1"/>
    <xf numFmtId="0" fontId="3" fillId="13" borderId="1" xfId="0" applyFont="1" applyFill="1" applyBorder="1"/>
    <xf numFmtId="0" fontId="2" fillId="13" borderId="5" xfId="0" applyFont="1" applyFill="1" applyBorder="1"/>
    <xf numFmtId="0" fontId="2" fillId="13" borderId="6" xfId="0" applyFont="1" applyFill="1" applyBorder="1"/>
    <xf numFmtId="0" fontId="2" fillId="13" borderId="1" xfId="0" applyFont="1" applyFill="1" applyBorder="1"/>
    <xf numFmtId="0" fontId="2" fillId="13" borderId="8" xfId="0" applyFont="1" applyFill="1" applyBorder="1"/>
    <xf numFmtId="0" fontId="2" fillId="13" borderId="9" xfId="0" applyFont="1" applyFill="1" applyBorder="1"/>
    <xf numFmtId="0" fontId="2" fillId="29" borderId="5" xfId="0" applyFont="1" applyFill="1" applyBorder="1"/>
    <xf numFmtId="0" fontId="2" fillId="29" borderId="6" xfId="0" applyFont="1" applyFill="1" applyBorder="1"/>
    <xf numFmtId="0" fontId="2" fillId="29" borderId="8" xfId="0" applyFont="1" applyFill="1" applyBorder="1"/>
    <xf numFmtId="0" fontId="2" fillId="29" borderId="9" xfId="0" applyFont="1" applyFill="1" applyBorder="1"/>
    <xf numFmtId="166" fontId="2" fillId="0" borderId="10" xfId="0" applyNumberFormat="1" applyFont="1" applyBorder="1"/>
    <xf numFmtId="0" fontId="3" fillId="29" borderId="17" xfId="0" applyFont="1" applyFill="1" applyBorder="1"/>
    <xf numFmtId="0" fontId="2" fillId="29" borderId="38" xfId="0" applyFont="1" applyFill="1" applyBorder="1"/>
    <xf numFmtId="0" fontId="3" fillId="45" borderId="1" xfId="0" applyFont="1" applyFill="1" applyBorder="1"/>
    <xf numFmtId="0" fontId="2" fillId="45" borderId="5" xfId="0" applyFont="1" applyFill="1" applyBorder="1"/>
    <xf numFmtId="0" fontId="2" fillId="45" borderId="6" xfId="0" applyFont="1" applyFill="1" applyBorder="1"/>
    <xf numFmtId="0" fontId="2" fillId="45" borderId="1" xfId="0" applyFont="1" applyFill="1" applyBorder="1"/>
    <xf numFmtId="0" fontId="2" fillId="45" borderId="8" xfId="0" applyFont="1" applyFill="1" applyBorder="1"/>
    <xf numFmtId="0" fontId="2" fillId="45" borderId="9" xfId="0" applyFont="1" applyFill="1" applyBorder="1"/>
    <xf numFmtId="0" fontId="42" fillId="29" borderId="2" xfId="0" applyFont="1" applyFill="1" applyBorder="1" applyAlignment="1">
      <alignment horizontal="center"/>
    </xf>
    <xf numFmtId="0" fontId="43" fillId="0" borderId="0" xfId="0" applyFont="1" applyAlignment="1">
      <alignment vertical="center"/>
    </xf>
    <xf numFmtId="0" fontId="10" fillId="46" borderId="0" xfId="0" applyFont="1" applyFill="1"/>
    <xf numFmtId="0" fontId="1" fillId="0" borderId="2" xfId="0" applyFont="1" applyBorder="1" applyAlignment="1">
      <alignment wrapText="1"/>
    </xf>
    <xf numFmtId="0" fontId="3" fillId="3" borderId="10" xfId="0" applyFont="1" applyFill="1" applyBorder="1"/>
    <xf numFmtId="0" fontId="3" fillId="47" borderId="1" xfId="0" applyFont="1" applyFill="1" applyBorder="1"/>
    <xf numFmtId="0" fontId="2" fillId="47" borderId="0" xfId="0" applyFont="1" applyFill="1" applyBorder="1"/>
    <xf numFmtId="0" fontId="2" fillId="47" borderId="5" xfId="0" applyFont="1" applyFill="1" applyBorder="1"/>
    <xf numFmtId="0" fontId="2" fillId="47" borderId="6" xfId="0" applyFont="1" applyFill="1" applyBorder="1"/>
    <xf numFmtId="0" fontId="2" fillId="47" borderId="1" xfId="0" applyFont="1" applyFill="1" applyBorder="1"/>
    <xf numFmtId="0" fontId="2" fillId="47" borderId="8" xfId="0" applyFont="1" applyFill="1" applyBorder="1"/>
    <xf numFmtId="0" fontId="2" fillId="47" borderId="9" xfId="0" applyFont="1" applyFill="1" applyBorder="1"/>
    <xf numFmtId="0" fontId="39" fillId="48" borderId="0" xfId="0" applyFont="1" applyFill="1"/>
    <xf numFmtId="2" fontId="23" fillId="0" borderId="40" xfId="0" applyNumberFormat="1" applyFont="1" applyBorder="1" applyAlignment="1">
      <alignment horizontal="center" vertical="center" wrapText="1"/>
    </xf>
    <xf numFmtId="2" fontId="23" fillId="0" borderId="41" xfId="0" applyNumberFormat="1" applyFont="1" applyBorder="1" applyAlignment="1">
      <alignment horizontal="center" vertical="center" wrapText="1"/>
    </xf>
    <xf numFmtId="167" fontId="34" fillId="0" borderId="25" xfId="0" applyNumberFormat="1" applyFont="1" applyBorder="1" applyAlignment="1">
      <alignment horizontal="center" vertical="center" wrapText="1"/>
    </xf>
    <xf numFmtId="167" fontId="34" fillId="0" borderId="34" xfId="0" applyNumberFormat="1" applyFont="1" applyBorder="1" applyAlignment="1">
      <alignment horizontal="center" vertical="center" wrapText="1"/>
    </xf>
    <xf numFmtId="0" fontId="16" fillId="0" borderId="40" xfId="0" applyFont="1" applyBorder="1" applyAlignment="1">
      <alignment horizontal="center" vertical="center" wrapText="1"/>
    </xf>
    <xf numFmtId="0" fontId="27" fillId="0" borderId="40" xfId="0" applyFont="1" applyBorder="1" applyAlignment="1">
      <alignment horizontal="center" vertical="center" wrapText="1"/>
    </xf>
    <xf numFmtId="167" fontId="26" fillId="0" borderId="40" xfId="0" applyNumberFormat="1" applyFont="1" applyBorder="1" applyAlignment="1">
      <alignment horizontal="center" vertical="center" wrapText="1"/>
    </xf>
    <xf numFmtId="0" fontId="16" fillId="0" borderId="41" xfId="0" applyFont="1" applyBorder="1" applyAlignment="1">
      <alignment horizontal="center" vertical="center" wrapText="1"/>
    </xf>
    <xf numFmtId="0" fontId="27" fillId="0" borderId="41" xfId="0" applyFont="1" applyBorder="1" applyAlignment="1">
      <alignment horizontal="center" vertical="center" wrapText="1"/>
    </xf>
    <xf numFmtId="167" fontId="26" fillId="0" borderId="41" xfId="0" applyNumberFormat="1" applyFont="1" applyBorder="1" applyAlignment="1">
      <alignment horizontal="center" vertical="center" wrapText="1"/>
    </xf>
    <xf numFmtId="0" fontId="7" fillId="3" borderId="13" xfId="0" applyFont="1" applyFill="1" applyBorder="1" applyAlignment="1">
      <alignment horizontal="center"/>
    </xf>
    <xf numFmtId="0" fontId="46" fillId="25" borderId="23" xfId="0" applyFont="1" applyFill="1" applyBorder="1" applyAlignment="1">
      <alignment vertical="center" wrapText="1"/>
    </xf>
    <xf numFmtId="167" fontId="18" fillId="0" borderId="25" xfId="0" applyNumberFormat="1" applyFont="1" applyBorder="1" applyAlignment="1">
      <alignment horizontal="center" vertical="center" wrapText="1"/>
    </xf>
    <xf numFmtId="167" fontId="18" fillId="0" borderId="26" xfId="0" applyNumberFormat="1" applyFont="1" applyBorder="1" applyAlignment="1">
      <alignment horizontal="center" vertical="center" wrapText="1"/>
    </xf>
    <xf numFmtId="0" fontId="47" fillId="0" borderId="26" xfId="0" applyFont="1" applyBorder="1" applyAlignment="1">
      <alignment horizontal="center" vertical="center" wrapText="1"/>
    </xf>
    <xf numFmtId="0" fontId="47" fillId="0" borderId="26" xfId="0" applyFont="1" applyBorder="1" applyAlignment="1">
      <alignment horizontal="center"/>
    </xf>
    <xf numFmtId="0" fontId="44" fillId="20" borderId="40" xfId="0" applyFont="1" applyFill="1" applyBorder="1" applyAlignment="1">
      <alignment horizontal="center" vertical="center" wrapText="1"/>
    </xf>
    <xf numFmtId="0" fontId="48" fillId="33" borderId="41" xfId="0" applyFont="1" applyFill="1" applyBorder="1" applyAlignment="1">
      <alignment horizontal="center" vertical="center" wrapText="1"/>
    </xf>
    <xf numFmtId="0" fontId="15" fillId="27" borderId="20" xfId="0" applyFont="1" applyFill="1" applyBorder="1" applyAlignment="1">
      <alignment horizontal="right" vertical="center" wrapText="1"/>
    </xf>
    <xf numFmtId="167" fontId="2" fillId="14" borderId="2" xfId="0" applyNumberFormat="1" applyFont="1" applyFill="1" applyBorder="1"/>
    <xf numFmtId="167" fontId="2" fillId="2" borderId="2" xfId="0" applyNumberFormat="1" applyFont="1" applyFill="1" applyBorder="1"/>
    <xf numFmtId="167" fontId="3" fillId="2" borderId="2" xfId="0" applyNumberFormat="1" applyFont="1" applyFill="1" applyBorder="1"/>
    <xf numFmtId="169" fontId="7" fillId="9" borderId="2" xfId="0" applyNumberFormat="1" applyFont="1" applyFill="1" applyBorder="1" applyAlignment="1">
      <alignment horizontal="center"/>
    </xf>
    <xf numFmtId="169" fontId="7" fillId="2" borderId="2" xfId="0" applyNumberFormat="1" applyFont="1" applyFill="1" applyBorder="1" applyAlignment="1">
      <alignment horizontal="center"/>
    </xf>
    <xf numFmtId="169" fontId="7" fillId="2" borderId="12" xfId="0" applyNumberFormat="1" applyFont="1" applyFill="1" applyBorder="1" applyAlignment="1">
      <alignment horizontal="center"/>
    </xf>
    <xf numFmtId="169" fontId="37" fillId="39" borderId="2" xfId="0" applyNumberFormat="1" applyFont="1" applyFill="1" applyBorder="1" applyAlignment="1">
      <alignment horizontal="center"/>
    </xf>
    <xf numFmtId="2" fontId="7" fillId="16" borderId="2" xfId="0" applyNumberFormat="1" applyFont="1" applyFill="1" applyBorder="1" applyAlignment="1">
      <alignment horizontal="center"/>
    </xf>
    <xf numFmtId="2" fontId="7" fillId="11" borderId="2" xfId="0" applyNumberFormat="1" applyFont="1" applyFill="1" applyBorder="1" applyAlignment="1">
      <alignment horizontal="center"/>
    </xf>
    <xf numFmtId="2" fontId="7" fillId="13" borderId="2" xfId="0" applyNumberFormat="1" applyFont="1" applyFill="1" applyBorder="1" applyAlignment="1">
      <alignment horizontal="center"/>
    </xf>
    <xf numFmtId="0" fontId="21" fillId="25" borderId="23" xfId="0" applyFont="1" applyFill="1" applyBorder="1" applyAlignment="1">
      <alignment vertical="center" wrapText="1"/>
    </xf>
    <xf numFmtId="0" fontId="24" fillId="25" borderId="30" xfId="0" applyFont="1" applyFill="1" applyBorder="1" applyAlignment="1">
      <alignment vertical="center" wrapText="1"/>
    </xf>
    <xf numFmtId="0" fontId="24" fillId="25" borderId="33" xfId="0" applyFont="1" applyFill="1" applyBorder="1" applyAlignment="1">
      <alignment vertical="center" wrapText="1"/>
    </xf>
    <xf numFmtId="0" fontId="24" fillId="25" borderId="31" xfId="0" applyFont="1" applyFill="1" applyBorder="1" applyAlignment="1">
      <alignment vertical="center" wrapText="1"/>
    </xf>
    <xf numFmtId="0" fontId="24" fillId="25" borderId="32" xfId="0" applyFont="1" applyFill="1" applyBorder="1" applyAlignment="1">
      <alignment vertical="center" wrapText="1"/>
    </xf>
    <xf numFmtId="0" fontId="45" fillId="0" borderId="40" xfId="0" applyFont="1" applyBorder="1" applyAlignment="1">
      <alignment horizontal="center" vertical="center" wrapText="1"/>
    </xf>
    <xf numFmtId="0" fontId="45" fillId="0" borderId="41" xfId="0" applyFont="1" applyBorder="1" applyAlignment="1">
      <alignment horizontal="center" vertical="center" wrapText="1"/>
    </xf>
    <xf numFmtId="167" fontId="26" fillId="0" borderId="29" xfId="0" applyNumberFormat="1" applyFont="1" applyBorder="1" applyAlignment="1">
      <alignment horizontal="center" vertical="center"/>
    </xf>
    <xf numFmtId="0" fontId="24" fillId="24" borderId="21" xfId="0" applyFont="1" applyFill="1" applyBorder="1" applyAlignment="1">
      <alignment horizontal="center" vertical="center" wrapText="1"/>
    </xf>
    <xf numFmtId="3" fontId="18" fillId="27" borderId="20" xfId="0" applyNumberFormat="1" applyFont="1" applyFill="1" applyBorder="1" applyAlignment="1">
      <alignment horizontal="center" vertical="center" wrapText="1"/>
    </xf>
    <xf numFmtId="0" fontId="50" fillId="50" borderId="0" xfId="0" applyFont="1" applyFill="1" applyBorder="1" applyAlignment="1">
      <alignment vertical="top" wrapText="1"/>
    </xf>
    <xf numFmtId="0" fontId="27" fillId="38" borderId="43" xfId="0" applyFont="1" applyFill="1" applyBorder="1" applyAlignment="1">
      <alignment vertical="top" wrapText="1"/>
    </xf>
    <xf numFmtId="0" fontId="27" fillId="38" borderId="44" xfId="0" applyFont="1" applyFill="1" applyBorder="1" applyAlignment="1">
      <alignment vertical="top" wrapText="1"/>
    </xf>
    <xf numFmtId="0" fontId="27" fillId="30" borderId="44" xfId="0" applyFont="1" applyFill="1" applyBorder="1" applyAlignment="1">
      <alignment vertical="top" wrapText="1"/>
    </xf>
    <xf numFmtId="0" fontId="15" fillId="56" borderId="47" xfId="0" applyFont="1" applyFill="1" applyBorder="1" applyAlignment="1">
      <alignment vertical="top" wrapText="1"/>
    </xf>
    <xf numFmtId="0" fontId="15" fillId="57" borderId="47" xfId="0" applyFont="1" applyFill="1" applyBorder="1" applyAlignment="1">
      <alignment vertical="top" wrapText="1"/>
    </xf>
    <xf numFmtId="0" fontId="15" fillId="49" borderId="47" xfId="0" applyFont="1" applyFill="1" applyBorder="1" applyAlignment="1">
      <alignment vertical="top" wrapText="1"/>
    </xf>
    <xf numFmtId="0" fontId="49" fillId="52" borderId="42" xfId="0" applyFont="1" applyFill="1" applyBorder="1" applyAlignment="1">
      <alignment vertical="top" wrapText="1"/>
    </xf>
    <xf numFmtId="0" fontId="49" fillId="53" borderId="42" xfId="0" applyFont="1" applyFill="1" applyBorder="1" applyAlignment="1">
      <alignment vertical="top" wrapText="1"/>
    </xf>
    <xf numFmtId="0" fontId="49" fillId="54" borderId="42" xfId="0" applyFont="1" applyFill="1" applyBorder="1" applyAlignment="1">
      <alignment vertical="top" wrapText="1"/>
    </xf>
    <xf numFmtId="0" fontId="49" fillId="51" borderId="42" xfId="0" applyFont="1" applyFill="1" applyBorder="1" applyAlignment="1">
      <alignment vertical="top" wrapText="1"/>
    </xf>
    <xf numFmtId="0" fontId="49" fillId="55" borderId="42" xfId="0" applyFont="1" applyFill="1" applyBorder="1" applyAlignment="1">
      <alignment wrapText="1"/>
    </xf>
    <xf numFmtId="0" fontId="50" fillId="55" borderId="0" xfId="0" applyFont="1" applyFill="1" applyBorder="1" applyAlignment="1">
      <alignment wrapText="1"/>
    </xf>
    <xf numFmtId="0" fontId="15" fillId="59" borderId="47" xfId="0" applyFont="1" applyFill="1" applyBorder="1" applyAlignment="1">
      <alignment vertical="top" wrapText="1"/>
    </xf>
    <xf numFmtId="0" fontId="49" fillId="50" borderId="49" xfId="0" applyFont="1" applyFill="1" applyBorder="1" applyAlignment="1">
      <alignment vertical="top" wrapText="1"/>
    </xf>
    <xf numFmtId="0" fontId="15" fillId="60" borderId="50" xfId="0" applyFont="1" applyFill="1" applyBorder="1" applyAlignment="1">
      <alignment vertical="top" wrapText="1"/>
    </xf>
    <xf numFmtId="0" fontId="15" fillId="60" borderId="46" xfId="0" applyFont="1" applyFill="1" applyBorder="1" applyAlignment="1">
      <alignment vertical="top" wrapText="1"/>
    </xf>
    <xf numFmtId="0" fontId="15" fillId="58" borderId="47" xfId="0" applyFont="1" applyFill="1" applyBorder="1" applyAlignment="1">
      <alignment wrapText="1"/>
    </xf>
    <xf numFmtId="0" fontId="15" fillId="58" borderId="46" xfId="0" applyFont="1" applyFill="1" applyBorder="1" applyAlignment="1">
      <alignment wrapText="1"/>
    </xf>
    <xf numFmtId="0" fontId="15" fillId="58" borderId="48" xfId="0" applyFont="1" applyFill="1" applyBorder="1" applyAlignment="1">
      <alignment wrapText="1"/>
    </xf>
    <xf numFmtId="167" fontId="0" fillId="0" borderId="0" xfId="0" applyNumberFormat="1"/>
    <xf numFmtId="0" fontId="7" fillId="3" borderId="14" xfId="0" applyFont="1" applyFill="1" applyBorder="1" applyAlignment="1">
      <alignment horizontal="center"/>
    </xf>
    <xf numFmtId="0" fontId="7" fillId="3" borderId="13" xfId="0" applyFont="1" applyFill="1" applyBorder="1" applyAlignment="1">
      <alignment horizontal="center"/>
    </xf>
    <xf numFmtId="0" fontId="10" fillId="0" borderId="0" xfId="0" applyFont="1" applyBorder="1"/>
    <xf numFmtId="3" fontId="6" fillId="23" borderId="2" xfId="0" applyNumberFormat="1" applyFont="1" applyFill="1" applyBorder="1" applyAlignment="1">
      <alignment horizontal="center"/>
    </xf>
    <xf numFmtId="0" fontId="27" fillId="30" borderId="44" xfId="0" applyFont="1" applyFill="1" applyBorder="1" applyAlignment="1">
      <alignment wrapText="1"/>
    </xf>
    <xf numFmtId="0" fontId="50" fillId="55" borderId="28" xfId="0" applyFont="1" applyFill="1" applyBorder="1"/>
    <xf numFmtId="0" fontId="27" fillId="30" borderId="45" xfId="0" applyFont="1" applyFill="1" applyBorder="1" applyAlignment="1">
      <alignment wrapText="1"/>
    </xf>
    <xf numFmtId="0" fontId="7" fillId="0" borderId="2" xfId="0" applyFont="1" applyBorder="1" applyAlignment="1">
      <alignment horizontal="right" vertical="center"/>
    </xf>
    <xf numFmtId="0" fontId="8" fillId="0" borderId="2" xfId="0" applyFont="1" applyBorder="1" applyAlignment="1">
      <alignment vertical="center" wrapText="1"/>
    </xf>
    <xf numFmtId="0" fontId="7" fillId="0" borderId="2" xfId="0" applyFont="1" applyFill="1" applyBorder="1" applyAlignment="1">
      <alignment vertical="center"/>
    </xf>
    <xf numFmtId="168" fontId="8" fillId="0" borderId="2" xfId="0" applyNumberFormat="1" applyFont="1" applyBorder="1" applyAlignment="1">
      <alignment wrapText="1"/>
    </xf>
    <xf numFmtId="2" fontId="2" fillId="2" borderId="2" xfId="0" applyNumberFormat="1" applyFont="1" applyFill="1" applyBorder="1"/>
    <xf numFmtId="2" fontId="3" fillId="2" borderId="2" xfId="0" applyNumberFormat="1" applyFont="1" applyFill="1" applyBorder="1"/>
    <xf numFmtId="167" fontId="8" fillId="0" borderId="2" xfId="0" applyNumberFormat="1" applyFont="1" applyBorder="1" applyAlignment="1">
      <alignment wrapText="1"/>
    </xf>
    <xf numFmtId="2" fontId="23" fillId="0" borderId="51" xfId="0" applyNumberFormat="1" applyFont="1" applyBorder="1" applyAlignment="1">
      <alignment horizontal="center" vertical="center" wrapText="1"/>
    </xf>
    <xf numFmtId="0" fontId="15" fillId="26" borderId="24" xfId="0" applyFont="1" applyFill="1" applyBorder="1" applyAlignment="1">
      <alignment horizontal="center" vertical="center" wrapText="1"/>
    </xf>
    <xf numFmtId="0" fontId="24" fillId="25" borderId="19" xfId="0" applyFont="1" applyFill="1" applyBorder="1" applyAlignment="1">
      <alignment vertical="center" wrapText="1"/>
    </xf>
    <xf numFmtId="0" fontId="22" fillId="26" borderId="19" xfId="0" applyFont="1" applyFill="1" applyBorder="1" applyAlignment="1">
      <alignment horizontal="center" vertical="center" wrapText="1"/>
    </xf>
    <xf numFmtId="0" fontId="45" fillId="0" borderId="52" xfId="0" applyFont="1" applyBorder="1" applyAlignment="1">
      <alignment horizontal="center" vertical="center" wrapText="1"/>
    </xf>
    <xf numFmtId="0" fontId="44" fillId="0" borderId="52" xfId="0" applyFont="1" applyBorder="1" applyAlignment="1">
      <alignment horizontal="center" vertical="center" wrapText="1"/>
    </xf>
    <xf numFmtId="0" fontId="27" fillId="0" borderId="52" xfId="0" applyFont="1" applyBorder="1" applyAlignment="1">
      <alignment horizontal="center" vertical="center" wrapText="1"/>
    </xf>
    <xf numFmtId="167" fontId="26" fillId="0" borderId="52" xfId="0" applyNumberFormat="1" applyFont="1" applyBorder="1" applyAlignment="1">
      <alignment horizontal="center" vertical="center" wrapText="1"/>
    </xf>
    <xf numFmtId="0" fontId="46" fillId="25" borderId="18" xfId="0" applyFont="1" applyFill="1" applyBorder="1" applyAlignment="1">
      <alignment vertical="center" wrapText="1"/>
    </xf>
    <xf numFmtId="168" fontId="18" fillId="0" borderId="26" xfId="0" applyNumberFormat="1" applyFont="1" applyBorder="1" applyAlignment="1">
      <alignment horizontal="center" vertical="center" wrapText="1"/>
    </xf>
    <xf numFmtId="3" fontId="18" fillId="0" borderId="26" xfId="0" applyNumberFormat="1" applyFont="1" applyBorder="1" applyAlignment="1">
      <alignment horizontal="center" vertical="center" wrapText="1"/>
    </xf>
    <xf numFmtId="0" fontId="20" fillId="24" borderId="22" xfId="0" applyFont="1" applyFill="1" applyBorder="1" applyAlignment="1">
      <alignment horizontal="center" vertical="center" wrapText="1"/>
    </xf>
    <xf numFmtId="0" fontId="20" fillId="24" borderId="22" xfId="0" applyFont="1" applyFill="1" applyBorder="1" applyAlignment="1">
      <alignment horizontal="center" vertical="center" wrapText="1"/>
    </xf>
    <xf numFmtId="0" fontId="21" fillId="25" borderId="0" xfId="0" applyFont="1" applyFill="1" applyBorder="1" applyAlignment="1">
      <alignment vertical="center" wrapText="1"/>
    </xf>
    <xf numFmtId="3" fontId="18" fillId="28" borderId="0" xfId="0" applyNumberFormat="1" applyFont="1" applyFill="1" applyAlignment="1">
      <alignment horizontal="right" vertical="center"/>
    </xf>
    <xf numFmtId="3" fontId="18" fillId="38" borderId="0" xfId="0" applyNumberFormat="1" applyFont="1" applyFill="1" applyAlignment="1">
      <alignment horizontal="right" vertical="center"/>
    </xf>
    <xf numFmtId="167" fontId="47" fillId="0" borderId="26" xfId="0" applyNumberFormat="1" applyFont="1" applyBorder="1" applyAlignment="1">
      <alignment horizontal="center" vertical="center" wrapText="1"/>
    </xf>
    <xf numFmtId="167" fontId="47" fillId="0" borderId="26" xfId="0" applyNumberFormat="1" applyFont="1" applyBorder="1" applyAlignment="1">
      <alignment horizontal="center"/>
    </xf>
    <xf numFmtId="167" fontId="18" fillId="0" borderId="27" xfId="0" applyNumberFormat="1" applyFont="1" applyBorder="1" applyAlignment="1">
      <alignment horizontal="center" vertical="center" wrapText="1"/>
    </xf>
    <xf numFmtId="0" fontId="1" fillId="38" borderId="0" xfId="0" applyFont="1" applyFill="1"/>
    <xf numFmtId="0" fontId="0" fillId="38" borderId="0" xfId="0" applyFill="1"/>
    <xf numFmtId="0" fontId="20" fillId="24" borderId="22" xfId="0" applyFont="1" applyFill="1" applyBorder="1" applyAlignment="1">
      <alignment vertical="center" wrapText="1"/>
    </xf>
    <xf numFmtId="0" fontId="20" fillId="24" borderId="37"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24" borderId="35" xfId="0" applyFont="1" applyFill="1" applyBorder="1" applyAlignment="1">
      <alignment horizontal="center" vertical="center" wrapText="1"/>
    </xf>
    <xf numFmtId="0" fontId="20" fillId="24" borderId="36" xfId="0" applyFont="1" applyFill="1" applyBorder="1" applyAlignment="1">
      <alignment horizontal="center" vertical="center"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8" fillId="0" borderId="14" xfId="0" applyFont="1" applyBorder="1" applyAlignment="1">
      <alignment horizontal="left" wrapText="1"/>
    </xf>
  </cellXfs>
  <cellStyles count="3">
    <cellStyle name="Hyperlink" xfId="2" builtinId="8"/>
    <cellStyle name="Normal" xfId="0" builtinId="0"/>
    <cellStyle name="Percent" xfId="1" builtinId="5"/>
  </cellStyles>
  <dxfs count="41">
    <dxf>
      <font>
        <color theme="3" tint="-0.24994659260841701"/>
      </font>
    </dxf>
    <dxf>
      <font>
        <b/>
        <i/>
        <color rgb="FFC00000"/>
      </font>
    </dxf>
    <dxf>
      <font>
        <color theme="0" tint="-0.499984740745262"/>
      </font>
      <fill>
        <patternFill>
          <bgColor theme="0" tint="-0.14996795556505021"/>
        </patternFill>
      </fill>
    </dxf>
    <dxf>
      <font>
        <color theme="3" tint="-0.24994659260841701"/>
      </font>
    </dxf>
    <dxf>
      <font>
        <b/>
        <i/>
        <color rgb="FFC00000"/>
      </font>
    </dxf>
    <dxf>
      <font>
        <color theme="0" tint="-0.499984740745262"/>
      </font>
      <fill>
        <patternFill>
          <bgColor theme="0" tint="-0.14996795556505021"/>
        </patternFill>
      </fill>
    </dxf>
    <dxf>
      <font>
        <color theme="3" tint="-0.24994659260841701"/>
      </font>
    </dxf>
    <dxf>
      <font>
        <b/>
        <i/>
        <color rgb="FFC0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3" tint="-0.24994659260841701"/>
      </font>
    </dxf>
    <dxf>
      <font>
        <b/>
        <i/>
        <color rgb="FFC00000"/>
      </font>
    </dxf>
    <dxf>
      <font>
        <color theme="0" tint="-0.499984740745262"/>
      </font>
      <fill>
        <patternFill>
          <bgColor theme="0" tint="-0.14996795556505021"/>
        </patternFill>
      </fill>
    </dxf>
    <dxf>
      <font>
        <color theme="3" tint="-0.24994659260841701"/>
      </font>
    </dxf>
    <dxf>
      <font>
        <b/>
        <i/>
        <color rgb="FFC00000"/>
      </font>
    </dxf>
    <dxf>
      <font>
        <color theme="0" tint="-0.499984740745262"/>
      </font>
      <fill>
        <patternFill>
          <bgColor theme="0" tint="-0.14996795556505021"/>
        </patternFill>
      </fill>
    </dxf>
    <dxf>
      <font>
        <color theme="0" tint="-0.499984740745262"/>
      </font>
    </dxf>
    <dxf>
      <font>
        <color theme="1" tint="0.499984740745262"/>
      </font>
    </dxf>
    <dxf>
      <font>
        <color theme="4" tint="0.59996337778862885"/>
      </font>
    </dxf>
    <dxf>
      <font>
        <b/>
        <i val="0"/>
        <color theme="1"/>
      </font>
    </dxf>
    <dxf>
      <font>
        <color theme="4" tint="0.59996337778862885"/>
      </font>
    </dxf>
    <dxf>
      <font>
        <b/>
        <i val="0"/>
        <color theme="1"/>
      </font>
    </dxf>
    <dxf>
      <font>
        <color theme="4" tint="0.79998168889431442"/>
      </font>
    </dxf>
    <dxf>
      <font>
        <color theme="4" tint="0.59996337778862885"/>
      </font>
    </dxf>
    <dxf>
      <font>
        <b/>
        <i val="0"/>
        <color theme="1"/>
      </font>
    </dxf>
    <dxf>
      <font>
        <color theme="4" tint="0.79998168889431442"/>
      </font>
    </dxf>
    <dxf>
      <font>
        <color theme="4" tint="0.79998168889431442"/>
      </font>
    </dxf>
    <dxf>
      <font>
        <color theme="4" tint="0.59996337778862885"/>
      </font>
    </dxf>
    <dxf>
      <font>
        <b/>
        <i val="0"/>
        <color theme="1"/>
      </font>
    </dxf>
    <dxf>
      <font>
        <color theme="4" tint="0.79998168889431442"/>
      </font>
    </dxf>
    <dxf>
      <font>
        <b/>
        <i val="0"/>
      </font>
    </dxf>
    <dxf>
      <font>
        <b val="0"/>
        <i/>
        <color theme="0" tint="-0.24994659260841701"/>
      </font>
      <fill>
        <patternFill>
          <bgColor theme="0"/>
        </patternFill>
      </fill>
    </dxf>
    <dxf>
      <font>
        <color theme="1" tint="0.499984740745262"/>
      </font>
      <fill>
        <patternFill>
          <bgColor theme="0" tint="-0.14996795556505021"/>
        </patternFill>
      </fill>
    </dxf>
    <dxf>
      <fill>
        <patternFill>
          <bgColor theme="9" tint="0.59996337778862885"/>
        </patternFill>
      </fill>
    </dxf>
    <dxf>
      <font>
        <b/>
        <i/>
        <color rgb="FF7E0000"/>
      </font>
      <fill>
        <patternFill>
          <bgColor theme="5" tint="0.39994506668294322"/>
        </patternFill>
      </fill>
    </dxf>
    <dxf>
      <fill>
        <patternFill>
          <bgColor theme="5" tint="0.59996337778862885"/>
        </patternFill>
      </fill>
    </dxf>
    <dxf>
      <font>
        <color auto="1"/>
      </font>
      <fill>
        <patternFill>
          <bgColor rgb="FFFFEB9C"/>
        </patternFill>
      </fill>
    </dxf>
    <dxf>
      <fill>
        <patternFill>
          <bgColor rgb="FFAEF09E"/>
        </patternFill>
      </fill>
    </dxf>
    <dxf>
      <fill>
        <patternFill>
          <bgColor theme="5" tint="0.59996337778862885"/>
        </patternFill>
      </fill>
    </dxf>
    <dxf>
      <font>
        <color auto="1"/>
      </font>
      <fill>
        <patternFill>
          <bgColor rgb="FFFFEB9C"/>
        </patternFill>
      </fill>
    </dxf>
    <dxf>
      <fill>
        <patternFill>
          <bgColor rgb="FFAEF09E"/>
        </patternFill>
      </fill>
    </dxf>
  </dxfs>
  <tableStyles count="0" defaultTableStyle="TableStyleMedium2" defaultPivotStyle="PivotStyleLight16"/>
  <colors>
    <mruColors>
      <color rgb="FF4DB3F9"/>
      <color rgb="FF7FA8F9"/>
      <color rgb="FFFFFF33"/>
      <color rgb="FFFAAE62"/>
      <color rgb="FFB19BD1"/>
      <color rgb="FFEF8585"/>
      <color rgb="FFBE6402"/>
      <color rgb="FF5535A5"/>
      <color rgb="FF9FA30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86561679790021E-2"/>
          <c:y val="6.5758556818198324E-2"/>
          <c:w val="0.68867777397390562"/>
          <c:h val="0.76842258991328549"/>
        </c:manualLayout>
      </c:layout>
      <c:barChart>
        <c:barDir val="col"/>
        <c:grouping val="stacked"/>
        <c:varyColors val="0"/>
        <c:ser>
          <c:idx val="0"/>
          <c:order val="0"/>
          <c:tx>
            <c:strRef>
              <c:f>DemandTables!$C$3</c:f>
              <c:strCache>
                <c:ptCount val="1"/>
                <c:pt idx="0">
                  <c:v>Residential</c:v>
                </c:pt>
              </c:strCache>
            </c:strRef>
          </c:tx>
          <c:spPr>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DemandTables!$D$3:$N$3</c:f>
              <c:numCache>
                <c:formatCode>0.00</c:formatCode>
                <c:ptCount val="11"/>
                <c:pt idx="0">
                  <c:v>10.3</c:v>
                </c:pt>
                <c:pt idx="1">
                  <c:v>11.6</c:v>
                </c:pt>
                <c:pt idx="2">
                  <c:v>14</c:v>
                </c:pt>
                <c:pt idx="3">
                  <c:v>15.899999999999999</c:v>
                </c:pt>
                <c:pt idx="4">
                  <c:v>17.600000000000001</c:v>
                </c:pt>
                <c:pt idx="5">
                  <c:v>19.3</c:v>
                </c:pt>
                <c:pt idx="6">
                  <c:v>20.8</c:v>
                </c:pt>
                <c:pt idx="7">
                  <c:v>21.8</c:v>
                </c:pt>
                <c:pt idx="8">
                  <c:v>22.799999999999997</c:v>
                </c:pt>
                <c:pt idx="9">
                  <c:v>22.85</c:v>
                </c:pt>
                <c:pt idx="10">
                  <c:v>22.9</c:v>
                </c:pt>
              </c:numCache>
            </c:numRef>
          </c:val>
        </c:ser>
        <c:ser>
          <c:idx val="1"/>
          <c:order val="1"/>
          <c:tx>
            <c:strRef>
              <c:f>DemandTables!$C$4</c:f>
              <c:strCache>
                <c:ptCount val="1"/>
                <c:pt idx="0">
                  <c:v>Commercial</c:v>
                </c:pt>
              </c:strCache>
            </c:strRef>
          </c:tx>
          <c:spPr>
            <a:ln>
              <a:noFill/>
            </a:ln>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DemandTables!$D$4:$N$4</c:f>
              <c:numCache>
                <c:formatCode>0.00</c:formatCode>
                <c:ptCount val="11"/>
                <c:pt idx="0">
                  <c:v>3.4000000000000004</c:v>
                </c:pt>
                <c:pt idx="1">
                  <c:v>4.3999999999999995</c:v>
                </c:pt>
                <c:pt idx="2">
                  <c:v>5.1000000000000005</c:v>
                </c:pt>
                <c:pt idx="3">
                  <c:v>5.8000000000000007</c:v>
                </c:pt>
                <c:pt idx="4">
                  <c:v>6.4</c:v>
                </c:pt>
                <c:pt idx="5">
                  <c:v>6.8000000000000007</c:v>
                </c:pt>
                <c:pt idx="6">
                  <c:v>7.1000000000000005</c:v>
                </c:pt>
                <c:pt idx="7">
                  <c:v>7.4</c:v>
                </c:pt>
                <c:pt idx="8">
                  <c:v>7.7</c:v>
                </c:pt>
                <c:pt idx="9">
                  <c:v>7.8000000000000007</c:v>
                </c:pt>
                <c:pt idx="10">
                  <c:v>7.9</c:v>
                </c:pt>
              </c:numCache>
            </c:numRef>
          </c:val>
        </c:ser>
        <c:ser>
          <c:idx val="2"/>
          <c:order val="2"/>
          <c:tx>
            <c:strRef>
              <c:f>DemandTables!$C$5</c:f>
              <c:strCache>
                <c:ptCount val="1"/>
                <c:pt idx="0">
                  <c:v>Industrial</c:v>
                </c:pt>
              </c:strCache>
            </c:strRef>
          </c:tx>
          <c:spPr>
            <a:gradFill flip="none" rotWithShape="1">
              <a:gsLst>
                <a:gs pos="0">
                  <a:srgbClr val="C7C323"/>
                </a:gs>
                <a:gs pos="34000">
                  <a:srgbClr val="DEDE46"/>
                </a:gs>
                <a:gs pos="100000">
                  <a:srgbClr val="E5E25C"/>
                </a:gs>
              </a:gsLst>
              <a:lin ang="162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DemandTables!$D$5:$N$5</c:f>
              <c:numCache>
                <c:formatCode>0.00</c:formatCode>
                <c:ptCount val="11"/>
                <c:pt idx="0">
                  <c:v>0.2</c:v>
                </c:pt>
                <c:pt idx="1">
                  <c:v>0.30000000000000004</c:v>
                </c:pt>
                <c:pt idx="2">
                  <c:v>0.30000000000000004</c:v>
                </c:pt>
                <c:pt idx="3">
                  <c:v>0.60000000000000009</c:v>
                </c:pt>
                <c:pt idx="4">
                  <c:v>0.7</c:v>
                </c:pt>
                <c:pt idx="5">
                  <c:v>0.89999999999999991</c:v>
                </c:pt>
                <c:pt idx="6">
                  <c:v>1.0999999999999999</c:v>
                </c:pt>
                <c:pt idx="7">
                  <c:v>1.1499999999999999</c:v>
                </c:pt>
                <c:pt idx="8">
                  <c:v>1.2</c:v>
                </c:pt>
                <c:pt idx="9">
                  <c:v>1.2</c:v>
                </c:pt>
                <c:pt idx="10">
                  <c:v>1.2</c:v>
                </c:pt>
              </c:numCache>
            </c:numRef>
          </c:val>
        </c:ser>
        <c:ser>
          <c:idx val="3"/>
          <c:order val="3"/>
          <c:tx>
            <c:strRef>
              <c:f>DemandTables!$C$6</c:f>
              <c:strCache>
                <c:ptCount val="1"/>
                <c:pt idx="0">
                  <c:v>Institutional</c:v>
                </c:pt>
              </c:strCache>
            </c:strRef>
          </c:tx>
          <c:spPr>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DemandTables!$D$6:$N$6</c:f>
              <c:numCache>
                <c:formatCode>0.00</c:formatCode>
                <c:ptCount val="11"/>
                <c:pt idx="0">
                  <c:v>0.30000000000000004</c:v>
                </c:pt>
                <c:pt idx="1">
                  <c:v>0.30000000000000004</c:v>
                </c:pt>
                <c:pt idx="2">
                  <c:v>0.4</c:v>
                </c:pt>
                <c:pt idx="3">
                  <c:v>0.4</c:v>
                </c:pt>
                <c:pt idx="4">
                  <c:v>0.5</c:v>
                </c:pt>
                <c:pt idx="5">
                  <c:v>0.5</c:v>
                </c:pt>
                <c:pt idx="6">
                  <c:v>0.60000000000000009</c:v>
                </c:pt>
                <c:pt idx="7">
                  <c:v>0.60000000000000009</c:v>
                </c:pt>
                <c:pt idx="8">
                  <c:v>0.60000000000000009</c:v>
                </c:pt>
                <c:pt idx="9">
                  <c:v>0.60000000000000009</c:v>
                </c:pt>
                <c:pt idx="10">
                  <c:v>0.60000000000000009</c:v>
                </c:pt>
              </c:numCache>
            </c:numRef>
          </c:val>
        </c:ser>
        <c:ser>
          <c:idx val="8"/>
          <c:order val="4"/>
          <c:tx>
            <c:strRef>
              <c:f>DemandTables!$C$7</c:f>
              <c:strCache>
                <c:ptCount val="1"/>
                <c:pt idx="0">
                  <c:v>Bulk Sales</c:v>
                </c:pt>
              </c:strCache>
            </c:strRef>
          </c:tx>
          <c:spPr>
            <a:ln w="47625">
              <a:noFill/>
            </a:ln>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DemandTables!$D$7:$N$7</c:f>
              <c:numCache>
                <c:formatCode>0.00</c:formatCode>
                <c:ptCount val="11"/>
                <c:pt idx="0">
                  <c:v>0.1</c:v>
                </c:pt>
                <c:pt idx="1">
                  <c:v>0.1</c:v>
                </c:pt>
                <c:pt idx="2">
                  <c:v>0.1</c:v>
                </c:pt>
                <c:pt idx="3">
                  <c:v>0.1</c:v>
                </c:pt>
                <c:pt idx="4">
                  <c:v>0.1</c:v>
                </c:pt>
                <c:pt idx="5">
                  <c:v>0.1</c:v>
                </c:pt>
                <c:pt idx="6">
                  <c:v>0.1</c:v>
                </c:pt>
                <c:pt idx="7">
                  <c:v>0.1</c:v>
                </c:pt>
                <c:pt idx="8">
                  <c:v>0.1</c:v>
                </c:pt>
                <c:pt idx="9">
                  <c:v>0.1</c:v>
                </c:pt>
                <c:pt idx="10">
                  <c:v>0.1</c:v>
                </c:pt>
              </c:numCache>
            </c:numRef>
          </c:val>
        </c:ser>
        <c:ser>
          <c:idx val="4"/>
          <c:order val="5"/>
          <c:tx>
            <c:strRef>
              <c:f>DemandTables!$C$8</c:f>
              <c:strCache>
                <c:ptCount val="1"/>
                <c:pt idx="0">
                  <c:v>Distribution Process</c:v>
                </c:pt>
              </c:strCache>
            </c:strRef>
          </c:tx>
          <c:spPr>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DemandTables!$D$8:$N$8</c:f>
              <c:numCache>
                <c:formatCode>0.00</c:formatCode>
                <c:ptCount val="11"/>
                <c:pt idx="0">
                  <c:v>0.23</c:v>
                </c:pt>
                <c:pt idx="1">
                  <c:v>0.32999999999999996</c:v>
                </c:pt>
                <c:pt idx="2">
                  <c:v>0.33999999999999997</c:v>
                </c:pt>
                <c:pt idx="3">
                  <c:v>0.45</c:v>
                </c:pt>
                <c:pt idx="4">
                  <c:v>0.5</c:v>
                </c:pt>
                <c:pt idx="5">
                  <c:v>0.5</c:v>
                </c:pt>
                <c:pt idx="6">
                  <c:v>0.5</c:v>
                </c:pt>
                <c:pt idx="7">
                  <c:v>0.55000000000000004</c:v>
                </c:pt>
                <c:pt idx="8">
                  <c:v>0.6</c:v>
                </c:pt>
                <c:pt idx="9">
                  <c:v>0.6</c:v>
                </c:pt>
                <c:pt idx="10">
                  <c:v>0.6</c:v>
                </c:pt>
              </c:numCache>
            </c:numRef>
          </c:val>
        </c:ser>
        <c:ser>
          <c:idx val="5"/>
          <c:order val="6"/>
          <c:tx>
            <c:strRef>
              <c:f>DemandTables!$C$9</c:f>
              <c:strCache>
                <c:ptCount val="1"/>
                <c:pt idx="0">
                  <c:v>WTP Process</c:v>
                </c:pt>
              </c:strCache>
            </c:strRef>
          </c:tx>
          <c:spPr>
            <a:gradFill flip="none" rotWithShape="1">
              <a:gsLst>
                <a:gs pos="0">
                  <a:schemeClr val="accent5">
                    <a:lumMod val="60000"/>
                    <a:lumOff val="40000"/>
                  </a:schemeClr>
                </a:gs>
                <a:gs pos="34000">
                  <a:srgbClr val="7CC3D6"/>
                </a:gs>
                <a:gs pos="100000">
                  <a:srgbClr val="9CD1E0"/>
                </a:gs>
              </a:gsLst>
              <a:lin ang="162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DemandTables!$D$9:$N$9</c:f>
              <c:numCache>
                <c:formatCode>0.00</c:formatCode>
                <c:ptCount val="11"/>
                <c:pt idx="0">
                  <c:v>3.2000000000000028</c:v>
                </c:pt>
                <c:pt idx="1">
                  <c:v>3.0000000000000022</c:v>
                </c:pt>
                <c:pt idx="2">
                  <c:v>3.599999999999997</c:v>
                </c:pt>
                <c:pt idx="3">
                  <c:v>4.2000000000000028</c:v>
                </c:pt>
                <c:pt idx="4">
                  <c:v>4.6000000000000032</c:v>
                </c:pt>
                <c:pt idx="5">
                  <c:v>5.1000000000000005</c:v>
                </c:pt>
                <c:pt idx="6">
                  <c:v>5.3999999999999968</c:v>
                </c:pt>
                <c:pt idx="7">
                  <c:v>5.65</c:v>
                </c:pt>
                <c:pt idx="8">
                  <c:v>5.9000000000000039</c:v>
                </c:pt>
                <c:pt idx="9">
                  <c:v>5.9500000000000046</c:v>
                </c:pt>
                <c:pt idx="10">
                  <c:v>6.0000000000000044</c:v>
                </c:pt>
              </c:numCache>
            </c:numRef>
          </c:val>
        </c:ser>
        <c:ser>
          <c:idx val="6"/>
          <c:order val="7"/>
          <c:tx>
            <c:strRef>
              <c:f>DemandTables!$C$10</c:f>
              <c:strCache>
                <c:ptCount val="1"/>
                <c:pt idx="0">
                  <c:v>Other Non-Revenue</c:v>
                </c:pt>
              </c:strCache>
            </c:strRef>
          </c:tx>
          <c:spPr>
            <a:gradFill flip="none" rotWithShape="1">
              <a:gsLst>
                <a:gs pos="0">
                  <a:srgbClr val="F79B4F"/>
                </a:gs>
                <a:gs pos="34000">
                  <a:schemeClr val="accent6"/>
                </a:gs>
                <a:gs pos="100000">
                  <a:schemeClr val="accent6">
                    <a:lumMod val="75000"/>
                  </a:schemeClr>
                </a:gs>
              </a:gsLst>
              <a:lin ang="54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DemandTables!$D$10:$N$10</c:f>
              <c:numCache>
                <c:formatCode>0.00</c:formatCode>
                <c:ptCount val="11"/>
                <c:pt idx="0">
                  <c:v>0.8</c:v>
                </c:pt>
                <c:pt idx="1">
                  <c:v>1</c:v>
                </c:pt>
                <c:pt idx="2">
                  <c:v>1.2000000000000002</c:v>
                </c:pt>
                <c:pt idx="3">
                  <c:v>1.4</c:v>
                </c:pt>
                <c:pt idx="4">
                  <c:v>1.5</c:v>
                </c:pt>
                <c:pt idx="5">
                  <c:v>1.6</c:v>
                </c:pt>
                <c:pt idx="6">
                  <c:v>1.8</c:v>
                </c:pt>
                <c:pt idx="7">
                  <c:v>1.9</c:v>
                </c:pt>
                <c:pt idx="8">
                  <c:v>2</c:v>
                </c:pt>
                <c:pt idx="9">
                  <c:v>2</c:v>
                </c:pt>
                <c:pt idx="10">
                  <c:v>2</c:v>
                </c:pt>
              </c:numCache>
            </c:numRef>
          </c:val>
        </c:ser>
        <c:dLbls>
          <c:showLegendKey val="0"/>
          <c:showVal val="0"/>
          <c:showCatName val="0"/>
          <c:showSerName val="0"/>
          <c:showPercent val="0"/>
          <c:showBubbleSize val="0"/>
        </c:dLbls>
        <c:gapWidth val="49"/>
        <c:overlap val="100"/>
        <c:axId val="276063704"/>
        <c:axId val="276066056"/>
      </c:barChart>
      <c:lineChart>
        <c:grouping val="standard"/>
        <c:varyColors val="0"/>
        <c:ser>
          <c:idx val="7"/>
          <c:order val="8"/>
          <c:tx>
            <c:strRef>
              <c:f>DemandTables!$B$11</c:f>
              <c:strCache>
                <c:ptCount val="1"/>
                <c:pt idx="0">
                  <c:v>TOTAL</c:v>
                </c:pt>
              </c:strCache>
            </c:strRef>
          </c:tx>
          <c:spPr>
            <a:ln w="47625">
              <a:noFill/>
            </a:ln>
          </c:spPr>
          <c:marker>
            <c:symbol val="none"/>
          </c:marker>
          <c:dLbls>
            <c:dLbl>
              <c:idx val="7"/>
              <c:numFmt formatCode="0.0" sourceLinked="0"/>
              <c:spPr/>
              <c:txPr>
                <a:bodyPr/>
                <a:lstStyle/>
                <a:p>
                  <a:pPr>
                    <a:defRPr sz="1100" b="1" u="sng"/>
                  </a:pPr>
                  <a:endParaRPr lang="en-US"/>
                </a:p>
              </c:txPr>
              <c:dLblPos val="t"/>
              <c:showLegendKey val="0"/>
              <c:showVal val="1"/>
              <c:showCatName val="0"/>
              <c:showSerName val="0"/>
              <c:showPercent val="0"/>
              <c:showBubbleSize val="0"/>
            </c:dLbl>
            <c:dLbl>
              <c:idx val="10"/>
              <c:numFmt formatCode="0.0" sourceLinked="0"/>
              <c:spPr/>
              <c:txPr>
                <a:bodyPr/>
                <a:lstStyle/>
                <a:p>
                  <a:pPr>
                    <a:defRPr sz="1100" b="1" u="sng"/>
                  </a:pPr>
                  <a:endParaRPr lang="en-US"/>
                </a:p>
              </c:txPr>
              <c:dLblPos val="t"/>
              <c:showLegendKey val="0"/>
              <c:showVal val="1"/>
              <c:showCatName val="0"/>
              <c:showSerName val="0"/>
              <c:showPercent val="0"/>
              <c:showBubbleSize val="0"/>
            </c:dLbl>
            <c:numFmt formatCode="0.0" sourceLinked="0"/>
            <c:spPr>
              <a:noFill/>
              <a:ln>
                <a:noFill/>
              </a:ln>
              <a:effectLst/>
            </c:spPr>
            <c:txPr>
              <a:bodyPr/>
              <a:lstStyle/>
              <a:p>
                <a:pPr>
                  <a:defRPr sz="11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DemandTables!$D$11:$N$11</c:f>
              <c:numCache>
                <c:formatCode>0.00</c:formatCode>
                <c:ptCount val="11"/>
                <c:pt idx="0">
                  <c:v>18.400000000000002</c:v>
                </c:pt>
                <c:pt idx="1">
                  <c:v>20.9</c:v>
                </c:pt>
                <c:pt idx="2">
                  <c:v>24.999999999999996</c:v>
                </c:pt>
                <c:pt idx="3">
                  <c:v>28.799999999999997</c:v>
                </c:pt>
                <c:pt idx="4">
                  <c:v>31.9</c:v>
                </c:pt>
                <c:pt idx="5">
                  <c:v>34.800000000000004</c:v>
                </c:pt>
                <c:pt idx="6">
                  <c:v>37.299999999999997</c:v>
                </c:pt>
                <c:pt idx="7">
                  <c:v>39.15</c:v>
                </c:pt>
                <c:pt idx="8">
                  <c:v>40.799999999999997</c:v>
                </c:pt>
                <c:pt idx="9">
                  <c:v>41.1</c:v>
                </c:pt>
                <c:pt idx="10">
                  <c:v>41.4</c:v>
                </c:pt>
              </c:numCache>
            </c:numRef>
          </c:val>
          <c:smooth val="0"/>
        </c:ser>
        <c:dLbls>
          <c:showLegendKey val="0"/>
          <c:showVal val="0"/>
          <c:showCatName val="0"/>
          <c:showSerName val="0"/>
          <c:showPercent val="0"/>
          <c:showBubbleSize val="0"/>
        </c:dLbls>
        <c:marker val="1"/>
        <c:smooth val="0"/>
        <c:axId val="182009376"/>
        <c:axId val="276066840"/>
      </c:lineChart>
      <c:catAx>
        <c:axId val="276063704"/>
        <c:scaling>
          <c:orientation val="minMax"/>
        </c:scaling>
        <c:delete val="0"/>
        <c:axPos val="b"/>
        <c:numFmt formatCode="General" sourceLinked="1"/>
        <c:majorTickMark val="out"/>
        <c:minorTickMark val="none"/>
        <c:tickLblPos val="nextTo"/>
        <c:txPr>
          <a:bodyPr rot="-2700000"/>
          <a:lstStyle/>
          <a:p>
            <a:pPr>
              <a:defRPr sz="1200" b="1">
                <a:solidFill>
                  <a:schemeClr val="tx2">
                    <a:lumMod val="75000"/>
                  </a:schemeClr>
                </a:solidFill>
                <a:latin typeface="Tw Cen MT Condensed" panose="020B0606020104020203" pitchFamily="34" charset="0"/>
              </a:defRPr>
            </a:pPr>
            <a:endParaRPr lang="en-US"/>
          </a:p>
        </c:txPr>
        <c:crossAx val="276066056"/>
        <c:crosses val="autoZero"/>
        <c:auto val="1"/>
        <c:lblAlgn val="ctr"/>
        <c:lblOffset val="100"/>
        <c:noMultiLvlLbl val="0"/>
      </c:catAx>
      <c:valAx>
        <c:axId val="276066056"/>
        <c:scaling>
          <c:orientation val="minMax"/>
        </c:scaling>
        <c:delete val="0"/>
        <c:axPos val="l"/>
        <c:majorGridlines>
          <c:spPr>
            <a:ln>
              <a:solidFill>
                <a:schemeClr val="bg1">
                  <a:lumMod val="75000"/>
                  <a:alpha val="53000"/>
                </a:schemeClr>
              </a:solidFill>
            </a:ln>
          </c:spPr>
        </c:majorGridlines>
        <c:title>
          <c:tx>
            <c:rich>
              <a:bodyPr rot="-5400000" vert="horz"/>
              <a:lstStyle/>
              <a:p>
                <a:pPr>
                  <a:defRPr sz="1200">
                    <a:latin typeface="Tw Cen MT Condensed" panose="020B0606020104020203" pitchFamily="34" charset="0"/>
                  </a:defRPr>
                </a:pPr>
                <a:r>
                  <a:rPr lang="en-US" sz="1200">
                    <a:latin typeface="Tw Cen MT Condensed" panose="020B0606020104020203" pitchFamily="34" charset="0"/>
                  </a:rPr>
                  <a:t>Demand [MGD]</a:t>
                </a:r>
              </a:p>
            </c:rich>
          </c:tx>
          <c:layout>
            <c:manualLayout>
              <c:xMode val="edge"/>
              <c:yMode val="edge"/>
              <c:x val="0"/>
              <c:y val="0.32361621463983925"/>
            </c:manualLayout>
          </c:layout>
          <c:overlay val="0"/>
        </c:title>
        <c:numFmt formatCode="#,##0.0" sourceLinked="0"/>
        <c:majorTickMark val="out"/>
        <c:minorTickMark val="none"/>
        <c:tickLblPos val="nextTo"/>
        <c:txPr>
          <a:bodyPr/>
          <a:lstStyle/>
          <a:p>
            <a:pPr>
              <a:defRPr sz="1100" b="1">
                <a:latin typeface="Tw Cen MT Condensed" panose="020B0606020104020203" pitchFamily="34" charset="0"/>
              </a:defRPr>
            </a:pPr>
            <a:endParaRPr lang="en-US"/>
          </a:p>
        </c:txPr>
        <c:crossAx val="276063704"/>
        <c:crosses val="autoZero"/>
        <c:crossBetween val="between"/>
      </c:valAx>
      <c:valAx>
        <c:axId val="276066840"/>
        <c:scaling>
          <c:orientation val="minMax"/>
          <c:max val="46"/>
        </c:scaling>
        <c:delete val="0"/>
        <c:axPos val="r"/>
        <c:numFmt formatCode="0.00" sourceLinked="1"/>
        <c:majorTickMark val="none"/>
        <c:minorTickMark val="none"/>
        <c:tickLblPos val="none"/>
        <c:spPr>
          <a:noFill/>
        </c:spPr>
        <c:crossAx val="182009376"/>
        <c:crosses val="max"/>
        <c:crossBetween val="between"/>
      </c:valAx>
      <c:catAx>
        <c:axId val="182009376"/>
        <c:scaling>
          <c:orientation val="minMax"/>
        </c:scaling>
        <c:delete val="1"/>
        <c:axPos val="b"/>
        <c:majorTickMark val="out"/>
        <c:minorTickMark val="none"/>
        <c:tickLblPos val="none"/>
        <c:crossAx val="276066840"/>
        <c:crosses val="autoZero"/>
        <c:auto val="1"/>
        <c:lblAlgn val="ctr"/>
        <c:lblOffset val="100"/>
        <c:noMultiLvlLbl val="0"/>
      </c:catAx>
      <c:spPr>
        <a:gradFill>
          <a:gsLst>
            <a:gs pos="0">
              <a:srgbClr val="D0D2E6">
                <a:alpha val="78824"/>
              </a:srgbClr>
            </a:gs>
            <a:gs pos="34000">
              <a:srgbClr val="DFE7F5">
                <a:alpha val="67000"/>
              </a:srgbClr>
            </a:gs>
            <a:gs pos="100000">
              <a:schemeClr val="bg1"/>
            </a:gs>
          </a:gsLst>
          <a:lin ang="5400000" scaled="0"/>
        </a:gradFill>
        <a:ln>
          <a:solidFill>
            <a:schemeClr val="accent1">
              <a:lumMod val="50000"/>
            </a:schemeClr>
          </a:solidFill>
        </a:ln>
      </c:spPr>
    </c:plotArea>
    <c:legend>
      <c:legendPos val="r"/>
      <c:legendEntry>
        <c:idx val="8"/>
        <c:delete val="1"/>
      </c:legendEntry>
      <c:layout>
        <c:manualLayout>
          <c:xMode val="edge"/>
          <c:yMode val="edge"/>
          <c:x val="0.77888371908056964"/>
          <c:y val="0.174376896581622"/>
          <c:w val="0.18336123745026953"/>
          <c:h val="0.58157559565862749"/>
        </c:manualLayout>
      </c:layout>
      <c:overlay val="0"/>
      <c:txPr>
        <a:bodyPr/>
        <a:lstStyle/>
        <a:p>
          <a:pPr>
            <a:defRPr sz="1200" b="1">
              <a:latin typeface="Tw Cen MT Condensed" panose="020B0606020104020203" pitchFamily="34" charset="0"/>
            </a:defRPr>
          </a:pPr>
          <a:endParaRPr lang="en-US"/>
        </a:p>
      </c:txPr>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9164"/>
          <c:y val="2.8318647669041391E-2"/>
        </c:manualLayout>
      </c:layout>
      <c:overlay val="0"/>
      <c:spPr>
        <a:noFill/>
        <a:ln w="25400">
          <a:noFill/>
        </a:ln>
      </c:spPr>
    </c:title>
    <c:autoTitleDeleted val="0"/>
    <c:plotArea>
      <c:layout>
        <c:manualLayout>
          <c:layoutTarget val="inner"/>
          <c:xMode val="edge"/>
          <c:yMode val="edge"/>
          <c:x val="0.12380293824221997"/>
          <c:y val="0.12404862008100007"/>
          <c:w val="0.84307362145556264"/>
          <c:h val="0.68318643112764943"/>
        </c:manualLayout>
      </c:layout>
      <c:lineChart>
        <c:grouping val="standard"/>
        <c:varyColors val="0"/>
        <c:ser>
          <c:idx val="0"/>
          <c:order val="0"/>
          <c:tx>
            <c:strRef>
              <c:f>'Population&amp;Demand Projections'!$AS$33</c:f>
              <c:strCache>
                <c:ptCount val="1"/>
              </c:strCache>
            </c:strRef>
          </c:tx>
          <c:spPr>
            <a:ln w="25400">
              <a:solidFill>
                <a:srgbClr val="000080"/>
              </a:solidFill>
              <a:prstDash val="solid"/>
            </a:ln>
          </c:spPr>
          <c:marker>
            <c:symbol val="none"/>
          </c:marker>
          <c:cat>
            <c:numRef>
              <c:f>'Population&amp;Demand Projections'!$AT$15:$BD$15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Projections'!$AT$33:$BD$33</c:f>
              <c:numCache>
                <c:formatCode>0.00</c:formatCode>
                <c:ptCount val="11"/>
                <c:pt idx="0">
                  <c:v>1.7199999999999998</c:v>
                </c:pt>
                <c:pt idx="1">
                  <c:v>2.0299999999999998</c:v>
                </c:pt>
                <c:pt idx="2">
                  <c:v>2.5399999999999996</c:v>
                </c:pt>
                <c:pt idx="3">
                  <c:v>2.75</c:v>
                </c:pt>
                <c:pt idx="4">
                  <c:v>2.88</c:v>
                </c:pt>
                <c:pt idx="5">
                  <c:v>3.32</c:v>
                </c:pt>
                <c:pt idx="6">
                  <c:v>3.42</c:v>
                </c:pt>
                <c:pt idx="7">
                  <c:v>3.47</c:v>
                </c:pt>
                <c:pt idx="8">
                  <c:v>3.5200000000000005</c:v>
                </c:pt>
                <c:pt idx="9">
                  <c:v>3.5750000000000006</c:v>
                </c:pt>
                <c:pt idx="10">
                  <c:v>3.6300000000000003</c:v>
                </c:pt>
              </c:numCache>
            </c:numRef>
          </c:val>
          <c:smooth val="0"/>
        </c:ser>
        <c:ser>
          <c:idx val="1"/>
          <c:order val="1"/>
          <c:tx>
            <c:strRef>
              <c:f>'Population&amp;Demand Projections'!$AS$46</c:f>
              <c:strCache>
                <c:ptCount val="1"/>
              </c:strCache>
            </c:strRef>
          </c:tx>
          <c:spPr>
            <a:ln w="25400">
              <a:solidFill>
                <a:srgbClr val="993300"/>
              </a:solidFill>
              <a:prstDash val="solid"/>
            </a:ln>
          </c:spPr>
          <c:marker>
            <c:symbol val="none"/>
          </c:marker>
          <c:cat>
            <c:numRef>
              <c:f>'Population&amp;Demand Projections'!$AT$15:$BD$15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Projections'!$AT$46:$BD$46</c:f>
              <c:numCache>
                <c:formatCode>0.000</c:formatCode>
                <c:ptCount val="11"/>
                <c:pt idx="0">
                  <c:v>1.7199999999999998</c:v>
                </c:pt>
                <c:pt idx="1">
                  <c:v>2.0299999999999998</c:v>
                </c:pt>
                <c:pt idx="2">
                  <c:v>2.5399999999999996</c:v>
                </c:pt>
                <c:pt idx="3">
                  <c:v>2.75</c:v>
                </c:pt>
                <c:pt idx="4">
                  <c:v>2.88</c:v>
                </c:pt>
                <c:pt idx="5">
                  <c:v>3.32</c:v>
                </c:pt>
                <c:pt idx="6">
                  <c:v>3.42</c:v>
                </c:pt>
                <c:pt idx="7">
                  <c:v>3.47</c:v>
                </c:pt>
                <c:pt idx="8">
                  <c:v>3.5200000000000005</c:v>
                </c:pt>
                <c:pt idx="9">
                  <c:v>3.5750000000000006</c:v>
                </c:pt>
                <c:pt idx="10">
                  <c:v>3.6300000000000003</c:v>
                </c:pt>
              </c:numCache>
            </c:numRef>
          </c:val>
          <c:smooth val="0"/>
        </c:ser>
        <c:dLbls>
          <c:showLegendKey val="0"/>
          <c:showVal val="0"/>
          <c:showCatName val="0"/>
          <c:showSerName val="0"/>
          <c:showPercent val="0"/>
          <c:showBubbleSize val="0"/>
        </c:dLbls>
        <c:smooth val="0"/>
        <c:axId val="279534992"/>
        <c:axId val="279799768"/>
      </c:lineChart>
      <c:catAx>
        <c:axId val="27953499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79799768"/>
        <c:crosses val="autoZero"/>
        <c:auto val="1"/>
        <c:lblAlgn val="ctr"/>
        <c:lblOffset val="100"/>
        <c:tickLblSkip val="1"/>
        <c:tickMarkSkip val="1"/>
        <c:noMultiLvlLbl val="0"/>
      </c:catAx>
      <c:valAx>
        <c:axId val="279799768"/>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52E-2"/>
              <c:y val="0.3345138107736571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279534992"/>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9186"/>
          <c:y val="2.8318647669041391E-2"/>
        </c:manualLayout>
      </c:layout>
      <c:overlay val="0"/>
      <c:spPr>
        <a:noFill/>
        <a:ln w="25400">
          <a:noFill/>
        </a:ln>
      </c:spPr>
    </c:title>
    <c:autoTitleDeleted val="0"/>
    <c:plotArea>
      <c:layout>
        <c:manualLayout>
          <c:layoutTarget val="inner"/>
          <c:xMode val="edge"/>
          <c:yMode val="edge"/>
          <c:x val="0.12380293824222001"/>
          <c:y val="0.12404862008100011"/>
          <c:w val="0.84307362145556264"/>
          <c:h val="0.68318643112764921"/>
        </c:manualLayout>
      </c:layout>
      <c:lineChart>
        <c:grouping val="standard"/>
        <c:varyColors val="0"/>
        <c:ser>
          <c:idx val="0"/>
          <c:order val="0"/>
          <c:tx>
            <c:strRef>
              <c:f>'Population&amp;Demand Projections'!$BG$33</c:f>
              <c:strCache>
                <c:ptCount val="1"/>
              </c:strCache>
            </c:strRef>
          </c:tx>
          <c:spPr>
            <a:ln w="25400">
              <a:solidFill>
                <a:srgbClr val="000080"/>
              </a:solidFill>
              <a:prstDash val="solid"/>
            </a:ln>
          </c:spPr>
          <c:marker>
            <c:symbol val="none"/>
          </c:marker>
          <c:cat>
            <c:numRef>
              <c:f>'Population&amp;Demand Projections'!$BH$15:$BR$15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Projections'!$BH$33:$BR$33</c:f>
              <c:numCache>
                <c:formatCode>0.00</c:formatCode>
                <c:ptCount val="11"/>
                <c:pt idx="0">
                  <c:v>0.6</c:v>
                </c:pt>
                <c:pt idx="1">
                  <c:v>0.9</c:v>
                </c:pt>
                <c:pt idx="2">
                  <c:v>1.4</c:v>
                </c:pt>
                <c:pt idx="3">
                  <c:v>1.9</c:v>
                </c:pt>
                <c:pt idx="4">
                  <c:v>2.2000000000000002</c:v>
                </c:pt>
                <c:pt idx="5">
                  <c:v>2.7</c:v>
                </c:pt>
                <c:pt idx="6">
                  <c:v>3.2</c:v>
                </c:pt>
                <c:pt idx="7">
                  <c:v>3.2</c:v>
                </c:pt>
                <c:pt idx="8">
                  <c:v>3.2</c:v>
                </c:pt>
                <c:pt idx="9">
                  <c:v>3.2500000000000004</c:v>
                </c:pt>
                <c:pt idx="10">
                  <c:v>3.3</c:v>
                </c:pt>
              </c:numCache>
            </c:numRef>
          </c:val>
          <c:smooth val="0"/>
        </c:ser>
        <c:ser>
          <c:idx val="1"/>
          <c:order val="1"/>
          <c:tx>
            <c:strRef>
              <c:f>'Population&amp;Demand Projections'!$BG$46</c:f>
              <c:strCache>
                <c:ptCount val="1"/>
              </c:strCache>
            </c:strRef>
          </c:tx>
          <c:spPr>
            <a:ln w="25400">
              <a:solidFill>
                <a:srgbClr val="993300"/>
              </a:solidFill>
              <a:prstDash val="solid"/>
            </a:ln>
          </c:spPr>
          <c:marker>
            <c:symbol val="none"/>
          </c:marker>
          <c:cat>
            <c:numRef>
              <c:f>'Population&amp;Demand Projections'!$BH$15:$BR$15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Projections'!$BH$46:$BR$46</c:f>
              <c:numCache>
                <c:formatCode>0.000</c:formatCode>
                <c:ptCount val="11"/>
                <c:pt idx="0">
                  <c:v>0.6</c:v>
                </c:pt>
                <c:pt idx="1">
                  <c:v>0.9</c:v>
                </c:pt>
                <c:pt idx="2">
                  <c:v>1.4</c:v>
                </c:pt>
                <c:pt idx="3">
                  <c:v>1.9</c:v>
                </c:pt>
                <c:pt idx="4">
                  <c:v>2.2000000000000002</c:v>
                </c:pt>
                <c:pt idx="5">
                  <c:v>2.7</c:v>
                </c:pt>
                <c:pt idx="6">
                  <c:v>3.2</c:v>
                </c:pt>
                <c:pt idx="7">
                  <c:v>3.2</c:v>
                </c:pt>
                <c:pt idx="8">
                  <c:v>3.2</c:v>
                </c:pt>
                <c:pt idx="9">
                  <c:v>3.2500000000000004</c:v>
                </c:pt>
                <c:pt idx="10">
                  <c:v>3.3</c:v>
                </c:pt>
              </c:numCache>
            </c:numRef>
          </c:val>
          <c:smooth val="0"/>
        </c:ser>
        <c:dLbls>
          <c:showLegendKey val="0"/>
          <c:showVal val="0"/>
          <c:showCatName val="0"/>
          <c:showSerName val="0"/>
          <c:showPercent val="0"/>
          <c:showBubbleSize val="0"/>
        </c:dLbls>
        <c:smooth val="0"/>
        <c:axId val="279800552"/>
        <c:axId val="279800944"/>
      </c:lineChart>
      <c:catAx>
        <c:axId val="27980055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75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79800944"/>
        <c:crosses val="autoZero"/>
        <c:auto val="1"/>
        <c:lblAlgn val="ctr"/>
        <c:lblOffset val="100"/>
        <c:tickLblSkip val="1"/>
        <c:tickMarkSkip val="1"/>
        <c:noMultiLvlLbl val="0"/>
      </c:catAx>
      <c:valAx>
        <c:axId val="279800944"/>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52E-2"/>
              <c:y val="0.3345138107736573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279800552"/>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9164"/>
          <c:y val="2.8318647669041391E-2"/>
        </c:manualLayout>
      </c:layout>
      <c:overlay val="0"/>
      <c:spPr>
        <a:noFill/>
        <a:ln w="25400">
          <a:noFill/>
        </a:ln>
      </c:spPr>
    </c:title>
    <c:autoTitleDeleted val="0"/>
    <c:plotArea>
      <c:layout>
        <c:manualLayout>
          <c:layoutTarget val="inner"/>
          <c:xMode val="edge"/>
          <c:yMode val="edge"/>
          <c:x val="0.12380293824221997"/>
          <c:y val="0.12404862008100007"/>
          <c:w val="0.84307362145556264"/>
          <c:h val="0.68318643112764943"/>
        </c:manualLayout>
      </c:layout>
      <c:lineChart>
        <c:grouping val="standard"/>
        <c:varyColors val="0"/>
        <c:ser>
          <c:idx val="0"/>
          <c:order val="0"/>
          <c:tx>
            <c:strRef>
              <c:f>'Population&amp;Demand Projections'!$AE$33</c:f>
              <c:strCache>
                <c:ptCount val="1"/>
              </c:strCache>
            </c:strRef>
          </c:tx>
          <c:spPr>
            <a:ln w="25400">
              <a:solidFill>
                <a:srgbClr val="000080"/>
              </a:solidFill>
              <a:prstDash val="solid"/>
            </a:ln>
          </c:spPr>
          <c:marker>
            <c:symbol val="none"/>
          </c:marker>
          <c:cat>
            <c:numRef>
              <c:f>'Population&amp;Demand Projections'!$AF$15:$AP$15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Projections'!$AF$33:$AP$33</c:f>
              <c:numCache>
                <c:formatCode>0.00</c:formatCode>
                <c:ptCount val="11"/>
                <c:pt idx="0">
                  <c:v>14.900000000000002</c:v>
                </c:pt>
                <c:pt idx="1">
                  <c:v>16.7</c:v>
                </c:pt>
                <c:pt idx="2">
                  <c:v>19.499999999999996</c:v>
                </c:pt>
                <c:pt idx="3">
                  <c:v>22.2</c:v>
                </c:pt>
                <c:pt idx="4">
                  <c:v>24.3</c:v>
                </c:pt>
                <c:pt idx="5">
                  <c:v>26.000000000000004</c:v>
                </c:pt>
                <c:pt idx="6">
                  <c:v>27.4</c:v>
                </c:pt>
                <c:pt idx="7">
                  <c:v>28.6</c:v>
                </c:pt>
                <c:pt idx="8">
                  <c:v>29.8</c:v>
                </c:pt>
                <c:pt idx="9">
                  <c:v>29.8</c:v>
                </c:pt>
                <c:pt idx="10">
                  <c:v>29.8</c:v>
                </c:pt>
              </c:numCache>
            </c:numRef>
          </c:val>
          <c:smooth val="0"/>
        </c:ser>
        <c:ser>
          <c:idx val="1"/>
          <c:order val="1"/>
          <c:tx>
            <c:strRef>
              <c:f>'Population&amp;Demand Projections'!$AE$46</c:f>
              <c:strCache>
                <c:ptCount val="1"/>
              </c:strCache>
            </c:strRef>
          </c:tx>
          <c:spPr>
            <a:ln w="25400">
              <a:solidFill>
                <a:srgbClr val="993300"/>
              </a:solidFill>
              <a:prstDash val="solid"/>
            </a:ln>
          </c:spPr>
          <c:marker>
            <c:symbol val="none"/>
          </c:marker>
          <c:cat>
            <c:numRef>
              <c:f>'Population&amp;Demand Projections'!$AF$15:$AP$15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Projections'!$AF$46:$AP$46</c:f>
              <c:numCache>
                <c:formatCode>0.000</c:formatCode>
                <c:ptCount val="11"/>
                <c:pt idx="0">
                  <c:v>14.900000000000002</c:v>
                </c:pt>
                <c:pt idx="1">
                  <c:v>16.7</c:v>
                </c:pt>
                <c:pt idx="2">
                  <c:v>19.499999999999996</c:v>
                </c:pt>
                <c:pt idx="3">
                  <c:v>22.2</c:v>
                </c:pt>
                <c:pt idx="4">
                  <c:v>24.3</c:v>
                </c:pt>
                <c:pt idx="5">
                  <c:v>26.000000000000004</c:v>
                </c:pt>
                <c:pt idx="6">
                  <c:v>27.4</c:v>
                </c:pt>
                <c:pt idx="7">
                  <c:v>28.6</c:v>
                </c:pt>
                <c:pt idx="8">
                  <c:v>29.8</c:v>
                </c:pt>
                <c:pt idx="9">
                  <c:v>29.8</c:v>
                </c:pt>
                <c:pt idx="10">
                  <c:v>29.8</c:v>
                </c:pt>
              </c:numCache>
            </c:numRef>
          </c:val>
          <c:smooth val="0"/>
        </c:ser>
        <c:dLbls>
          <c:showLegendKey val="0"/>
          <c:showVal val="0"/>
          <c:showCatName val="0"/>
          <c:showSerName val="0"/>
          <c:showPercent val="0"/>
          <c:showBubbleSize val="0"/>
        </c:dLbls>
        <c:smooth val="0"/>
        <c:axId val="279801728"/>
        <c:axId val="279802120"/>
      </c:lineChart>
      <c:catAx>
        <c:axId val="27980172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79802120"/>
        <c:crosses val="autoZero"/>
        <c:auto val="1"/>
        <c:lblAlgn val="ctr"/>
        <c:lblOffset val="100"/>
        <c:tickLblSkip val="1"/>
        <c:tickMarkSkip val="1"/>
        <c:noMultiLvlLbl val="0"/>
      </c:catAx>
      <c:valAx>
        <c:axId val="279802120"/>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52E-2"/>
              <c:y val="0.3345138107736571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279801728"/>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5280874732116"/>
          <c:y val="5.1400554097404488E-2"/>
          <c:w val="0.7416639544241157"/>
          <c:h val="0.79891749094343212"/>
        </c:manualLayout>
      </c:layout>
      <c:barChart>
        <c:barDir val="col"/>
        <c:grouping val="clustered"/>
        <c:varyColors val="0"/>
        <c:ser>
          <c:idx val="1"/>
          <c:order val="1"/>
          <c:tx>
            <c:strRef>
              <c:f>ReportFigures!$I$215</c:f>
              <c:strCache>
                <c:ptCount val="1"/>
                <c:pt idx="0">
                  <c:v>Alt. 1</c:v>
                </c:pt>
              </c:strCache>
            </c:strRef>
          </c:tx>
          <c:spPr>
            <a:solidFill>
              <a:schemeClr val="tx2">
                <a:lumMod val="60000"/>
                <a:lumOff val="40000"/>
              </a:schemeClr>
            </a:solidFill>
          </c:spPr>
          <c:invertIfNegative val="0"/>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ReportFigures!$J$215:$T$215</c:f>
              <c:numCache>
                <c:formatCode>General</c:formatCode>
                <c:ptCount val="11"/>
                <c:pt idx="0">
                  <c:v>0</c:v>
                </c:pt>
                <c:pt idx="1">
                  <c:v>7.2</c:v>
                </c:pt>
                <c:pt idx="2">
                  <c:v>7.2</c:v>
                </c:pt>
                <c:pt idx="3">
                  <c:v>7.2</c:v>
                </c:pt>
                <c:pt idx="4">
                  <c:v>7.2</c:v>
                </c:pt>
                <c:pt idx="5">
                  <c:v>7.2</c:v>
                </c:pt>
                <c:pt idx="6">
                  <c:v>7.2</c:v>
                </c:pt>
                <c:pt idx="7">
                  <c:v>7.2</c:v>
                </c:pt>
                <c:pt idx="8">
                  <c:v>9.5</c:v>
                </c:pt>
                <c:pt idx="9">
                  <c:v>9.5</c:v>
                </c:pt>
                <c:pt idx="10">
                  <c:v>9.5</c:v>
                </c:pt>
              </c:numCache>
            </c:numRef>
          </c:val>
        </c:ser>
        <c:ser>
          <c:idx val="2"/>
          <c:order val="2"/>
          <c:tx>
            <c:strRef>
              <c:f>ReportFigures!$I$216</c:f>
              <c:strCache>
                <c:ptCount val="1"/>
                <c:pt idx="0">
                  <c:v>Alt. 2</c:v>
                </c:pt>
              </c:strCache>
            </c:strRef>
          </c:tx>
          <c:spPr>
            <a:solidFill>
              <a:srgbClr val="92D050"/>
            </a:solidFill>
          </c:spPr>
          <c:invertIfNegative val="0"/>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ReportFigures!$J$216:$T$216</c:f>
              <c:numCache>
                <c:formatCode>General</c:formatCode>
                <c:ptCount val="11"/>
                <c:pt idx="0">
                  <c:v>0</c:v>
                </c:pt>
                <c:pt idx="1">
                  <c:v>0</c:v>
                </c:pt>
                <c:pt idx="2">
                  <c:v>0</c:v>
                </c:pt>
                <c:pt idx="3">
                  <c:v>0</c:v>
                </c:pt>
                <c:pt idx="4">
                  <c:v>9.5</c:v>
                </c:pt>
                <c:pt idx="5">
                  <c:v>9.5</c:v>
                </c:pt>
                <c:pt idx="6">
                  <c:v>9.5</c:v>
                </c:pt>
                <c:pt idx="7">
                  <c:v>9.5</c:v>
                </c:pt>
                <c:pt idx="8">
                  <c:v>9.5</c:v>
                </c:pt>
                <c:pt idx="9">
                  <c:v>9.5</c:v>
                </c:pt>
                <c:pt idx="10">
                  <c:v>9.5</c:v>
                </c:pt>
              </c:numCache>
            </c:numRef>
          </c:val>
        </c:ser>
        <c:ser>
          <c:idx val="3"/>
          <c:order val="3"/>
          <c:tx>
            <c:strRef>
              <c:f>ReportFigures!$I$217</c:f>
              <c:strCache>
                <c:ptCount val="1"/>
                <c:pt idx="0">
                  <c:v>Alt. 3</c:v>
                </c:pt>
              </c:strCache>
            </c:strRef>
          </c:tx>
          <c:invertIfNegative val="0"/>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ReportFigures!$J$217:$T$217</c:f>
              <c:numCache>
                <c:formatCode>General</c:formatCode>
                <c:ptCount val="11"/>
                <c:pt idx="0">
                  <c:v>0</c:v>
                </c:pt>
                <c:pt idx="1">
                  <c:v>0</c:v>
                </c:pt>
                <c:pt idx="2">
                  <c:v>0</c:v>
                </c:pt>
                <c:pt idx="3">
                  <c:v>0</c:v>
                </c:pt>
                <c:pt idx="4">
                  <c:v>0</c:v>
                </c:pt>
                <c:pt idx="5">
                  <c:v>9.5</c:v>
                </c:pt>
                <c:pt idx="6">
                  <c:v>9.5</c:v>
                </c:pt>
                <c:pt idx="7">
                  <c:v>9.5</c:v>
                </c:pt>
                <c:pt idx="8">
                  <c:v>9.5</c:v>
                </c:pt>
                <c:pt idx="9">
                  <c:v>9.5</c:v>
                </c:pt>
                <c:pt idx="10">
                  <c:v>9.5</c:v>
                </c:pt>
              </c:numCache>
            </c:numRef>
          </c:val>
        </c:ser>
        <c:ser>
          <c:idx val="4"/>
          <c:order val="4"/>
          <c:tx>
            <c:strRef>
              <c:f>ReportFigures!$I$218</c:f>
              <c:strCache>
                <c:ptCount val="1"/>
                <c:pt idx="0">
                  <c:v>Alt. 4</c:v>
                </c:pt>
              </c:strCache>
            </c:strRef>
          </c:tx>
          <c:invertIfNegative val="0"/>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ReportFigures!$J$218:$T$218</c:f>
              <c:numCache>
                <c:formatCode>General</c:formatCode>
                <c:ptCount val="11"/>
                <c:pt idx="0">
                  <c:v>0</c:v>
                </c:pt>
                <c:pt idx="1">
                  <c:v>0</c:v>
                </c:pt>
                <c:pt idx="2">
                  <c:v>0</c:v>
                </c:pt>
                <c:pt idx="3">
                  <c:v>0</c:v>
                </c:pt>
                <c:pt idx="4">
                  <c:v>9.5</c:v>
                </c:pt>
                <c:pt idx="5">
                  <c:v>9.5</c:v>
                </c:pt>
                <c:pt idx="6">
                  <c:v>9.5</c:v>
                </c:pt>
                <c:pt idx="7">
                  <c:v>9.5</c:v>
                </c:pt>
                <c:pt idx="8">
                  <c:v>9.5</c:v>
                </c:pt>
                <c:pt idx="9">
                  <c:v>9.5</c:v>
                </c:pt>
                <c:pt idx="10">
                  <c:v>9.5</c:v>
                </c:pt>
              </c:numCache>
            </c:numRef>
          </c:val>
        </c:ser>
        <c:ser>
          <c:idx val="5"/>
          <c:order val="5"/>
          <c:tx>
            <c:strRef>
              <c:f>ReportFigures!$I$219</c:f>
              <c:strCache>
                <c:ptCount val="1"/>
                <c:pt idx="0">
                  <c:v>Alt. 5</c:v>
                </c:pt>
              </c:strCache>
            </c:strRef>
          </c:tx>
          <c:invertIfNegative val="0"/>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ReportFigures!$J$219:$T$219</c:f>
              <c:numCache>
                <c:formatCode>General</c:formatCode>
                <c:ptCount val="11"/>
                <c:pt idx="0">
                  <c:v>0</c:v>
                </c:pt>
                <c:pt idx="1">
                  <c:v>0</c:v>
                </c:pt>
                <c:pt idx="2">
                  <c:v>0</c:v>
                </c:pt>
                <c:pt idx="3">
                  <c:v>0</c:v>
                </c:pt>
                <c:pt idx="4">
                  <c:v>0</c:v>
                </c:pt>
                <c:pt idx="5">
                  <c:v>2.9</c:v>
                </c:pt>
                <c:pt idx="6">
                  <c:v>9.5</c:v>
                </c:pt>
                <c:pt idx="7">
                  <c:v>9.5</c:v>
                </c:pt>
                <c:pt idx="8">
                  <c:v>9.5</c:v>
                </c:pt>
                <c:pt idx="9">
                  <c:v>9.5</c:v>
                </c:pt>
                <c:pt idx="10">
                  <c:v>9.5</c:v>
                </c:pt>
              </c:numCache>
            </c:numRef>
          </c:val>
        </c:ser>
        <c:dLbls>
          <c:showLegendKey val="0"/>
          <c:showVal val="0"/>
          <c:showCatName val="0"/>
          <c:showSerName val="0"/>
          <c:showPercent val="0"/>
          <c:showBubbleSize val="0"/>
        </c:dLbls>
        <c:gapWidth val="26"/>
        <c:axId val="279142208"/>
        <c:axId val="279142600"/>
      </c:barChart>
      <c:lineChart>
        <c:grouping val="standard"/>
        <c:varyColors val="0"/>
        <c:ser>
          <c:idx val="0"/>
          <c:order val="0"/>
          <c:tx>
            <c:strRef>
              <c:f>ReportFigures!$I$214</c:f>
              <c:strCache>
                <c:ptCount val="1"/>
                <c:pt idx="0">
                  <c:v>Need</c:v>
                </c:pt>
              </c:strCache>
            </c:strRef>
          </c:tx>
          <c:spPr>
            <a:ln>
              <a:solidFill>
                <a:srgbClr val="7E0000"/>
              </a:solidFill>
            </a:ln>
          </c:spPr>
          <c:marker>
            <c:symbol val="none"/>
          </c:marker>
          <c:cat>
            <c:numRef>
              <c:f>ReportFigures!$J$213:$T$213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ReportFigures!$J$214:$T$214</c:f>
              <c:numCache>
                <c:formatCode>0.0</c:formatCode>
                <c:ptCount val="11"/>
                <c:pt idx="0">
                  <c:v>0</c:v>
                </c:pt>
                <c:pt idx="1">
                  <c:v>0</c:v>
                </c:pt>
                <c:pt idx="2">
                  <c:v>0</c:v>
                </c:pt>
                <c:pt idx="3">
                  <c:v>0</c:v>
                </c:pt>
                <c:pt idx="4">
                  <c:v>0</c:v>
                </c:pt>
                <c:pt idx="5">
                  <c:v>2.8000000000000043</c:v>
                </c:pt>
                <c:pt idx="6">
                  <c:v>5.2999999999999972</c:v>
                </c:pt>
                <c:pt idx="7">
                  <c:v>7.1499999999999986</c:v>
                </c:pt>
                <c:pt idx="8">
                  <c:v>8.8199999999999967</c:v>
                </c:pt>
                <c:pt idx="9">
                  <c:v>9.1750000000000025</c:v>
                </c:pt>
                <c:pt idx="10">
                  <c:v>9.5299999999999994</c:v>
                </c:pt>
              </c:numCache>
            </c:numRef>
          </c:val>
          <c:smooth val="0"/>
        </c:ser>
        <c:dLbls>
          <c:showLegendKey val="0"/>
          <c:showVal val="0"/>
          <c:showCatName val="0"/>
          <c:showSerName val="0"/>
          <c:showPercent val="0"/>
          <c:showBubbleSize val="0"/>
        </c:dLbls>
        <c:marker val="1"/>
        <c:smooth val="0"/>
        <c:axId val="279142208"/>
        <c:axId val="279142600"/>
      </c:lineChart>
      <c:catAx>
        <c:axId val="279142208"/>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279142600"/>
        <c:crosses val="autoZero"/>
        <c:auto val="1"/>
        <c:lblAlgn val="ctr"/>
        <c:lblOffset val="100"/>
        <c:noMultiLvlLbl val="0"/>
      </c:catAx>
      <c:valAx>
        <c:axId val="279142600"/>
        <c:scaling>
          <c:orientation val="minMax"/>
        </c:scaling>
        <c:delete val="0"/>
        <c:axPos val="l"/>
        <c:majorGridlines/>
        <c:title>
          <c:tx>
            <c:rich>
              <a:bodyPr rot="-5400000" vert="horz"/>
              <a:lstStyle/>
              <a:p>
                <a:pPr>
                  <a:defRPr/>
                </a:pPr>
                <a:r>
                  <a:rPr lang="en-US"/>
                  <a:t>Need/Supply</a:t>
                </a:r>
                <a:r>
                  <a:rPr lang="en-US" baseline="0"/>
                  <a:t> (MGD)</a:t>
                </a:r>
                <a:endParaRPr lang="en-US"/>
              </a:p>
            </c:rich>
          </c:tx>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279142208"/>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overlay val="0"/>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206019922995E-2"/>
          <c:y val="5.1400554097404488E-2"/>
          <c:w val="0.68595036593360359"/>
          <c:h val="0.79891749094343212"/>
        </c:manualLayout>
      </c:layout>
      <c:barChart>
        <c:barDir val="col"/>
        <c:grouping val="stacked"/>
        <c:varyColors val="0"/>
        <c:ser>
          <c:idx val="1"/>
          <c:order val="1"/>
          <c:tx>
            <c:strRef>
              <c:f>ReportFigures!$I$152</c:f>
              <c:strCache>
                <c:ptCount val="1"/>
                <c:pt idx="0">
                  <c:v>Existing Demand</c:v>
                </c:pt>
              </c:strCache>
            </c:strRef>
          </c:tx>
          <c:spPr>
            <a:solidFill>
              <a:schemeClr val="accent5">
                <a:lumMod val="75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ReportFigures!$J$152:$T$152</c:f>
              <c:numCache>
                <c:formatCode>General</c:formatCode>
                <c:ptCount val="11"/>
                <c:pt idx="0">
                  <c:v>18.400000000000002</c:v>
                </c:pt>
                <c:pt idx="1">
                  <c:v>18.400000000000002</c:v>
                </c:pt>
                <c:pt idx="2">
                  <c:v>18.400000000000002</c:v>
                </c:pt>
                <c:pt idx="3">
                  <c:v>18.400000000000002</c:v>
                </c:pt>
                <c:pt idx="4">
                  <c:v>18.400000000000002</c:v>
                </c:pt>
                <c:pt idx="5">
                  <c:v>18.400000000000002</c:v>
                </c:pt>
                <c:pt idx="6">
                  <c:v>18.400000000000002</c:v>
                </c:pt>
                <c:pt idx="7">
                  <c:v>18.400000000000002</c:v>
                </c:pt>
                <c:pt idx="8">
                  <c:v>18.400000000000002</c:v>
                </c:pt>
                <c:pt idx="9">
                  <c:v>18.400000000000002</c:v>
                </c:pt>
                <c:pt idx="10">
                  <c:v>18.400000000000002</c:v>
                </c:pt>
              </c:numCache>
            </c:numRef>
          </c:val>
        </c:ser>
        <c:ser>
          <c:idx val="2"/>
          <c:order val="2"/>
          <c:tx>
            <c:strRef>
              <c:f>ReportFigures!$I$153</c:f>
              <c:strCache>
                <c:ptCount val="1"/>
                <c:pt idx="0">
                  <c:v>Currently Supportable Demand</c:v>
                </c:pt>
              </c:strCache>
            </c:strRef>
          </c:tx>
          <c:spPr>
            <a:solidFill>
              <a:schemeClr val="tx2">
                <a:lumMod val="40000"/>
                <a:lumOff val="60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ReportFigures!$J$153:$T$153</c:f>
              <c:numCache>
                <c:formatCode>0.0</c:formatCode>
                <c:ptCount val="11"/>
                <c:pt idx="0">
                  <c:v>0</c:v>
                </c:pt>
                <c:pt idx="1">
                  <c:v>2.4999999999999964</c:v>
                </c:pt>
                <c:pt idx="2">
                  <c:v>6.5999999999999943</c:v>
                </c:pt>
                <c:pt idx="3">
                  <c:v>10.399999999999995</c:v>
                </c:pt>
                <c:pt idx="4">
                  <c:v>13.499999999999996</c:v>
                </c:pt>
                <c:pt idx="5">
                  <c:v>13.599999999999998</c:v>
                </c:pt>
                <c:pt idx="6">
                  <c:v>13.599999999999998</c:v>
                </c:pt>
                <c:pt idx="7">
                  <c:v>13.599999999999998</c:v>
                </c:pt>
                <c:pt idx="8">
                  <c:v>13.599999999999998</c:v>
                </c:pt>
                <c:pt idx="9">
                  <c:v>13.599999999999998</c:v>
                </c:pt>
                <c:pt idx="10">
                  <c:v>13.599999999999998</c:v>
                </c:pt>
              </c:numCache>
            </c:numRef>
          </c:val>
        </c:ser>
        <c:ser>
          <c:idx val="3"/>
          <c:order val="3"/>
          <c:tx>
            <c:strRef>
              <c:f>ReportFigures!$I$154</c:f>
              <c:strCache>
                <c:ptCount val="1"/>
                <c:pt idx="0">
                  <c:v>Projected Need</c:v>
                </c:pt>
              </c:strCache>
            </c:strRef>
          </c:tx>
          <c:spPr>
            <a:solidFill>
              <a:schemeClr val="accent2">
                <a:lumMod val="75000"/>
              </a:schemeClr>
            </a:solidFill>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a:noFill/>
              </a:ln>
              <a:effectLst/>
            </c:spPr>
            <c:txPr>
              <a:bodyPr anchor="t" anchorCtr="0"/>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ReportFigures!$J$154:$T$154</c:f>
              <c:numCache>
                <c:formatCode>0.0</c:formatCode>
                <c:ptCount val="11"/>
                <c:pt idx="0">
                  <c:v>0</c:v>
                </c:pt>
                <c:pt idx="1">
                  <c:v>0</c:v>
                </c:pt>
                <c:pt idx="2">
                  <c:v>0</c:v>
                </c:pt>
                <c:pt idx="3">
                  <c:v>0</c:v>
                </c:pt>
                <c:pt idx="4">
                  <c:v>0</c:v>
                </c:pt>
                <c:pt idx="5">
                  <c:v>2.8000000000000043</c:v>
                </c:pt>
                <c:pt idx="6">
                  <c:v>5.2999999999999972</c:v>
                </c:pt>
                <c:pt idx="7">
                  <c:v>7.1499999999999986</c:v>
                </c:pt>
                <c:pt idx="8">
                  <c:v>8.7999999999999972</c:v>
                </c:pt>
                <c:pt idx="9">
                  <c:v>9.1000000000000014</c:v>
                </c:pt>
                <c:pt idx="10">
                  <c:v>9.3999999999999986</c:v>
                </c:pt>
              </c:numCache>
            </c:numRef>
          </c:val>
        </c:ser>
        <c:dLbls>
          <c:showLegendKey val="0"/>
          <c:showVal val="0"/>
          <c:showCatName val="0"/>
          <c:showSerName val="0"/>
          <c:showPercent val="0"/>
          <c:showBubbleSize val="0"/>
        </c:dLbls>
        <c:gapWidth val="26"/>
        <c:overlap val="100"/>
        <c:axId val="279143384"/>
        <c:axId val="279143776"/>
      </c:barChart>
      <c:lineChart>
        <c:grouping val="standard"/>
        <c:varyColors val="0"/>
        <c:ser>
          <c:idx val="0"/>
          <c:order val="0"/>
          <c:tx>
            <c:strRef>
              <c:f>ReportFigures!$I$151</c:f>
              <c:strCache>
                <c:ptCount val="1"/>
                <c:pt idx="0">
                  <c:v>Current Supply</c:v>
                </c:pt>
              </c:strCache>
            </c:strRef>
          </c:tx>
          <c:spPr>
            <a:ln w="34925" cap="sq">
              <a:solidFill>
                <a:schemeClr val="tx2">
                  <a:lumMod val="75000"/>
                </a:schemeClr>
              </a:solidFill>
            </a:ln>
            <a:effectLst>
              <a:glow rad="38100">
                <a:schemeClr val="accent5">
                  <a:satMod val="175000"/>
                  <a:alpha val="40000"/>
                </a:schemeClr>
              </a:glow>
            </a:effectLst>
          </c:spPr>
          <c:marker>
            <c:symbol val="none"/>
          </c:marker>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ReportFigures!$J$151:$T$151</c:f>
              <c:numCache>
                <c:formatCode>0.0</c:formatCode>
                <c:ptCount val="11"/>
                <c:pt idx="0">
                  <c:v>32</c:v>
                </c:pt>
                <c:pt idx="1">
                  <c:v>32</c:v>
                </c:pt>
                <c:pt idx="2">
                  <c:v>32</c:v>
                </c:pt>
                <c:pt idx="3">
                  <c:v>32</c:v>
                </c:pt>
                <c:pt idx="4">
                  <c:v>32</c:v>
                </c:pt>
                <c:pt idx="5">
                  <c:v>32</c:v>
                </c:pt>
                <c:pt idx="6">
                  <c:v>32</c:v>
                </c:pt>
                <c:pt idx="7">
                  <c:v>32</c:v>
                </c:pt>
                <c:pt idx="8">
                  <c:v>32</c:v>
                </c:pt>
                <c:pt idx="9">
                  <c:v>32</c:v>
                </c:pt>
                <c:pt idx="10">
                  <c:v>32</c:v>
                </c:pt>
              </c:numCache>
            </c:numRef>
          </c:val>
          <c:smooth val="0"/>
        </c:ser>
        <c:dLbls>
          <c:showLegendKey val="0"/>
          <c:showVal val="0"/>
          <c:showCatName val="0"/>
          <c:showSerName val="0"/>
          <c:showPercent val="0"/>
          <c:showBubbleSize val="0"/>
        </c:dLbls>
        <c:marker val="1"/>
        <c:smooth val="0"/>
        <c:axId val="279143384"/>
        <c:axId val="279143776"/>
      </c:lineChart>
      <c:catAx>
        <c:axId val="279143384"/>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279143776"/>
        <c:crosses val="autoZero"/>
        <c:auto val="1"/>
        <c:lblAlgn val="ctr"/>
        <c:lblOffset val="100"/>
        <c:noMultiLvlLbl val="0"/>
      </c:catAx>
      <c:valAx>
        <c:axId val="279143776"/>
        <c:scaling>
          <c:orientation val="minMax"/>
        </c:scaling>
        <c:delete val="0"/>
        <c:axPos val="l"/>
        <c:majorGridlines/>
        <c:title>
          <c:tx>
            <c:rich>
              <a:bodyPr rot="-5400000" vert="horz"/>
              <a:lstStyle/>
              <a:p>
                <a:pPr>
                  <a:defRPr/>
                </a:pPr>
                <a:r>
                  <a:rPr lang="en-US"/>
                  <a:t>Demand/Supply</a:t>
                </a:r>
                <a:r>
                  <a:rPr lang="en-US" baseline="0"/>
                  <a:t> (MGD)</a:t>
                </a:r>
                <a:endParaRPr lang="en-US"/>
              </a:p>
            </c:rich>
          </c:tx>
          <c:layout>
            <c:manualLayout>
              <c:xMode val="edge"/>
              <c:yMode val="edge"/>
              <c:x val="1.5953411962979971E-2"/>
              <c:y val="0.21075309337567594"/>
            </c:manualLayout>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279143384"/>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manualLayout>
          <c:xMode val="edge"/>
          <c:yMode val="edge"/>
          <c:x val="0.78244998799326559"/>
          <c:y val="8.5694006424563374E-2"/>
          <c:w val="0.20301604591817771"/>
          <c:h val="0.800733190402666"/>
        </c:manualLayout>
      </c:layout>
      <c:overlay val="0"/>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86561679790021E-2"/>
          <c:y val="6.5758556818198324E-2"/>
          <c:w val="0.68867777397390562"/>
          <c:h val="0.76842258991328549"/>
        </c:manualLayout>
      </c:layout>
      <c:barChart>
        <c:barDir val="col"/>
        <c:grouping val="stacked"/>
        <c:varyColors val="0"/>
        <c:ser>
          <c:idx val="0"/>
          <c:order val="0"/>
          <c:tx>
            <c:strRef>
              <c:f>DemandTables!$B$39</c:f>
              <c:strCache>
                <c:ptCount val="1"/>
                <c:pt idx="0">
                  <c:v>Residential</c:v>
                </c:pt>
              </c:strCache>
            </c:strRef>
          </c:tx>
          <c:spPr>
            <a:effectLst>
              <a:outerShdw blurRad="38100" dist="25400" algn="l" rotWithShape="0">
                <a:prstClr val="black">
                  <a:alpha val="40000"/>
                </a:prstClr>
              </a:outerShdw>
            </a:effectLst>
          </c:spPr>
          <c:invertIfNegative val="0"/>
          <c:val>
            <c:numRef>
              <c:f>'Population&amp;Demand Projections'!$AT$16:$BD$16</c:f>
              <c:numCache>
                <c:formatCode>General</c:formatCode>
                <c:ptCount val="11"/>
                <c:pt idx="0">
                  <c:v>0.89999999999999991</c:v>
                </c:pt>
                <c:pt idx="1">
                  <c:v>1.1000000000000001</c:v>
                </c:pt>
                <c:pt idx="2">
                  <c:v>1.2000000000000002</c:v>
                </c:pt>
                <c:pt idx="3">
                  <c:v>1.4</c:v>
                </c:pt>
                <c:pt idx="4">
                  <c:v>1.4</c:v>
                </c:pt>
                <c:pt idx="5">
                  <c:v>1.5</c:v>
                </c:pt>
                <c:pt idx="6">
                  <c:v>1.5</c:v>
                </c:pt>
                <c:pt idx="7">
                  <c:v>1.5500000000000003</c:v>
                </c:pt>
                <c:pt idx="8">
                  <c:v>1.6</c:v>
                </c:pt>
                <c:pt idx="9">
                  <c:v>1.6500000000000004</c:v>
                </c:pt>
                <c:pt idx="10">
                  <c:v>1.7000000000000002</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1"/>
          <c:order val="1"/>
          <c:tx>
            <c:strRef>
              <c:f>DemandTables!$C$41</c:f>
              <c:strCache>
                <c:ptCount val="1"/>
                <c:pt idx="0">
                  <c:v>Commercial</c:v>
                </c:pt>
              </c:strCache>
            </c:strRef>
          </c:tx>
          <c:spPr>
            <a:effectLst>
              <a:outerShdw blurRad="38100" dist="25400" rotWithShape="0">
                <a:srgbClr val="000000">
                  <a:alpha val="40000"/>
                </a:srgbClr>
              </a:outerShdw>
            </a:effectLst>
          </c:spPr>
          <c:invertIfNegative val="0"/>
          <c:val>
            <c:numRef>
              <c:f>DemandTables!$D$41:$N$41</c:f>
              <c:numCache>
                <c:formatCode>0.00</c:formatCode>
                <c:ptCount val="11"/>
                <c:pt idx="0">
                  <c:v>0.4</c:v>
                </c:pt>
                <c:pt idx="1">
                  <c:v>0.5</c:v>
                </c:pt>
                <c:pt idx="2">
                  <c:v>0.8</c:v>
                </c:pt>
                <c:pt idx="3">
                  <c:v>0.8</c:v>
                </c:pt>
                <c:pt idx="4">
                  <c:v>0.9</c:v>
                </c:pt>
                <c:pt idx="5">
                  <c:v>1</c:v>
                </c:pt>
                <c:pt idx="6">
                  <c:v>1.1000000000000001</c:v>
                </c:pt>
                <c:pt idx="7">
                  <c:v>1.1000000000000001</c:v>
                </c:pt>
                <c:pt idx="8">
                  <c:v>1.1000000000000001</c:v>
                </c:pt>
                <c:pt idx="9">
                  <c:v>1.1000000000000001</c:v>
                </c:pt>
                <c:pt idx="10">
                  <c:v>1.1000000000000001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2"/>
          <c:order val="2"/>
          <c:tx>
            <c:strRef>
              <c:f>DemandTables!$C$42</c:f>
              <c:strCache>
                <c:ptCount val="1"/>
                <c:pt idx="0">
                  <c:v>Industrial</c:v>
                </c:pt>
              </c:strCache>
            </c:strRef>
          </c:tx>
          <c:spPr>
            <a:gradFill flip="none" rotWithShape="1">
              <a:gsLst>
                <a:gs pos="0">
                  <a:srgbClr val="C7C323"/>
                </a:gs>
                <a:gs pos="34000">
                  <a:srgbClr val="DEDE46"/>
                </a:gs>
                <a:gs pos="100000">
                  <a:srgbClr val="E5E25C"/>
                </a:gs>
              </a:gsLst>
              <a:lin ang="16200000" scaled="1"/>
              <a:tileRect/>
            </a:gradFill>
            <a:effectLst>
              <a:outerShdw blurRad="38100" dist="25400" algn="l" rotWithShape="0">
                <a:prstClr val="black">
                  <a:alpha val="40000"/>
                </a:prstClr>
              </a:outerShdw>
            </a:effectLst>
          </c:spPr>
          <c:invertIfNegative val="0"/>
          <c:val>
            <c:numRef>
              <c:f>DemandTables!$D$42:$N$42</c:f>
              <c:numCache>
                <c:formatCode>0.00</c:formatCode>
                <c:ptCount val="11"/>
                <c:pt idx="0">
                  <c:v>0.01</c:v>
                </c:pt>
                <c:pt idx="1">
                  <c:v>0.02</c:v>
                </c:pt>
                <c:pt idx="2">
                  <c:v>0.03</c:v>
                </c:pt>
                <c:pt idx="3">
                  <c:v>0.04</c:v>
                </c:pt>
                <c:pt idx="4">
                  <c:v>6.0000000000000005E-2</c:v>
                </c:pt>
                <c:pt idx="5">
                  <c:v>0.1</c:v>
                </c:pt>
                <c:pt idx="6">
                  <c:v>0.1</c:v>
                </c:pt>
                <c:pt idx="7">
                  <c:v>0.1</c:v>
                </c:pt>
                <c:pt idx="8">
                  <c:v>0.1</c:v>
                </c:pt>
                <c:pt idx="9">
                  <c:v>0.1</c:v>
                </c:pt>
                <c:pt idx="10">
                  <c:v>0.1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3"/>
          <c:order val="3"/>
          <c:tx>
            <c:strRef>
              <c:f>DemandTables!$C$43</c:f>
              <c:strCache>
                <c:ptCount val="1"/>
                <c:pt idx="0">
                  <c:v>Institutional</c:v>
                </c:pt>
              </c:strCache>
            </c:strRef>
          </c:tx>
          <c:spPr>
            <a:effectLst>
              <a:outerShdw blurRad="38100" dist="25400" algn="l" rotWithShape="0">
                <a:prstClr val="black">
                  <a:alpha val="40000"/>
                </a:prstClr>
              </a:outerShdw>
            </a:effectLst>
          </c:spPr>
          <c:invertIfNegative val="0"/>
          <c:val>
            <c:numRef>
              <c:f>DemandTables!$D$43:$N$43</c:f>
              <c:numCache>
                <c:formatCode>0.00</c:formatCode>
                <c:ptCount val="11"/>
                <c:pt idx="0">
                  <c:v>0.01</c:v>
                </c:pt>
                <c:pt idx="1">
                  <c:v>0.01</c:v>
                </c:pt>
                <c:pt idx="2">
                  <c:v>0.01</c:v>
                </c:pt>
                <c:pt idx="3">
                  <c:v>0.01</c:v>
                </c:pt>
                <c:pt idx="4">
                  <c:v>0.02</c:v>
                </c:pt>
                <c:pt idx="5">
                  <c:v>0.02</c:v>
                </c:pt>
                <c:pt idx="6">
                  <c:v>0.02</c:v>
                </c:pt>
                <c:pt idx="7">
                  <c:v>0.02</c:v>
                </c:pt>
                <c:pt idx="8">
                  <c:v>0.02</c:v>
                </c:pt>
                <c:pt idx="9">
                  <c:v>2.5000000000000001E-2</c:v>
                </c:pt>
                <c:pt idx="10">
                  <c:v>0.03</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4"/>
          <c:order val="4"/>
          <c:tx>
            <c:strRef>
              <c:f>DemandTables!$C$44</c:f>
              <c:strCache>
                <c:ptCount val="1"/>
                <c:pt idx="0">
                  <c:v>Distribution Process</c:v>
                </c:pt>
              </c:strCache>
            </c:strRef>
          </c:tx>
          <c:spPr>
            <a:effectLst>
              <a:outerShdw blurRad="38100" dist="25400" algn="l" rotWithShape="0">
                <a:prstClr val="black">
                  <a:alpha val="40000"/>
                </a:prstClr>
              </a:outerShdw>
            </a:effectLst>
          </c:spPr>
          <c:invertIfNegative val="0"/>
          <c:val>
            <c:numRef>
              <c:f>DemandTables!$D$44:$N$44</c:f>
              <c:numCache>
                <c:formatCode>0.00</c:formatCode>
                <c:ptCount val="11"/>
                <c:pt idx="0">
                  <c:v>0</c:v>
                </c:pt>
                <c:pt idx="1">
                  <c:v>0</c:v>
                </c:pt>
                <c:pt idx="2">
                  <c:v>0</c:v>
                </c:pt>
                <c:pt idx="3">
                  <c:v>0</c:v>
                </c:pt>
                <c:pt idx="4">
                  <c:v>0</c:v>
                </c:pt>
                <c:pt idx="5">
                  <c:v>0.1</c:v>
                </c:pt>
                <c:pt idx="6">
                  <c:v>0.1</c:v>
                </c:pt>
                <c:pt idx="7">
                  <c:v>0.1</c:v>
                </c:pt>
                <c:pt idx="8">
                  <c:v>0.1</c:v>
                </c:pt>
                <c:pt idx="9">
                  <c:v>0.1</c:v>
                </c:pt>
                <c:pt idx="10">
                  <c:v>0.1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5"/>
          <c:order val="5"/>
          <c:tx>
            <c:strRef>
              <c:f>DemandTables!$C$45</c:f>
              <c:strCache>
                <c:ptCount val="1"/>
                <c:pt idx="0">
                  <c:v>WTP Process</c:v>
                </c:pt>
              </c:strCache>
            </c:strRef>
          </c:tx>
          <c:spPr>
            <a:gradFill flip="none" rotWithShape="1">
              <a:gsLst>
                <a:gs pos="0">
                  <a:schemeClr val="accent5">
                    <a:lumMod val="60000"/>
                    <a:lumOff val="40000"/>
                  </a:schemeClr>
                </a:gs>
                <a:gs pos="34000">
                  <a:srgbClr val="7CC3D6"/>
                </a:gs>
                <a:gs pos="100000">
                  <a:srgbClr val="9CD1E0"/>
                </a:gs>
              </a:gsLst>
              <a:lin ang="16200000" scaled="1"/>
              <a:tileRect/>
            </a:gradFill>
            <a:effectLst>
              <a:outerShdw blurRad="38100" dist="25400" algn="l" rotWithShape="0">
                <a:prstClr val="black">
                  <a:alpha val="40000"/>
                </a:prstClr>
              </a:outerShdw>
            </a:effectLst>
          </c:spPr>
          <c:invertIfNegative val="0"/>
          <c:val>
            <c:numRef>
              <c:f>DemandTables!$D$45:$N$45</c:f>
              <c:numCache>
                <c:formatCode>0.00</c:formatCode>
                <c:ptCount val="11"/>
                <c:pt idx="0">
                  <c:v>0.29999999999999982</c:v>
                </c:pt>
                <c:pt idx="1">
                  <c:v>0.29999999999999982</c:v>
                </c:pt>
                <c:pt idx="2">
                  <c:v>0.39999999999999991</c:v>
                </c:pt>
                <c:pt idx="3">
                  <c:v>0.39999999999999991</c:v>
                </c:pt>
                <c:pt idx="4">
                  <c:v>0.39999999999999991</c:v>
                </c:pt>
                <c:pt idx="5">
                  <c:v>0.49999999999999956</c:v>
                </c:pt>
                <c:pt idx="6">
                  <c:v>0.49999999999999956</c:v>
                </c:pt>
                <c:pt idx="7">
                  <c:v>0.49999999999999978</c:v>
                </c:pt>
                <c:pt idx="8">
                  <c:v>0.5</c:v>
                </c:pt>
                <c:pt idx="9">
                  <c:v>0.5</c:v>
                </c:pt>
                <c:pt idx="10">
                  <c:v>0.5</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ser>
          <c:idx val="6"/>
          <c:order val="6"/>
          <c:tx>
            <c:strRef>
              <c:f>DemandTables!$C$46</c:f>
              <c:strCache>
                <c:ptCount val="1"/>
                <c:pt idx="0">
                  <c:v>Other Non-Revenue</c:v>
                </c:pt>
              </c:strCache>
            </c:strRef>
          </c:tx>
          <c:spPr>
            <a:gradFill flip="none" rotWithShape="1">
              <a:gsLst>
                <a:gs pos="0">
                  <a:srgbClr val="F79B4F"/>
                </a:gs>
                <a:gs pos="34000">
                  <a:schemeClr val="accent6"/>
                </a:gs>
                <a:gs pos="100000">
                  <a:schemeClr val="accent6">
                    <a:lumMod val="75000"/>
                  </a:schemeClr>
                </a:gs>
              </a:gsLst>
              <a:lin ang="5400000" scaled="1"/>
              <a:tileRect/>
            </a:gradFill>
            <a:effectLst>
              <a:outerShdw blurRad="38100" dist="25400" algn="l" rotWithShape="0">
                <a:prstClr val="black">
                  <a:alpha val="40000"/>
                </a:prstClr>
              </a:outerShdw>
            </a:effectLst>
          </c:spPr>
          <c:invertIfNegative val="0"/>
          <c:val>
            <c:numRef>
              <c:f>DemandTables!$D$46:$N$46</c:f>
              <c:numCache>
                <c:formatCode>0.00</c:formatCode>
                <c:ptCount val="11"/>
                <c:pt idx="0">
                  <c:v>0.1</c:v>
                </c:pt>
                <c:pt idx="1">
                  <c:v>0.1</c:v>
                </c:pt>
                <c:pt idx="2">
                  <c:v>0.1</c:v>
                </c:pt>
                <c:pt idx="3">
                  <c:v>0.1</c:v>
                </c:pt>
                <c:pt idx="4">
                  <c:v>0.1</c:v>
                </c:pt>
                <c:pt idx="5">
                  <c:v>0.1</c:v>
                </c:pt>
                <c:pt idx="6">
                  <c:v>0.1</c:v>
                </c:pt>
                <c:pt idx="7">
                  <c:v>0.1</c:v>
                </c:pt>
                <c:pt idx="8">
                  <c:v>0.1</c:v>
                </c:pt>
                <c:pt idx="9">
                  <c:v>0.1</c:v>
                </c:pt>
                <c:pt idx="10">
                  <c:v>0.1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15:cat>
              </c15:filteredCategoryTitle>
            </c:ext>
          </c:extLst>
        </c:ser>
        <c:dLbls>
          <c:showLegendKey val="0"/>
          <c:showVal val="0"/>
          <c:showCatName val="0"/>
          <c:showSerName val="0"/>
          <c:showPercent val="0"/>
          <c:showBubbleSize val="0"/>
        </c:dLbls>
        <c:gapWidth val="49"/>
        <c:overlap val="100"/>
        <c:axId val="279144560"/>
        <c:axId val="279144952"/>
      </c:barChart>
      <c:lineChart>
        <c:grouping val="standard"/>
        <c:varyColors val="0"/>
        <c:ser>
          <c:idx val="7"/>
          <c:order val="7"/>
          <c:tx>
            <c:strRef>
              <c:f>DemandTables!$B$47</c:f>
              <c:strCache>
                <c:ptCount val="1"/>
                <c:pt idx="0">
                  <c:v>TOTAL</c:v>
                </c:pt>
              </c:strCache>
            </c:strRef>
          </c:tx>
          <c:spPr>
            <a:ln>
              <a:solidFill>
                <a:schemeClr val="accent1">
                  <a:alpha val="0"/>
                </a:schemeClr>
              </a:solidFill>
            </a:ln>
          </c:spPr>
          <c:marker>
            <c:symbol val="none"/>
          </c:marker>
          <c:dLbls>
            <c:dLbl>
              <c:idx val="7"/>
              <c:numFmt formatCode="#,##0.0" sourceLinked="0"/>
              <c:spPr>
                <a:effectLst/>
                <a:scene3d>
                  <a:camera prst="orthographicFront"/>
                  <a:lightRig rig="threePt" dir="t"/>
                </a:scene3d>
                <a:sp3d>
                  <a:bevelT h="6350"/>
                </a:sp3d>
              </c:spPr>
              <c:txPr>
                <a:bodyPr/>
                <a:lstStyle/>
                <a:p>
                  <a:pPr>
                    <a:defRPr sz="1100" b="1" u="sng">
                      <a:solidFill>
                        <a:srgbClr val="002060"/>
                      </a:solidFill>
                      <a:latin typeface="Tw Cen MT Condensed" panose="020B0606020104020203" pitchFamily="34" charset="0"/>
                    </a:defRPr>
                  </a:pPr>
                  <a:endParaRPr lang="en-US"/>
                </a:p>
              </c:txPr>
              <c:dLblPos val="t"/>
              <c:showLegendKey val="0"/>
              <c:showVal val="1"/>
              <c:showCatName val="0"/>
              <c:showSerName val="0"/>
              <c:showPercent val="0"/>
              <c:showBubbleSize val="0"/>
            </c:dLbl>
            <c:dLbl>
              <c:idx val="10"/>
              <c:layout>
                <c:manualLayout>
                  <c:x val="-2.4505135324864806E-2"/>
                  <c:y val="-4.4724722842480955E-2"/>
                </c:manualLayout>
              </c:layout>
              <c:numFmt formatCode="#,##0.0" sourceLinked="0"/>
              <c:spPr>
                <a:effectLst/>
                <a:scene3d>
                  <a:camera prst="orthographicFront"/>
                  <a:lightRig rig="threePt" dir="t"/>
                </a:scene3d>
                <a:sp3d>
                  <a:bevelT h="6350"/>
                </a:sp3d>
              </c:spPr>
              <c:txPr>
                <a:bodyPr/>
                <a:lstStyle/>
                <a:p>
                  <a:pPr>
                    <a:defRPr sz="1100" b="1" u="sng">
                      <a:solidFill>
                        <a:srgbClr val="002060"/>
                      </a:solidFill>
                      <a:latin typeface="Tw Cen MT Condensed" panose="020B0606020104020203" pitchFamily="34" charset="0"/>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effectLst/>
              <a:scene3d>
                <a:camera prst="orthographicFront"/>
                <a:lightRig rig="threePt" dir="t"/>
              </a:scene3d>
              <a:sp3d>
                <a:bevelT h="6350"/>
              </a:sp3d>
            </c:spPr>
            <c:txPr>
              <a:bodyPr/>
              <a:lstStyle/>
              <a:p>
                <a:pPr>
                  <a:defRPr sz="1100" b="1">
                    <a:latin typeface="Tw Cen MT Condensed" panose="020B0606020104020203"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DemandTables!$D$47:$N$47</c:f>
              <c:numCache>
                <c:formatCode>0.00</c:formatCode>
                <c:ptCount val="11"/>
                <c:pt idx="0">
                  <c:v>1.7199999999999998</c:v>
                </c:pt>
                <c:pt idx="1">
                  <c:v>2.0299999999999998</c:v>
                </c:pt>
                <c:pt idx="2">
                  <c:v>2.5399999999999996</c:v>
                </c:pt>
                <c:pt idx="3">
                  <c:v>2.75</c:v>
                </c:pt>
                <c:pt idx="4">
                  <c:v>2.88</c:v>
                </c:pt>
                <c:pt idx="5">
                  <c:v>3.32</c:v>
                </c:pt>
                <c:pt idx="6">
                  <c:v>3.42</c:v>
                </c:pt>
                <c:pt idx="7">
                  <c:v>3.47</c:v>
                </c:pt>
                <c:pt idx="8">
                  <c:v>3.5200000000000005</c:v>
                </c:pt>
                <c:pt idx="9">
                  <c:v>3.5750000000000006</c:v>
                </c:pt>
                <c:pt idx="10">
                  <c:v>3.6300000000000003</c:v>
                </c:pt>
              </c:numCache>
            </c:numRef>
          </c:val>
          <c:smooth val="0"/>
        </c:ser>
        <c:dLbls>
          <c:showLegendKey val="0"/>
          <c:showVal val="0"/>
          <c:showCatName val="0"/>
          <c:showSerName val="0"/>
          <c:showPercent val="0"/>
          <c:showBubbleSize val="0"/>
        </c:dLbls>
        <c:marker val="1"/>
        <c:smooth val="0"/>
        <c:axId val="279145344"/>
        <c:axId val="279400448"/>
      </c:lineChart>
      <c:catAx>
        <c:axId val="279144560"/>
        <c:scaling>
          <c:orientation val="minMax"/>
        </c:scaling>
        <c:delete val="0"/>
        <c:axPos val="b"/>
        <c:numFmt formatCode="General" sourceLinked="1"/>
        <c:majorTickMark val="out"/>
        <c:minorTickMark val="none"/>
        <c:tickLblPos val="nextTo"/>
        <c:txPr>
          <a:bodyPr rot="-2700000"/>
          <a:lstStyle/>
          <a:p>
            <a:pPr>
              <a:defRPr sz="1200" b="1">
                <a:solidFill>
                  <a:schemeClr val="tx2">
                    <a:lumMod val="75000"/>
                  </a:schemeClr>
                </a:solidFill>
                <a:latin typeface="Tw Cen MT Condensed" panose="020B0606020104020203" pitchFamily="34" charset="0"/>
              </a:defRPr>
            </a:pPr>
            <a:endParaRPr lang="en-US"/>
          </a:p>
        </c:txPr>
        <c:crossAx val="279144952"/>
        <c:crosses val="autoZero"/>
        <c:auto val="1"/>
        <c:lblAlgn val="ctr"/>
        <c:lblOffset val="100"/>
        <c:noMultiLvlLbl val="0"/>
      </c:catAx>
      <c:valAx>
        <c:axId val="279144952"/>
        <c:scaling>
          <c:orientation val="minMax"/>
        </c:scaling>
        <c:delete val="0"/>
        <c:axPos val="l"/>
        <c:majorGridlines>
          <c:spPr>
            <a:ln>
              <a:solidFill>
                <a:schemeClr val="bg1">
                  <a:lumMod val="75000"/>
                  <a:alpha val="53000"/>
                </a:schemeClr>
              </a:solidFill>
            </a:ln>
          </c:spPr>
        </c:majorGridlines>
        <c:title>
          <c:tx>
            <c:rich>
              <a:bodyPr rot="-5400000" vert="horz"/>
              <a:lstStyle/>
              <a:p>
                <a:pPr>
                  <a:defRPr sz="1200">
                    <a:latin typeface="Tw Cen MT Condensed" panose="020B0606020104020203" pitchFamily="34" charset="0"/>
                  </a:defRPr>
                </a:pPr>
                <a:r>
                  <a:rPr lang="en-US" sz="1200">
                    <a:latin typeface="Tw Cen MT Condensed" panose="020B0606020104020203" pitchFamily="34" charset="0"/>
                  </a:rPr>
                  <a:t>Demand [MGD]</a:t>
                </a:r>
              </a:p>
            </c:rich>
          </c:tx>
          <c:layout>
            <c:manualLayout>
              <c:xMode val="edge"/>
              <c:yMode val="edge"/>
              <c:x val="0"/>
              <c:y val="0.32361621463983942"/>
            </c:manualLayout>
          </c:layout>
          <c:overlay val="0"/>
        </c:title>
        <c:numFmt formatCode="#,##0.0" sourceLinked="0"/>
        <c:majorTickMark val="out"/>
        <c:minorTickMark val="none"/>
        <c:tickLblPos val="nextTo"/>
        <c:txPr>
          <a:bodyPr/>
          <a:lstStyle/>
          <a:p>
            <a:pPr>
              <a:defRPr sz="1100" b="1">
                <a:latin typeface="Tw Cen MT Condensed" panose="020B0606020104020203" pitchFamily="34" charset="0"/>
              </a:defRPr>
            </a:pPr>
            <a:endParaRPr lang="en-US"/>
          </a:p>
        </c:txPr>
        <c:crossAx val="279144560"/>
        <c:crosses val="autoZero"/>
        <c:crossBetween val="between"/>
      </c:valAx>
      <c:catAx>
        <c:axId val="279145344"/>
        <c:scaling>
          <c:orientation val="minMax"/>
        </c:scaling>
        <c:delete val="1"/>
        <c:axPos val="b"/>
        <c:majorTickMark val="out"/>
        <c:minorTickMark val="none"/>
        <c:tickLblPos val="none"/>
        <c:crossAx val="279400448"/>
        <c:crosses val="autoZero"/>
        <c:auto val="1"/>
        <c:lblAlgn val="ctr"/>
        <c:lblOffset val="100"/>
        <c:noMultiLvlLbl val="0"/>
      </c:catAx>
      <c:valAx>
        <c:axId val="279400448"/>
        <c:scaling>
          <c:orientation val="minMax"/>
        </c:scaling>
        <c:delete val="1"/>
        <c:axPos val="r"/>
        <c:numFmt formatCode="0.00" sourceLinked="1"/>
        <c:majorTickMark val="out"/>
        <c:minorTickMark val="none"/>
        <c:tickLblPos val="none"/>
        <c:crossAx val="279145344"/>
        <c:crosses val="max"/>
        <c:crossBetween val="between"/>
      </c:valAx>
      <c:spPr>
        <a:gradFill>
          <a:gsLst>
            <a:gs pos="0">
              <a:srgbClr val="D0D2E6">
                <a:alpha val="78824"/>
              </a:srgbClr>
            </a:gs>
            <a:gs pos="34000">
              <a:srgbClr val="DFE7F5">
                <a:alpha val="67000"/>
              </a:srgbClr>
            </a:gs>
            <a:gs pos="100000">
              <a:schemeClr val="bg1"/>
            </a:gs>
          </a:gsLst>
          <a:lin ang="5400000" scaled="0"/>
        </a:gradFill>
        <a:ln>
          <a:solidFill>
            <a:schemeClr val="accent1">
              <a:lumMod val="50000"/>
            </a:schemeClr>
          </a:solidFill>
        </a:ln>
      </c:spPr>
    </c:plotArea>
    <c:legend>
      <c:legendPos val="r"/>
      <c:legendEntry>
        <c:idx val="7"/>
        <c:delete val="1"/>
      </c:legendEntry>
      <c:layout>
        <c:manualLayout>
          <c:xMode val="edge"/>
          <c:yMode val="edge"/>
          <c:x val="0.77888371908056964"/>
          <c:y val="0.17437689658162206"/>
          <c:w val="0.18336123745026925"/>
          <c:h val="0.50887864620129963"/>
        </c:manualLayout>
      </c:layout>
      <c:overlay val="0"/>
      <c:txPr>
        <a:bodyPr/>
        <a:lstStyle/>
        <a:p>
          <a:pPr>
            <a:defRPr sz="1200" b="1">
              <a:latin typeface="Tw Cen MT Condensed" panose="020B0606020104020203" pitchFamily="34" charset="0"/>
            </a:defRPr>
          </a:pPr>
          <a:endParaRPr lang="en-US"/>
        </a:p>
      </c:txPr>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86561679790021E-2"/>
          <c:y val="6.5758556818198324E-2"/>
          <c:w val="0.68867777397390562"/>
          <c:h val="0.76842258991328549"/>
        </c:manualLayout>
      </c:layout>
      <c:barChart>
        <c:barDir val="col"/>
        <c:grouping val="stacked"/>
        <c:varyColors val="0"/>
        <c:ser>
          <c:idx val="1"/>
          <c:order val="0"/>
          <c:tx>
            <c:strRef>
              <c:f>DemandTables!$C$53</c:f>
              <c:strCache>
                <c:ptCount val="1"/>
                <c:pt idx="0">
                  <c:v>Commercial</c:v>
                </c:pt>
              </c:strCache>
            </c:strRef>
          </c:tx>
          <c:spPr>
            <a:ln>
              <a:noFill/>
            </a:ln>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DemandTables!$D$53:$N$53</c:f>
              <c:numCache>
                <c:formatCode>0.00</c:formatCode>
                <c:ptCount val="11"/>
                <c:pt idx="0">
                  <c:v>0.3</c:v>
                </c:pt>
                <c:pt idx="1">
                  <c:v>0.7</c:v>
                </c:pt>
                <c:pt idx="2">
                  <c:v>1</c:v>
                </c:pt>
                <c:pt idx="3">
                  <c:v>1.4000000000000001</c:v>
                </c:pt>
                <c:pt idx="4">
                  <c:v>1.7</c:v>
                </c:pt>
                <c:pt idx="5">
                  <c:v>2.1</c:v>
                </c:pt>
                <c:pt idx="6">
                  <c:v>2.4</c:v>
                </c:pt>
                <c:pt idx="7">
                  <c:v>2.4</c:v>
                </c:pt>
                <c:pt idx="8">
                  <c:v>2.4</c:v>
                </c:pt>
                <c:pt idx="9">
                  <c:v>2.4500000000000002</c:v>
                </c:pt>
                <c:pt idx="10">
                  <c:v>2.5</c:v>
                </c:pt>
              </c:numCache>
            </c:numRef>
          </c:val>
        </c:ser>
        <c:ser>
          <c:idx val="2"/>
          <c:order val="1"/>
          <c:tx>
            <c:strRef>
              <c:f>DemandTables!$C$54</c:f>
              <c:strCache>
                <c:ptCount val="1"/>
                <c:pt idx="0">
                  <c:v>Industrial</c:v>
                </c:pt>
              </c:strCache>
            </c:strRef>
          </c:tx>
          <c:spPr>
            <a:gradFill flip="none" rotWithShape="1">
              <a:gsLst>
                <a:gs pos="0">
                  <a:srgbClr val="C7C323"/>
                </a:gs>
                <a:gs pos="34000">
                  <a:srgbClr val="DEDE46"/>
                </a:gs>
                <a:gs pos="100000">
                  <a:srgbClr val="E5E25C"/>
                </a:gs>
              </a:gsLst>
              <a:lin ang="162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DemandTables!$D$54:$N$54</c:f>
              <c:numCache>
                <c:formatCode>0.00</c:formatCode>
                <c:ptCount val="11"/>
                <c:pt idx="0">
                  <c:v>0.2</c:v>
                </c:pt>
                <c:pt idx="1">
                  <c:v>0.1</c:v>
                </c:pt>
                <c:pt idx="2">
                  <c:v>0.1</c:v>
                </c:pt>
                <c:pt idx="3">
                  <c:v>0.1</c:v>
                </c:pt>
                <c:pt idx="4">
                  <c:v>0.1</c:v>
                </c:pt>
                <c:pt idx="5">
                  <c:v>0.1</c:v>
                </c:pt>
                <c:pt idx="6">
                  <c:v>0.1</c:v>
                </c:pt>
                <c:pt idx="7">
                  <c:v>0.1</c:v>
                </c:pt>
                <c:pt idx="8">
                  <c:v>0.1</c:v>
                </c:pt>
                <c:pt idx="9">
                  <c:v>0.1</c:v>
                </c:pt>
                <c:pt idx="10">
                  <c:v>0.1</c:v>
                </c:pt>
              </c:numCache>
            </c:numRef>
          </c:val>
        </c:ser>
        <c:ser>
          <c:idx val="4"/>
          <c:order val="2"/>
          <c:tx>
            <c:strRef>
              <c:f>DemandTables!$C$56</c:f>
              <c:strCache>
                <c:ptCount val="1"/>
                <c:pt idx="0">
                  <c:v>Distribution Process</c:v>
                </c:pt>
              </c:strCache>
            </c:strRef>
          </c:tx>
          <c:spPr>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DemandTables!$D$56:$N$56</c:f>
              <c:numCache>
                <c:formatCode>0.00</c:formatCode>
                <c:ptCount val="11"/>
                <c:pt idx="0">
                  <c:v>0</c:v>
                </c:pt>
                <c:pt idx="1">
                  <c:v>0</c:v>
                </c:pt>
                <c:pt idx="2">
                  <c:v>0</c:v>
                </c:pt>
                <c:pt idx="3">
                  <c:v>0</c:v>
                </c:pt>
                <c:pt idx="4">
                  <c:v>0</c:v>
                </c:pt>
                <c:pt idx="5">
                  <c:v>0</c:v>
                </c:pt>
                <c:pt idx="6">
                  <c:v>0.1</c:v>
                </c:pt>
                <c:pt idx="7">
                  <c:v>0.1</c:v>
                </c:pt>
                <c:pt idx="8">
                  <c:v>0.1</c:v>
                </c:pt>
                <c:pt idx="9">
                  <c:v>0.1</c:v>
                </c:pt>
                <c:pt idx="10">
                  <c:v>0.1</c:v>
                </c:pt>
              </c:numCache>
            </c:numRef>
          </c:val>
        </c:ser>
        <c:ser>
          <c:idx val="5"/>
          <c:order val="3"/>
          <c:tx>
            <c:strRef>
              <c:f>DemandTables!$C$57</c:f>
              <c:strCache>
                <c:ptCount val="1"/>
                <c:pt idx="0">
                  <c:v>WTP Process</c:v>
                </c:pt>
              </c:strCache>
            </c:strRef>
          </c:tx>
          <c:spPr>
            <a:gradFill flip="none" rotWithShape="1">
              <a:gsLst>
                <a:gs pos="0">
                  <a:schemeClr val="accent5">
                    <a:lumMod val="60000"/>
                    <a:lumOff val="40000"/>
                  </a:schemeClr>
                </a:gs>
                <a:gs pos="34000">
                  <a:srgbClr val="7CC3D6"/>
                </a:gs>
                <a:gs pos="100000">
                  <a:srgbClr val="9CD1E0"/>
                </a:gs>
              </a:gsLst>
              <a:lin ang="162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DemandTables!$D$57:$N$57</c:f>
              <c:numCache>
                <c:formatCode>0.00</c:formatCode>
                <c:ptCount val="11"/>
                <c:pt idx="0">
                  <c:v>9.9999999999999978E-2</c:v>
                </c:pt>
                <c:pt idx="1">
                  <c:v>0.10000000000000009</c:v>
                </c:pt>
                <c:pt idx="2">
                  <c:v>0.19999999999999973</c:v>
                </c:pt>
                <c:pt idx="3">
                  <c:v>0.2999999999999996</c:v>
                </c:pt>
                <c:pt idx="4">
                  <c:v>0.30000000000000004</c:v>
                </c:pt>
                <c:pt idx="5">
                  <c:v>0.39999999999999991</c:v>
                </c:pt>
                <c:pt idx="6">
                  <c:v>0.5</c:v>
                </c:pt>
                <c:pt idx="7">
                  <c:v>0.5</c:v>
                </c:pt>
                <c:pt idx="8">
                  <c:v>0.5</c:v>
                </c:pt>
                <c:pt idx="9">
                  <c:v>0.49999999999999978</c:v>
                </c:pt>
                <c:pt idx="10">
                  <c:v>0.49999999999999956</c:v>
                </c:pt>
              </c:numCache>
            </c:numRef>
          </c:val>
        </c:ser>
        <c:ser>
          <c:idx val="6"/>
          <c:order val="4"/>
          <c:tx>
            <c:strRef>
              <c:f>DemandTables!$C$58</c:f>
              <c:strCache>
                <c:ptCount val="1"/>
                <c:pt idx="0">
                  <c:v>Other Non-Revenue</c:v>
                </c:pt>
              </c:strCache>
            </c:strRef>
          </c:tx>
          <c:spPr>
            <a:gradFill flip="none" rotWithShape="1">
              <a:gsLst>
                <a:gs pos="0">
                  <a:srgbClr val="F79B4F"/>
                </a:gs>
                <a:gs pos="34000">
                  <a:schemeClr val="accent6"/>
                </a:gs>
                <a:gs pos="100000">
                  <a:schemeClr val="accent6">
                    <a:lumMod val="75000"/>
                  </a:schemeClr>
                </a:gs>
              </a:gsLst>
              <a:lin ang="5400000" scaled="1"/>
              <a:tileRect/>
            </a:gradFill>
            <a:effectLst>
              <a:outerShdw blurRad="38100" dist="25400" algn="l" rotWithShape="0">
                <a:prstClr val="black">
                  <a:alpha val="40000"/>
                </a:prstClr>
              </a:outerShdw>
            </a:effectLst>
          </c:spPr>
          <c:invertIfNegative val="0"/>
          <c:cat>
            <c:numRef>
              <c:f>DemandTables!$D$2:$N$2</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DemandTables!$D$58:$N$58</c:f>
              <c:numCache>
                <c:formatCode>0.00</c:formatCode>
                <c:ptCount val="11"/>
                <c:pt idx="0">
                  <c:v>0</c:v>
                </c:pt>
                <c:pt idx="1">
                  <c:v>0</c:v>
                </c:pt>
                <c:pt idx="2">
                  <c:v>0.1</c:v>
                </c:pt>
                <c:pt idx="3">
                  <c:v>0.1</c:v>
                </c:pt>
                <c:pt idx="4">
                  <c:v>0.1</c:v>
                </c:pt>
                <c:pt idx="5">
                  <c:v>0.1</c:v>
                </c:pt>
                <c:pt idx="6">
                  <c:v>0.1</c:v>
                </c:pt>
                <c:pt idx="7">
                  <c:v>0.1</c:v>
                </c:pt>
                <c:pt idx="8">
                  <c:v>0.1</c:v>
                </c:pt>
                <c:pt idx="9">
                  <c:v>0.1</c:v>
                </c:pt>
                <c:pt idx="10">
                  <c:v>0.1</c:v>
                </c:pt>
              </c:numCache>
            </c:numRef>
          </c:val>
        </c:ser>
        <c:dLbls>
          <c:showLegendKey val="0"/>
          <c:showVal val="0"/>
          <c:showCatName val="0"/>
          <c:showSerName val="0"/>
          <c:showPercent val="0"/>
          <c:showBubbleSize val="0"/>
        </c:dLbls>
        <c:gapWidth val="49"/>
        <c:overlap val="100"/>
        <c:axId val="279402800"/>
        <c:axId val="279403192"/>
      </c:barChart>
      <c:lineChart>
        <c:grouping val="standard"/>
        <c:varyColors val="0"/>
        <c:ser>
          <c:idx val="7"/>
          <c:order val="5"/>
          <c:tx>
            <c:strRef>
              <c:f>DemandTables!$B$59</c:f>
              <c:strCache>
                <c:ptCount val="1"/>
                <c:pt idx="0">
                  <c:v>TOTAL</c:v>
                </c:pt>
              </c:strCache>
            </c:strRef>
          </c:tx>
          <c:spPr>
            <a:ln w="47625">
              <a:noFill/>
            </a:ln>
          </c:spPr>
          <c:marker>
            <c:symbol val="none"/>
          </c:marker>
          <c:dLbls>
            <c:dLbl>
              <c:idx val="7"/>
              <c:numFmt formatCode="0.0" sourceLinked="0"/>
              <c:spPr/>
              <c:txPr>
                <a:bodyPr/>
                <a:lstStyle/>
                <a:p>
                  <a:pPr>
                    <a:defRPr sz="1100" b="1" u="sng"/>
                  </a:pPr>
                  <a:endParaRPr lang="en-US"/>
                </a:p>
              </c:txPr>
              <c:dLblPos val="t"/>
              <c:showLegendKey val="0"/>
              <c:showVal val="1"/>
              <c:showCatName val="0"/>
              <c:showSerName val="0"/>
              <c:showPercent val="0"/>
              <c:showBubbleSize val="0"/>
            </c:dLbl>
            <c:dLbl>
              <c:idx val="10"/>
              <c:numFmt formatCode="0.0" sourceLinked="0"/>
              <c:spPr/>
              <c:txPr>
                <a:bodyPr/>
                <a:lstStyle/>
                <a:p>
                  <a:pPr>
                    <a:defRPr sz="1100" b="1" u="sng"/>
                  </a:pPr>
                  <a:endParaRPr lang="en-US"/>
                </a:p>
              </c:txPr>
              <c:dLblPos val="t"/>
              <c:showLegendKey val="0"/>
              <c:showVal val="1"/>
              <c:showCatName val="0"/>
              <c:showSerName val="0"/>
              <c:showPercent val="0"/>
              <c:showBubbleSize val="0"/>
            </c:dLbl>
            <c:numFmt formatCode="0.0" sourceLinked="0"/>
            <c:spPr>
              <a:noFill/>
              <a:ln>
                <a:noFill/>
              </a:ln>
              <a:effectLst/>
            </c:spPr>
            <c:txPr>
              <a:bodyPr/>
              <a:lstStyle/>
              <a:p>
                <a:pPr>
                  <a:defRPr sz="11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DemandTables!$D$59:$N$59</c:f>
              <c:numCache>
                <c:formatCode>0.00</c:formatCode>
                <c:ptCount val="11"/>
                <c:pt idx="0">
                  <c:v>0.6</c:v>
                </c:pt>
                <c:pt idx="1">
                  <c:v>0.9</c:v>
                </c:pt>
                <c:pt idx="2">
                  <c:v>1.4</c:v>
                </c:pt>
                <c:pt idx="3">
                  <c:v>1.9</c:v>
                </c:pt>
                <c:pt idx="4">
                  <c:v>2.2000000000000002</c:v>
                </c:pt>
                <c:pt idx="5">
                  <c:v>2.7</c:v>
                </c:pt>
                <c:pt idx="6">
                  <c:v>3.2</c:v>
                </c:pt>
                <c:pt idx="7">
                  <c:v>3.2</c:v>
                </c:pt>
                <c:pt idx="8">
                  <c:v>3.2</c:v>
                </c:pt>
                <c:pt idx="9">
                  <c:v>3.2500000000000004</c:v>
                </c:pt>
                <c:pt idx="10">
                  <c:v>3.3</c:v>
                </c:pt>
              </c:numCache>
            </c:numRef>
          </c:val>
          <c:smooth val="0"/>
        </c:ser>
        <c:dLbls>
          <c:showLegendKey val="0"/>
          <c:showVal val="0"/>
          <c:showCatName val="0"/>
          <c:showSerName val="0"/>
          <c:showPercent val="0"/>
          <c:showBubbleSize val="0"/>
        </c:dLbls>
        <c:marker val="1"/>
        <c:smooth val="0"/>
        <c:axId val="279403976"/>
        <c:axId val="279403584"/>
      </c:lineChart>
      <c:catAx>
        <c:axId val="279402800"/>
        <c:scaling>
          <c:orientation val="minMax"/>
        </c:scaling>
        <c:delete val="0"/>
        <c:axPos val="b"/>
        <c:numFmt formatCode="General" sourceLinked="1"/>
        <c:majorTickMark val="out"/>
        <c:minorTickMark val="none"/>
        <c:tickLblPos val="nextTo"/>
        <c:txPr>
          <a:bodyPr rot="-2700000"/>
          <a:lstStyle/>
          <a:p>
            <a:pPr>
              <a:defRPr sz="1200" b="1">
                <a:solidFill>
                  <a:schemeClr val="tx2">
                    <a:lumMod val="75000"/>
                  </a:schemeClr>
                </a:solidFill>
                <a:latin typeface="Tw Cen MT Condensed" panose="020B0606020104020203" pitchFamily="34" charset="0"/>
              </a:defRPr>
            </a:pPr>
            <a:endParaRPr lang="en-US"/>
          </a:p>
        </c:txPr>
        <c:crossAx val="279403192"/>
        <c:crosses val="autoZero"/>
        <c:auto val="1"/>
        <c:lblAlgn val="ctr"/>
        <c:lblOffset val="100"/>
        <c:noMultiLvlLbl val="0"/>
      </c:catAx>
      <c:valAx>
        <c:axId val="279403192"/>
        <c:scaling>
          <c:orientation val="minMax"/>
          <c:max val="4"/>
        </c:scaling>
        <c:delete val="0"/>
        <c:axPos val="l"/>
        <c:majorGridlines>
          <c:spPr>
            <a:ln>
              <a:solidFill>
                <a:schemeClr val="bg1">
                  <a:lumMod val="75000"/>
                  <a:alpha val="53000"/>
                </a:schemeClr>
              </a:solidFill>
            </a:ln>
          </c:spPr>
        </c:majorGridlines>
        <c:title>
          <c:tx>
            <c:rich>
              <a:bodyPr rot="-5400000" vert="horz"/>
              <a:lstStyle/>
              <a:p>
                <a:pPr>
                  <a:defRPr sz="1200">
                    <a:latin typeface="Tw Cen MT Condensed" panose="020B0606020104020203" pitchFamily="34" charset="0"/>
                  </a:defRPr>
                </a:pPr>
                <a:r>
                  <a:rPr lang="en-US" sz="1200">
                    <a:latin typeface="Tw Cen MT Condensed" panose="020B0606020104020203" pitchFamily="34" charset="0"/>
                  </a:rPr>
                  <a:t>Demand [MGD]</a:t>
                </a:r>
              </a:p>
            </c:rich>
          </c:tx>
          <c:layout>
            <c:manualLayout>
              <c:xMode val="edge"/>
              <c:yMode val="edge"/>
              <c:x val="0"/>
              <c:y val="0.32361621463983942"/>
            </c:manualLayout>
          </c:layout>
          <c:overlay val="0"/>
        </c:title>
        <c:numFmt formatCode="#,##0.0" sourceLinked="0"/>
        <c:majorTickMark val="out"/>
        <c:minorTickMark val="none"/>
        <c:tickLblPos val="nextTo"/>
        <c:txPr>
          <a:bodyPr/>
          <a:lstStyle/>
          <a:p>
            <a:pPr>
              <a:defRPr sz="1100" b="1">
                <a:latin typeface="Tw Cen MT Condensed" panose="020B0606020104020203" pitchFamily="34" charset="0"/>
              </a:defRPr>
            </a:pPr>
            <a:endParaRPr lang="en-US"/>
          </a:p>
        </c:txPr>
        <c:crossAx val="279402800"/>
        <c:crosses val="autoZero"/>
        <c:crossBetween val="between"/>
      </c:valAx>
      <c:valAx>
        <c:axId val="279403584"/>
        <c:scaling>
          <c:orientation val="minMax"/>
          <c:max val="4"/>
        </c:scaling>
        <c:delete val="0"/>
        <c:axPos val="r"/>
        <c:numFmt formatCode="0.00" sourceLinked="1"/>
        <c:majorTickMark val="none"/>
        <c:minorTickMark val="none"/>
        <c:tickLblPos val="none"/>
        <c:spPr>
          <a:noFill/>
        </c:spPr>
        <c:crossAx val="279403976"/>
        <c:crosses val="max"/>
        <c:crossBetween val="between"/>
      </c:valAx>
      <c:catAx>
        <c:axId val="279403976"/>
        <c:scaling>
          <c:orientation val="minMax"/>
        </c:scaling>
        <c:delete val="1"/>
        <c:axPos val="b"/>
        <c:majorTickMark val="out"/>
        <c:minorTickMark val="none"/>
        <c:tickLblPos val="none"/>
        <c:crossAx val="279403584"/>
        <c:crosses val="autoZero"/>
        <c:auto val="1"/>
        <c:lblAlgn val="ctr"/>
        <c:lblOffset val="100"/>
        <c:noMultiLvlLbl val="0"/>
      </c:catAx>
      <c:spPr>
        <a:gradFill>
          <a:gsLst>
            <a:gs pos="0">
              <a:srgbClr val="D0D2E6">
                <a:alpha val="78824"/>
              </a:srgbClr>
            </a:gs>
            <a:gs pos="34000">
              <a:srgbClr val="DFE7F5">
                <a:alpha val="67000"/>
              </a:srgbClr>
            </a:gs>
            <a:gs pos="100000">
              <a:schemeClr val="bg1"/>
            </a:gs>
          </a:gsLst>
          <a:lin ang="5400000" scaled="0"/>
        </a:gradFill>
        <a:ln>
          <a:solidFill>
            <a:schemeClr val="accent1">
              <a:lumMod val="50000"/>
            </a:schemeClr>
          </a:solidFill>
        </a:ln>
      </c:spPr>
    </c:plotArea>
    <c:legend>
      <c:legendPos val="r"/>
      <c:legendEntry>
        <c:idx val="5"/>
        <c:delete val="1"/>
      </c:legendEntry>
      <c:layout>
        <c:manualLayout>
          <c:xMode val="edge"/>
          <c:yMode val="edge"/>
          <c:x val="0.77888371908056964"/>
          <c:y val="0.17437689658162206"/>
          <c:w val="0.18336123745026953"/>
          <c:h val="0.65427254511595556"/>
        </c:manualLayout>
      </c:layout>
      <c:overlay val="0"/>
      <c:txPr>
        <a:bodyPr/>
        <a:lstStyle/>
        <a:p>
          <a:pPr>
            <a:defRPr sz="1200" b="1">
              <a:latin typeface="Tw Cen MT Condensed" panose="020B0606020104020203" pitchFamily="34" charset="0"/>
            </a:defRPr>
          </a:pPr>
          <a:endParaRPr lang="en-US"/>
        </a:p>
      </c:txPr>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206019922995E-2"/>
          <c:y val="5.1400554097404488E-2"/>
          <c:w val="0.68595036593360359"/>
          <c:h val="0.79891749094343212"/>
        </c:manualLayout>
      </c:layout>
      <c:barChart>
        <c:barDir val="col"/>
        <c:grouping val="stacked"/>
        <c:varyColors val="0"/>
        <c:ser>
          <c:idx val="1"/>
          <c:order val="1"/>
          <c:tx>
            <c:strRef>
              <c:f>ReportFigures!$I$171</c:f>
              <c:strCache>
                <c:ptCount val="1"/>
                <c:pt idx="0">
                  <c:v>Existing Demand</c:v>
                </c:pt>
              </c:strCache>
            </c:strRef>
          </c:tx>
          <c:spPr>
            <a:solidFill>
              <a:schemeClr val="accent5">
                <a:lumMod val="75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ReportFigures!$J$171:$T$171</c:f>
              <c:numCache>
                <c:formatCode>General</c:formatCode>
                <c:ptCount val="11"/>
                <c:pt idx="0">
                  <c:v>1.7199999999999998</c:v>
                </c:pt>
                <c:pt idx="1">
                  <c:v>1.7199999999999998</c:v>
                </c:pt>
                <c:pt idx="2">
                  <c:v>1.7199999999999998</c:v>
                </c:pt>
                <c:pt idx="3">
                  <c:v>1.7199999999999998</c:v>
                </c:pt>
                <c:pt idx="4">
                  <c:v>1.7199999999999998</c:v>
                </c:pt>
                <c:pt idx="5">
                  <c:v>1.7199999999999998</c:v>
                </c:pt>
                <c:pt idx="6">
                  <c:v>1.7199999999999998</c:v>
                </c:pt>
                <c:pt idx="7">
                  <c:v>1.7199999999999998</c:v>
                </c:pt>
                <c:pt idx="8">
                  <c:v>1.7199999999999998</c:v>
                </c:pt>
                <c:pt idx="9">
                  <c:v>1.7199999999999998</c:v>
                </c:pt>
                <c:pt idx="10">
                  <c:v>1.7199999999999998</c:v>
                </c:pt>
              </c:numCache>
            </c:numRef>
          </c:val>
        </c:ser>
        <c:ser>
          <c:idx val="2"/>
          <c:order val="2"/>
          <c:tx>
            <c:strRef>
              <c:f>ReportFigures!$I$172</c:f>
              <c:strCache>
                <c:ptCount val="1"/>
                <c:pt idx="0">
                  <c:v>Currently Supportable Demand</c:v>
                </c:pt>
              </c:strCache>
            </c:strRef>
          </c:tx>
          <c:spPr>
            <a:solidFill>
              <a:schemeClr val="tx2">
                <a:lumMod val="40000"/>
                <a:lumOff val="60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ReportFigures!$J$172:$T$172</c:f>
              <c:numCache>
                <c:formatCode>0.0</c:formatCode>
                <c:ptCount val="11"/>
                <c:pt idx="0">
                  <c:v>0</c:v>
                </c:pt>
                <c:pt idx="1">
                  <c:v>0.31000000000000005</c:v>
                </c:pt>
                <c:pt idx="2">
                  <c:v>0.81999999999999984</c:v>
                </c:pt>
                <c:pt idx="3">
                  <c:v>1.0300000000000002</c:v>
                </c:pt>
                <c:pt idx="4">
                  <c:v>1.1600000000000001</c:v>
                </c:pt>
                <c:pt idx="5">
                  <c:v>1.6</c:v>
                </c:pt>
                <c:pt idx="6">
                  <c:v>1.7000000000000002</c:v>
                </c:pt>
                <c:pt idx="7">
                  <c:v>1.7500000000000004</c:v>
                </c:pt>
                <c:pt idx="8">
                  <c:v>1.7800000000000002</c:v>
                </c:pt>
                <c:pt idx="9">
                  <c:v>1.7800000000000002</c:v>
                </c:pt>
                <c:pt idx="10">
                  <c:v>1.7800000000000002</c:v>
                </c:pt>
              </c:numCache>
            </c:numRef>
          </c:val>
        </c:ser>
        <c:ser>
          <c:idx val="3"/>
          <c:order val="3"/>
          <c:tx>
            <c:strRef>
              <c:f>ReportFigures!$I$173</c:f>
              <c:strCache>
                <c:ptCount val="1"/>
                <c:pt idx="0">
                  <c:v>Projected Need</c:v>
                </c:pt>
              </c:strCache>
            </c:strRef>
          </c:tx>
          <c:spPr>
            <a:solidFill>
              <a:schemeClr val="accent2">
                <a:lumMod val="75000"/>
              </a:schemeClr>
            </a:solidFill>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spPr>
              <a:noFill/>
              <a:ln>
                <a:noFill/>
              </a:ln>
              <a:effectLst/>
            </c:spPr>
            <c:txPr>
              <a:bodyPr anchor="t" anchorCtr="0"/>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ReportFigures!$J$173:$T$173</c:f>
              <c:numCache>
                <c:formatCode>0.0</c:formatCode>
                <c:ptCount val="11"/>
                <c:pt idx="0">
                  <c:v>0</c:v>
                </c:pt>
                <c:pt idx="1">
                  <c:v>0</c:v>
                </c:pt>
                <c:pt idx="2">
                  <c:v>0</c:v>
                </c:pt>
                <c:pt idx="3">
                  <c:v>0</c:v>
                </c:pt>
                <c:pt idx="4">
                  <c:v>0</c:v>
                </c:pt>
                <c:pt idx="5">
                  <c:v>0</c:v>
                </c:pt>
                <c:pt idx="6">
                  <c:v>0</c:v>
                </c:pt>
                <c:pt idx="7">
                  <c:v>0</c:v>
                </c:pt>
                <c:pt idx="8">
                  <c:v>2.0000000000000462E-2</c:v>
                </c:pt>
                <c:pt idx="9">
                  <c:v>7.5000000000000622E-2</c:v>
                </c:pt>
                <c:pt idx="10">
                  <c:v>0.13000000000000034</c:v>
                </c:pt>
              </c:numCache>
            </c:numRef>
          </c:val>
        </c:ser>
        <c:dLbls>
          <c:showLegendKey val="0"/>
          <c:showVal val="0"/>
          <c:showCatName val="0"/>
          <c:showSerName val="0"/>
          <c:showPercent val="0"/>
          <c:showBubbleSize val="0"/>
        </c:dLbls>
        <c:gapWidth val="26"/>
        <c:overlap val="100"/>
        <c:axId val="279535384"/>
        <c:axId val="279535776"/>
      </c:barChart>
      <c:lineChart>
        <c:grouping val="standard"/>
        <c:varyColors val="0"/>
        <c:ser>
          <c:idx val="0"/>
          <c:order val="0"/>
          <c:tx>
            <c:strRef>
              <c:f>ReportFigures!$I$170</c:f>
              <c:strCache>
                <c:ptCount val="1"/>
                <c:pt idx="0">
                  <c:v>Current Supply</c:v>
                </c:pt>
              </c:strCache>
            </c:strRef>
          </c:tx>
          <c:spPr>
            <a:ln w="34925" cap="sq">
              <a:solidFill>
                <a:schemeClr val="tx2">
                  <a:lumMod val="75000"/>
                </a:schemeClr>
              </a:solidFill>
            </a:ln>
            <a:effectLst>
              <a:glow rad="38100">
                <a:schemeClr val="accent5">
                  <a:satMod val="175000"/>
                  <a:alpha val="40000"/>
                </a:schemeClr>
              </a:glow>
            </a:effectLst>
          </c:spPr>
          <c:marker>
            <c:symbol val="none"/>
          </c:marker>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ReportFigures!$J$170:$T$170</c:f>
              <c:numCache>
                <c:formatCode>0.0</c:formatCode>
                <c:ptCount val="11"/>
                <c:pt idx="0">
                  <c:v>3.5</c:v>
                </c:pt>
                <c:pt idx="1">
                  <c:v>3.5</c:v>
                </c:pt>
                <c:pt idx="2">
                  <c:v>3.5</c:v>
                </c:pt>
                <c:pt idx="3">
                  <c:v>3.5</c:v>
                </c:pt>
                <c:pt idx="4">
                  <c:v>3.5</c:v>
                </c:pt>
                <c:pt idx="5">
                  <c:v>3.5</c:v>
                </c:pt>
                <c:pt idx="6">
                  <c:v>3.5</c:v>
                </c:pt>
                <c:pt idx="7">
                  <c:v>3.5</c:v>
                </c:pt>
                <c:pt idx="8">
                  <c:v>3.5</c:v>
                </c:pt>
                <c:pt idx="9">
                  <c:v>3.5</c:v>
                </c:pt>
                <c:pt idx="10">
                  <c:v>3.5</c:v>
                </c:pt>
              </c:numCache>
            </c:numRef>
          </c:val>
          <c:smooth val="0"/>
        </c:ser>
        <c:dLbls>
          <c:showLegendKey val="0"/>
          <c:showVal val="0"/>
          <c:showCatName val="0"/>
          <c:showSerName val="0"/>
          <c:showPercent val="0"/>
          <c:showBubbleSize val="0"/>
        </c:dLbls>
        <c:marker val="1"/>
        <c:smooth val="0"/>
        <c:axId val="279535384"/>
        <c:axId val="279535776"/>
      </c:lineChart>
      <c:catAx>
        <c:axId val="279535384"/>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279535776"/>
        <c:crosses val="autoZero"/>
        <c:auto val="1"/>
        <c:lblAlgn val="ctr"/>
        <c:lblOffset val="100"/>
        <c:noMultiLvlLbl val="0"/>
      </c:catAx>
      <c:valAx>
        <c:axId val="279535776"/>
        <c:scaling>
          <c:orientation val="minMax"/>
        </c:scaling>
        <c:delete val="0"/>
        <c:axPos val="l"/>
        <c:majorGridlines/>
        <c:title>
          <c:tx>
            <c:rich>
              <a:bodyPr rot="-5400000" vert="horz"/>
              <a:lstStyle/>
              <a:p>
                <a:pPr>
                  <a:defRPr/>
                </a:pPr>
                <a:r>
                  <a:rPr lang="en-US"/>
                  <a:t>Demand/Supply</a:t>
                </a:r>
                <a:r>
                  <a:rPr lang="en-US" baseline="0"/>
                  <a:t> (MGD)</a:t>
                </a:r>
                <a:endParaRPr lang="en-US"/>
              </a:p>
            </c:rich>
          </c:tx>
          <c:layout>
            <c:manualLayout>
              <c:xMode val="edge"/>
              <c:yMode val="edge"/>
              <c:x val="1.5953411962979971E-2"/>
              <c:y val="0.21075309337567594"/>
            </c:manualLayout>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279535384"/>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manualLayout>
          <c:xMode val="edge"/>
          <c:yMode val="edge"/>
          <c:x val="0.78244998799326559"/>
          <c:y val="8.5694006424563429E-2"/>
          <c:w val="0.20301604591817771"/>
          <c:h val="0.80073319040266577"/>
        </c:manualLayout>
      </c:layout>
      <c:overlay val="0"/>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206019922995E-2"/>
          <c:y val="5.1400554097404488E-2"/>
          <c:w val="0.68595036593360359"/>
          <c:h val="0.79891749094343212"/>
        </c:manualLayout>
      </c:layout>
      <c:barChart>
        <c:barDir val="col"/>
        <c:grouping val="stacked"/>
        <c:varyColors val="0"/>
        <c:ser>
          <c:idx val="1"/>
          <c:order val="1"/>
          <c:tx>
            <c:strRef>
              <c:f>ReportFigures!$I$190</c:f>
              <c:strCache>
                <c:ptCount val="1"/>
                <c:pt idx="0">
                  <c:v>Existing Demand</c:v>
                </c:pt>
              </c:strCache>
            </c:strRef>
          </c:tx>
          <c:spPr>
            <a:solidFill>
              <a:schemeClr val="accent5">
                <a:lumMod val="75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ReportFigures!$J$190:$T$190</c:f>
              <c:numCache>
                <c:formatCode>General</c:formatCode>
                <c:ptCount val="11"/>
                <c:pt idx="0">
                  <c:v>0.6</c:v>
                </c:pt>
                <c:pt idx="1">
                  <c:v>0.6</c:v>
                </c:pt>
                <c:pt idx="2">
                  <c:v>0.6</c:v>
                </c:pt>
                <c:pt idx="3">
                  <c:v>0.6</c:v>
                </c:pt>
                <c:pt idx="4">
                  <c:v>0.6</c:v>
                </c:pt>
                <c:pt idx="5">
                  <c:v>0.6</c:v>
                </c:pt>
                <c:pt idx="6">
                  <c:v>0.6</c:v>
                </c:pt>
                <c:pt idx="7">
                  <c:v>0.6</c:v>
                </c:pt>
                <c:pt idx="8">
                  <c:v>0.6</c:v>
                </c:pt>
                <c:pt idx="9">
                  <c:v>0.6</c:v>
                </c:pt>
                <c:pt idx="10">
                  <c:v>0.6</c:v>
                </c:pt>
              </c:numCache>
            </c:numRef>
          </c:val>
        </c:ser>
        <c:ser>
          <c:idx val="2"/>
          <c:order val="2"/>
          <c:tx>
            <c:strRef>
              <c:f>ReportFigures!$I$191</c:f>
              <c:strCache>
                <c:ptCount val="1"/>
                <c:pt idx="0">
                  <c:v>Currently Supportable Demand</c:v>
                </c:pt>
              </c:strCache>
            </c:strRef>
          </c:tx>
          <c:spPr>
            <a:solidFill>
              <a:schemeClr val="tx2">
                <a:lumMod val="40000"/>
                <a:lumOff val="60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ReportFigures!$J$191:$T$191</c:f>
              <c:numCache>
                <c:formatCode>0.0</c:formatCode>
                <c:ptCount val="11"/>
                <c:pt idx="0">
                  <c:v>0</c:v>
                </c:pt>
                <c:pt idx="1">
                  <c:v>0.30000000000000004</c:v>
                </c:pt>
                <c:pt idx="2">
                  <c:v>0.79999999999999993</c:v>
                </c:pt>
                <c:pt idx="3">
                  <c:v>1.2999999999999998</c:v>
                </c:pt>
                <c:pt idx="4">
                  <c:v>1.6</c:v>
                </c:pt>
                <c:pt idx="5">
                  <c:v>2.1</c:v>
                </c:pt>
                <c:pt idx="6">
                  <c:v>2.6</c:v>
                </c:pt>
                <c:pt idx="7">
                  <c:v>2.6</c:v>
                </c:pt>
                <c:pt idx="8">
                  <c:v>2.6</c:v>
                </c:pt>
                <c:pt idx="9">
                  <c:v>2.6500000000000004</c:v>
                </c:pt>
                <c:pt idx="10">
                  <c:v>2.6999999999999997</c:v>
                </c:pt>
              </c:numCache>
            </c:numRef>
          </c:val>
        </c:ser>
        <c:ser>
          <c:idx val="3"/>
          <c:order val="3"/>
          <c:tx>
            <c:strRef>
              <c:f>ReportFigures!$I$192</c:f>
              <c:strCache>
                <c:ptCount val="1"/>
                <c:pt idx="0">
                  <c:v>Projected Need</c:v>
                </c:pt>
              </c:strCache>
            </c:strRef>
          </c:tx>
          <c:spPr>
            <a:solidFill>
              <a:schemeClr val="accent2">
                <a:lumMod val="75000"/>
              </a:schemeClr>
            </a:solidFill>
          </c:spPr>
          <c:invertIfNegative val="0"/>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ReportFigures!$J$192:$T$192</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26"/>
        <c:overlap val="100"/>
        <c:axId val="279536560"/>
        <c:axId val="279536952"/>
      </c:barChart>
      <c:lineChart>
        <c:grouping val="standard"/>
        <c:varyColors val="0"/>
        <c:ser>
          <c:idx val="0"/>
          <c:order val="0"/>
          <c:tx>
            <c:strRef>
              <c:f>ReportFigures!$I$189</c:f>
              <c:strCache>
                <c:ptCount val="1"/>
                <c:pt idx="0">
                  <c:v>Current Supply</c:v>
                </c:pt>
              </c:strCache>
            </c:strRef>
          </c:tx>
          <c:spPr>
            <a:ln w="34925" cap="sq">
              <a:solidFill>
                <a:schemeClr val="tx2">
                  <a:lumMod val="75000"/>
                </a:schemeClr>
              </a:solidFill>
            </a:ln>
            <a:effectLst>
              <a:glow rad="38100">
                <a:schemeClr val="accent5">
                  <a:satMod val="175000"/>
                  <a:alpha val="40000"/>
                </a:schemeClr>
              </a:glow>
            </a:effectLst>
          </c:spPr>
          <c:marker>
            <c:symbol val="none"/>
          </c:marker>
          <c:cat>
            <c:numRef>
              <c:f>ReportFigures!$J$150:$T$150</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ReportFigures!$J$189:$T$189</c:f>
              <c:numCache>
                <c:formatCode>0.0</c:formatCode>
                <c:ptCount val="11"/>
                <c:pt idx="0">
                  <c:v>3.5</c:v>
                </c:pt>
                <c:pt idx="1">
                  <c:v>3.5</c:v>
                </c:pt>
                <c:pt idx="2">
                  <c:v>3.5</c:v>
                </c:pt>
                <c:pt idx="3">
                  <c:v>3.5</c:v>
                </c:pt>
                <c:pt idx="4">
                  <c:v>3.5</c:v>
                </c:pt>
                <c:pt idx="5">
                  <c:v>3.5</c:v>
                </c:pt>
                <c:pt idx="6">
                  <c:v>3.5</c:v>
                </c:pt>
                <c:pt idx="7">
                  <c:v>3.5</c:v>
                </c:pt>
                <c:pt idx="8">
                  <c:v>3.5</c:v>
                </c:pt>
                <c:pt idx="9">
                  <c:v>3.5</c:v>
                </c:pt>
                <c:pt idx="10">
                  <c:v>3.5</c:v>
                </c:pt>
              </c:numCache>
            </c:numRef>
          </c:val>
          <c:smooth val="0"/>
        </c:ser>
        <c:dLbls>
          <c:showLegendKey val="0"/>
          <c:showVal val="0"/>
          <c:showCatName val="0"/>
          <c:showSerName val="0"/>
          <c:showPercent val="0"/>
          <c:showBubbleSize val="0"/>
        </c:dLbls>
        <c:marker val="1"/>
        <c:smooth val="0"/>
        <c:axId val="279536560"/>
        <c:axId val="279536952"/>
      </c:lineChart>
      <c:catAx>
        <c:axId val="279536560"/>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279536952"/>
        <c:crosses val="autoZero"/>
        <c:auto val="1"/>
        <c:lblAlgn val="ctr"/>
        <c:lblOffset val="100"/>
        <c:noMultiLvlLbl val="0"/>
      </c:catAx>
      <c:valAx>
        <c:axId val="279536952"/>
        <c:scaling>
          <c:orientation val="minMax"/>
        </c:scaling>
        <c:delete val="0"/>
        <c:axPos val="l"/>
        <c:majorGridlines/>
        <c:title>
          <c:tx>
            <c:rich>
              <a:bodyPr rot="-5400000" vert="horz"/>
              <a:lstStyle/>
              <a:p>
                <a:pPr>
                  <a:defRPr/>
                </a:pPr>
                <a:r>
                  <a:rPr lang="en-US"/>
                  <a:t>Demand/Supply</a:t>
                </a:r>
                <a:r>
                  <a:rPr lang="en-US" baseline="0"/>
                  <a:t> (MGD)</a:t>
                </a:r>
                <a:endParaRPr lang="en-US"/>
              </a:p>
            </c:rich>
          </c:tx>
          <c:layout>
            <c:manualLayout>
              <c:xMode val="edge"/>
              <c:yMode val="edge"/>
              <c:x val="1.5953411962979971E-2"/>
              <c:y val="0.21075309337567594"/>
            </c:manualLayout>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279536560"/>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manualLayout>
          <c:xMode val="edge"/>
          <c:yMode val="edge"/>
          <c:x val="0.78244998799326559"/>
          <c:y val="8.5694006424563429E-2"/>
          <c:w val="0.20301604591817771"/>
          <c:h val="0.80073319040266577"/>
        </c:manualLayout>
      </c:layout>
      <c:overlay val="0"/>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9136"/>
          <c:y val="2.8318647669041391E-2"/>
        </c:manualLayout>
      </c:layout>
      <c:overlay val="0"/>
      <c:spPr>
        <a:noFill/>
        <a:ln w="25400">
          <a:noFill/>
        </a:ln>
      </c:spPr>
    </c:title>
    <c:autoTitleDeleted val="0"/>
    <c:plotArea>
      <c:layout>
        <c:manualLayout>
          <c:layoutTarget val="inner"/>
          <c:xMode val="edge"/>
          <c:yMode val="edge"/>
          <c:x val="0.12380293824221986"/>
          <c:y val="0.12404862008099997"/>
          <c:w val="0.84307362145556264"/>
          <c:h val="0.68318643112764998"/>
        </c:manualLayout>
      </c:layout>
      <c:lineChart>
        <c:grouping val="standard"/>
        <c:varyColors val="0"/>
        <c:ser>
          <c:idx val="0"/>
          <c:order val="0"/>
          <c:tx>
            <c:strRef>
              <c:f>'Population&amp;Demand Projections'!$Q$33</c:f>
              <c:strCache>
                <c:ptCount val="1"/>
              </c:strCache>
            </c:strRef>
          </c:tx>
          <c:spPr>
            <a:ln w="25400">
              <a:solidFill>
                <a:srgbClr val="000080"/>
              </a:solidFill>
              <a:prstDash val="solid"/>
            </a:ln>
          </c:spPr>
          <c:marker>
            <c:symbol val="none"/>
          </c:marker>
          <c:cat>
            <c:numRef>
              <c:f>'Population&amp;Demand Projections'!$R$15:$AB$15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Projections'!$R$33:$AB$33</c:f>
              <c:numCache>
                <c:formatCode>0.00</c:formatCode>
                <c:ptCount val="11"/>
                <c:pt idx="0">
                  <c:v>3.5</c:v>
                </c:pt>
                <c:pt idx="1">
                  <c:v>4.2</c:v>
                </c:pt>
                <c:pt idx="2">
                  <c:v>5.5</c:v>
                </c:pt>
                <c:pt idx="3">
                  <c:v>6.6</c:v>
                </c:pt>
                <c:pt idx="4">
                  <c:v>7.6</c:v>
                </c:pt>
                <c:pt idx="5">
                  <c:v>8.8000000000000007</c:v>
                </c:pt>
                <c:pt idx="6">
                  <c:v>9.9</c:v>
                </c:pt>
                <c:pt idx="7">
                  <c:v>10.549999999999999</c:v>
                </c:pt>
                <c:pt idx="8">
                  <c:v>11</c:v>
                </c:pt>
                <c:pt idx="9">
                  <c:v>11.3</c:v>
                </c:pt>
                <c:pt idx="10">
                  <c:v>11.6</c:v>
                </c:pt>
              </c:numCache>
            </c:numRef>
          </c:val>
          <c:smooth val="0"/>
        </c:ser>
        <c:ser>
          <c:idx val="1"/>
          <c:order val="1"/>
          <c:tx>
            <c:strRef>
              <c:f>'Population&amp;Demand Projections'!$Q$46</c:f>
              <c:strCache>
                <c:ptCount val="1"/>
              </c:strCache>
            </c:strRef>
          </c:tx>
          <c:spPr>
            <a:ln w="25400">
              <a:solidFill>
                <a:srgbClr val="993300"/>
              </a:solidFill>
              <a:prstDash val="solid"/>
            </a:ln>
          </c:spPr>
          <c:marker>
            <c:symbol val="none"/>
          </c:marker>
          <c:cat>
            <c:numRef>
              <c:f>'Population&amp;Demand Projections'!$R$15:$AB$15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Projections'!$R$46:$AB$46</c:f>
              <c:numCache>
                <c:formatCode>0.000</c:formatCode>
                <c:ptCount val="11"/>
                <c:pt idx="0">
                  <c:v>3.5</c:v>
                </c:pt>
                <c:pt idx="1">
                  <c:v>4.2</c:v>
                </c:pt>
                <c:pt idx="2">
                  <c:v>5.5</c:v>
                </c:pt>
                <c:pt idx="3">
                  <c:v>6.6</c:v>
                </c:pt>
                <c:pt idx="4">
                  <c:v>7.6</c:v>
                </c:pt>
                <c:pt idx="5">
                  <c:v>8.8000000000000007</c:v>
                </c:pt>
                <c:pt idx="6">
                  <c:v>9.9</c:v>
                </c:pt>
                <c:pt idx="7">
                  <c:v>10.549999999999999</c:v>
                </c:pt>
                <c:pt idx="8">
                  <c:v>11</c:v>
                </c:pt>
                <c:pt idx="9">
                  <c:v>11.3</c:v>
                </c:pt>
                <c:pt idx="10">
                  <c:v>11.6</c:v>
                </c:pt>
              </c:numCache>
            </c:numRef>
          </c:val>
          <c:smooth val="0"/>
        </c:ser>
        <c:dLbls>
          <c:showLegendKey val="0"/>
          <c:showVal val="0"/>
          <c:showCatName val="0"/>
          <c:showSerName val="0"/>
          <c:showPercent val="0"/>
          <c:showBubbleSize val="0"/>
        </c:dLbls>
        <c:smooth val="0"/>
        <c:axId val="279537736"/>
        <c:axId val="279538128"/>
      </c:lineChart>
      <c:catAx>
        <c:axId val="279537736"/>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6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79538128"/>
        <c:crosses val="autoZero"/>
        <c:auto val="1"/>
        <c:lblAlgn val="ctr"/>
        <c:lblOffset val="100"/>
        <c:tickLblSkip val="1"/>
        <c:tickMarkSkip val="1"/>
        <c:noMultiLvlLbl val="0"/>
      </c:catAx>
      <c:valAx>
        <c:axId val="279538128"/>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52E-2"/>
              <c:y val="0.3345138107736567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279537736"/>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9148"/>
          <c:y val="2.8318647669041391E-2"/>
        </c:manualLayout>
      </c:layout>
      <c:overlay val="0"/>
      <c:spPr>
        <a:noFill/>
        <a:ln w="25400">
          <a:noFill/>
        </a:ln>
      </c:spPr>
    </c:title>
    <c:autoTitleDeleted val="0"/>
    <c:plotArea>
      <c:layout>
        <c:manualLayout>
          <c:layoutTarget val="inner"/>
          <c:xMode val="edge"/>
          <c:yMode val="edge"/>
          <c:x val="0.12380293824221991"/>
          <c:y val="0.12404862008100002"/>
          <c:w val="0.84307362145556264"/>
          <c:h val="0.68318643112764976"/>
        </c:manualLayout>
      </c:layout>
      <c:lineChart>
        <c:grouping val="standard"/>
        <c:varyColors val="0"/>
        <c:ser>
          <c:idx val="0"/>
          <c:order val="0"/>
          <c:tx>
            <c:strRef>
              <c:f>'Population&amp;Demand Projections'!$C$33</c:f>
              <c:strCache>
                <c:ptCount val="1"/>
              </c:strCache>
            </c:strRef>
          </c:tx>
          <c:spPr>
            <a:ln w="25400">
              <a:solidFill>
                <a:srgbClr val="000080"/>
              </a:solidFill>
              <a:prstDash val="solid"/>
            </a:ln>
          </c:spPr>
          <c:marker>
            <c:symbol val="none"/>
          </c:marker>
          <c:cat>
            <c:numRef>
              <c:f>'Population&amp;Demand Projections'!$D$15:$N$15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Projections'!$D$33:$N$33</c:f>
              <c:numCache>
                <c:formatCode>0.00</c:formatCode>
                <c:ptCount val="11"/>
                <c:pt idx="0">
                  <c:v>18.400000000000002</c:v>
                </c:pt>
                <c:pt idx="1">
                  <c:v>20.9</c:v>
                </c:pt>
                <c:pt idx="2">
                  <c:v>24.999999999999996</c:v>
                </c:pt>
                <c:pt idx="3">
                  <c:v>28.799999999999997</c:v>
                </c:pt>
                <c:pt idx="4">
                  <c:v>31.9</c:v>
                </c:pt>
                <c:pt idx="5">
                  <c:v>34.800000000000004</c:v>
                </c:pt>
                <c:pt idx="6">
                  <c:v>37.299999999999997</c:v>
                </c:pt>
                <c:pt idx="7">
                  <c:v>39.15</c:v>
                </c:pt>
                <c:pt idx="8">
                  <c:v>40.799999999999997</c:v>
                </c:pt>
                <c:pt idx="9">
                  <c:v>41.1</c:v>
                </c:pt>
                <c:pt idx="10">
                  <c:v>41.4</c:v>
                </c:pt>
              </c:numCache>
            </c:numRef>
          </c:val>
          <c:smooth val="0"/>
        </c:ser>
        <c:ser>
          <c:idx val="1"/>
          <c:order val="1"/>
          <c:tx>
            <c:strRef>
              <c:f>'Population&amp;Demand Projections'!$C$46</c:f>
              <c:strCache>
                <c:ptCount val="1"/>
              </c:strCache>
            </c:strRef>
          </c:tx>
          <c:spPr>
            <a:ln w="25400">
              <a:solidFill>
                <a:srgbClr val="993300"/>
              </a:solidFill>
              <a:prstDash val="solid"/>
            </a:ln>
          </c:spPr>
          <c:marker>
            <c:symbol val="none"/>
          </c:marker>
          <c:cat>
            <c:numRef>
              <c:f>'Population&amp;Demand Projections'!$D$15:$N$15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Projections'!$D$46:$N$46</c:f>
              <c:numCache>
                <c:formatCode>0.000</c:formatCode>
                <c:ptCount val="11"/>
                <c:pt idx="0">
                  <c:v>18.400000000000002</c:v>
                </c:pt>
                <c:pt idx="1">
                  <c:v>20.9</c:v>
                </c:pt>
                <c:pt idx="2">
                  <c:v>24.999999999999996</c:v>
                </c:pt>
                <c:pt idx="3">
                  <c:v>28.799999999999997</c:v>
                </c:pt>
                <c:pt idx="4">
                  <c:v>31.9</c:v>
                </c:pt>
                <c:pt idx="5">
                  <c:v>34.800000000000004</c:v>
                </c:pt>
                <c:pt idx="6">
                  <c:v>37.299999999999997</c:v>
                </c:pt>
                <c:pt idx="7">
                  <c:v>39.15</c:v>
                </c:pt>
                <c:pt idx="8">
                  <c:v>40.799999999999997</c:v>
                </c:pt>
                <c:pt idx="9">
                  <c:v>41.1</c:v>
                </c:pt>
                <c:pt idx="10">
                  <c:v>41.4</c:v>
                </c:pt>
              </c:numCache>
            </c:numRef>
          </c:val>
          <c:smooth val="0"/>
        </c:ser>
        <c:dLbls>
          <c:showLegendKey val="0"/>
          <c:showVal val="0"/>
          <c:showCatName val="0"/>
          <c:showSerName val="0"/>
          <c:showPercent val="0"/>
          <c:showBubbleSize val="0"/>
        </c:dLbls>
        <c:smooth val="0"/>
        <c:axId val="279402408"/>
        <c:axId val="279402016"/>
      </c:lineChart>
      <c:catAx>
        <c:axId val="2794024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7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79402016"/>
        <c:crosses val="autoZero"/>
        <c:auto val="1"/>
        <c:lblAlgn val="ctr"/>
        <c:lblOffset val="100"/>
        <c:tickLblSkip val="1"/>
        <c:tickMarkSkip val="1"/>
        <c:noMultiLvlLbl val="0"/>
      </c:catAx>
      <c:valAx>
        <c:axId val="279402016"/>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52E-2"/>
              <c:y val="0.3345138107736569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279402408"/>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149087</xdr:rowOff>
    </xdr:from>
    <xdr:to>
      <xdr:col>6</xdr:col>
      <xdr:colOff>49696</xdr:colOff>
      <xdr:row>32</xdr:row>
      <xdr:rowOff>50584</xdr:rowOff>
    </xdr:to>
    <xdr:pic>
      <xdr:nvPicPr>
        <xdr:cNvPr id="14" name="Picture 13"/>
        <xdr:cNvPicPr>
          <a:picLocks noChangeAspect="1"/>
        </xdr:cNvPicPr>
      </xdr:nvPicPr>
      <xdr:blipFill>
        <a:blip xmlns:r="http://schemas.openxmlformats.org/officeDocument/2006/relationships" r:embed="rId1"/>
        <a:stretch>
          <a:fillRect/>
        </a:stretch>
      </xdr:blipFill>
      <xdr:spPr>
        <a:xfrm>
          <a:off x="0" y="646044"/>
          <a:ext cx="3727174" cy="4705410"/>
        </a:xfrm>
        <a:prstGeom prst="rect">
          <a:avLst/>
        </a:prstGeom>
      </xdr:spPr>
    </xdr:pic>
    <xdr:clientData/>
  </xdr:twoCellAnchor>
  <xdr:twoCellAnchor>
    <xdr:from>
      <xdr:col>0</xdr:col>
      <xdr:colOff>28575</xdr:colOff>
      <xdr:row>37</xdr:row>
      <xdr:rowOff>133350</xdr:rowOff>
    </xdr:from>
    <xdr:to>
      <xdr:col>10</xdr:col>
      <xdr:colOff>241935</xdr:colOff>
      <xdr:row>57</xdr:row>
      <xdr:rowOff>85725</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211</xdr:row>
      <xdr:rowOff>23811</xdr:rowOff>
    </xdr:from>
    <xdr:to>
      <xdr:col>7</xdr:col>
      <xdr:colOff>981075</xdr:colOff>
      <xdr:row>229</xdr:row>
      <xdr:rowOff>123824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149</xdr:row>
      <xdr:rowOff>57978</xdr:rowOff>
    </xdr:from>
    <xdr:to>
      <xdr:col>7</xdr:col>
      <xdr:colOff>952500</xdr:colOff>
      <xdr:row>165</xdr:row>
      <xdr:rowOff>140803</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60</xdr:row>
      <xdr:rowOff>133350</xdr:rowOff>
    </xdr:from>
    <xdr:to>
      <xdr:col>10</xdr:col>
      <xdr:colOff>241935</xdr:colOff>
      <xdr:row>80</xdr:row>
      <xdr:rowOff>85725</xdr:rowOff>
    </xdr:to>
    <xdr:graphicFrame macro="">
      <xdr:nvGraphicFramePr>
        <xdr:cNvPr id="7"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84</xdr:row>
      <xdr:rowOff>0</xdr:rowOff>
    </xdr:from>
    <xdr:to>
      <xdr:col>10</xdr:col>
      <xdr:colOff>213360</xdr:colOff>
      <xdr:row>103</xdr:row>
      <xdr:rowOff>118028</xdr:rowOff>
    </xdr:to>
    <xdr:graphicFrame macro="">
      <xdr:nvGraphicFramePr>
        <xdr:cNvPr id="11"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168</xdr:row>
      <xdr:rowOff>57978</xdr:rowOff>
    </xdr:from>
    <xdr:to>
      <xdr:col>7</xdr:col>
      <xdr:colOff>952500</xdr:colOff>
      <xdr:row>184</xdr:row>
      <xdr:rowOff>140803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187</xdr:row>
      <xdr:rowOff>57978</xdr:rowOff>
    </xdr:from>
    <xdr:to>
      <xdr:col>7</xdr:col>
      <xdr:colOff>952500</xdr:colOff>
      <xdr:row>203</xdr:row>
      <xdr:rowOff>140803</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115</xdr:row>
      <xdr:rowOff>8283</xdr:rowOff>
    </xdr:from>
    <xdr:to>
      <xdr:col>6</xdr:col>
      <xdr:colOff>49696</xdr:colOff>
      <xdr:row>143</xdr:row>
      <xdr:rowOff>75432</xdr:rowOff>
    </xdr:to>
    <xdr:pic>
      <xdr:nvPicPr>
        <xdr:cNvPr id="16" name="Picture 15"/>
        <xdr:cNvPicPr>
          <a:picLocks noChangeAspect="1"/>
        </xdr:cNvPicPr>
      </xdr:nvPicPr>
      <xdr:blipFill>
        <a:blip xmlns:r="http://schemas.openxmlformats.org/officeDocument/2006/relationships" r:embed="rId1"/>
        <a:stretch>
          <a:fillRect/>
        </a:stretch>
      </xdr:blipFill>
      <xdr:spPr>
        <a:xfrm>
          <a:off x="0" y="19058283"/>
          <a:ext cx="3727174" cy="470541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0.78663</cdr:x>
      <cdr:y>0.09317</cdr:y>
    </cdr:from>
    <cdr:to>
      <cdr:x>0.96628</cdr:x>
      <cdr:y>0.15954</cdr:y>
    </cdr:to>
    <cdr:sp macro="" textlink="">
      <cdr:nvSpPr>
        <cdr:cNvPr id="2" name="TextBox 1"/>
        <cdr:cNvSpPr txBox="1"/>
      </cdr:nvSpPr>
      <cdr:spPr>
        <a:xfrm xmlns:a="http://schemas.openxmlformats.org/drawingml/2006/main">
          <a:off x="5523452" y="304239"/>
          <a:ext cx="1261441" cy="216738"/>
        </a:xfrm>
        <a:prstGeom xmlns:a="http://schemas.openxmlformats.org/drawingml/2006/main" prst="rect">
          <a:avLst/>
        </a:prstGeom>
        <a:gradFill xmlns:a="http://schemas.openxmlformats.org/drawingml/2006/main"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cdr:spPr>
      <cdr:txBody>
        <a:bodyPr xmlns:a="http://schemas.openxmlformats.org/drawingml/2006/main" vertOverflow="clip" wrap="square" lIns="45720" rIns="45720" rtlCol="0" anchor="ctr">
          <a:noAutofit/>
        </a:bodyPr>
        <a:lstStyle xmlns:a="http://schemas.openxmlformats.org/drawingml/2006/main"/>
        <a:p xmlns:a="http://schemas.openxmlformats.org/drawingml/2006/main">
          <a:pPr algn="ctr"/>
          <a:r>
            <a:rPr lang="en-US" sz="1400" b="1" u="sng">
              <a:solidFill>
                <a:srgbClr val="002060"/>
              </a:solidFill>
              <a:latin typeface="Tw Cen MT Condensed" panose="020B0606020104020203" pitchFamily="34" charset="0"/>
            </a:rPr>
            <a:t>Sector</a:t>
          </a:r>
        </a:p>
      </cdr:txBody>
    </cdr:sp>
  </cdr:relSizeAnchor>
</c:userShapes>
</file>

<file path=xl/drawings/drawing3.xml><?xml version="1.0" encoding="utf-8"?>
<c:userShapes xmlns:c="http://schemas.openxmlformats.org/drawingml/2006/chart">
  <cdr:relSizeAnchor xmlns:cdr="http://schemas.openxmlformats.org/drawingml/2006/chartDrawing">
    <cdr:from>
      <cdr:x>0.78663</cdr:x>
      <cdr:y>0.09317</cdr:y>
    </cdr:from>
    <cdr:to>
      <cdr:x>0.96628</cdr:x>
      <cdr:y>0.16208</cdr:y>
    </cdr:to>
    <cdr:sp macro="" textlink="">
      <cdr:nvSpPr>
        <cdr:cNvPr id="2" name="TextBox 1"/>
        <cdr:cNvSpPr txBox="1"/>
      </cdr:nvSpPr>
      <cdr:spPr>
        <a:xfrm xmlns:a="http://schemas.openxmlformats.org/drawingml/2006/main">
          <a:off x="5523452" y="304239"/>
          <a:ext cx="1261441" cy="225020"/>
        </a:xfrm>
        <a:prstGeom xmlns:a="http://schemas.openxmlformats.org/drawingml/2006/main" prst="rect">
          <a:avLst/>
        </a:prstGeom>
        <a:gradFill xmlns:a="http://schemas.openxmlformats.org/drawingml/2006/main"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cdr:spPr>
      <cdr:txBody>
        <a:bodyPr xmlns:a="http://schemas.openxmlformats.org/drawingml/2006/main" vertOverflow="clip" wrap="square" lIns="45720" rIns="45720" rtlCol="0" anchor="ctr">
          <a:noAutofit/>
        </a:bodyPr>
        <a:lstStyle xmlns:a="http://schemas.openxmlformats.org/drawingml/2006/main"/>
        <a:p xmlns:a="http://schemas.openxmlformats.org/drawingml/2006/main">
          <a:pPr algn="ctr"/>
          <a:r>
            <a:rPr lang="en-US" sz="1400" b="1" u="sng">
              <a:solidFill>
                <a:srgbClr val="002060"/>
              </a:solidFill>
              <a:latin typeface="Tw Cen MT Condensed" panose="020B0606020104020203" pitchFamily="34" charset="0"/>
            </a:rPr>
            <a:t>Sector</a:t>
          </a:r>
        </a:p>
      </cdr:txBody>
    </cdr:sp>
  </cdr:relSizeAnchor>
</c:userShapes>
</file>

<file path=xl/drawings/drawing4.xml><?xml version="1.0" encoding="utf-8"?>
<c:userShapes xmlns:c="http://schemas.openxmlformats.org/drawingml/2006/chart">
  <cdr:relSizeAnchor xmlns:cdr="http://schemas.openxmlformats.org/drawingml/2006/chartDrawing">
    <cdr:from>
      <cdr:x>0.78663</cdr:x>
      <cdr:y>0.09317</cdr:y>
    </cdr:from>
    <cdr:to>
      <cdr:x>0.96628</cdr:x>
      <cdr:y>0.15954</cdr:y>
    </cdr:to>
    <cdr:sp macro="" textlink="">
      <cdr:nvSpPr>
        <cdr:cNvPr id="2" name="TextBox 1"/>
        <cdr:cNvSpPr txBox="1"/>
      </cdr:nvSpPr>
      <cdr:spPr>
        <a:xfrm xmlns:a="http://schemas.openxmlformats.org/drawingml/2006/main">
          <a:off x="5523452" y="304239"/>
          <a:ext cx="1261441" cy="216738"/>
        </a:xfrm>
        <a:prstGeom xmlns:a="http://schemas.openxmlformats.org/drawingml/2006/main" prst="rect">
          <a:avLst/>
        </a:prstGeom>
        <a:gradFill xmlns:a="http://schemas.openxmlformats.org/drawingml/2006/main"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cdr:spPr>
      <cdr:txBody>
        <a:bodyPr xmlns:a="http://schemas.openxmlformats.org/drawingml/2006/main" vertOverflow="clip" wrap="square" lIns="45720" rIns="45720" rtlCol="0" anchor="ctr">
          <a:noAutofit/>
        </a:bodyPr>
        <a:lstStyle xmlns:a="http://schemas.openxmlformats.org/drawingml/2006/main"/>
        <a:p xmlns:a="http://schemas.openxmlformats.org/drawingml/2006/main">
          <a:pPr algn="ctr"/>
          <a:r>
            <a:rPr lang="en-US" sz="1400" b="1" u="sng">
              <a:solidFill>
                <a:srgbClr val="002060"/>
              </a:solidFill>
              <a:latin typeface="Tw Cen MT Condensed" panose="020B0606020104020203" pitchFamily="34" charset="0"/>
            </a:rPr>
            <a:t>Sector</a:t>
          </a:r>
        </a:p>
      </cdr:txBody>
    </cdr:sp>
  </cdr:relSizeAnchor>
</c:userShapes>
</file>

<file path=xl/drawings/drawing5.xml><?xml version="1.0" encoding="utf-8"?>
<xdr:wsDr xmlns:xdr="http://schemas.openxmlformats.org/drawingml/2006/spreadsheetDrawing" xmlns:a="http://schemas.openxmlformats.org/drawingml/2006/main">
  <xdr:twoCellAnchor>
    <xdr:from>
      <xdr:col>15</xdr:col>
      <xdr:colOff>19050</xdr:colOff>
      <xdr:row>49</xdr:row>
      <xdr:rowOff>38100</xdr:rowOff>
    </xdr:from>
    <xdr:to>
      <xdr:col>21</xdr:col>
      <xdr:colOff>809625</xdr:colOff>
      <xdr:row>65</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49</xdr:row>
      <xdr:rowOff>38100</xdr:rowOff>
    </xdr:from>
    <xdr:to>
      <xdr:col>7</xdr:col>
      <xdr:colOff>809625</xdr:colOff>
      <xdr:row>65</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19050</xdr:colOff>
      <xdr:row>49</xdr:row>
      <xdr:rowOff>38100</xdr:rowOff>
    </xdr:from>
    <xdr:to>
      <xdr:col>49</xdr:col>
      <xdr:colOff>809625</xdr:colOff>
      <xdr:row>65</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57</xdr:col>
      <xdr:colOff>19050</xdr:colOff>
      <xdr:row>49</xdr:row>
      <xdr:rowOff>38100</xdr:rowOff>
    </xdr:from>
    <xdr:to>
      <xdr:col>63</xdr:col>
      <xdr:colOff>809625</xdr:colOff>
      <xdr:row>65</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19050</xdr:colOff>
      <xdr:row>49</xdr:row>
      <xdr:rowOff>38100</xdr:rowOff>
    </xdr:from>
    <xdr:to>
      <xdr:col>35</xdr:col>
      <xdr:colOff>809625</xdr:colOff>
      <xdr:row>65</xdr:row>
      <xdr:rowOff>38100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portal.ncdenr.org/web/wq/ps/csu/classifications" TargetMode="External"/><Relationship Id="rId1" Type="http://schemas.openxmlformats.org/officeDocument/2006/relationships/hyperlink" Target="http://www.ncwater.org/water_supply_planning/local_water_supply_plan/docs/river_basin_map.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B44"/>
  <sheetViews>
    <sheetView topLeftCell="A16" workbookViewId="0">
      <selection activeCell="B42" sqref="B42"/>
    </sheetView>
  </sheetViews>
  <sheetFormatPr defaultRowHeight="12.75" x14ac:dyDescent="0.2"/>
  <cols>
    <col min="1" max="1" width="35.42578125" customWidth="1"/>
    <col min="2" max="2" width="79.28515625" customWidth="1"/>
  </cols>
  <sheetData>
    <row r="1" spans="1:2" x14ac:dyDescent="0.2">
      <c r="A1" s="152" t="s">
        <v>289</v>
      </c>
      <c r="B1" s="152" t="s">
        <v>290</v>
      </c>
    </row>
    <row r="3" spans="1:2" x14ac:dyDescent="0.2">
      <c r="A3" s="152" t="s">
        <v>187</v>
      </c>
    </row>
    <row r="4" spans="1:2" x14ac:dyDescent="0.2">
      <c r="A4" s="242" t="s">
        <v>188</v>
      </c>
      <c r="B4" s="152" t="s">
        <v>284</v>
      </c>
    </row>
    <row r="5" spans="1:2" ht="38.25" x14ac:dyDescent="0.2">
      <c r="A5" s="195" t="s">
        <v>189</v>
      </c>
      <c r="B5" s="153" t="s">
        <v>190</v>
      </c>
    </row>
    <row r="6" spans="1:2" ht="25.5" x14ac:dyDescent="0.2">
      <c r="A6" s="194" t="s">
        <v>191</v>
      </c>
      <c r="B6" s="153" t="s">
        <v>192</v>
      </c>
    </row>
    <row r="7" spans="1:2" x14ac:dyDescent="0.2">
      <c r="A7" s="152"/>
      <c r="B7" s="153"/>
    </row>
    <row r="8" spans="1:2" x14ac:dyDescent="0.2">
      <c r="A8" s="136" t="s">
        <v>211</v>
      </c>
      <c r="B8" s="113"/>
    </row>
    <row r="9" spans="1:2" ht="38.25" x14ac:dyDescent="0.2">
      <c r="A9" s="196" t="s">
        <v>193</v>
      </c>
      <c r="B9" s="153" t="s">
        <v>194</v>
      </c>
    </row>
    <row r="10" spans="1:2" ht="25.5" x14ac:dyDescent="0.2">
      <c r="A10" s="197" t="s">
        <v>195</v>
      </c>
      <c r="B10" s="153" t="s">
        <v>196</v>
      </c>
    </row>
    <row r="11" spans="1:2" x14ac:dyDescent="0.2">
      <c r="A11" s="198" t="s">
        <v>197</v>
      </c>
      <c r="B11" s="153" t="s">
        <v>198</v>
      </c>
    </row>
    <row r="12" spans="1:2" x14ac:dyDescent="0.2">
      <c r="B12" s="113"/>
    </row>
    <row r="13" spans="1:2" x14ac:dyDescent="0.2">
      <c r="A13" s="136" t="s">
        <v>199</v>
      </c>
      <c r="B13" s="113"/>
    </row>
    <row r="14" spans="1:2" x14ac:dyDescent="0.2">
      <c r="A14" s="167" t="s">
        <v>265</v>
      </c>
      <c r="B14" s="153" t="s">
        <v>263</v>
      </c>
    </row>
    <row r="15" spans="1:2" x14ac:dyDescent="0.2">
      <c r="A15" s="160" t="s">
        <v>200</v>
      </c>
      <c r="B15" s="153" t="s">
        <v>264</v>
      </c>
    </row>
    <row r="16" spans="1:2" x14ac:dyDescent="0.2">
      <c r="B16" s="113"/>
    </row>
    <row r="17" spans="1:2" x14ac:dyDescent="0.2">
      <c r="A17" s="166" t="s">
        <v>201</v>
      </c>
      <c r="B17" s="153" t="s">
        <v>208</v>
      </c>
    </row>
    <row r="18" spans="1:2" x14ac:dyDescent="0.2">
      <c r="A18" s="162" t="s">
        <v>202</v>
      </c>
      <c r="B18" s="153" t="s">
        <v>210</v>
      </c>
    </row>
    <row r="19" spans="1:2" x14ac:dyDescent="0.2">
      <c r="A19" s="164" t="s">
        <v>203</v>
      </c>
      <c r="B19" s="153" t="s">
        <v>209</v>
      </c>
    </row>
    <row r="20" spans="1:2" x14ac:dyDescent="0.2">
      <c r="A20" s="165" t="s">
        <v>204</v>
      </c>
      <c r="B20" s="153" t="s">
        <v>209</v>
      </c>
    </row>
    <row r="21" spans="1:2" x14ac:dyDescent="0.2">
      <c r="A21" s="163" t="s">
        <v>205</v>
      </c>
      <c r="B21" s="153" t="s">
        <v>209</v>
      </c>
    </row>
    <row r="22" spans="1:2" x14ac:dyDescent="0.2">
      <c r="A22" s="161" t="s">
        <v>206</v>
      </c>
      <c r="B22" s="153" t="s">
        <v>209</v>
      </c>
    </row>
    <row r="23" spans="1:2" x14ac:dyDescent="0.2">
      <c r="B23" s="113"/>
    </row>
    <row r="24" spans="1:2" x14ac:dyDescent="0.2">
      <c r="B24" s="113"/>
    </row>
    <row r="25" spans="1:2" x14ac:dyDescent="0.2">
      <c r="A25" s="160" t="s">
        <v>207</v>
      </c>
      <c r="B25" s="153" t="s">
        <v>283</v>
      </c>
    </row>
    <row r="31" spans="1:2" x14ac:dyDescent="0.2">
      <c r="A31" s="232" t="s">
        <v>215</v>
      </c>
    </row>
    <row r="32" spans="1:2" ht="25.5" x14ac:dyDescent="0.2">
      <c r="A32" s="193" t="s">
        <v>285</v>
      </c>
      <c r="B32" s="233" t="s">
        <v>286</v>
      </c>
    </row>
    <row r="33" spans="1:2" ht="25.5" x14ac:dyDescent="0.2">
      <c r="A33" s="233" t="s">
        <v>267</v>
      </c>
      <c r="B33" s="233" t="s">
        <v>266</v>
      </c>
    </row>
    <row r="36" spans="1:2" x14ac:dyDescent="0.2">
      <c r="A36" s="232" t="s">
        <v>249</v>
      </c>
    </row>
    <row r="37" spans="1:2" x14ac:dyDescent="0.2">
      <c r="A37" s="193" t="s">
        <v>251</v>
      </c>
      <c r="B37" s="193" t="s">
        <v>250</v>
      </c>
    </row>
    <row r="38" spans="1:2" x14ac:dyDescent="0.2">
      <c r="A38" s="193" t="s">
        <v>252</v>
      </c>
      <c r="B38" s="193" t="s">
        <v>253</v>
      </c>
    </row>
    <row r="39" spans="1:2" ht="38.25" x14ac:dyDescent="0.2">
      <c r="A39" s="233" t="s">
        <v>254</v>
      </c>
      <c r="B39" s="233" t="s">
        <v>255</v>
      </c>
    </row>
    <row r="40" spans="1:2" ht="38.25" x14ac:dyDescent="0.2">
      <c r="A40" s="193" t="s">
        <v>257</v>
      </c>
      <c r="B40" s="233" t="s">
        <v>258</v>
      </c>
    </row>
    <row r="41" spans="1:2" ht="38.25" x14ac:dyDescent="0.2">
      <c r="A41" s="193" t="s">
        <v>256</v>
      </c>
      <c r="B41" s="233" t="s">
        <v>282</v>
      </c>
    </row>
    <row r="42" spans="1:2" ht="25.5" x14ac:dyDescent="0.2">
      <c r="A42" s="193" t="s">
        <v>259</v>
      </c>
      <c r="B42" s="233" t="s">
        <v>260</v>
      </c>
    </row>
    <row r="43" spans="1:2" x14ac:dyDescent="0.2">
      <c r="A43" s="193" t="s">
        <v>288</v>
      </c>
      <c r="B43" s="233" t="s">
        <v>261</v>
      </c>
    </row>
    <row r="44" spans="1:2" ht="25.5" x14ac:dyDescent="0.2">
      <c r="A44" s="193" t="s">
        <v>287</v>
      </c>
      <c r="B44" s="233" t="s">
        <v>262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O31"/>
  <sheetViews>
    <sheetView workbookViewId="0">
      <selection activeCell="G26" sqref="G26:G31"/>
    </sheetView>
  </sheetViews>
  <sheetFormatPr defaultRowHeight="12" x14ac:dyDescent="0.2"/>
  <cols>
    <col min="1" max="1" width="4.140625" style="1" customWidth="1"/>
    <col min="2" max="2" width="50" style="1" customWidth="1"/>
    <col min="3" max="13" width="10.7109375" style="1" customWidth="1"/>
    <col min="14" max="16384" width="9.140625" style="1"/>
  </cols>
  <sheetData>
    <row r="1" spans="2:15" ht="12.75" thickBot="1" x14ac:dyDescent="0.25">
      <c r="B1" s="24" t="str">
        <f>'Population&amp;Demand Projections'!C3</f>
        <v>Cary / Apex</v>
      </c>
      <c r="C1" s="1" t="s">
        <v>34</v>
      </c>
    </row>
    <row r="2" spans="2:15" ht="12.75" thickBot="1" x14ac:dyDescent="0.25">
      <c r="B2" s="77">
        <f>'Population&amp;Demand Projections'!$C$4</f>
        <v>41759</v>
      </c>
      <c r="C2" s="203" t="s">
        <v>35</v>
      </c>
    </row>
    <row r="3" spans="2:15" x14ac:dyDescent="0.2">
      <c r="B3" s="235" t="s">
        <v>75</v>
      </c>
      <c r="C3" s="236"/>
      <c r="D3" s="237"/>
      <c r="E3" s="237"/>
      <c r="F3" s="237"/>
      <c r="G3" s="237"/>
      <c r="H3" s="237"/>
      <c r="I3" s="237"/>
      <c r="J3" s="237"/>
      <c r="K3" s="237"/>
      <c r="L3" s="237"/>
      <c r="M3" s="238"/>
    </row>
    <row r="4" spans="2:15" ht="12.75" thickBot="1" x14ac:dyDescent="0.25">
      <c r="B4" s="239" t="s">
        <v>72</v>
      </c>
      <c r="C4" s="240"/>
      <c r="D4" s="240"/>
      <c r="E4" s="240"/>
      <c r="F4" s="240"/>
      <c r="G4" s="240"/>
      <c r="H4" s="240"/>
      <c r="I4" s="240" t="s">
        <v>44</v>
      </c>
      <c r="J4" s="240"/>
      <c r="K4" s="240"/>
      <c r="L4" s="240"/>
      <c r="M4" s="241"/>
    </row>
    <row r="5" spans="2:15" ht="13.5" customHeight="1" x14ac:dyDescent="0.2">
      <c r="B5" s="234" t="s">
        <v>395</v>
      </c>
      <c r="C5" s="9" t="s">
        <v>26</v>
      </c>
      <c r="D5" s="9"/>
      <c r="E5" s="9"/>
      <c r="F5" s="9"/>
      <c r="G5" s="9"/>
      <c r="H5" s="9"/>
      <c r="I5" s="9"/>
      <c r="J5" s="9"/>
      <c r="K5" s="9"/>
      <c r="L5" s="9"/>
      <c r="M5" s="10"/>
    </row>
    <row r="6" spans="2:15" ht="12.75" thickBot="1" x14ac:dyDescent="0.25">
      <c r="B6" s="11"/>
      <c r="C6" s="23">
        <v>2010</v>
      </c>
      <c r="D6" s="12">
        <v>2015</v>
      </c>
      <c r="E6" s="12">
        <v>2020</v>
      </c>
      <c r="F6" s="12">
        <v>2025</v>
      </c>
      <c r="G6" s="12">
        <v>2030</v>
      </c>
      <c r="H6" s="12">
        <v>2035</v>
      </c>
      <c r="I6" s="12">
        <v>2040</v>
      </c>
      <c r="J6" s="12">
        <v>2045</v>
      </c>
      <c r="K6" s="12">
        <v>2050</v>
      </c>
      <c r="L6" s="5">
        <v>2055</v>
      </c>
      <c r="M6" s="12">
        <v>2060</v>
      </c>
    </row>
    <row r="7" spans="2:15" x14ac:dyDescent="0.2">
      <c r="B7" s="66" t="s">
        <v>71</v>
      </c>
      <c r="C7" s="262">
        <f>'Population&amp;Demand Projections'!C94</f>
        <v>-13.599999999999998</v>
      </c>
      <c r="D7" s="262">
        <f>'Population&amp;Demand Projections'!D94</f>
        <v>-11.100000000000001</v>
      </c>
      <c r="E7" s="262">
        <f>'Population&amp;Demand Projections'!E94</f>
        <v>-7.0000000000000036</v>
      </c>
      <c r="F7" s="262">
        <f>'Population&amp;Demand Projections'!F94</f>
        <v>-3.2000000000000028</v>
      </c>
      <c r="G7" s="262">
        <f>'Population&amp;Demand Projections'!G94</f>
        <v>-0.10000000000000142</v>
      </c>
      <c r="H7" s="262">
        <f>'Population&amp;Demand Projections'!H94</f>
        <v>2.8000000000000043</v>
      </c>
      <c r="I7" s="262">
        <f>'Population&amp;Demand Projections'!I94</f>
        <v>5.2999999999999972</v>
      </c>
      <c r="J7" s="262">
        <f>'Population&amp;Demand Projections'!J94</f>
        <v>7.1499999999999986</v>
      </c>
      <c r="K7" s="262">
        <f>'Population&amp;Demand Projections'!K94+'Population&amp;Demand Projections'!BA94</f>
        <v>8.8199999999999967</v>
      </c>
      <c r="L7" s="262">
        <f>'Population&amp;Demand Projections'!L94+'Population&amp;Demand Projections'!BB94</f>
        <v>9.1750000000000025</v>
      </c>
      <c r="M7" s="262">
        <f>'Population&amp;Demand Projections'!M94+'Population&amp;Demand Projections'!BC94</f>
        <v>9.5299999999999994</v>
      </c>
    </row>
    <row r="8" spans="2:15" x14ac:dyDescent="0.2">
      <c r="B8" s="20" t="str">
        <f>"(2)        Available supply from "&amp;IF(ISNA(VLOOKUP(1,$A$26:$I$31,2,FALSE))," project 1",VLOOKUP(1,$A$26:$I$31,2,FALSE))</f>
        <v>(2)        Available supply from Crabtree Creek &amp; Triangle Quarry</v>
      </c>
      <c r="C8" s="263">
        <f t="shared" ref="C8:M8" si="0">SUMIFS($G$26:$G$31,$A$26:$A$31,1,$I$26:$I$31,"&lt;="&amp;C$6,$I$26:$I$31,"&gt;0")</f>
        <v>0</v>
      </c>
      <c r="D8" s="263">
        <f t="shared" si="0"/>
        <v>0</v>
      </c>
      <c r="E8" s="263">
        <f t="shared" si="0"/>
        <v>0</v>
      </c>
      <c r="F8" s="263">
        <f t="shared" si="0"/>
        <v>0</v>
      </c>
      <c r="G8" s="263">
        <f t="shared" si="0"/>
        <v>9.5</v>
      </c>
      <c r="H8" s="263">
        <f t="shared" si="0"/>
        <v>9.5</v>
      </c>
      <c r="I8" s="263">
        <f t="shared" si="0"/>
        <v>9.5</v>
      </c>
      <c r="J8" s="263">
        <f t="shared" si="0"/>
        <v>9.5</v>
      </c>
      <c r="K8" s="263">
        <f t="shared" si="0"/>
        <v>9.5</v>
      </c>
      <c r="L8" s="263">
        <f t="shared" si="0"/>
        <v>9.5</v>
      </c>
      <c r="M8" s="263">
        <f t="shared" si="0"/>
        <v>9.5</v>
      </c>
    </row>
    <row r="9" spans="2:15" x14ac:dyDescent="0.2">
      <c r="B9" s="20" t="str">
        <f>"           Available supply from "&amp;IF(ISNA(VLOOKUP(2,$A$26:$I$31,2,FALSE)),"project 2",VLOOKUP(2,$A$26:$I$31,2,FALSE))</f>
        <v xml:space="preserve">           Available supply from project 2</v>
      </c>
      <c r="C9" s="263">
        <f t="shared" ref="C9:M9" si="1">SUMIFS($G$26:$G$31,$A$26:$A$31,2,$I$26:$I$31,"&lt;="&amp;C$6,$I$26:$I$31,"&gt;0")</f>
        <v>0</v>
      </c>
      <c r="D9" s="263">
        <f t="shared" si="1"/>
        <v>0</v>
      </c>
      <c r="E9" s="263">
        <f t="shared" si="1"/>
        <v>0</v>
      </c>
      <c r="F9" s="263">
        <f t="shared" si="1"/>
        <v>0</v>
      </c>
      <c r="G9" s="263">
        <f t="shared" si="1"/>
        <v>0</v>
      </c>
      <c r="H9" s="263">
        <f t="shared" si="1"/>
        <v>0</v>
      </c>
      <c r="I9" s="263">
        <f t="shared" si="1"/>
        <v>0</v>
      </c>
      <c r="J9" s="263">
        <f t="shared" si="1"/>
        <v>0</v>
      </c>
      <c r="K9" s="263">
        <f t="shared" si="1"/>
        <v>0</v>
      </c>
      <c r="L9" s="263">
        <f t="shared" si="1"/>
        <v>0</v>
      </c>
      <c r="M9" s="263">
        <f t="shared" si="1"/>
        <v>0</v>
      </c>
    </row>
    <row r="10" spans="2:15" x14ac:dyDescent="0.2">
      <c r="B10" s="20" t="str">
        <f>"           Available supply from "&amp;IF(ISNA(VLOOKUP(3,$A$26:$I$31,2,FALSE)),"project 3",VLOOKUP(3,$A$26:$I$31,2,FALSE))</f>
        <v xml:space="preserve">           Available supply from project 3</v>
      </c>
      <c r="C10" s="263">
        <f t="shared" ref="C10:M10" si="2">SUMIFS($G$26:$G$31,$A$26:$A$31,3,$I$26:$I$31,"&lt;="&amp;C$70,$I$26:$I$31,"&gt;0")</f>
        <v>0</v>
      </c>
      <c r="D10" s="263">
        <f t="shared" si="2"/>
        <v>0</v>
      </c>
      <c r="E10" s="263">
        <f t="shared" si="2"/>
        <v>0</v>
      </c>
      <c r="F10" s="263">
        <f t="shared" si="2"/>
        <v>0</v>
      </c>
      <c r="G10" s="263">
        <f t="shared" si="2"/>
        <v>0</v>
      </c>
      <c r="H10" s="263">
        <f t="shared" si="2"/>
        <v>0</v>
      </c>
      <c r="I10" s="263">
        <f t="shared" si="2"/>
        <v>0</v>
      </c>
      <c r="J10" s="263">
        <f t="shared" si="2"/>
        <v>0</v>
      </c>
      <c r="K10" s="263">
        <f t="shared" si="2"/>
        <v>0</v>
      </c>
      <c r="L10" s="263">
        <f t="shared" si="2"/>
        <v>0</v>
      </c>
      <c r="M10" s="263">
        <f t="shared" si="2"/>
        <v>0</v>
      </c>
    </row>
    <row r="11" spans="2:15" s="2" customFormat="1" x14ac:dyDescent="0.2">
      <c r="B11" s="4" t="s">
        <v>73</v>
      </c>
      <c r="C11" s="264">
        <f>SUM(C8:C10)-C7</f>
        <v>13.599999999999998</v>
      </c>
      <c r="D11" s="264">
        <f t="shared" ref="D11:M11" si="3">SUM(D8:D10)-D7</f>
        <v>11.100000000000001</v>
      </c>
      <c r="E11" s="264">
        <f t="shared" si="3"/>
        <v>7.0000000000000036</v>
      </c>
      <c r="F11" s="264">
        <f t="shared" si="3"/>
        <v>3.2000000000000028</v>
      </c>
      <c r="G11" s="264">
        <f t="shared" si="3"/>
        <v>9.6000000000000014</v>
      </c>
      <c r="H11" s="264">
        <f t="shared" si="3"/>
        <v>6.6999999999999957</v>
      </c>
      <c r="I11" s="264">
        <f t="shared" si="3"/>
        <v>4.2000000000000028</v>
      </c>
      <c r="J11" s="264">
        <f t="shared" si="3"/>
        <v>2.3500000000000014</v>
      </c>
      <c r="K11" s="264">
        <f t="shared" si="3"/>
        <v>0.68000000000000327</v>
      </c>
      <c r="L11" s="264">
        <f t="shared" si="3"/>
        <v>0.32499999999999751</v>
      </c>
      <c r="M11" s="264">
        <f t="shared" si="3"/>
        <v>-2.9999999999999361E-2</v>
      </c>
    </row>
    <row r="12" spans="2:15" x14ac:dyDescent="0.2">
      <c r="B12" s="3"/>
      <c r="C12" s="21"/>
      <c r="D12" s="21"/>
      <c r="E12" s="21"/>
      <c r="F12" s="21"/>
      <c r="G12" s="21"/>
      <c r="H12" s="21"/>
      <c r="I12" s="21"/>
      <c r="J12" s="21"/>
      <c r="K12" s="21"/>
      <c r="L12" s="21"/>
      <c r="M12" s="22"/>
    </row>
    <row r="13" spans="2:15" x14ac:dyDescent="0.2">
      <c r="B13" s="20" t="s">
        <v>382</v>
      </c>
      <c r="C13" s="314">
        <v>0</v>
      </c>
      <c r="D13" s="314">
        <v>0</v>
      </c>
      <c r="E13" s="314">
        <v>0</v>
      </c>
      <c r="F13" s="314">
        <v>0</v>
      </c>
      <c r="G13" s="314">
        <v>0</v>
      </c>
      <c r="H13" s="314">
        <v>2.0640049712599042</v>
      </c>
      <c r="I13" s="314">
        <v>5.6498016422690309</v>
      </c>
      <c r="J13" s="314">
        <v>7.686758099030139</v>
      </c>
      <c r="K13" s="314">
        <v>9.728526648979221</v>
      </c>
      <c r="L13" s="314">
        <v>10.089836444139094</v>
      </c>
      <c r="M13" s="314">
        <v>10.452090592334498</v>
      </c>
    </row>
    <row r="14" spans="2:15" x14ac:dyDescent="0.2">
      <c r="B14" s="20" t="s">
        <v>362</v>
      </c>
      <c r="C14" s="314">
        <v>0</v>
      </c>
      <c r="D14" s="314">
        <v>0</v>
      </c>
      <c r="E14" s="314">
        <v>0</v>
      </c>
      <c r="F14" s="314">
        <v>0</v>
      </c>
      <c r="G14" s="314">
        <v>0</v>
      </c>
      <c r="H14" s="314">
        <v>1.189643312101911</v>
      </c>
      <c r="I14" s="314">
        <v>3.1800935938209882</v>
      </c>
      <c r="J14" s="314">
        <v>4.301273679615889</v>
      </c>
      <c r="K14" s="314">
        <v>5.4141999160016834</v>
      </c>
      <c r="L14" s="314">
        <v>5.5924413145539944</v>
      </c>
      <c r="M14" s="314">
        <v>5.7699460916442078</v>
      </c>
      <c r="O14" s="1" t="s">
        <v>357</v>
      </c>
    </row>
    <row r="15" spans="2:15" x14ac:dyDescent="0.2">
      <c r="B15" s="20" t="s">
        <v>363</v>
      </c>
      <c r="C15" s="314">
        <v>0</v>
      </c>
      <c r="D15" s="314">
        <v>0</v>
      </c>
      <c r="E15" s="314">
        <v>0</v>
      </c>
      <c r="F15" s="314">
        <v>0</v>
      </c>
      <c r="G15" s="314">
        <v>0</v>
      </c>
      <c r="H15" s="314">
        <v>0.42911188296745068</v>
      </c>
      <c r="I15" s="314">
        <v>1.1525054514516055</v>
      </c>
      <c r="J15" s="314">
        <v>1.5606169513189549</v>
      </c>
      <c r="K15" s="314">
        <v>1.9655958176042545</v>
      </c>
      <c r="L15" s="314">
        <v>2.0364716660453488</v>
      </c>
      <c r="M15" s="314">
        <v>2.1072936807627509</v>
      </c>
      <c r="O15" s="1" t="s">
        <v>383</v>
      </c>
    </row>
    <row r="16" spans="2:15" x14ac:dyDescent="0.2">
      <c r="B16" s="20" t="s">
        <v>349</v>
      </c>
      <c r="C16" s="314">
        <v>0</v>
      </c>
      <c r="D16" s="314">
        <v>0</v>
      </c>
      <c r="E16" s="314">
        <v>0</v>
      </c>
      <c r="F16" s="314">
        <v>0</v>
      </c>
      <c r="G16" s="314">
        <v>0</v>
      </c>
      <c r="H16" s="314">
        <v>0.50016560509554153</v>
      </c>
      <c r="I16" s="314">
        <v>1.4042771467514759</v>
      </c>
      <c r="J16" s="314">
        <v>1.9203762549105197</v>
      </c>
      <c r="K16" s="314">
        <v>2.4419109617807657</v>
      </c>
      <c r="L16" s="314">
        <v>2.5550547730829436</v>
      </c>
      <c r="M16" s="314">
        <v>2.6696765498652302</v>
      </c>
      <c r="O16" s="1" t="s">
        <v>357</v>
      </c>
    </row>
    <row r="17" spans="1:15" x14ac:dyDescent="0.2">
      <c r="B17" s="20" t="s">
        <v>360</v>
      </c>
      <c r="C17" s="314">
        <v>0</v>
      </c>
      <c r="D17" s="314">
        <v>0</v>
      </c>
      <c r="E17" s="314">
        <v>0</v>
      </c>
      <c r="F17" s="314">
        <v>0</v>
      </c>
      <c r="G17" s="314">
        <v>0</v>
      </c>
      <c r="H17" s="314">
        <v>0</v>
      </c>
      <c r="I17" s="314">
        <v>0</v>
      </c>
      <c r="J17" s="314">
        <v>0</v>
      </c>
      <c r="K17" s="314">
        <v>0</v>
      </c>
      <c r="L17" s="314">
        <v>0</v>
      </c>
      <c r="M17" s="314">
        <v>0</v>
      </c>
      <c r="O17" s="1" t="s">
        <v>357</v>
      </c>
    </row>
    <row r="18" spans="1:15" x14ac:dyDescent="0.2">
      <c r="B18" s="20" t="s">
        <v>354</v>
      </c>
      <c r="C18" s="314">
        <v>0</v>
      </c>
      <c r="D18" s="314">
        <v>0</v>
      </c>
      <c r="E18" s="314">
        <v>0</v>
      </c>
      <c r="F18" s="314">
        <v>0</v>
      </c>
      <c r="G18" s="314">
        <v>0</v>
      </c>
      <c r="H18" s="314">
        <v>4.7902749728134242E-2</v>
      </c>
      <c r="I18" s="314">
        <v>0.15395274875056786</v>
      </c>
      <c r="J18" s="314">
        <v>0.21793506795101708</v>
      </c>
      <c r="K18" s="314">
        <v>0.28675643560299546</v>
      </c>
      <c r="L18" s="314">
        <v>0.30928854968211966</v>
      </c>
      <c r="M18" s="314">
        <v>0.33280520675826708</v>
      </c>
      <c r="O18" s="1" t="s">
        <v>383</v>
      </c>
    </row>
    <row r="19" spans="1:15" x14ac:dyDescent="0.2">
      <c r="B19" s="20" t="s">
        <v>361</v>
      </c>
      <c r="C19" s="314">
        <v>0</v>
      </c>
      <c r="D19" s="314">
        <v>0</v>
      </c>
      <c r="E19" s="314">
        <v>0</v>
      </c>
      <c r="F19" s="314">
        <v>0</v>
      </c>
      <c r="G19" s="314">
        <v>0</v>
      </c>
      <c r="H19" s="314">
        <v>0.29399670799107053</v>
      </c>
      <c r="I19" s="314">
        <v>0.83093998909093991</v>
      </c>
      <c r="J19" s="314">
        <v>1.1302948386995766</v>
      </c>
      <c r="K19" s="314">
        <v>1.4302273147135889</v>
      </c>
      <c r="L19" s="314">
        <v>1.4681678561821285</v>
      </c>
      <c r="M19" s="314">
        <v>1.5052531603390844</v>
      </c>
      <c r="O19" s="1" t="s">
        <v>383</v>
      </c>
    </row>
    <row r="20" spans="1:15" s="2" customFormat="1" x14ac:dyDescent="0.2">
      <c r="B20" s="4" t="s">
        <v>27</v>
      </c>
      <c r="C20" s="315">
        <f>SUM(C16:C19)</f>
        <v>0</v>
      </c>
      <c r="D20" s="315">
        <f t="shared" ref="D20:M20" si="4">SUM(D16:D19)</f>
        <v>0</v>
      </c>
      <c r="E20" s="315">
        <f t="shared" si="4"/>
        <v>0</v>
      </c>
      <c r="F20" s="315">
        <f t="shared" si="4"/>
        <v>0</v>
      </c>
      <c r="G20" s="315">
        <f t="shared" si="4"/>
        <v>0</v>
      </c>
      <c r="H20" s="315">
        <f t="shared" si="4"/>
        <v>0.84206506281474636</v>
      </c>
      <c r="I20" s="315">
        <f t="shared" si="4"/>
        <v>2.3891698845929836</v>
      </c>
      <c r="J20" s="315">
        <f t="shared" si="4"/>
        <v>3.2686061615611135</v>
      </c>
      <c r="K20" s="315">
        <f t="shared" si="4"/>
        <v>4.1588947120973501</v>
      </c>
      <c r="L20" s="315">
        <f t="shared" si="4"/>
        <v>4.3325111789471915</v>
      </c>
      <c r="M20" s="315">
        <f t="shared" si="4"/>
        <v>4.5077349169625816</v>
      </c>
      <c r="O20" s="2" t="s">
        <v>384</v>
      </c>
    </row>
    <row r="23" spans="1:15" x14ac:dyDescent="0.2">
      <c r="B23" s="13" t="s">
        <v>28</v>
      </c>
      <c r="C23" s="14"/>
      <c r="D23" s="14"/>
      <c r="E23" s="14"/>
      <c r="F23" s="14"/>
      <c r="G23" s="14"/>
      <c r="H23" s="14"/>
      <c r="I23" s="15"/>
    </row>
    <row r="24" spans="1:15" ht="24" x14ac:dyDescent="0.2">
      <c r="B24" s="16" t="s">
        <v>29</v>
      </c>
      <c r="C24" s="17" t="s">
        <v>15</v>
      </c>
      <c r="D24" s="18" t="s">
        <v>16</v>
      </c>
      <c r="E24" s="25" t="s">
        <v>37</v>
      </c>
      <c r="F24" s="18" t="s">
        <v>30</v>
      </c>
      <c r="G24" s="17" t="s">
        <v>31</v>
      </c>
      <c r="H24" s="18" t="s">
        <v>21</v>
      </c>
      <c r="I24" s="17" t="s">
        <v>33</v>
      </c>
    </row>
    <row r="25" spans="1:15" x14ac:dyDescent="0.2">
      <c r="A25" s="200" t="s">
        <v>184</v>
      </c>
      <c r="B25" s="19"/>
      <c r="C25" s="6"/>
      <c r="D25" s="18"/>
      <c r="E25" s="6" t="s">
        <v>36</v>
      </c>
      <c r="F25" s="18" t="s">
        <v>19</v>
      </c>
      <c r="G25" s="6" t="s">
        <v>43</v>
      </c>
      <c r="H25" s="18" t="s">
        <v>32</v>
      </c>
      <c r="I25" s="6" t="s">
        <v>24</v>
      </c>
    </row>
    <row r="26" spans="1:15" x14ac:dyDescent="0.2">
      <c r="A26" s="199"/>
      <c r="B26" s="7" t="s">
        <v>347</v>
      </c>
      <c r="C26" s="7" t="s">
        <v>310</v>
      </c>
      <c r="D26" s="7" t="s">
        <v>143</v>
      </c>
      <c r="E26" s="7" t="s">
        <v>136</v>
      </c>
      <c r="F26" s="7" t="s">
        <v>232</v>
      </c>
      <c r="G26" s="7">
        <v>7.2</v>
      </c>
      <c r="H26" s="7">
        <v>0</v>
      </c>
      <c r="I26" s="7">
        <v>2015</v>
      </c>
    </row>
    <row r="27" spans="1:15" x14ac:dyDescent="0.2">
      <c r="A27" s="199"/>
      <c r="B27" s="7" t="s">
        <v>234</v>
      </c>
      <c r="C27" s="7" t="s">
        <v>310</v>
      </c>
      <c r="D27" s="7" t="s">
        <v>143</v>
      </c>
      <c r="E27" s="7" t="s">
        <v>136</v>
      </c>
      <c r="F27" s="7" t="s">
        <v>232</v>
      </c>
      <c r="G27" s="7">
        <v>2.2999999999999998</v>
      </c>
      <c r="H27" s="7">
        <v>5</v>
      </c>
      <c r="I27" s="7">
        <v>2050</v>
      </c>
    </row>
    <row r="28" spans="1:15" x14ac:dyDescent="0.2">
      <c r="A28" s="199"/>
      <c r="B28" s="7" t="s">
        <v>334</v>
      </c>
      <c r="C28" s="7" t="s">
        <v>310</v>
      </c>
      <c r="D28" s="7" t="s">
        <v>143</v>
      </c>
      <c r="E28" s="7" t="s">
        <v>136</v>
      </c>
      <c r="F28" s="7" t="s">
        <v>232</v>
      </c>
      <c r="G28" s="7">
        <v>9.5</v>
      </c>
      <c r="H28" s="7">
        <v>12</v>
      </c>
      <c r="I28" s="7">
        <v>2028</v>
      </c>
    </row>
    <row r="29" spans="1:15" x14ac:dyDescent="0.2">
      <c r="A29" s="199"/>
      <c r="B29" s="7" t="s">
        <v>335</v>
      </c>
      <c r="C29" s="7" t="s">
        <v>310</v>
      </c>
      <c r="D29" s="7" t="s">
        <v>143</v>
      </c>
      <c r="E29" s="7" t="s">
        <v>138</v>
      </c>
      <c r="F29" s="7" t="s">
        <v>339</v>
      </c>
      <c r="G29" s="7">
        <v>9.5</v>
      </c>
      <c r="H29" s="7">
        <v>15</v>
      </c>
      <c r="I29" s="7">
        <v>2031</v>
      </c>
    </row>
    <row r="30" spans="1:15" x14ac:dyDescent="0.2">
      <c r="A30" s="199">
        <v>1</v>
      </c>
      <c r="B30" s="7" t="s">
        <v>336</v>
      </c>
      <c r="C30" s="7" t="s">
        <v>310</v>
      </c>
      <c r="D30" s="7" t="s">
        <v>143</v>
      </c>
      <c r="E30" s="7" t="s">
        <v>139</v>
      </c>
      <c r="F30" s="7" t="s">
        <v>340</v>
      </c>
      <c r="G30" s="7">
        <v>9.5</v>
      </c>
      <c r="H30" s="7">
        <v>13</v>
      </c>
      <c r="I30" s="7">
        <v>2029</v>
      </c>
    </row>
    <row r="31" spans="1:15" x14ac:dyDescent="0.2">
      <c r="A31" s="199"/>
      <c r="B31" s="7" t="s">
        <v>337</v>
      </c>
      <c r="C31" s="7" t="s">
        <v>310</v>
      </c>
      <c r="D31" s="7" t="s">
        <v>143</v>
      </c>
      <c r="E31" s="7" t="s">
        <v>338</v>
      </c>
      <c r="F31" s="7" t="s">
        <v>341</v>
      </c>
      <c r="G31" s="7">
        <v>9.5</v>
      </c>
      <c r="H31" s="7">
        <v>20</v>
      </c>
      <c r="I31" s="7">
        <v>2036</v>
      </c>
    </row>
  </sheetData>
  <phoneticPr fontId="5" type="noConversion"/>
  <conditionalFormatting sqref="B26:I31">
    <cfRule type="expression" dxfId="5" priority="3">
      <formula>VALUE($A26)=0</formula>
    </cfRule>
  </conditionalFormatting>
  <conditionalFormatting sqref="C11:M11">
    <cfRule type="cellIs" dxfId="4" priority="1" operator="lessThan">
      <formula>0</formula>
    </cfRule>
    <cfRule type="cellIs" dxfId="3" priority="2" operator="greaterThan">
      <formula>0</formula>
    </cfRule>
  </conditionalFormatting>
  <pageMargins left="0.75" right="0.75" top="1" bottom="1" header="0.5" footer="0.5"/>
  <pageSetup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O34"/>
  <sheetViews>
    <sheetView workbookViewId="0">
      <selection activeCell="B38" sqref="B38"/>
    </sheetView>
  </sheetViews>
  <sheetFormatPr defaultRowHeight="12" x14ac:dyDescent="0.2"/>
  <cols>
    <col min="1" max="1" width="4.140625" style="1" customWidth="1"/>
    <col min="2" max="2" width="47.140625" style="1" customWidth="1"/>
    <col min="3" max="13" width="10.7109375" style="1" customWidth="1"/>
    <col min="14" max="16384" width="9.140625" style="1"/>
  </cols>
  <sheetData>
    <row r="1" spans="2:15" ht="12.75" thickBot="1" x14ac:dyDescent="0.25">
      <c r="B1" s="24" t="str">
        <f>'Population&amp;Demand Projections'!C3</f>
        <v>Cary / Apex</v>
      </c>
      <c r="C1" s="1" t="s">
        <v>34</v>
      </c>
    </row>
    <row r="2" spans="2:15" ht="12.75" thickBot="1" x14ac:dyDescent="0.25">
      <c r="B2" s="77">
        <f>'Population&amp;Demand Projections'!$C$4</f>
        <v>41759</v>
      </c>
      <c r="C2" s="8" t="s">
        <v>35</v>
      </c>
    </row>
    <row r="3" spans="2:15" x14ac:dyDescent="0.2">
      <c r="B3" s="224" t="s">
        <v>74</v>
      </c>
      <c r="C3" s="225"/>
      <c r="D3" s="225"/>
      <c r="E3" s="225"/>
      <c r="F3" s="225"/>
      <c r="G3" s="225"/>
      <c r="H3" s="225"/>
      <c r="I3" s="225"/>
      <c r="J3" s="225"/>
      <c r="K3" s="225"/>
      <c r="L3" s="225"/>
      <c r="M3" s="226"/>
    </row>
    <row r="4" spans="2:15" ht="12.75" thickBot="1" x14ac:dyDescent="0.25">
      <c r="B4" s="227" t="s">
        <v>72</v>
      </c>
      <c r="C4" s="228"/>
      <c r="D4" s="228"/>
      <c r="E4" s="228"/>
      <c r="F4" s="228"/>
      <c r="G4" s="228"/>
      <c r="H4" s="228"/>
      <c r="I4" s="228" t="s">
        <v>44</v>
      </c>
      <c r="J4" s="228"/>
      <c r="K4" s="228"/>
      <c r="L4" s="228"/>
      <c r="M4" s="229"/>
    </row>
    <row r="5" spans="2:15" ht="13.5" customHeight="1" x14ac:dyDescent="0.2">
      <c r="B5" s="234" t="s">
        <v>396</v>
      </c>
      <c r="C5" s="9" t="s">
        <v>26</v>
      </c>
      <c r="D5" s="9"/>
      <c r="E5" s="9"/>
      <c r="F5" s="9"/>
      <c r="G5" s="9"/>
      <c r="H5" s="9"/>
      <c r="I5" s="9"/>
      <c r="J5" s="9"/>
      <c r="K5" s="9"/>
      <c r="L5" s="9"/>
      <c r="M5" s="10"/>
    </row>
    <row r="6" spans="2:15" ht="12.75" thickBot="1" x14ac:dyDescent="0.25">
      <c r="B6" s="11"/>
      <c r="C6" s="23">
        <v>2010</v>
      </c>
      <c r="D6" s="12">
        <v>2015</v>
      </c>
      <c r="E6" s="12">
        <v>2020</v>
      </c>
      <c r="F6" s="12">
        <v>2025</v>
      </c>
      <c r="G6" s="12">
        <v>2030</v>
      </c>
      <c r="H6" s="12">
        <v>2035</v>
      </c>
      <c r="I6" s="12">
        <v>2040</v>
      </c>
      <c r="J6" s="12">
        <v>2045</v>
      </c>
      <c r="K6" s="12">
        <v>2050</v>
      </c>
      <c r="L6" s="5">
        <v>2055</v>
      </c>
      <c r="M6" s="12">
        <v>2060</v>
      </c>
    </row>
    <row r="7" spans="2:15" x14ac:dyDescent="0.2">
      <c r="B7" s="66" t="s">
        <v>71</v>
      </c>
      <c r="C7" s="262">
        <f>'Population&amp;Demand Projections'!C94</f>
        <v>-13.599999999999998</v>
      </c>
      <c r="D7" s="262">
        <f>'Population&amp;Demand Projections'!D94</f>
        <v>-11.100000000000001</v>
      </c>
      <c r="E7" s="262">
        <f>'Population&amp;Demand Projections'!E94</f>
        <v>-7.0000000000000036</v>
      </c>
      <c r="F7" s="262">
        <f>'Population&amp;Demand Projections'!F94</f>
        <v>-3.2000000000000028</v>
      </c>
      <c r="G7" s="262">
        <f>'Population&amp;Demand Projections'!G94</f>
        <v>-0.10000000000000142</v>
      </c>
      <c r="H7" s="262">
        <f>'Population&amp;Demand Projections'!H94</f>
        <v>2.8000000000000043</v>
      </c>
      <c r="I7" s="262">
        <f>'Population&amp;Demand Projections'!I94</f>
        <v>5.2999999999999972</v>
      </c>
      <c r="J7" s="262">
        <f>'Population&amp;Demand Projections'!J94</f>
        <v>7.1499999999999986</v>
      </c>
      <c r="K7" s="262">
        <f>'Population&amp;Demand Projections'!K94+'Population&amp;Demand Projections'!BA94</f>
        <v>8.8199999999999967</v>
      </c>
      <c r="L7" s="262">
        <f>'Population&amp;Demand Projections'!L94+'Population&amp;Demand Projections'!BB94</f>
        <v>9.1750000000000025</v>
      </c>
      <c r="M7" s="262">
        <f>'Population&amp;Demand Projections'!M94+'Population&amp;Demand Projections'!BC94</f>
        <v>9.5299999999999994</v>
      </c>
    </row>
    <row r="8" spans="2:15" x14ac:dyDescent="0.2">
      <c r="B8" s="20" t="str">
        <f>"(2)        Available supply from "&amp;IF(ISNA(VLOOKUP(1,$A$28:$I$34,2,FALSE))," project 1",VLOOKUP(1,$A$28:$I$34,2,FALSE))</f>
        <v>(2)        Available supply from Kerr Lake</v>
      </c>
      <c r="C8" s="263">
        <f>SUMIFS($G$28:$G$34,$A$28:$A$34,1,$I$28:$I$34,"&lt;="&amp;C6,$I$28:$I$34,"&gt;0")</f>
        <v>0</v>
      </c>
      <c r="D8" s="263">
        <f>SUMIFS($G$28:$G$34,$A$28:$A$34,1,$I$28:$I$34,"&lt;="&amp;D6,$I$28:$I$34,"&gt;0")</f>
        <v>0</v>
      </c>
      <c r="E8" s="263">
        <f>SUMIFS($G$28:$G$34,$A$28:$A$34,1,$I$28:$I$34,"&lt;="&amp;E6,$I$28:$I$34,"&gt;0")</f>
        <v>0</v>
      </c>
      <c r="F8" s="263">
        <f>SUMIFS($G$28:$G$34,$A$28:$A$34,1,$I$28:$I$34,"&lt;="&amp;F6,$I$28:$I$34,"&gt;0")</f>
        <v>0</v>
      </c>
      <c r="G8" s="263">
        <f>SUMIFS($G$28:$G$34,$A$28:$A$34,1,$I$28:$I$34,"&lt;="&amp;G6,$I$28:$I$34,"&gt;0")</f>
        <v>0</v>
      </c>
      <c r="H8" s="263">
        <f>SUMIFS($G$28:$G$34,$A$28:$A$34,1,$I$28:$I$34,"&lt;="&amp;H6,$I$28:$I$34,"&gt;-0.5")</f>
        <v>2.9</v>
      </c>
      <c r="I8" s="263">
        <f>SUMIFS($G$28:$G$33,$A$28:$A$33,1,$I$28:$I$33,"&lt;="&amp;I6,$I$28:$I$33,"&gt;0")</f>
        <v>9.5</v>
      </c>
      <c r="J8" s="263">
        <f t="shared" ref="J8:M8" si="0">SUMIFS($G$28:$G$33,$A$28:$A$33,1,$I$28:$I$33,"&lt;="&amp;J6,$I$28:$I$33,"&gt;0")</f>
        <v>9.5</v>
      </c>
      <c r="K8" s="263">
        <f t="shared" si="0"/>
        <v>9.5</v>
      </c>
      <c r="L8" s="263">
        <f t="shared" si="0"/>
        <v>9.5</v>
      </c>
      <c r="M8" s="263">
        <f t="shared" si="0"/>
        <v>9.5</v>
      </c>
    </row>
    <row r="9" spans="2:15" x14ac:dyDescent="0.2">
      <c r="B9" s="20" t="str">
        <f>"           Available supply from "&amp;IF(ISNA(VLOOKUP(2,$A$28:$I$34,2,FALSE)),"project 2",VLOOKUP(2,$A$28:$I$34,2,FALSE))</f>
        <v xml:space="preserve">           Available supply from project 2</v>
      </c>
      <c r="C9" s="263">
        <f t="shared" ref="C9:M9" si="1">SUMIFS($G$28:$G$34,$A$28:$A$34,2,$I$28:$I$34,"&lt;="&amp;C$6,$I$28:$I$34,"&gt;0")</f>
        <v>0</v>
      </c>
      <c r="D9" s="263">
        <f t="shared" si="1"/>
        <v>0</v>
      </c>
      <c r="E9" s="263">
        <f t="shared" si="1"/>
        <v>0</v>
      </c>
      <c r="F9" s="263">
        <f t="shared" si="1"/>
        <v>0</v>
      </c>
      <c r="G9" s="263">
        <f t="shared" si="1"/>
        <v>0</v>
      </c>
      <c r="H9" s="263">
        <f t="shared" si="1"/>
        <v>0</v>
      </c>
      <c r="I9" s="263">
        <f t="shared" si="1"/>
        <v>0</v>
      </c>
      <c r="J9" s="263">
        <f t="shared" si="1"/>
        <v>0</v>
      </c>
      <c r="K9" s="263">
        <f t="shared" si="1"/>
        <v>0</v>
      </c>
      <c r="L9" s="263">
        <f t="shared" si="1"/>
        <v>0</v>
      </c>
      <c r="M9" s="263">
        <f t="shared" si="1"/>
        <v>0</v>
      </c>
    </row>
    <row r="10" spans="2:15" x14ac:dyDescent="0.2">
      <c r="B10" s="20" t="str">
        <f>"           Available supply from "&amp;IF(ISNA(VLOOKUP(3,$A$28:$I$34,2,FALSE)),"project 3",VLOOKUP(3,$A$28:$I$34,2,FALSE))</f>
        <v xml:space="preserve">           Available supply from project 3</v>
      </c>
      <c r="C10" s="263">
        <f t="shared" ref="C10:M10" si="2">SUMIFS($G$28:$G$34,$A$28:$A$34,3,$I$28:$I$34,"&lt;="&amp;C$6,$I$28:$I$34,"&gt;0")</f>
        <v>0</v>
      </c>
      <c r="D10" s="263">
        <f t="shared" si="2"/>
        <v>0</v>
      </c>
      <c r="E10" s="263">
        <f t="shared" si="2"/>
        <v>0</v>
      </c>
      <c r="F10" s="263">
        <f t="shared" si="2"/>
        <v>0</v>
      </c>
      <c r="G10" s="263">
        <f t="shared" si="2"/>
        <v>0</v>
      </c>
      <c r="H10" s="263">
        <f t="shared" si="2"/>
        <v>0</v>
      </c>
      <c r="I10" s="263">
        <f t="shared" si="2"/>
        <v>0</v>
      </c>
      <c r="J10" s="263">
        <f t="shared" si="2"/>
        <v>0</v>
      </c>
      <c r="K10" s="263">
        <f t="shared" si="2"/>
        <v>0</v>
      </c>
      <c r="L10" s="263">
        <f t="shared" si="2"/>
        <v>0</v>
      </c>
      <c r="M10" s="263">
        <f t="shared" si="2"/>
        <v>0</v>
      </c>
    </row>
    <row r="11" spans="2:15" s="2" customFormat="1" x14ac:dyDescent="0.2">
      <c r="B11" s="4" t="s">
        <v>73</v>
      </c>
      <c r="C11" s="264">
        <f>SUM(C8:C10)-C7</f>
        <v>13.599999999999998</v>
      </c>
      <c r="D11" s="264">
        <f t="shared" ref="D11:M11" si="3">SUM(D8:D10)-D7</f>
        <v>11.100000000000001</v>
      </c>
      <c r="E11" s="264">
        <f t="shared" si="3"/>
        <v>7.0000000000000036</v>
      </c>
      <c r="F11" s="264">
        <f t="shared" si="3"/>
        <v>3.2000000000000028</v>
      </c>
      <c r="G11" s="264">
        <f t="shared" si="3"/>
        <v>0.10000000000000142</v>
      </c>
      <c r="H11" s="264">
        <f t="shared" si="3"/>
        <v>9.9999999999995648E-2</v>
      </c>
      <c r="I11" s="264">
        <f t="shared" si="3"/>
        <v>4.2000000000000028</v>
      </c>
      <c r="J11" s="264">
        <f t="shared" si="3"/>
        <v>2.3500000000000014</v>
      </c>
      <c r="K11" s="264">
        <f t="shared" si="3"/>
        <v>0.68000000000000327</v>
      </c>
      <c r="L11" s="264">
        <f t="shared" si="3"/>
        <v>0.32499999999999751</v>
      </c>
      <c r="M11" s="264">
        <f t="shared" si="3"/>
        <v>-2.9999999999999361E-2</v>
      </c>
    </row>
    <row r="12" spans="2:15" x14ac:dyDescent="0.2">
      <c r="B12" s="3"/>
      <c r="C12" s="21"/>
      <c r="D12" s="21"/>
      <c r="E12" s="21"/>
      <c r="F12" s="21"/>
      <c r="G12" s="21"/>
      <c r="H12" s="21"/>
      <c r="I12" s="21"/>
      <c r="J12" s="21"/>
      <c r="K12" s="21"/>
      <c r="L12" s="21"/>
      <c r="M12" s="22"/>
    </row>
    <row r="13" spans="2:15" x14ac:dyDescent="0.2">
      <c r="B13" s="20" t="s">
        <v>382</v>
      </c>
      <c r="C13" s="314">
        <v>0</v>
      </c>
      <c r="D13" s="314">
        <v>0</v>
      </c>
      <c r="E13" s="314">
        <v>0</v>
      </c>
      <c r="F13" s="314">
        <v>0</v>
      </c>
      <c r="G13" s="314">
        <v>0</v>
      </c>
      <c r="H13" s="314">
        <v>2.0640049712599042</v>
      </c>
      <c r="I13" s="314">
        <v>5.6498016422690309</v>
      </c>
      <c r="J13" s="314">
        <v>7.686758099030139</v>
      </c>
      <c r="K13" s="314">
        <v>9.728526648979221</v>
      </c>
      <c r="L13" s="314">
        <v>10.089836444139094</v>
      </c>
      <c r="M13" s="314">
        <v>10.452090592334498</v>
      </c>
    </row>
    <row r="14" spans="2:15" x14ac:dyDescent="0.2">
      <c r="B14" s="20" t="s">
        <v>364</v>
      </c>
      <c r="C14" s="314">
        <v>0</v>
      </c>
      <c r="D14" s="314">
        <v>0</v>
      </c>
      <c r="E14" s="314">
        <v>0</v>
      </c>
      <c r="F14" s="314">
        <v>0</v>
      </c>
      <c r="G14" s="314">
        <v>0</v>
      </c>
      <c r="H14" s="314">
        <v>0.26751592356687898</v>
      </c>
      <c r="I14" s="314">
        <v>0.72985006815083964</v>
      </c>
      <c r="J14" s="314">
        <v>0.98980794412920137</v>
      </c>
      <c r="K14" s="314">
        <v>1.2490130197396065</v>
      </c>
      <c r="L14" s="314">
        <v>1.2942879499217539</v>
      </c>
      <c r="M14" s="314">
        <v>1.339622641509435</v>
      </c>
      <c r="O14" s="1" t="s">
        <v>357</v>
      </c>
    </row>
    <row r="15" spans="2:15" x14ac:dyDescent="0.2">
      <c r="B15" s="20" t="s">
        <v>365</v>
      </c>
      <c r="C15" s="314">
        <v>0</v>
      </c>
      <c r="D15" s="314">
        <v>0</v>
      </c>
      <c r="E15" s="314">
        <v>0</v>
      </c>
      <c r="F15" s="314">
        <v>0</v>
      </c>
      <c r="G15" s="314">
        <v>0</v>
      </c>
      <c r="H15" s="314">
        <v>0</v>
      </c>
      <c r="I15" s="314">
        <v>0</v>
      </c>
      <c r="J15" s="314">
        <v>0</v>
      </c>
      <c r="K15" s="314">
        <v>0</v>
      </c>
      <c r="L15" s="314">
        <v>0</v>
      </c>
      <c r="M15" s="314">
        <v>0</v>
      </c>
      <c r="O15" s="1" t="s">
        <v>383</v>
      </c>
    </row>
    <row r="16" spans="2:15" x14ac:dyDescent="0.2">
      <c r="B16" s="20" t="s">
        <v>349</v>
      </c>
      <c r="C16" s="314">
        <v>0</v>
      </c>
      <c r="D16" s="314">
        <v>0</v>
      </c>
      <c r="E16" s="314">
        <v>0</v>
      </c>
      <c r="F16" s="314">
        <v>0</v>
      </c>
      <c r="G16" s="314">
        <v>0</v>
      </c>
      <c r="H16" s="314">
        <v>0.50016560509554153</v>
      </c>
      <c r="I16" s="314">
        <v>1.4042771467514759</v>
      </c>
      <c r="J16" s="314">
        <v>1.9203762549105197</v>
      </c>
      <c r="K16" s="314">
        <v>2.4419109617807657</v>
      </c>
      <c r="L16" s="314">
        <v>2.5550547730829436</v>
      </c>
      <c r="M16" s="314">
        <v>2.6696765498652302</v>
      </c>
      <c r="O16" s="1" t="s">
        <v>357</v>
      </c>
    </row>
    <row r="17" spans="1:15" x14ac:dyDescent="0.2">
      <c r="B17" s="20" t="s">
        <v>360</v>
      </c>
      <c r="C17" s="314">
        <v>0</v>
      </c>
      <c r="D17" s="314">
        <v>0</v>
      </c>
      <c r="E17" s="314">
        <v>0</v>
      </c>
      <c r="F17" s="314">
        <v>0</v>
      </c>
      <c r="G17" s="314">
        <v>0</v>
      </c>
      <c r="H17" s="314">
        <v>0</v>
      </c>
      <c r="I17" s="314">
        <v>0</v>
      </c>
      <c r="J17" s="314">
        <v>0</v>
      </c>
      <c r="K17" s="314">
        <v>0</v>
      </c>
      <c r="L17" s="314">
        <v>0</v>
      </c>
      <c r="M17" s="314">
        <v>0</v>
      </c>
      <c r="O17" s="1" t="s">
        <v>357</v>
      </c>
    </row>
    <row r="18" spans="1:15" x14ac:dyDescent="0.2">
      <c r="B18" s="20" t="s">
        <v>353</v>
      </c>
      <c r="C18" s="314">
        <v>0</v>
      </c>
      <c r="D18" s="314">
        <v>0</v>
      </c>
      <c r="E18" s="314">
        <v>0</v>
      </c>
      <c r="F18" s="314">
        <v>0</v>
      </c>
      <c r="G18" s="314">
        <v>0</v>
      </c>
      <c r="H18" s="314">
        <v>0.92212738853503207</v>
      </c>
      <c r="I18" s="314">
        <v>2.4502435256701487</v>
      </c>
      <c r="J18" s="314">
        <v>3.3114657354866877</v>
      </c>
      <c r="K18" s="314">
        <v>4.1651868962620773</v>
      </c>
      <c r="L18" s="314">
        <v>4.2981533646322401</v>
      </c>
      <c r="M18" s="314">
        <v>4.4303234501347726</v>
      </c>
      <c r="O18" s="1" t="s">
        <v>383</v>
      </c>
    </row>
    <row r="19" spans="1:15" x14ac:dyDescent="0.2">
      <c r="B19" s="20" t="s">
        <v>354</v>
      </c>
      <c r="C19" s="314">
        <v>0</v>
      </c>
      <c r="D19" s="314">
        <v>0</v>
      </c>
      <c r="E19" s="314">
        <v>0</v>
      </c>
      <c r="F19" s="314">
        <v>0</v>
      </c>
      <c r="G19" s="314">
        <v>0</v>
      </c>
      <c r="H19" s="314">
        <v>4.7902749728134242E-2</v>
      </c>
      <c r="I19" s="314">
        <v>0.15395274875056786</v>
      </c>
      <c r="J19" s="314">
        <v>0.21793506795101708</v>
      </c>
      <c r="K19" s="314">
        <v>0.28675643560299546</v>
      </c>
      <c r="L19" s="314">
        <v>0.30928854968211966</v>
      </c>
      <c r="M19" s="314">
        <v>0.33280520675826708</v>
      </c>
      <c r="O19" s="1" t="s">
        <v>383</v>
      </c>
    </row>
    <row r="20" spans="1:15" x14ac:dyDescent="0.2">
      <c r="B20" s="20" t="s">
        <v>361</v>
      </c>
      <c r="C20" s="314">
        <v>0</v>
      </c>
      <c r="D20" s="314">
        <v>0</v>
      </c>
      <c r="E20" s="314">
        <v>0</v>
      </c>
      <c r="F20" s="314">
        <v>0</v>
      </c>
      <c r="G20" s="314">
        <v>0</v>
      </c>
      <c r="H20" s="314">
        <v>0.29399670799107053</v>
      </c>
      <c r="I20" s="314">
        <v>0.83093998909093991</v>
      </c>
      <c r="J20" s="314">
        <v>1.1302948386995766</v>
      </c>
      <c r="K20" s="314">
        <v>1.4302273147135889</v>
      </c>
      <c r="L20" s="314">
        <v>1.4681678561821285</v>
      </c>
      <c r="M20" s="314">
        <v>1.5052531603390844</v>
      </c>
      <c r="O20" s="2" t="s">
        <v>384</v>
      </c>
    </row>
    <row r="21" spans="1:15" x14ac:dyDescent="0.2">
      <c r="B21" s="20" t="s">
        <v>350</v>
      </c>
      <c r="C21" s="314">
        <v>0</v>
      </c>
      <c r="D21" s="314">
        <v>0</v>
      </c>
      <c r="E21" s="314">
        <v>0</v>
      </c>
      <c r="F21" s="314">
        <v>0</v>
      </c>
      <c r="G21" s="314">
        <v>0</v>
      </c>
      <c r="H21" s="314">
        <v>0.42911188296745068</v>
      </c>
      <c r="I21" s="314">
        <v>1.1525054514516055</v>
      </c>
      <c r="J21" s="314">
        <v>1.5606169513189549</v>
      </c>
      <c r="K21" s="314">
        <v>1.9655958176042545</v>
      </c>
      <c r="L21" s="314">
        <v>2.0364716660453488</v>
      </c>
      <c r="M21" s="314">
        <v>2.1072936807627509</v>
      </c>
      <c r="O21" s="1" t="s">
        <v>356</v>
      </c>
    </row>
    <row r="22" spans="1:15" s="2" customFormat="1" x14ac:dyDescent="0.2">
      <c r="B22" s="4" t="s">
        <v>27</v>
      </c>
      <c r="C22" s="315">
        <f>SUM(C16:C21)</f>
        <v>0</v>
      </c>
      <c r="D22" s="315">
        <f t="shared" ref="D22:M22" si="4">SUM(D16:D21)</f>
        <v>0</v>
      </c>
      <c r="E22" s="315">
        <f t="shared" si="4"/>
        <v>0</v>
      </c>
      <c r="F22" s="315">
        <f t="shared" si="4"/>
        <v>0</v>
      </c>
      <c r="G22" s="315">
        <f t="shared" si="4"/>
        <v>0</v>
      </c>
      <c r="H22" s="315">
        <f t="shared" si="4"/>
        <v>2.1933043343172289</v>
      </c>
      <c r="I22" s="315">
        <f t="shared" si="4"/>
        <v>5.9919188617147379</v>
      </c>
      <c r="J22" s="315">
        <f t="shared" si="4"/>
        <v>8.1406888483667554</v>
      </c>
      <c r="K22" s="315">
        <f t="shared" si="4"/>
        <v>10.289677425963683</v>
      </c>
      <c r="L22" s="315">
        <f t="shared" si="4"/>
        <v>10.667136209624781</v>
      </c>
      <c r="M22" s="315">
        <f t="shared" si="4"/>
        <v>11.045352047860106</v>
      </c>
      <c r="O22" s="2" t="s">
        <v>355</v>
      </c>
    </row>
    <row r="24" spans="1:15" x14ac:dyDescent="0.2">
      <c r="O24" s="2"/>
    </row>
    <row r="25" spans="1:15" x14ac:dyDescent="0.2">
      <c r="B25" s="13" t="s">
        <v>28</v>
      </c>
      <c r="C25" s="14"/>
      <c r="D25" s="14"/>
      <c r="E25" s="14"/>
      <c r="F25" s="14"/>
      <c r="G25" s="14"/>
      <c r="H25" s="14"/>
      <c r="I25" s="15"/>
    </row>
    <row r="26" spans="1:15" ht="24" x14ac:dyDescent="0.2">
      <c r="B26" s="16" t="s">
        <v>29</v>
      </c>
      <c r="C26" s="17" t="s">
        <v>15</v>
      </c>
      <c r="D26" s="18" t="s">
        <v>16</v>
      </c>
      <c r="E26" s="25" t="s">
        <v>37</v>
      </c>
      <c r="F26" s="18" t="s">
        <v>30</v>
      </c>
      <c r="G26" s="17" t="s">
        <v>31</v>
      </c>
      <c r="H26" s="18" t="s">
        <v>21</v>
      </c>
      <c r="I26" s="17" t="s">
        <v>33</v>
      </c>
    </row>
    <row r="27" spans="1:15" x14ac:dyDescent="0.2">
      <c r="A27" s="200" t="s">
        <v>184</v>
      </c>
      <c r="B27" s="19"/>
      <c r="C27" s="6"/>
      <c r="D27" s="18"/>
      <c r="E27" s="6" t="s">
        <v>36</v>
      </c>
      <c r="F27" s="18" t="s">
        <v>19</v>
      </c>
      <c r="G27" s="6" t="s">
        <v>43</v>
      </c>
      <c r="H27" s="18" t="s">
        <v>32</v>
      </c>
      <c r="I27" s="6" t="s">
        <v>24</v>
      </c>
    </row>
    <row r="28" spans="1:15" x14ac:dyDescent="0.2">
      <c r="A28" s="199"/>
      <c r="B28" s="7" t="s">
        <v>347</v>
      </c>
      <c r="C28" s="7" t="s">
        <v>310</v>
      </c>
      <c r="D28" s="7" t="s">
        <v>143</v>
      </c>
      <c r="E28" s="7" t="s">
        <v>136</v>
      </c>
      <c r="F28" s="7" t="s">
        <v>232</v>
      </c>
      <c r="G28" s="7">
        <v>7.2</v>
      </c>
      <c r="H28" s="7">
        <v>0</v>
      </c>
      <c r="I28" s="7">
        <v>2015</v>
      </c>
    </row>
    <row r="29" spans="1:15" x14ac:dyDescent="0.2">
      <c r="A29" s="199"/>
      <c r="B29" s="7" t="s">
        <v>234</v>
      </c>
      <c r="C29" s="7" t="s">
        <v>310</v>
      </c>
      <c r="D29" s="7" t="s">
        <v>143</v>
      </c>
      <c r="E29" s="7" t="s">
        <v>136</v>
      </c>
      <c r="F29" s="7" t="s">
        <v>232</v>
      </c>
      <c r="G29" s="7">
        <v>2.2999999999999998</v>
      </c>
      <c r="H29" s="7">
        <v>5</v>
      </c>
      <c r="I29" s="7">
        <v>2050</v>
      </c>
    </row>
    <row r="30" spans="1:15" x14ac:dyDescent="0.2">
      <c r="A30" s="199"/>
      <c r="B30" s="7" t="s">
        <v>334</v>
      </c>
      <c r="C30" s="7" t="s">
        <v>310</v>
      </c>
      <c r="D30" s="7" t="s">
        <v>143</v>
      </c>
      <c r="E30" s="7" t="s">
        <v>136</v>
      </c>
      <c r="F30" s="7" t="s">
        <v>232</v>
      </c>
      <c r="G30" s="7">
        <v>9.5</v>
      </c>
      <c r="H30" s="7">
        <v>12</v>
      </c>
      <c r="I30" s="7">
        <v>2028</v>
      </c>
    </row>
    <row r="31" spans="1:15" x14ac:dyDescent="0.2">
      <c r="A31" s="199"/>
      <c r="B31" s="7" t="s">
        <v>335</v>
      </c>
      <c r="C31" s="7" t="s">
        <v>310</v>
      </c>
      <c r="D31" s="7" t="s">
        <v>143</v>
      </c>
      <c r="E31" s="7" t="s">
        <v>138</v>
      </c>
      <c r="F31" s="7" t="s">
        <v>339</v>
      </c>
      <c r="G31" s="7">
        <v>9.5</v>
      </c>
      <c r="H31" s="7">
        <v>15</v>
      </c>
      <c r="I31" s="7">
        <v>2031</v>
      </c>
    </row>
    <row r="32" spans="1:15" x14ac:dyDescent="0.2">
      <c r="A32" s="199"/>
      <c r="B32" s="7" t="s">
        <v>336</v>
      </c>
      <c r="C32" s="7" t="s">
        <v>310</v>
      </c>
      <c r="D32" s="7" t="s">
        <v>143</v>
      </c>
      <c r="E32" s="7" t="s">
        <v>139</v>
      </c>
      <c r="F32" s="7" t="s">
        <v>340</v>
      </c>
      <c r="G32" s="7">
        <v>9.5</v>
      </c>
      <c r="H32" s="7">
        <v>13</v>
      </c>
      <c r="I32" s="7">
        <v>2029</v>
      </c>
    </row>
    <row r="33" spans="1:9" x14ac:dyDescent="0.2">
      <c r="A33" s="199">
        <v>1</v>
      </c>
      <c r="B33" s="7" t="s">
        <v>337</v>
      </c>
      <c r="C33" s="7" t="s">
        <v>310</v>
      </c>
      <c r="D33" s="7" t="s">
        <v>143</v>
      </c>
      <c r="E33" s="7" t="s">
        <v>338</v>
      </c>
      <c r="F33" s="7" t="s">
        <v>341</v>
      </c>
      <c r="G33" s="7">
        <v>9.5</v>
      </c>
      <c r="H33" s="7">
        <v>20</v>
      </c>
      <c r="I33" s="7">
        <v>2036</v>
      </c>
    </row>
    <row r="34" spans="1:9" x14ac:dyDescent="0.2">
      <c r="A34" s="199">
        <v>1</v>
      </c>
      <c r="B34" s="7" t="s">
        <v>394</v>
      </c>
      <c r="C34" s="7" t="s">
        <v>310</v>
      </c>
      <c r="D34" s="7" t="s">
        <v>143</v>
      </c>
      <c r="E34" s="7" t="s">
        <v>139</v>
      </c>
      <c r="F34" s="7"/>
      <c r="G34" s="7">
        <v>2.9</v>
      </c>
      <c r="H34" s="7">
        <v>2</v>
      </c>
      <c r="I34" s="7">
        <v>2035</v>
      </c>
    </row>
  </sheetData>
  <phoneticPr fontId="5" type="noConversion"/>
  <conditionalFormatting sqref="B28:I34">
    <cfRule type="expression" dxfId="2" priority="3">
      <formula>VALUE($A28)=0</formula>
    </cfRule>
  </conditionalFormatting>
  <conditionalFormatting sqref="C11:M11">
    <cfRule type="cellIs" dxfId="1" priority="1" operator="lessThan">
      <formula>0</formula>
    </cfRule>
    <cfRule type="cellIs" dxfId="0" priority="2" operator="greaterThan">
      <formula>0</formula>
    </cfRule>
  </conditionalFormatting>
  <pageMargins left="0.75" right="0.75" top="1" bottom="1" header="0.5" footer="0.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6"/>
  <sheetViews>
    <sheetView workbookViewId="0">
      <selection activeCell="B2" sqref="B2"/>
    </sheetView>
  </sheetViews>
  <sheetFormatPr defaultRowHeight="20.100000000000001" customHeight="1" x14ac:dyDescent="0.2"/>
  <cols>
    <col min="1" max="1" width="37.7109375" style="102" customWidth="1"/>
    <col min="2" max="7" width="26.85546875" style="102" customWidth="1"/>
    <col min="8" max="8" width="30.28515625" style="102" customWidth="1"/>
    <col min="9" max="9" width="16.7109375" style="102" customWidth="1"/>
    <col min="10" max="16384" width="9.140625" style="102"/>
  </cols>
  <sheetData>
    <row r="1" spans="1:7" ht="20.100000000000001" customHeight="1" x14ac:dyDescent="0.25">
      <c r="A1" s="78" t="s">
        <v>34</v>
      </c>
      <c r="B1" s="73" t="s">
        <v>401</v>
      </c>
      <c r="C1" s="99"/>
      <c r="D1" s="100"/>
      <c r="E1" s="101"/>
    </row>
    <row r="2" spans="1:7" ht="20.100000000000001" customHeight="1" x14ac:dyDescent="0.25">
      <c r="A2" s="78" t="s">
        <v>35</v>
      </c>
      <c r="B2" s="76">
        <f>'Population&amp;Demand Projections'!C4</f>
        <v>41759</v>
      </c>
      <c r="C2" s="99"/>
      <c r="D2" s="100"/>
      <c r="E2" s="101"/>
    </row>
    <row r="3" spans="1:7" ht="20.100000000000001" customHeight="1" x14ac:dyDescent="0.2">
      <c r="A3" s="103"/>
    </row>
    <row r="4" spans="1:7" s="97" customFormat="1" ht="20.100000000000001" customHeight="1" x14ac:dyDescent="0.25">
      <c r="A4" s="106" t="s">
        <v>79</v>
      </c>
      <c r="B4" s="107"/>
      <c r="C4" s="108"/>
      <c r="D4" s="109" t="s">
        <v>80</v>
      </c>
      <c r="E4" s="109"/>
      <c r="F4" s="108"/>
      <c r="G4" s="110"/>
    </row>
    <row r="5" spans="1:7" ht="20.100000000000001" customHeight="1" x14ac:dyDescent="0.25">
      <c r="A5" s="98" t="s">
        <v>81</v>
      </c>
      <c r="B5" s="343" t="s">
        <v>400</v>
      </c>
      <c r="C5" s="344"/>
      <c r="D5" s="344"/>
      <c r="E5" s="344"/>
      <c r="F5" s="344"/>
      <c r="G5" s="345"/>
    </row>
    <row r="6" spans="1:7" ht="48" customHeight="1" x14ac:dyDescent="0.2">
      <c r="A6" s="310" t="s">
        <v>82</v>
      </c>
      <c r="B6" s="343" t="s">
        <v>404</v>
      </c>
      <c r="C6" s="344"/>
      <c r="D6" s="344"/>
      <c r="E6" s="344"/>
      <c r="F6" s="344"/>
      <c r="G6" s="345"/>
    </row>
    <row r="7" spans="1:7" ht="48" customHeight="1" x14ac:dyDescent="0.2">
      <c r="A7" s="310" t="s">
        <v>83</v>
      </c>
      <c r="B7" s="343" t="s">
        <v>398</v>
      </c>
      <c r="C7" s="344"/>
      <c r="D7" s="344"/>
      <c r="E7" s="344"/>
      <c r="F7" s="344"/>
      <c r="G7" s="345"/>
    </row>
    <row r="8" spans="1:7" ht="33.75" customHeight="1" x14ac:dyDescent="0.2">
      <c r="A8" s="310" t="s">
        <v>84</v>
      </c>
      <c r="B8" s="343" t="s">
        <v>397</v>
      </c>
      <c r="C8" s="344"/>
      <c r="D8" s="344"/>
      <c r="E8" s="344"/>
      <c r="F8" s="344"/>
      <c r="G8" s="345"/>
    </row>
    <row r="9" spans="1:7" ht="62.25" customHeight="1" x14ac:dyDescent="0.2">
      <c r="A9" s="310" t="s">
        <v>85</v>
      </c>
      <c r="B9" s="343" t="s">
        <v>405</v>
      </c>
      <c r="C9" s="344"/>
      <c r="D9" s="344"/>
      <c r="E9" s="344"/>
      <c r="F9" s="344"/>
      <c r="G9" s="345"/>
    </row>
    <row r="10" spans="1:7" ht="20.100000000000001" customHeight="1" x14ac:dyDescent="0.2">
      <c r="A10" s="103"/>
    </row>
    <row r="11" spans="1:7" ht="20.100000000000001" customHeight="1" x14ac:dyDescent="0.2">
      <c r="A11" s="103"/>
    </row>
    <row r="12" spans="1:7" ht="20.100000000000001" customHeight="1" x14ac:dyDescent="0.25">
      <c r="B12" s="111" t="s">
        <v>81</v>
      </c>
      <c r="C12" s="111" t="s">
        <v>82</v>
      </c>
      <c r="D12" s="111" t="s">
        <v>83</v>
      </c>
      <c r="E12" s="111" t="s">
        <v>84</v>
      </c>
      <c r="F12" s="111" t="s">
        <v>85</v>
      </c>
    </row>
    <row r="13" spans="1:7" ht="20.100000000000001" customHeight="1" x14ac:dyDescent="0.25">
      <c r="A13" s="104" t="s">
        <v>97</v>
      </c>
      <c r="B13" s="112">
        <v>7.2</v>
      </c>
      <c r="C13" s="112">
        <v>0</v>
      </c>
      <c r="D13" s="112">
        <v>0</v>
      </c>
      <c r="E13" s="112">
        <v>0</v>
      </c>
      <c r="F13" s="112">
        <v>0</v>
      </c>
    </row>
    <row r="14" spans="1:7" ht="20.100000000000001" customHeight="1" x14ac:dyDescent="0.25">
      <c r="A14" s="104" t="s">
        <v>86</v>
      </c>
      <c r="B14" s="112">
        <v>9.5</v>
      </c>
      <c r="C14" s="112">
        <v>9.5</v>
      </c>
      <c r="D14" s="112">
        <v>9.5</v>
      </c>
      <c r="E14" s="112">
        <v>9.5</v>
      </c>
      <c r="F14" s="112">
        <v>9.5</v>
      </c>
    </row>
    <row r="15" spans="1:7" ht="20.100000000000001" customHeight="1" x14ac:dyDescent="0.25">
      <c r="A15" s="104" t="s">
        <v>87</v>
      </c>
      <c r="B15" s="112" t="s">
        <v>343</v>
      </c>
      <c r="C15" s="112" t="s">
        <v>343</v>
      </c>
      <c r="D15" s="112" t="s">
        <v>177</v>
      </c>
      <c r="E15" s="112" t="s">
        <v>177</v>
      </c>
      <c r="F15" s="112" t="s">
        <v>177</v>
      </c>
    </row>
    <row r="16" spans="1:7" ht="20.100000000000001" customHeight="1" x14ac:dyDescent="0.25">
      <c r="A16" s="104" t="s">
        <v>88</v>
      </c>
      <c r="B16" s="112" t="str">
        <f>'Supply Alternative 1'!F26</f>
        <v>WS IV B NSW CA</v>
      </c>
      <c r="C16" s="112" t="str">
        <f>'Supply Alternative 2'!F28</f>
        <v>WS IV B NSW CA</v>
      </c>
      <c r="D16" s="112" t="str">
        <f>'Supply Alternative 3'!F29</f>
        <v>WS IV CA</v>
      </c>
      <c r="E16" s="112" t="str">
        <f>'Supply Alternative 4'!F30</f>
        <v>C NSW</v>
      </c>
      <c r="F16" s="112" t="str">
        <f>'Supply Alternative 5'!F33</f>
        <v>WS III B CA</v>
      </c>
    </row>
    <row r="17" spans="1:7" ht="20.100000000000001" customHeight="1" x14ac:dyDescent="0.25">
      <c r="A17" s="104" t="s">
        <v>236</v>
      </c>
      <c r="B17" s="112" t="s">
        <v>406</v>
      </c>
      <c r="C17" s="112" t="s">
        <v>406</v>
      </c>
      <c r="D17" s="112" t="s">
        <v>406</v>
      </c>
      <c r="E17" s="112" t="s">
        <v>406</v>
      </c>
      <c r="F17" s="112" t="s">
        <v>406</v>
      </c>
    </row>
    <row r="18" spans="1:7" ht="20.100000000000001" customHeight="1" x14ac:dyDescent="0.25">
      <c r="A18" s="105" t="s">
        <v>89</v>
      </c>
      <c r="B18" s="316">
        <f>'Supply Alternative 1'!M20</f>
        <v>9.5400988875210206</v>
      </c>
      <c r="C18" s="316">
        <f>'Supply Alternative 2'!M20</f>
        <v>9.5400988875210206</v>
      </c>
      <c r="D18" s="316">
        <f>'Supply Alternative 3'!M20</f>
        <v>8.0428702912366088</v>
      </c>
      <c r="E18" s="316">
        <f>'Supply Alternative 4'!M20</f>
        <v>4.5077349169625816</v>
      </c>
      <c r="F18" s="316">
        <f>'Supply Alternative 5'!M22</f>
        <v>11.045352047860106</v>
      </c>
      <c r="G18" s="102" t="s">
        <v>385</v>
      </c>
    </row>
    <row r="19" spans="1:7" ht="19.5" customHeight="1" x14ac:dyDescent="0.2">
      <c r="A19" s="312" t="s">
        <v>90</v>
      </c>
      <c r="B19" s="311" t="s">
        <v>342</v>
      </c>
      <c r="C19" s="311" t="s">
        <v>344</v>
      </c>
      <c r="D19" s="311" t="s">
        <v>344</v>
      </c>
      <c r="E19" s="311" t="s">
        <v>344</v>
      </c>
      <c r="F19" s="311" t="s">
        <v>344</v>
      </c>
    </row>
    <row r="20" spans="1:7" ht="20.100000000000001" customHeight="1" x14ac:dyDescent="0.25">
      <c r="A20" s="105" t="s">
        <v>91</v>
      </c>
      <c r="B20" s="112" t="s">
        <v>175</v>
      </c>
      <c r="C20" s="112" t="s">
        <v>175</v>
      </c>
      <c r="D20" s="112" t="s">
        <v>345</v>
      </c>
      <c r="E20" s="112" t="s">
        <v>176</v>
      </c>
      <c r="F20" s="112" t="s">
        <v>345</v>
      </c>
    </row>
    <row r="21" spans="1:7" ht="20.100000000000001" customHeight="1" x14ac:dyDescent="0.25">
      <c r="A21" s="105" t="s">
        <v>92</v>
      </c>
      <c r="B21" s="112" t="s">
        <v>175</v>
      </c>
      <c r="C21" s="112" t="s">
        <v>345</v>
      </c>
      <c r="D21" s="112" t="s">
        <v>345</v>
      </c>
      <c r="E21" s="112" t="s">
        <v>176</v>
      </c>
      <c r="F21" s="112" t="s">
        <v>176</v>
      </c>
    </row>
    <row r="22" spans="1:7" ht="20.100000000000001" customHeight="1" x14ac:dyDescent="0.25">
      <c r="A22" s="105" t="s">
        <v>93</v>
      </c>
      <c r="B22" s="112" t="s">
        <v>175</v>
      </c>
      <c r="C22" s="112" t="s">
        <v>175</v>
      </c>
      <c r="D22" s="112" t="s">
        <v>345</v>
      </c>
      <c r="E22" s="112" t="s">
        <v>176</v>
      </c>
      <c r="F22" s="112" t="s">
        <v>176</v>
      </c>
    </row>
    <row r="23" spans="1:7" ht="20.100000000000001" customHeight="1" x14ac:dyDescent="0.25">
      <c r="A23" s="105" t="s">
        <v>94</v>
      </c>
      <c r="B23" s="112" t="s">
        <v>186</v>
      </c>
      <c r="C23" s="112" t="s">
        <v>186</v>
      </c>
      <c r="D23" s="112" t="s">
        <v>186</v>
      </c>
      <c r="E23" s="112" t="s">
        <v>346</v>
      </c>
      <c r="F23" s="112" t="s">
        <v>186</v>
      </c>
    </row>
    <row r="24" spans="1:7" ht="20.100000000000001" customHeight="1" x14ac:dyDescent="0.25">
      <c r="A24" s="105" t="s">
        <v>95</v>
      </c>
      <c r="B24" s="112" t="s">
        <v>344</v>
      </c>
      <c r="C24" s="112" t="s">
        <v>344</v>
      </c>
      <c r="D24" s="112" t="s">
        <v>344</v>
      </c>
      <c r="E24" s="112" t="s">
        <v>344</v>
      </c>
      <c r="F24" s="112" t="s">
        <v>344</v>
      </c>
    </row>
    <row r="25" spans="1:7" ht="20.100000000000001" customHeight="1" x14ac:dyDescent="0.25">
      <c r="A25" s="105" t="s">
        <v>96</v>
      </c>
      <c r="B25" s="313">
        <v>52.3</v>
      </c>
      <c r="C25" s="313">
        <v>55.3</v>
      </c>
      <c r="D25" s="313">
        <v>174.3</v>
      </c>
      <c r="E25" s="313">
        <v>62.7</v>
      </c>
      <c r="F25" s="313">
        <v>178.2</v>
      </c>
      <c r="G25" s="102" t="s">
        <v>348</v>
      </c>
    </row>
    <row r="26" spans="1:7" ht="20.100000000000001" customHeight="1" x14ac:dyDescent="0.25">
      <c r="A26" s="105" t="s">
        <v>386</v>
      </c>
      <c r="B26" s="316">
        <f>B25/(B14)</f>
        <v>5.5052631578947366</v>
      </c>
      <c r="C26" s="316">
        <f t="shared" ref="C26:F26" si="0">C25/(C14)</f>
        <v>5.8210526315789473</v>
      </c>
      <c r="D26" s="316">
        <f t="shared" si="0"/>
        <v>18.347368421052632</v>
      </c>
      <c r="E26" s="316">
        <f t="shared" si="0"/>
        <v>6.6000000000000005</v>
      </c>
      <c r="F26" s="316">
        <f t="shared" si="0"/>
        <v>18.757894736842104</v>
      </c>
    </row>
  </sheetData>
  <mergeCells count="5">
    <mergeCell ref="B5:G5"/>
    <mergeCell ref="B6:G6"/>
    <mergeCell ref="B7:G7"/>
    <mergeCell ref="B8:G8"/>
    <mergeCell ref="B9:G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B2:Z152"/>
  <sheetViews>
    <sheetView tabSelected="1" zoomScaleNormal="100" workbookViewId="0">
      <selection activeCell="B4" sqref="B4"/>
    </sheetView>
  </sheetViews>
  <sheetFormatPr defaultRowHeight="12.75" x14ac:dyDescent="0.2"/>
  <cols>
    <col min="1" max="1" width="4.28515625" customWidth="1"/>
    <col min="2" max="2" width="29.85546875" customWidth="1"/>
    <col min="3" max="4" width="12.140625" customWidth="1"/>
    <col min="5" max="5" width="15.42578125" bestFit="1" customWidth="1"/>
    <col min="6" max="6" width="12.140625" bestFit="1" customWidth="1"/>
    <col min="7" max="7" width="14.5703125" bestFit="1" customWidth="1"/>
    <col min="8" max="8" width="12.140625" bestFit="1" customWidth="1"/>
    <col min="9" max="9" width="20.5703125" customWidth="1"/>
    <col min="10" max="10" width="13.5703125" customWidth="1"/>
    <col min="11" max="22" width="7" customWidth="1"/>
  </cols>
  <sheetData>
    <row r="2" spans="2:23" x14ac:dyDescent="0.2">
      <c r="B2" s="139" t="s">
        <v>115</v>
      </c>
      <c r="C2" s="140"/>
      <c r="D2" s="140"/>
      <c r="E2" s="140"/>
      <c r="F2" s="140"/>
      <c r="G2" s="140"/>
      <c r="H2" s="140"/>
      <c r="I2" s="140"/>
      <c r="J2" s="140"/>
      <c r="K2" s="140"/>
      <c r="L2" s="140"/>
      <c r="M2" s="140"/>
      <c r="N2" s="140"/>
      <c r="O2" s="140"/>
      <c r="P2" s="140"/>
      <c r="Q2" s="140"/>
      <c r="R2" s="140"/>
      <c r="S2" s="140"/>
      <c r="T2" s="140"/>
      <c r="U2" s="140"/>
      <c r="V2" s="140"/>
    </row>
    <row r="3" spans="2:23" x14ac:dyDescent="0.2">
      <c r="B3" s="154"/>
      <c r="C3" s="155" t="s">
        <v>118</v>
      </c>
      <c r="D3" s="154"/>
      <c r="E3" s="154"/>
      <c r="F3" s="154"/>
      <c r="G3" s="154"/>
      <c r="H3" s="154"/>
      <c r="I3" s="154"/>
      <c r="K3" s="156" t="s">
        <v>119</v>
      </c>
      <c r="L3" s="157"/>
      <c r="M3" s="157"/>
      <c r="N3" s="157"/>
      <c r="O3" s="157"/>
      <c r="P3" s="157"/>
      <c r="Q3" s="157"/>
      <c r="R3" s="157"/>
      <c r="S3" s="157"/>
      <c r="T3" s="157"/>
      <c r="U3" s="157"/>
      <c r="V3" s="157"/>
    </row>
    <row r="5" spans="2:23" ht="15" x14ac:dyDescent="0.25">
      <c r="B5" s="27" t="s">
        <v>120</v>
      </c>
    </row>
    <row r="6" spans="2:23" x14ac:dyDescent="0.2">
      <c r="C6" s="129" t="s">
        <v>121</v>
      </c>
    </row>
    <row r="7" spans="2:23" x14ac:dyDescent="0.2">
      <c r="K7" s="129" t="s">
        <v>116</v>
      </c>
    </row>
    <row r="10" spans="2:23" ht="15.75" thickBot="1" x14ac:dyDescent="0.3">
      <c r="B10" s="27" t="s">
        <v>168</v>
      </c>
      <c r="K10" s="27" t="s">
        <v>123</v>
      </c>
    </row>
    <row r="11" spans="2:23" ht="15.75" thickTop="1" thickBot="1" x14ac:dyDescent="0.25">
      <c r="B11" s="129" t="s">
        <v>122</v>
      </c>
      <c r="J11" s="280" t="s">
        <v>295</v>
      </c>
      <c r="K11" s="137">
        <v>2010</v>
      </c>
      <c r="L11" s="138">
        <v>2015</v>
      </c>
      <c r="M11" s="138">
        <v>2020</v>
      </c>
      <c r="N11" s="138">
        <v>2025</v>
      </c>
      <c r="O11" s="138">
        <v>2030</v>
      </c>
      <c r="P11" s="138">
        <v>2035</v>
      </c>
      <c r="Q11" s="138">
        <v>2040</v>
      </c>
      <c r="R11" s="138">
        <v>2045</v>
      </c>
      <c r="S11" s="138">
        <v>2050</v>
      </c>
      <c r="T11" s="138">
        <v>2055</v>
      </c>
      <c r="U11" s="138">
        <v>2060</v>
      </c>
    </row>
    <row r="12" spans="2:23" ht="18" customHeight="1" thickTop="1" thickBot="1" x14ac:dyDescent="0.25">
      <c r="J12" s="272" t="s">
        <v>166</v>
      </c>
      <c r="K12" s="331">
        <f>ROUND('Population&amp;Demand Projections'!R9,-2)</f>
        <v>37700</v>
      </c>
      <c r="L12" s="331">
        <f>ROUND('Population&amp;Demand Projections'!S9,-2)</f>
        <v>41400</v>
      </c>
      <c r="M12" s="331">
        <f>ROUND('Population&amp;Demand Projections'!T9,-2)</f>
        <v>53100</v>
      </c>
      <c r="N12" s="331">
        <f>ROUND('Population&amp;Demand Projections'!U9,-2)</f>
        <v>62900</v>
      </c>
      <c r="O12" s="331">
        <f>ROUND('Population&amp;Demand Projections'!V9,-2)</f>
        <v>74400</v>
      </c>
      <c r="P12" s="331">
        <f>ROUND('Population&amp;Demand Projections'!W9,-2)</f>
        <v>87400</v>
      </c>
      <c r="Q12" s="331">
        <f>ROUND('Population&amp;Demand Projections'!X9,-2)</f>
        <v>100500</v>
      </c>
      <c r="R12" s="331">
        <f>ROUND('Population&amp;Demand Projections'!Y9,-2)</f>
        <v>104900</v>
      </c>
      <c r="S12" s="331">
        <f>ROUND('Population&amp;Demand Projections'!Z9,-2)</f>
        <v>109200</v>
      </c>
      <c r="T12" s="331">
        <f>ROUND('Population&amp;Demand Projections'!AA9,-2)</f>
        <v>110700</v>
      </c>
      <c r="U12" s="331">
        <f>ROUND('Population&amp;Demand Projections'!AB9,-2)</f>
        <v>112200</v>
      </c>
    </row>
    <row r="13" spans="2:23" ht="15" thickBot="1" x14ac:dyDescent="0.25">
      <c r="J13" s="272" t="s">
        <v>229</v>
      </c>
      <c r="K13" s="332">
        <f>ROUND('Population&amp;Demand Projections'!AF9,-2)</f>
        <v>126500</v>
      </c>
      <c r="L13" s="332">
        <f>ROUND('Population&amp;Demand Projections'!AG9,-2)</f>
        <v>139400</v>
      </c>
      <c r="M13" s="332">
        <f>ROUND('Population&amp;Demand Projections'!AH9,-2)</f>
        <v>154100</v>
      </c>
      <c r="N13" s="332">
        <f>ROUND('Population&amp;Demand Projections'!AI9,-2)</f>
        <v>170000</v>
      </c>
      <c r="O13" s="332">
        <f>ROUND('Population&amp;Demand Projections'!AJ9,-2)</f>
        <v>183800</v>
      </c>
      <c r="P13" s="332">
        <f>ROUND('Population&amp;Demand Projections'!AK9,-2)</f>
        <v>196900</v>
      </c>
      <c r="Q13" s="332">
        <f>ROUND('Population&amp;Demand Projections'!AL9,-2)</f>
        <v>204800</v>
      </c>
      <c r="R13" s="332">
        <f>ROUND('Population&amp;Demand Projections'!AM9,-2)</f>
        <v>213200</v>
      </c>
      <c r="S13" s="332">
        <f>ROUND('Population&amp;Demand Projections'!AN9,-2)</f>
        <v>221500</v>
      </c>
      <c r="T13" s="332">
        <f>ROUND('Population&amp;Demand Projections'!AO9,-2)</f>
        <v>221500</v>
      </c>
      <c r="U13" s="332">
        <f>ROUND('Population&amp;Demand Projections'!AP9,-2)</f>
        <v>221500</v>
      </c>
      <c r="W13" s="152"/>
    </row>
    <row r="14" spans="2:23" ht="15" thickBot="1" x14ac:dyDescent="0.25">
      <c r="J14" s="330" t="s">
        <v>230</v>
      </c>
      <c r="K14" s="331">
        <f>ROUND('Population&amp;Demand Projections'!AT9,-2)</f>
        <v>18400</v>
      </c>
      <c r="L14" s="331">
        <f>ROUND('Population&amp;Demand Projections'!AU9,-2)</f>
        <v>20400</v>
      </c>
      <c r="M14" s="331">
        <f>ROUND('Population&amp;Demand Projections'!AV9,-2)</f>
        <v>22300</v>
      </c>
      <c r="N14" s="331">
        <f>ROUND('Population&amp;Demand Projections'!AW9,-2)</f>
        <v>23200</v>
      </c>
      <c r="O14" s="331">
        <f>ROUND('Population&amp;Demand Projections'!AX9,-2)</f>
        <v>24300</v>
      </c>
      <c r="P14" s="331">
        <f>ROUND('Population&amp;Demand Projections'!AY9,-2)</f>
        <v>25300</v>
      </c>
      <c r="Q14" s="331">
        <f>ROUND('Population&amp;Demand Projections'!AZ9,-2)</f>
        <v>25800</v>
      </c>
      <c r="R14" s="331">
        <f>ROUND('Population&amp;Demand Projections'!BA9,-2)</f>
        <v>26100</v>
      </c>
      <c r="S14" s="331">
        <f>ROUND('Population&amp;Demand Projections'!BB9,-2)</f>
        <v>26400</v>
      </c>
      <c r="T14" s="331">
        <f>ROUND('Population&amp;Demand Projections'!BC9,-2)</f>
        <v>26700</v>
      </c>
      <c r="U14" s="331">
        <f>ROUND('Population&amp;Demand Projections'!BD9,-2)</f>
        <v>26900</v>
      </c>
      <c r="W14" s="152"/>
    </row>
    <row r="15" spans="2:23" ht="17.25" thickTop="1" thickBot="1" x14ac:dyDescent="0.25">
      <c r="B15" s="135" t="s">
        <v>151</v>
      </c>
      <c r="J15" s="261" t="s">
        <v>117</v>
      </c>
      <c r="K15" s="281">
        <f>SUM(K12:K14)</f>
        <v>182600</v>
      </c>
      <c r="L15" s="281">
        <f t="shared" ref="L15:U15" si="0">SUM(L12:L14)</f>
        <v>201200</v>
      </c>
      <c r="M15" s="281">
        <f t="shared" si="0"/>
        <v>229500</v>
      </c>
      <c r="N15" s="281">
        <f t="shared" si="0"/>
        <v>256100</v>
      </c>
      <c r="O15" s="281">
        <f t="shared" si="0"/>
        <v>282500</v>
      </c>
      <c r="P15" s="281">
        <f t="shared" si="0"/>
        <v>309600</v>
      </c>
      <c r="Q15" s="281">
        <f t="shared" si="0"/>
        <v>331100</v>
      </c>
      <c r="R15" s="281">
        <f t="shared" si="0"/>
        <v>344200</v>
      </c>
      <c r="S15" s="281">
        <f t="shared" si="0"/>
        <v>357100</v>
      </c>
      <c r="T15" s="281">
        <f t="shared" si="0"/>
        <v>358900</v>
      </c>
      <c r="U15" s="281">
        <f t="shared" si="0"/>
        <v>360600</v>
      </c>
    </row>
    <row r="16" spans="2:23" ht="13.5" thickTop="1" x14ac:dyDescent="0.2">
      <c r="B16" s="152" t="s">
        <v>170</v>
      </c>
      <c r="W16" s="152"/>
    </row>
    <row r="19" spans="2:22" ht="13.5" thickBot="1" x14ac:dyDescent="0.25">
      <c r="B19" s="135" t="s">
        <v>212</v>
      </c>
    </row>
    <row r="20" spans="2:22" ht="48.75" thickTop="1" thickBot="1" x14ac:dyDescent="0.25">
      <c r="B20" s="130" t="s">
        <v>216</v>
      </c>
      <c r="C20" s="131" t="s">
        <v>15</v>
      </c>
      <c r="D20" s="131" t="s">
        <v>160</v>
      </c>
      <c r="E20" s="131" t="s">
        <v>153</v>
      </c>
      <c r="F20" s="131" t="s">
        <v>154</v>
      </c>
      <c r="G20" s="131" t="s">
        <v>156</v>
      </c>
      <c r="H20" s="131" t="s">
        <v>157</v>
      </c>
    </row>
    <row r="21" spans="2:22" ht="17.25" thickTop="1" thickBot="1" x14ac:dyDescent="0.25">
      <c r="B21" s="132" t="s">
        <v>318</v>
      </c>
      <c r="C21" s="142" t="s">
        <v>369</v>
      </c>
      <c r="D21" s="168">
        <v>0</v>
      </c>
      <c r="E21" s="169">
        <v>2009</v>
      </c>
      <c r="F21" s="169">
        <v>2028</v>
      </c>
      <c r="G21" s="170" t="s">
        <v>25</v>
      </c>
      <c r="H21" s="169">
        <v>16</v>
      </c>
    </row>
    <row r="22" spans="2:22" ht="16.5" thickBot="1" x14ac:dyDescent="0.25">
      <c r="B22" s="132" t="s">
        <v>371</v>
      </c>
      <c r="C22" s="142" t="s">
        <v>370</v>
      </c>
      <c r="D22" s="171">
        <v>0</v>
      </c>
      <c r="E22" s="172">
        <v>2010</v>
      </c>
      <c r="F22" s="172">
        <v>2029</v>
      </c>
      <c r="G22" s="173" t="s">
        <v>25</v>
      </c>
      <c r="H22" s="172">
        <v>0</v>
      </c>
    </row>
    <row r="23" spans="2:22" ht="16.5" thickBot="1" x14ac:dyDescent="0.25">
      <c r="B23" s="132" t="s">
        <v>320</v>
      </c>
      <c r="C23" s="142" t="s">
        <v>372</v>
      </c>
      <c r="D23" s="171">
        <v>0</v>
      </c>
      <c r="E23" s="172">
        <v>2012</v>
      </c>
      <c r="F23" s="172">
        <v>2032</v>
      </c>
      <c r="G23" s="173" t="s">
        <v>25</v>
      </c>
      <c r="H23" s="172">
        <v>24</v>
      </c>
    </row>
    <row r="24" spans="2:22" ht="16.5" thickBot="1" x14ac:dyDescent="0.25">
      <c r="B24" s="132" t="s">
        <v>321</v>
      </c>
      <c r="C24" s="142" t="s">
        <v>373</v>
      </c>
      <c r="D24" s="171">
        <v>0</v>
      </c>
      <c r="E24" s="172"/>
      <c r="F24" s="173" t="s">
        <v>375</v>
      </c>
      <c r="G24" s="173" t="s">
        <v>25</v>
      </c>
      <c r="H24" s="172">
        <v>16</v>
      </c>
    </row>
    <row r="25" spans="2:22" ht="16.5" thickBot="1" x14ac:dyDescent="0.25">
      <c r="B25" s="144" t="s">
        <v>322</v>
      </c>
      <c r="C25" s="318" t="s">
        <v>374</v>
      </c>
      <c r="D25" s="174">
        <v>0</v>
      </c>
      <c r="E25" s="175"/>
      <c r="F25" s="176" t="s">
        <v>375</v>
      </c>
      <c r="G25" s="176" t="s">
        <v>25</v>
      </c>
      <c r="H25" s="175">
        <v>16</v>
      </c>
    </row>
    <row r="26" spans="2:22" ht="17.25" thickTop="1" thickBot="1" x14ac:dyDescent="0.25">
      <c r="B26" s="145" t="s">
        <v>117</v>
      </c>
      <c r="C26" s="149"/>
      <c r="D26" s="151">
        <f>SUM(D21:D25)</f>
        <v>0</v>
      </c>
      <c r="E26" s="150"/>
      <c r="F26" s="150"/>
      <c r="G26" s="150"/>
      <c r="H26" s="150"/>
    </row>
    <row r="27" spans="2:22" ht="13.5" thickTop="1" x14ac:dyDescent="0.2"/>
    <row r="32" spans="2:22" x14ac:dyDescent="0.2">
      <c r="B32" s="139" t="s">
        <v>127</v>
      </c>
      <c r="C32" s="140"/>
      <c r="D32" s="140"/>
      <c r="E32" s="140"/>
      <c r="F32" s="140"/>
      <c r="G32" s="140"/>
      <c r="H32" s="140"/>
      <c r="I32" s="140"/>
      <c r="J32" s="140"/>
      <c r="K32" s="140"/>
      <c r="L32" s="140"/>
      <c r="M32" s="140"/>
      <c r="N32" s="140"/>
      <c r="O32" s="140"/>
      <c r="P32" s="140"/>
      <c r="Q32" s="140"/>
      <c r="R32" s="140"/>
      <c r="S32" s="140"/>
      <c r="T32" s="140"/>
      <c r="U32" s="140"/>
      <c r="V32" s="140"/>
    </row>
    <row r="34" spans="2:22" x14ac:dyDescent="0.2">
      <c r="B34" s="129" t="s">
        <v>128</v>
      </c>
    </row>
    <row r="37" spans="2:22" x14ac:dyDescent="0.2">
      <c r="B37" s="139" t="s">
        <v>125</v>
      </c>
      <c r="C37" s="139"/>
      <c r="D37" s="139"/>
      <c r="E37" s="139"/>
      <c r="F37" s="139"/>
      <c r="G37" s="139"/>
      <c r="H37" s="139"/>
      <c r="I37" s="139"/>
      <c r="J37" s="139"/>
      <c r="K37" s="139"/>
      <c r="L37" s="139"/>
      <c r="M37" s="139"/>
      <c r="N37" s="139"/>
      <c r="O37" s="139"/>
      <c r="P37" s="139"/>
      <c r="Q37" s="139"/>
      <c r="R37" s="139"/>
      <c r="S37" s="139"/>
      <c r="T37" s="139"/>
      <c r="U37" s="139"/>
      <c r="V37" s="139"/>
    </row>
    <row r="39" spans="2:22" ht="13.5" thickBot="1" x14ac:dyDescent="0.25">
      <c r="B39" s="129" t="s">
        <v>158</v>
      </c>
    </row>
    <row r="40" spans="2:22" ht="48.75" thickTop="1" thickBot="1" x14ac:dyDescent="0.25">
      <c r="B40" s="130" t="s">
        <v>152</v>
      </c>
      <c r="C40" s="131" t="s">
        <v>15</v>
      </c>
      <c r="D40" s="131" t="s">
        <v>160</v>
      </c>
      <c r="E40" s="131" t="s">
        <v>153</v>
      </c>
      <c r="F40" s="131" t="s">
        <v>154</v>
      </c>
      <c r="G40" s="131" t="s">
        <v>156</v>
      </c>
      <c r="H40" s="131" t="s">
        <v>157</v>
      </c>
      <c r="I40" s="131" t="s">
        <v>155</v>
      </c>
      <c r="K40" s="129" t="s">
        <v>159</v>
      </c>
    </row>
    <row r="41" spans="2:22" ht="17.25" thickTop="1" thickBot="1" x14ac:dyDescent="0.25">
      <c r="B41" s="132" t="s">
        <v>318</v>
      </c>
      <c r="C41" s="142" t="s">
        <v>369</v>
      </c>
      <c r="D41" s="168">
        <v>0</v>
      </c>
      <c r="E41" s="169">
        <v>2009</v>
      </c>
      <c r="F41" s="169">
        <v>2028</v>
      </c>
      <c r="G41" s="170" t="s">
        <v>25</v>
      </c>
      <c r="H41" s="169">
        <v>16</v>
      </c>
      <c r="I41" s="168">
        <v>0</v>
      </c>
      <c r="L41" s="129" t="s">
        <v>161</v>
      </c>
    </row>
    <row r="42" spans="2:22" ht="16.5" thickBot="1" x14ac:dyDescent="0.25">
      <c r="B42" s="132" t="s">
        <v>371</v>
      </c>
      <c r="C42" s="142" t="s">
        <v>370</v>
      </c>
      <c r="D42" s="171">
        <v>0</v>
      </c>
      <c r="E42" s="172">
        <v>2010</v>
      </c>
      <c r="F42" s="172">
        <v>2029</v>
      </c>
      <c r="G42" s="173" t="s">
        <v>25</v>
      </c>
      <c r="H42" s="172">
        <v>0</v>
      </c>
      <c r="I42" s="171">
        <v>0</v>
      </c>
    </row>
    <row r="43" spans="2:22" ht="16.5" thickBot="1" x14ac:dyDescent="0.25">
      <c r="B43" s="132" t="s">
        <v>320</v>
      </c>
      <c r="C43" s="142" t="s">
        <v>372</v>
      </c>
      <c r="D43" s="171">
        <v>0</v>
      </c>
      <c r="E43" s="172">
        <v>2012</v>
      </c>
      <c r="F43" s="172">
        <v>2032</v>
      </c>
      <c r="G43" s="173" t="s">
        <v>25</v>
      </c>
      <c r="H43" s="172">
        <v>24</v>
      </c>
      <c r="I43" s="171">
        <v>0</v>
      </c>
      <c r="K43" t="s">
        <v>402</v>
      </c>
    </row>
    <row r="44" spans="2:22" ht="16.5" thickBot="1" x14ac:dyDescent="0.25">
      <c r="B44" s="132" t="s">
        <v>321</v>
      </c>
      <c r="C44" s="142" t="s">
        <v>373</v>
      </c>
      <c r="D44" s="171">
        <v>0</v>
      </c>
      <c r="E44" s="172"/>
      <c r="F44" s="173" t="s">
        <v>375</v>
      </c>
      <c r="G44" s="173" t="s">
        <v>25</v>
      </c>
      <c r="H44" s="172">
        <v>16</v>
      </c>
      <c r="I44" s="171">
        <v>0</v>
      </c>
      <c r="K44" t="s">
        <v>403</v>
      </c>
    </row>
    <row r="45" spans="2:22" ht="16.5" thickBot="1" x14ac:dyDescent="0.25">
      <c r="B45" s="144" t="s">
        <v>322</v>
      </c>
      <c r="C45" s="318" t="s">
        <v>374</v>
      </c>
      <c r="D45" s="174">
        <v>0</v>
      </c>
      <c r="E45" s="175"/>
      <c r="F45" s="176" t="s">
        <v>375</v>
      </c>
      <c r="G45" s="176" t="s">
        <v>25</v>
      </c>
      <c r="H45" s="175">
        <v>16</v>
      </c>
      <c r="I45" s="174">
        <v>0</v>
      </c>
      <c r="K45" s="152" t="s">
        <v>294</v>
      </c>
    </row>
    <row r="46" spans="2:22" ht="17.25" thickTop="1" thickBot="1" x14ac:dyDescent="0.25">
      <c r="B46" s="145" t="s">
        <v>117</v>
      </c>
      <c r="C46" s="149"/>
      <c r="D46" s="150"/>
      <c r="E46" s="150"/>
      <c r="F46" s="150"/>
      <c r="G46" s="150"/>
      <c r="H46" s="150"/>
      <c r="I46" s="151">
        <f>SUMIF(G41:G45,"Regular",I41:I45)</f>
        <v>0</v>
      </c>
    </row>
    <row r="47" spans="2:22" ht="13.5" thickTop="1" x14ac:dyDescent="0.2"/>
    <row r="49" spans="2:22" ht="31.5" customHeight="1" x14ac:dyDescent="0.2"/>
    <row r="50" spans="2:22" ht="13.5" thickBot="1" x14ac:dyDescent="0.25">
      <c r="B50" s="152" t="s">
        <v>379</v>
      </c>
      <c r="J50" t="s">
        <v>144</v>
      </c>
    </row>
    <row r="51" spans="2:22" ht="33" thickTop="1" thickBot="1" x14ac:dyDescent="0.25">
      <c r="B51" s="130" t="s">
        <v>131</v>
      </c>
      <c r="C51" s="131" t="s">
        <v>15</v>
      </c>
      <c r="D51" s="131" t="s">
        <v>16</v>
      </c>
      <c r="E51" s="131" t="s">
        <v>36</v>
      </c>
      <c r="F51" s="131" t="s">
        <v>132</v>
      </c>
      <c r="G51" s="131" t="s">
        <v>133</v>
      </c>
      <c r="J51" t="s">
        <v>135</v>
      </c>
      <c r="K51" s="143" t="s">
        <v>134</v>
      </c>
    </row>
    <row r="52" spans="2:22" ht="33" thickTop="1" thickBot="1" x14ac:dyDescent="0.25">
      <c r="B52" s="132" t="s">
        <v>376</v>
      </c>
      <c r="C52" s="142" t="s">
        <v>310</v>
      </c>
      <c r="D52" s="247" t="s">
        <v>143</v>
      </c>
      <c r="E52" s="248" t="s">
        <v>136</v>
      </c>
      <c r="F52" s="248" t="s">
        <v>232</v>
      </c>
      <c r="G52" s="249">
        <v>32</v>
      </c>
      <c r="K52" s="129" t="s">
        <v>136</v>
      </c>
      <c r="M52" s="129" t="s">
        <v>139</v>
      </c>
    </row>
    <row r="53" spans="2:22" ht="32.25" thickBot="1" x14ac:dyDescent="0.25">
      <c r="B53" s="132" t="s">
        <v>377</v>
      </c>
      <c r="C53" s="142" t="s">
        <v>304</v>
      </c>
      <c r="D53" s="250" t="s">
        <v>143</v>
      </c>
      <c r="E53" s="251" t="s">
        <v>136</v>
      </c>
      <c r="F53" s="251" t="s">
        <v>232</v>
      </c>
      <c r="G53" s="252">
        <v>3.5</v>
      </c>
      <c r="K53" s="129" t="s">
        <v>137</v>
      </c>
      <c r="M53" s="129" t="s">
        <v>140</v>
      </c>
    </row>
    <row r="54" spans="2:22" ht="32.25" thickBot="1" x14ac:dyDescent="0.25">
      <c r="B54" s="144" t="s">
        <v>378</v>
      </c>
      <c r="C54" s="318" t="s">
        <v>304</v>
      </c>
      <c r="D54" s="250" t="s">
        <v>143</v>
      </c>
      <c r="E54" s="251" t="s">
        <v>136</v>
      </c>
      <c r="F54" s="251" t="s">
        <v>232</v>
      </c>
      <c r="G54" s="252">
        <v>3.5</v>
      </c>
      <c r="K54" s="129" t="s">
        <v>138</v>
      </c>
    </row>
    <row r="55" spans="2:22" ht="17.25" thickTop="1" thickBot="1" x14ac:dyDescent="0.25">
      <c r="B55" s="145" t="s">
        <v>117</v>
      </c>
      <c r="C55" s="149"/>
      <c r="D55" s="150"/>
      <c r="E55" s="150"/>
      <c r="F55" s="150"/>
      <c r="G55" s="151">
        <f>SUM(G52:G54)</f>
        <v>39</v>
      </c>
      <c r="J55" s="129" t="s">
        <v>141</v>
      </c>
      <c r="L55" s="143" t="s">
        <v>142</v>
      </c>
    </row>
    <row r="56" spans="2:22" ht="13.5" thickTop="1" x14ac:dyDescent="0.2"/>
    <row r="59" spans="2:22" x14ac:dyDescent="0.2">
      <c r="B59" s="158" t="s">
        <v>169</v>
      </c>
      <c r="C59" s="140"/>
      <c r="D59" s="140"/>
      <c r="E59" s="140"/>
      <c r="F59" s="140"/>
      <c r="G59" s="140"/>
      <c r="H59" s="140"/>
      <c r="I59" s="140"/>
      <c r="J59" s="140"/>
      <c r="K59" s="140"/>
      <c r="L59" s="140"/>
      <c r="M59" s="140"/>
      <c r="N59" s="140"/>
      <c r="O59" s="140"/>
      <c r="P59" s="140"/>
      <c r="Q59" s="140"/>
      <c r="R59" s="140"/>
      <c r="S59" s="140"/>
      <c r="T59" s="140"/>
      <c r="U59" s="140"/>
      <c r="V59" s="140"/>
    </row>
    <row r="61" spans="2:22" x14ac:dyDescent="0.2">
      <c r="B61" s="129" t="s">
        <v>129</v>
      </c>
      <c r="K61" s="152" t="s">
        <v>388</v>
      </c>
    </row>
    <row r="62" spans="2:22" ht="13.5" thickBot="1" x14ac:dyDescent="0.25">
      <c r="B62" t="s">
        <v>130</v>
      </c>
    </row>
    <row r="63" spans="2:22" ht="17.25" thickTop="1" thickBot="1" x14ac:dyDescent="0.25">
      <c r="J63" s="130"/>
      <c r="K63" s="131">
        <v>2010</v>
      </c>
      <c r="L63" s="131">
        <v>2015</v>
      </c>
      <c r="M63" s="131">
        <v>2020</v>
      </c>
      <c r="N63" s="131">
        <v>2025</v>
      </c>
      <c r="O63" s="131">
        <v>2030</v>
      </c>
      <c r="P63" s="131">
        <v>2035</v>
      </c>
      <c r="Q63" s="131">
        <v>2040</v>
      </c>
      <c r="R63" s="131">
        <v>2045</v>
      </c>
      <c r="S63" s="131">
        <v>2050</v>
      </c>
      <c r="T63" s="131">
        <v>2055</v>
      </c>
      <c r="U63" s="131">
        <v>2060</v>
      </c>
    </row>
    <row r="64" spans="2:22" ht="17.25" thickTop="1" thickBot="1" x14ac:dyDescent="0.25">
      <c r="J64" s="132" t="s">
        <v>148</v>
      </c>
      <c r="K64" s="177">
        <f>'Population&amp;Demand Projections'!C93</f>
        <v>18.400000000000002</v>
      </c>
      <c r="L64" s="177">
        <f>'Population&amp;Demand Projections'!D93</f>
        <v>20.9</v>
      </c>
      <c r="M64" s="177">
        <f>'Population&amp;Demand Projections'!E93</f>
        <v>24.999999999999996</v>
      </c>
      <c r="N64" s="177">
        <f>'Population&amp;Demand Projections'!F93</f>
        <v>28.799999999999997</v>
      </c>
      <c r="O64" s="177">
        <f>'Population&amp;Demand Projections'!G93</f>
        <v>31.9</v>
      </c>
      <c r="P64" s="177">
        <f>'Population&amp;Demand Projections'!H93</f>
        <v>34.800000000000004</v>
      </c>
      <c r="Q64" s="177">
        <f>'Population&amp;Demand Projections'!I93</f>
        <v>37.299999999999997</v>
      </c>
      <c r="R64" s="177">
        <f>'Population&amp;Demand Projections'!J93</f>
        <v>39.15</v>
      </c>
      <c r="S64" s="177">
        <f>'Population&amp;Demand Projections'!K93</f>
        <v>40.799999999999997</v>
      </c>
      <c r="T64" s="177">
        <f>'Population&amp;Demand Projections'!L93</f>
        <v>41.1</v>
      </c>
      <c r="U64" s="177">
        <f>'Population&amp;Demand Projections'!M93</f>
        <v>41.4</v>
      </c>
    </row>
    <row r="65" spans="2:21" ht="16.5" thickBot="1" x14ac:dyDescent="0.25">
      <c r="J65" s="132" t="s">
        <v>20</v>
      </c>
      <c r="K65" s="178">
        <f>'Population&amp;Demand Projections'!C79+'Population&amp;Demand Projections'!C80+'Population&amp;Demand Projections'!C81</f>
        <v>32</v>
      </c>
      <c r="L65" s="178">
        <f>'Population&amp;Demand Projections'!D79+'Population&amp;Demand Projections'!D80+'Population&amp;Demand Projections'!D81</f>
        <v>32</v>
      </c>
      <c r="M65" s="178">
        <f>'Population&amp;Demand Projections'!E79+'Population&amp;Demand Projections'!E80+'Population&amp;Demand Projections'!E81</f>
        <v>32</v>
      </c>
      <c r="N65" s="178">
        <f>'Population&amp;Demand Projections'!F79+'Population&amp;Demand Projections'!F80+'Population&amp;Demand Projections'!F81</f>
        <v>32</v>
      </c>
      <c r="O65" s="178">
        <f>'Population&amp;Demand Projections'!G79+'Population&amp;Demand Projections'!G80+'Population&amp;Demand Projections'!G81</f>
        <v>32</v>
      </c>
      <c r="P65" s="178">
        <f>'Population&amp;Demand Projections'!H79+'Population&amp;Demand Projections'!H80+'Population&amp;Demand Projections'!H81</f>
        <v>32</v>
      </c>
      <c r="Q65" s="178">
        <f>'Population&amp;Demand Projections'!I79+'Population&amp;Demand Projections'!I80+'Population&amp;Demand Projections'!I81</f>
        <v>32</v>
      </c>
      <c r="R65" s="178">
        <f>'Population&amp;Demand Projections'!J79+'Population&amp;Demand Projections'!J80+'Population&amp;Demand Projections'!J81</f>
        <v>32</v>
      </c>
      <c r="S65" s="178">
        <f>'Population&amp;Demand Projections'!K79+'Population&amp;Demand Projections'!K80+'Population&amp;Demand Projections'!K81</f>
        <v>32</v>
      </c>
      <c r="T65" s="178">
        <f>'Population&amp;Demand Projections'!L79+'Population&amp;Demand Projections'!L80+'Population&amp;Demand Projections'!L81</f>
        <v>32</v>
      </c>
      <c r="U65" s="178">
        <f>'Population&amp;Demand Projections'!M79+'Population&amp;Demand Projections'!M80+'Population&amp;Demand Projections'!M81</f>
        <v>32</v>
      </c>
    </row>
    <row r="66" spans="2:21" ht="32.25" thickBot="1" x14ac:dyDescent="0.25">
      <c r="J66" s="132" t="s">
        <v>150</v>
      </c>
      <c r="K66" s="179">
        <f>K64/K65</f>
        <v>0.57500000000000007</v>
      </c>
      <c r="L66" s="179">
        <f t="shared" ref="L66:U66" si="1">L64/L65</f>
        <v>0.65312499999999996</v>
      </c>
      <c r="M66" s="179">
        <f t="shared" si="1"/>
        <v>0.78124999999999989</v>
      </c>
      <c r="N66" s="179">
        <f t="shared" si="1"/>
        <v>0.89999999999999991</v>
      </c>
      <c r="O66" s="179">
        <f t="shared" si="1"/>
        <v>0.99687499999999996</v>
      </c>
      <c r="P66" s="179">
        <f t="shared" si="1"/>
        <v>1.0875000000000001</v>
      </c>
      <c r="Q66" s="179">
        <f t="shared" si="1"/>
        <v>1.1656249999999999</v>
      </c>
      <c r="R66" s="179">
        <f t="shared" si="1"/>
        <v>1.2234375</v>
      </c>
      <c r="S66" s="179">
        <f t="shared" si="1"/>
        <v>1.2749999999999999</v>
      </c>
      <c r="T66" s="179">
        <f t="shared" si="1"/>
        <v>1.284375</v>
      </c>
      <c r="U66" s="179">
        <f t="shared" si="1"/>
        <v>1.29375</v>
      </c>
    </row>
    <row r="67" spans="2:21" ht="16.5" thickBot="1" x14ac:dyDescent="0.25">
      <c r="J67" s="180" t="s">
        <v>149</v>
      </c>
      <c r="K67" s="279">
        <f>IF((K64-K65)&gt;0,K64-K65,0)</f>
        <v>0</v>
      </c>
      <c r="L67" s="279">
        <f t="shared" ref="L67:U67" si="2">IF((L64-L65)&gt;0,L64-L65,0)</f>
        <v>0</v>
      </c>
      <c r="M67" s="279">
        <f t="shared" si="2"/>
        <v>0</v>
      </c>
      <c r="N67" s="279">
        <f t="shared" si="2"/>
        <v>0</v>
      </c>
      <c r="O67" s="279">
        <f t="shared" si="2"/>
        <v>0</v>
      </c>
      <c r="P67" s="279">
        <f t="shared" si="2"/>
        <v>2.8000000000000043</v>
      </c>
      <c r="Q67" s="279">
        <f t="shared" si="2"/>
        <v>5.2999999999999972</v>
      </c>
      <c r="R67" s="279">
        <f t="shared" si="2"/>
        <v>7.1499999999999986</v>
      </c>
      <c r="S67" s="279">
        <f t="shared" si="2"/>
        <v>8.7999999999999972</v>
      </c>
      <c r="T67" s="279">
        <f t="shared" si="2"/>
        <v>9.1000000000000014</v>
      </c>
      <c r="U67" s="279">
        <f t="shared" si="2"/>
        <v>9.3999999999999986</v>
      </c>
    </row>
    <row r="69" spans="2:21" x14ac:dyDescent="0.2">
      <c r="B69" s="129"/>
      <c r="K69" s="152" t="s">
        <v>389</v>
      </c>
    </row>
    <row r="70" spans="2:21" ht="13.5" thickBot="1" x14ac:dyDescent="0.25"/>
    <row r="71" spans="2:21" ht="17.25" thickTop="1" thickBot="1" x14ac:dyDescent="0.25">
      <c r="J71" s="130"/>
      <c r="K71" s="329">
        <v>2010</v>
      </c>
      <c r="L71" s="329">
        <v>2015</v>
      </c>
      <c r="M71" s="329">
        <v>2020</v>
      </c>
      <c r="N71" s="329">
        <v>2025</v>
      </c>
      <c r="O71" s="329">
        <v>2030</v>
      </c>
      <c r="P71" s="329">
        <v>2035</v>
      </c>
      <c r="Q71" s="329">
        <v>2040</v>
      </c>
      <c r="R71" s="329">
        <v>2045</v>
      </c>
      <c r="S71" s="329">
        <v>2050</v>
      </c>
      <c r="T71" s="329">
        <v>2055</v>
      </c>
      <c r="U71" s="329">
        <v>2060</v>
      </c>
    </row>
    <row r="72" spans="2:21" ht="17.25" thickTop="1" thickBot="1" x14ac:dyDescent="0.25">
      <c r="J72" s="132" t="s">
        <v>148</v>
      </c>
      <c r="K72" s="177">
        <f>'Population&amp;Demand Projections'!AS93</f>
        <v>1.7199999999999998</v>
      </c>
      <c r="L72" s="177">
        <f>'Population&amp;Demand Projections'!AT93</f>
        <v>2.0299999999999998</v>
      </c>
      <c r="M72" s="177">
        <f>'Population&amp;Demand Projections'!AU93</f>
        <v>2.5399999999999996</v>
      </c>
      <c r="N72" s="177">
        <f>'Population&amp;Demand Projections'!AV93</f>
        <v>2.75</v>
      </c>
      <c r="O72" s="177">
        <f>'Population&amp;Demand Projections'!AW93</f>
        <v>2.88</v>
      </c>
      <c r="P72" s="177">
        <f>'Population&amp;Demand Projections'!AX93</f>
        <v>3.32</v>
      </c>
      <c r="Q72" s="177">
        <f>'Population&amp;Demand Projections'!AY93</f>
        <v>3.42</v>
      </c>
      <c r="R72" s="177">
        <f>'Population&amp;Demand Projections'!AZ93</f>
        <v>3.47</v>
      </c>
      <c r="S72" s="177">
        <f>'Population&amp;Demand Projections'!BA93</f>
        <v>3.5200000000000005</v>
      </c>
      <c r="T72" s="177">
        <f>'Population&amp;Demand Projections'!BB93</f>
        <v>3.5750000000000006</v>
      </c>
      <c r="U72" s="177">
        <f>'Population&amp;Demand Projections'!BC93</f>
        <v>3.6300000000000003</v>
      </c>
    </row>
    <row r="73" spans="2:21" ht="16.5" thickBot="1" x14ac:dyDescent="0.25">
      <c r="J73" s="132" t="s">
        <v>20</v>
      </c>
      <c r="K73" s="178">
        <f>'Population&amp;Demand Projections'!AS79+'Population&amp;Demand Projections'!AS80+'Population&amp;Demand Projections'!AS81</f>
        <v>3.5</v>
      </c>
      <c r="L73" s="178">
        <f>'Population&amp;Demand Projections'!AT79+'Population&amp;Demand Projections'!AT80+'Population&amp;Demand Projections'!AT81</f>
        <v>3.5</v>
      </c>
      <c r="M73" s="178">
        <f>'Population&amp;Demand Projections'!AU79+'Population&amp;Demand Projections'!AU80+'Population&amp;Demand Projections'!AU81</f>
        <v>3.5</v>
      </c>
      <c r="N73" s="178">
        <f>'Population&amp;Demand Projections'!AV79+'Population&amp;Demand Projections'!AV80+'Population&amp;Demand Projections'!AV81</f>
        <v>3.5</v>
      </c>
      <c r="O73" s="178">
        <f>'Population&amp;Demand Projections'!AW79+'Population&amp;Demand Projections'!AW80+'Population&amp;Demand Projections'!AW81</f>
        <v>3.5</v>
      </c>
      <c r="P73" s="178">
        <f>'Population&amp;Demand Projections'!AX79+'Population&amp;Demand Projections'!AX80+'Population&amp;Demand Projections'!AX81</f>
        <v>3.5</v>
      </c>
      <c r="Q73" s="178">
        <f>'Population&amp;Demand Projections'!AY79+'Population&amp;Demand Projections'!AY80+'Population&amp;Demand Projections'!AY81</f>
        <v>3.5</v>
      </c>
      <c r="R73" s="178">
        <f>'Population&amp;Demand Projections'!AZ79+'Population&amp;Demand Projections'!AZ80+'Population&amp;Demand Projections'!AZ81</f>
        <v>3.5</v>
      </c>
      <c r="S73" s="178">
        <f>'Population&amp;Demand Projections'!BA79+'Population&amp;Demand Projections'!BA80+'Population&amp;Demand Projections'!BA81</f>
        <v>3.5</v>
      </c>
      <c r="T73" s="178">
        <f>'Population&amp;Demand Projections'!BB79+'Population&amp;Demand Projections'!BB80+'Population&amp;Demand Projections'!BB81</f>
        <v>3.5</v>
      </c>
      <c r="U73" s="178">
        <f>'Population&amp;Demand Projections'!BC79+'Population&amp;Demand Projections'!BC80+'Population&amp;Demand Projections'!BC81</f>
        <v>3.5</v>
      </c>
    </row>
    <row r="74" spans="2:21" ht="32.25" thickBot="1" x14ac:dyDescent="0.25">
      <c r="J74" s="132" t="s">
        <v>150</v>
      </c>
      <c r="K74" s="179">
        <f>K72/K73</f>
        <v>0.49142857142857138</v>
      </c>
      <c r="L74" s="179">
        <f t="shared" ref="L74:U74" si="3">L72/L73</f>
        <v>0.57999999999999996</v>
      </c>
      <c r="M74" s="179">
        <f t="shared" si="3"/>
        <v>0.72571428571428565</v>
      </c>
      <c r="N74" s="179">
        <f t="shared" si="3"/>
        <v>0.7857142857142857</v>
      </c>
      <c r="O74" s="179">
        <f t="shared" si="3"/>
        <v>0.82285714285714284</v>
      </c>
      <c r="P74" s="179">
        <f t="shared" si="3"/>
        <v>0.94857142857142851</v>
      </c>
      <c r="Q74" s="179">
        <f t="shared" si="3"/>
        <v>0.97714285714285709</v>
      </c>
      <c r="R74" s="179">
        <f t="shared" si="3"/>
        <v>0.99142857142857144</v>
      </c>
      <c r="S74" s="179">
        <f t="shared" si="3"/>
        <v>1.0057142857142858</v>
      </c>
      <c r="T74" s="179">
        <f t="shared" si="3"/>
        <v>1.0214285714285716</v>
      </c>
      <c r="U74" s="179">
        <f t="shared" si="3"/>
        <v>1.0371428571428571</v>
      </c>
    </row>
    <row r="75" spans="2:21" ht="16.5" thickBot="1" x14ac:dyDescent="0.25">
      <c r="J75" s="180" t="s">
        <v>149</v>
      </c>
      <c r="K75" s="279">
        <f>IF((K72-K73)&gt;0,K72-K73,0)</f>
        <v>0</v>
      </c>
      <c r="L75" s="279">
        <f t="shared" ref="L75:U75" si="4">IF((L72-L73)&gt;0,L72-L73,0)</f>
        <v>0</v>
      </c>
      <c r="M75" s="279">
        <f t="shared" si="4"/>
        <v>0</v>
      </c>
      <c r="N75" s="279">
        <f t="shared" si="4"/>
        <v>0</v>
      </c>
      <c r="O75" s="279">
        <f t="shared" si="4"/>
        <v>0</v>
      </c>
      <c r="P75" s="279">
        <f t="shared" si="4"/>
        <v>0</v>
      </c>
      <c r="Q75" s="279">
        <f t="shared" si="4"/>
        <v>0</v>
      </c>
      <c r="R75" s="279">
        <f t="shared" si="4"/>
        <v>0</v>
      </c>
      <c r="S75" s="279">
        <f t="shared" si="4"/>
        <v>2.0000000000000462E-2</v>
      </c>
      <c r="T75" s="279">
        <f t="shared" si="4"/>
        <v>7.5000000000000622E-2</v>
      </c>
      <c r="U75" s="279">
        <f t="shared" si="4"/>
        <v>0.13000000000000034</v>
      </c>
    </row>
    <row r="77" spans="2:21" x14ac:dyDescent="0.2">
      <c r="B77" s="129"/>
      <c r="K77" s="152" t="s">
        <v>390</v>
      </c>
    </row>
    <row r="78" spans="2:21" ht="13.5" thickBot="1" x14ac:dyDescent="0.25"/>
    <row r="79" spans="2:21" ht="17.25" thickTop="1" thickBot="1" x14ac:dyDescent="0.25">
      <c r="J79" s="130"/>
      <c r="K79" s="329">
        <v>2010</v>
      </c>
      <c r="L79" s="329">
        <v>2015</v>
      </c>
      <c r="M79" s="329">
        <v>2020</v>
      </c>
      <c r="N79" s="329">
        <v>2025</v>
      </c>
      <c r="O79" s="329">
        <v>2030</v>
      </c>
      <c r="P79" s="329">
        <v>2035</v>
      </c>
      <c r="Q79" s="329">
        <v>2040</v>
      </c>
      <c r="R79" s="329">
        <v>2045</v>
      </c>
      <c r="S79" s="329">
        <v>2050</v>
      </c>
      <c r="T79" s="329">
        <v>2055</v>
      </c>
      <c r="U79" s="329">
        <v>2060</v>
      </c>
    </row>
    <row r="80" spans="2:21" ht="17.25" thickTop="1" thickBot="1" x14ac:dyDescent="0.25">
      <c r="J80" s="132" t="s">
        <v>148</v>
      </c>
      <c r="K80" s="177">
        <f>'Population&amp;Demand Projections'!BG93</f>
        <v>0.6</v>
      </c>
      <c r="L80" s="177">
        <f>'Population&amp;Demand Projections'!BH93</f>
        <v>0.9</v>
      </c>
      <c r="M80" s="177">
        <f>'Population&amp;Demand Projections'!BI93</f>
        <v>1.4</v>
      </c>
      <c r="N80" s="177">
        <f>'Population&amp;Demand Projections'!BJ93</f>
        <v>1.9</v>
      </c>
      <c r="O80" s="177">
        <f>'Population&amp;Demand Projections'!BK93</f>
        <v>2.2000000000000002</v>
      </c>
      <c r="P80" s="177">
        <f>'Population&amp;Demand Projections'!BL93</f>
        <v>2.7</v>
      </c>
      <c r="Q80" s="177">
        <f>'Population&amp;Demand Projections'!BM93</f>
        <v>3.2</v>
      </c>
      <c r="R80" s="177">
        <f>'Population&amp;Demand Projections'!BN93</f>
        <v>3.2</v>
      </c>
      <c r="S80" s="177">
        <f>'Population&amp;Demand Projections'!BO93</f>
        <v>3.2</v>
      </c>
      <c r="T80" s="177">
        <f>'Population&amp;Demand Projections'!BP93</f>
        <v>3.2500000000000004</v>
      </c>
      <c r="U80" s="177">
        <f>'Population&amp;Demand Projections'!BQ93</f>
        <v>3.3</v>
      </c>
    </row>
    <row r="81" spans="2:22" ht="16.5" thickBot="1" x14ac:dyDescent="0.25">
      <c r="J81" s="132" t="s">
        <v>20</v>
      </c>
      <c r="K81" s="178">
        <f>'Population&amp;Demand Projections'!BG79+'Population&amp;Demand Projections'!BG80+'Population&amp;Demand Projections'!BG81</f>
        <v>3.5</v>
      </c>
      <c r="L81" s="178">
        <f>'Population&amp;Demand Projections'!BH79+'Population&amp;Demand Projections'!BH80+'Population&amp;Demand Projections'!BH81</f>
        <v>3.5</v>
      </c>
      <c r="M81" s="178">
        <f>'Population&amp;Demand Projections'!BI79+'Population&amp;Demand Projections'!BI80+'Population&amp;Demand Projections'!BI81</f>
        <v>3.5</v>
      </c>
      <c r="N81" s="178">
        <f>'Population&amp;Demand Projections'!BJ79+'Population&amp;Demand Projections'!BJ80+'Population&amp;Demand Projections'!BJ81</f>
        <v>3.5</v>
      </c>
      <c r="O81" s="178">
        <f>'Population&amp;Demand Projections'!BK79+'Population&amp;Demand Projections'!BK80+'Population&amp;Demand Projections'!BK81</f>
        <v>3.5</v>
      </c>
      <c r="P81" s="178">
        <f>'Population&amp;Demand Projections'!BL79+'Population&amp;Demand Projections'!BL80+'Population&amp;Demand Projections'!BL81</f>
        <v>3.5</v>
      </c>
      <c r="Q81" s="178">
        <f>'Population&amp;Demand Projections'!BM79+'Population&amp;Demand Projections'!BM80+'Population&amp;Demand Projections'!BM81</f>
        <v>3.5</v>
      </c>
      <c r="R81" s="178">
        <f>'Population&amp;Demand Projections'!BN79+'Population&amp;Demand Projections'!BN80+'Population&amp;Demand Projections'!BN81</f>
        <v>3.5</v>
      </c>
      <c r="S81" s="178">
        <f>'Population&amp;Demand Projections'!BO79+'Population&amp;Demand Projections'!BO80+'Population&amp;Demand Projections'!BO81</f>
        <v>3.5</v>
      </c>
      <c r="T81" s="178">
        <f>'Population&amp;Demand Projections'!BP79+'Population&amp;Demand Projections'!BP80+'Population&amp;Demand Projections'!BP81</f>
        <v>3.5</v>
      </c>
      <c r="U81" s="178">
        <f>'Population&amp;Demand Projections'!BQ79+'Population&amp;Demand Projections'!BQ80+'Population&amp;Demand Projections'!BQ81</f>
        <v>3.5</v>
      </c>
    </row>
    <row r="82" spans="2:22" ht="32.25" thickBot="1" x14ac:dyDescent="0.25">
      <c r="J82" s="132" t="s">
        <v>150</v>
      </c>
      <c r="K82" s="179">
        <f>K80/K81</f>
        <v>0.17142857142857143</v>
      </c>
      <c r="L82" s="179">
        <f t="shared" ref="L82:U82" si="5">L80/L81</f>
        <v>0.25714285714285717</v>
      </c>
      <c r="M82" s="179">
        <f t="shared" si="5"/>
        <v>0.39999999999999997</v>
      </c>
      <c r="N82" s="179">
        <f t="shared" si="5"/>
        <v>0.54285714285714282</v>
      </c>
      <c r="O82" s="179">
        <f t="shared" si="5"/>
        <v>0.62857142857142867</v>
      </c>
      <c r="P82" s="179">
        <f t="shared" si="5"/>
        <v>0.77142857142857146</v>
      </c>
      <c r="Q82" s="179">
        <f t="shared" si="5"/>
        <v>0.91428571428571437</v>
      </c>
      <c r="R82" s="179">
        <f t="shared" si="5"/>
        <v>0.91428571428571437</v>
      </c>
      <c r="S82" s="179">
        <f t="shared" si="5"/>
        <v>0.91428571428571437</v>
      </c>
      <c r="T82" s="179">
        <f t="shared" si="5"/>
        <v>0.92857142857142871</v>
      </c>
      <c r="U82" s="179">
        <f t="shared" si="5"/>
        <v>0.94285714285714284</v>
      </c>
    </row>
    <row r="83" spans="2:22" ht="16.5" thickBot="1" x14ac:dyDescent="0.25">
      <c r="J83" s="180" t="s">
        <v>149</v>
      </c>
      <c r="K83" s="279">
        <f>IF((K80-K81)&gt;0,K80-K81,0)</f>
        <v>0</v>
      </c>
      <c r="L83" s="279">
        <f t="shared" ref="L83:U83" si="6">IF((L80-L81)&gt;0,L80-L81,0)</f>
        <v>0</v>
      </c>
      <c r="M83" s="279">
        <f t="shared" si="6"/>
        <v>0</v>
      </c>
      <c r="N83" s="279">
        <f t="shared" si="6"/>
        <v>0</v>
      </c>
      <c r="O83" s="279">
        <f t="shared" si="6"/>
        <v>0</v>
      </c>
      <c r="P83" s="279">
        <f t="shared" si="6"/>
        <v>0</v>
      </c>
      <c r="Q83" s="279">
        <f t="shared" si="6"/>
        <v>0</v>
      </c>
      <c r="R83" s="279">
        <f t="shared" si="6"/>
        <v>0</v>
      </c>
      <c r="S83" s="279">
        <f t="shared" si="6"/>
        <v>0</v>
      </c>
      <c r="T83" s="279">
        <f t="shared" si="6"/>
        <v>0</v>
      </c>
      <c r="U83" s="279">
        <f t="shared" si="6"/>
        <v>0</v>
      </c>
    </row>
    <row r="86" spans="2:22" x14ac:dyDescent="0.2">
      <c r="B86" s="141" t="s">
        <v>162</v>
      </c>
      <c r="C86" s="140"/>
      <c r="D86" s="140"/>
      <c r="E86" s="140"/>
      <c r="F86" s="140"/>
      <c r="G86" s="140"/>
      <c r="H86" s="140"/>
      <c r="I86" s="140"/>
      <c r="J86" s="140"/>
      <c r="K86" s="140"/>
      <c r="L86" s="140"/>
      <c r="M86" s="140"/>
      <c r="N86" s="140"/>
      <c r="O86" s="140"/>
      <c r="P86" s="140"/>
      <c r="Q86" s="140"/>
      <c r="R86" s="140"/>
      <c r="S86" s="140"/>
      <c r="T86" s="140"/>
      <c r="U86" s="140"/>
      <c r="V86" s="140"/>
    </row>
    <row r="88" spans="2:22" x14ac:dyDescent="0.2">
      <c r="B88" s="152" t="s">
        <v>171</v>
      </c>
    </row>
    <row r="89" spans="2:22" ht="13.5" thickBot="1" x14ac:dyDescent="0.25">
      <c r="B89" s="135" t="s">
        <v>269</v>
      </c>
    </row>
    <row r="90" spans="2:22" ht="33" thickTop="1" thickBot="1" x14ac:dyDescent="0.25">
      <c r="B90" s="130" t="s">
        <v>131</v>
      </c>
      <c r="C90" s="131" t="s">
        <v>172</v>
      </c>
      <c r="D90" s="131" t="s">
        <v>36</v>
      </c>
      <c r="E90" s="131" t="s">
        <v>132</v>
      </c>
      <c r="F90" s="131" t="s">
        <v>173</v>
      </c>
      <c r="G90" s="131" t="s">
        <v>133</v>
      </c>
      <c r="H90" s="131" t="s">
        <v>178</v>
      </c>
    </row>
    <row r="91" spans="2:22" ht="17.25" thickTop="1" thickBot="1" x14ac:dyDescent="0.25">
      <c r="B91" s="147" t="str">
        <f>'Supply Alternative 1'!B26</f>
        <v>Jordan Lake Allocation - Round 4</v>
      </c>
      <c r="C91" s="192" t="s">
        <v>182</v>
      </c>
      <c r="D91" s="277" t="str">
        <f>'Supply Alternative 1'!E26</f>
        <v>Haw (2-1)</v>
      </c>
      <c r="E91" s="277" t="str">
        <f>'Supply Alternative 1'!F26</f>
        <v>WS IV B NSW CA</v>
      </c>
      <c r="F91" s="248">
        <f>'Supply Alternative 1'!I26</f>
        <v>2015</v>
      </c>
      <c r="G91" s="249">
        <f>'Supply Alternative 1'!G26</f>
        <v>7.2</v>
      </c>
      <c r="H91" s="249">
        <f>G91</f>
        <v>7.2</v>
      </c>
    </row>
    <row r="92" spans="2:22" ht="16.5" thickBot="1" x14ac:dyDescent="0.25">
      <c r="B92" s="147" t="str">
        <f>'Supply Alternative 1'!B27</f>
        <v>Jordan Lake Allocation - Future</v>
      </c>
      <c r="C92" s="192" t="s">
        <v>182</v>
      </c>
      <c r="D92" s="278" t="str">
        <f>'Supply Alternative 1'!E27</f>
        <v>Haw (2-1)</v>
      </c>
      <c r="E92" s="278" t="str">
        <f>'Supply Alternative 1'!F27</f>
        <v>WS IV B NSW CA</v>
      </c>
      <c r="F92" s="251">
        <f>'Supply Alternative 1'!I27</f>
        <v>2050</v>
      </c>
      <c r="G92" s="252">
        <f>'Supply Alternative 1'!G27</f>
        <v>2.2999999999999998</v>
      </c>
      <c r="H92" s="252">
        <f>G92</f>
        <v>2.2999999999999998</v>
      </c>
    </row>
    <row r="93" spans="2:22" ht="29.25" thickBot="1" x14ac:dyDescent="0.25">
      <c r="B93" s="147" t="s">
        <v>380</v>
      </c>
      <c r="C93" s="192" t="s">
        <v>179</v>
      </c>
      <c r="D93" s="278" t="str">
        <f>'Supply Alternative 1'!E28</f>
        <v>Haw (2-1)</v>
      </c>
      <c r="E93" s="278" t="str">
        <f>'Supply Alternative 1'!F28</f>
        <v>WS IV B NSW CA</v>
      </c>
      <c r="F93" s="251">
        <f>'Supply Alternative 1'!I28</f>
        <v>2028</v>
      </c>
      <c r="G93" s="252">
        <f>'Supply Alternative 1'!G28</f>
        <v>9.5</v>
      </c>
      <c r="H93" s="252">
        <f t="shared" ref="H93:H96" si="7">G93</f>
        <v>9.5</v>
      </c>
    </row>
    <row r="94" spans="2:22" ht="29.25" thickBot="1" x14ac:dyDescent="0.25">
      <c r="B94" s="147" t="str">
        <f>'Supply Alternative 1'!B29</f>
        <v>Cape Fear River @ Harnett County</v>
      </c>
      <c r="C94" s="192" t="s">
        <v>180</v>
      </c>
      <c r="D94" s="278" t="str">
        <f>'Supply Alternative 1'!E29</f>
        <v>Cape Fear (2-3)</v>
      </c>
      <c r="E94" s="278" t="str">
        <f>'Supply Alternative 1'!F29</f>
        <v>WS IV CA</v>
      </c>
      <c r="F94" s="251">
        <f>'Supply Alternative 1'!I29</f>
        <v>2031</v>
      </c>
      <c r="G94" s="252">
        <f>'Supply Alternative 1'!G29</f>
        <v>9.5</v>
      </c>
      <c r="H94" s="252">
        <f t="shared" si="7"/>
        <v>9.5</v>
      </c>
    </row>
    <row r="95" spans="2:22" ht="29.25" thickBot="1" x14ac:dyDescent="0.25">
      <c r="B95" s="147" t="str">
        <f>'Supply Alternative 1'!B30</f>
        <v>Crabtree Creek &amp; Triangle Quarry</v>
      </c>
      <c r="C95" s="192" t="s">
        <v>183</v>
      </c>
      <c r="D95" s="278" t="str">
        <f>'Supply Alternative 1'!E30</f>
        <v>Neuse (10-1)</v>
      </c>
      <c r="E95" s="278" t="str">
        <f>'Supply Alternative 1'!F30</f>
        <v>C NSW</v>
      </c>
      <c r="F95" s="251">
        <f>'Supply Alternative 1'!I30</f>
        <v>2029</v>
      </c>
      <c r="G95" s="252">
        <f>'Supply Alternative 1'!G30</f>
        <v>9.5</v>
      </c>
      <c r="H95" s="252">
        <f t="shared" si="7"/>
        <v>9.5</v>
      </c>
    </row>
    <row r="96" spans="2:22" ht="29.25" thickBot="1" x14ac:dyDescent="0.25">
      <c r="B96" s="319" t="str">
        <f>'Supply Alternative 1'!B31</f>
        <v>Kerr Lake</v>
      </c>
      <c r="C96" s="320" t="s">
        <v>181</v>
      </c>
      <c r="D96" s="321" t="str">
        <f>'Supply Alternative 1'!E31</f>
        <v>Roanoke (14-1)</v>
      </c>
      <c r="E96" s="322" t="str">
        <f>'Supply Alternative 1'!F31</f>
        <v>WS III B CA</v>
      </c>
      <c r="F96" s="323">
        <f>'Supply Alternative 1'!I31</f>
        <v>2036</v>
      </c>
      <c r="G96" s="324">
        <f>'Supply Alternative 1'!G31</f>
        <v>9.5</v>
      </c>
      <c r="H96" s="324">
        <f t="shared" si="7"/>
        <v>9.5</v>
      </c>
    </row>
    <row r="97" spans="2:9" ht="13.5" thickTop="1" x14ac:dyDescent="0.2"/>
    <row r="98" spans="2:9" x14ac:dyDescent="0.2">
      <c r="B98" s="135" t="s">
        <v>270</v>
      </c>
    </row>
    <row r="99" spans="2:9" x14ac:dyDescent="0.2">
      <c r="B99" s="135"/>
    </row>
    <row r="100" spans="2:9" ht="13.5" thickBot="1" x14ac:dyDescent="0.25">
      <c r="B100" s="135" t="s">
        <v>271</v>
      </c>
    </row>
    <row r="101" spans="2:9" ht="17.25" thickTop="1" thickBot="1" x14ac:dyDescent="0.25">
      <c r="B101" s="130" t="s">
        <v>226</v>
      </c>
      <c r="C101" s="338" t="s">
        <v>81</v>
      </c>
      <c r="D101" s="131" t="s">
        <v>82</v>
      </c>
      <c r="E101" s="131" t="s">
        <v>83</v>
      </c>
      <c r="F101" s="131" t="s">
        <v>84</v>
      </c>
      <c r="G101" s="131" t="s">
        <v>85</v>
      </c>
    </row>
    <row r="102" spans="2:9" ht="17.25" thickTop="1" thickBot="1" x14ac:dyDescent="0.25">
      <c r="B102" s="273" t="s">
        <v>224</v>
      </c>
      <c r="C102" s="245">
        <f>'Population&amp;Demand Projections'!$J$94</f>
        <v>7.1499999999999986</v>
      </c>
      <c r="D102" s="245">
        <f>'Population&amp;Demand Projections'!$J$94</f>
        <v>7.1499999999999986</v>
      </c>
      <c r="E102" s="245">
        <f>'Population&amp;Demand Projections'!$J$94</f>
        <v>7.1499999999999986</v>
      </c>
      <c r="F102" s="245">
        <f>'Population&amp;Demand Projections'!$J$94</f>
        <v>7.1499999999999986</v>
      </c>
      <c r="G102" s="245">
        <f>'Population&amp;Demand Projections'!$J$94</f>
        <v>7.1499999999999986</v>
      </c>
    </row>
    <row r="103" spans="2:9" ht="16.5" thickBot="1" x14ac:dyDescent="0.25">
      <c r="B103" s="274" t="s">
        <v>225</v>
      </c>
      <c r="C103" s="246">
        <f>'Population&amp;Demand Projections'!$M$94+'Population&amp;Demand Projections'!$BC$94+'Population&amp;Demand Projections'!$BQ$94</f>
        <v>9.3299999999999983</v>
      </c>
      <c r="D103" s="246">
        <f>'Population&amp;Demand Projections'!$M$94+'Population&amp;Demand Projections'!$BC$94+'Population&amp;Demand Projections'!$BQ$94</f>
        <v>9.3299999999999983</v>
      </c>
      <c r="E103" s="246">
        <f>'Population&amp;Demand Projections'!$M$94+'Population&amp;Demand Projections'!$BC$94+'Population&amp;Demand Projections'!$BQ$94</f>
        <v>9.3299999999999983</v>
      </c>
      <c r="F103" s="246">
        <f>'Population&amp;Demand Projections'!$M$94+'Population&amp;Demand Projections'!$BC$94+'Population&amp;Demand Projections'!$BQ$94</f>
        <v>9.3299999999999983</v>
      </c>
      <c r="G103" s="246">
        <f>'Population&amp;Demand Projections'!$M$94+'Population&amp;Demand Projections'!$BC$94+'Population&amp;Demand Projections'!$BQ$94</f>
        <v>9.3299999999999983</v>
      </c>
    </row>
    <row r="104" spans="2:9" ht="16.5" thickBot="1" x14ac:dyDescent="0.25">
      <c r="B104" s="181" t="s">
        <v>213</v>
      </c>
      <c r="C104" s="182"/>
      <c r="D104" s="182"/>
      <c r="E104" s="182"/>
      <c r="F104" s="182"/>
      <c r="G104" s="182"/>
    </row>
    <row r="105" spans="2:9" ht="16.5" thickBot="1" x14ac:dyDescent="0.25">
      <c r="B105" s="275" t="s">
        <v>347</v>
      </c>
      <c r="C105" s="171">
        <f>IF('Supply Alternative 1'!$A26&gt;0,'Supply Alternative 1'!$G26,0)</f>
        <v>7.2</v>
      </c>
      <c r="D105" s="171">
        <f>IF('Supply Alternative 2'!$A26&gt;0,'Supply Alternative 2'!$G26,0)</f>
        <v>0</v>
      </c>
      <c r="E105" s="171">
        <f>IF('Supply Alternative 3'!$A26&gt;0,'Supply Alternative 3'!$G26,0)</f>
        <v>0</v>
      </c>
      <c r="F105" s="171">
        <f>IF('Supply Alternative 4'!$A26&gt;0,'Supply Alternative 4'!$G26,0)</f>
        <v>0</v>
      </c>
      <c r="G105" s="171">
        <f>IF('Supply Alternative 5'!$A28&gt;0,'Supply Alternative 5'!$G28,0)</f>
        <v>0</v>
      </c>
      <c r="I105" s="152" t="s">
        <v>272</v>
      </c>
    </row>
    <row r="106" spans="2:9" ht="16.5" thickBot="1" x14ac:dyDescent="0.25">
      <c r="B106" s="275" t="str">
        <f>B92</f>
        <v>Jordan Lake Allocation - Future</v>
      </c>
      <c r="C106" s="171">
        <f>IF('Supply Alternative 1'!$A27&gt;0,'Supply Alternative 1'!$G27,0)</f>
        <v>2.2999999999999998</v>
      </c>
      <c r="D106" s="171">
        <f>IF('Supply Alternative 2'!$A27&gt;0,'Supply Alternative 2'!$G27,0)</f>
        <v>0</v>
      </c>
      <c r="E106" s="171">
        <f>IF('Supply Alternative 3'!$A27&gt;0,'Supply Alternative 3'!$G27,0)</f>
        <v>0</v>
      </c>
      <c r="F106" s="171">
        <f>IF('Supply Alternative 4'!$A27&gt;0,'Supply Alternative 4'!$G27,0)</f>
        <v>0</v>
      </c>
      <c r="G106" s="171">
        <f>IF('Supply Alternative 5'!$A29&gt;0,'Supply Alternative 5'!$G29,0)</f>
        <v>0</v>
      </c>
    </row>
    <row r="107" spans="2:9" ht="16.5" thickBot="1" x14ac:dyDescent="0.25">
      <c r="B107" s="275" t="str">
        <f>B93</f>
        <v>Increased Jordan Lake WS Pool</v>
      </c>
      <c r="C107" s="171">
        <f>IF('Supply Alternative 1'!$A28&gt;0,'Supply Alternative 1'!$G28,0)</f>
        <v>0</v>
      </c>
      <c r="D107" s="171">
        <f>IF('Supply Alternative 2'!$A28&gt;0,'Supply Alternative 2'!$G28,0)</f>
        <v>9.5</v>
      </c>
      <c r="E107" s="171">
        <f>IF('Supply Alternative 3'!$A28&gt;0,'Supply Alternative 3'!$G28,0)</f>
        <v>0</v>
      </c>
      <c r="F107" s="171">
        <f>IF('Supply Alternative 4'!$A28&gt;0,'Supply Alternative 4'!$G28,0)</f>
        <v>0</v>
      </c>
      <c r="G107" s="171">
        <f>IF('Supply Alternative 5'!$A30&gt;0,'Supply Alternative 5'!$G30,0)</f>
        <v>0</v>
      </c>
    </row>
    <row r="108" spans="2:9" ht="16.5" thickBot="1" x14ac:dyDescent="0.25">
      <c r="B108" s="275" t="str">
        <f>B94</f>
        <v>Cape Fear River @ Harnett County</v>
      </c>
      <c r="C108" s="171">
        <f>IF('Supply Alternative 1'!$A29&gt;0,'Supply Alternative 1'!$G29,0)</f>
        <v>0</v>
      </c>
      <c r="D108" s="171">
        <f>IF('Supply Alternative 2'!$A29&gt;0,'Supply Alternative 2'!$G29,0)</f>
        <v>0</v>
      </c>
      <c r="E108" s="171">
        <f>IF('Supply Alternative 3'!$A29&gt;0,'Supply Alternative 3'!$G29,0)</f>
        <v>9.5</v>
      </c>
      <c r="F108" s="171">
        <f>IF('Supply Alternative 4'!$A29&gt;0,'Supply Alternative 4'!$G29,0)</f>
        <v>0</v>
      </c>
      <c r="G108" s="171">
        <f>IF('Supply Alternative 5'!$A31&gt;0,'Supply Alternative 5'!$G31,0)</f>
        <v>0</v>
      </c>
    </row>
    <row r="109" spans="2:9" ht="16.5" thickBot="1" x14ac:dyDescent="0.25">
      <c r="B109" s="275" t="str">
        <f>B95</f>
        <v>Crabtree Creek &amp; Triangle Quarry</v>
      </c>
      <c r="C109" s="171">
        <f>IF('Supply Alternative 1'!$A29&gt;0,'Supply Alternative 1'!$G29,0)</f>
        <v>0</v>
      </c>
      <c r="D109" s="171">
        <f>IF('Supply Alternative 2'!$A29&gt;0,'Supply Alternative 2'!$G29,0)</f>
        <v>0</v>
      </c>
      <c r="E109" s="171">
        <f>IF('Supply Alternative 3'!$A30&gt;0,'Supply Alternative 3'!$G30,0)</f>
        <v>0</v>
      </c>
      <c r="F109" s="171">
        <f>IF('Supply Alternative 4'!$A30&gt;0,'Supply Alternative 4'!$G30,0)</f>
        <v>9.5</v>
      </c>
      <c r="G109" s="171">
        <f>IF('Supply Alternative 5'!$A32&gt;0,'Supply Alternative 5'!$G32,0)</f>
        <v>0</v>
      </c>
    </row>
    <row r="110" spans="2:9" ht="16.5" thickBot="1" x14ac:dyDescent="0.25">
      <c r="B110" s="276" t="str">
        <f>B96</f>
        <v>Kerr Lake</v>
      </c>
      <c r="C110" s="171">
        <f>IF('Supply Alternative 1'!$A30&gt;0,'Supply Alternative 1'!$G30,0)</f>
        <v>0</v>
      </c>
      <c r="D110" s="171">
        <f>IF('Supply Alternative 2'!$A30&gt;0,'Supply Alternative 2'!$G30,0)</f>
        <v>0</v>
      </c>
      <c r="E110" s="171">
        <f>IF('Supply Alternative 3'!$A31&gt;0,'Supply Alternative 3'!$G31,0)</f>
        <v>0</v>
      </c>
      <c r="F110" s="171">
        <f>IF('Supply Alternative 4'!$A31&gt;0,'Supply Alternative 4'!$G31,0)</f>
        <v>0</v>
      </c>
      <c r="G110" s="171">
        <f>IF('Supply Alternative 5'!$A33&gt;0,'Supply Alternative 5'!$G33,0)</f>
        <v>9.5</v>
      </c>
    </row>
    <row r="111" spans="2:9" ht="20.25" thickTop="1" thickBot="1" x14ac:dyDescent="0.25">
      <c r="B111" s="159" t="s">
        <v>214</v>
      </c>
      <c r="C111" s="183">
        <f t="shared" ref="C111:G111" si="8">SUM(C105:C110)</f>
        <v>9.5</v>
      </c>
      <c r="D111" s="183">
        <f t="shared" si="8"/>
        <v>9.5</v>
      </c>
      <c r="E111" s="183">
        <f t="shared" si="8"/>
        <v>9.5</v>
      </c>
      <c r="F111" s="183">
        <f t="shared" si="8"/>
        <v>9.5</v>
      </c>
      <c r="G111" s="183">
        <f t="shared" si="8"/>
        <v>9.5</v>
      </c>
    </row>
    <row r="112" spans="2:9" ht="13.5" thickTop="1" x14ac:dyDescent="0.2"/>
    <row r="114" spans="2:9" ht="13.5" thickBot="1" x14ac:dyDescent="0.25">
      <c r="B114" s="135" t="s">
        <v>273</v>
      </c>
    </row>
    <row r="115" spans="2:9" ht="17.25" thickTop="1" thickBot="1" x14ac:dyDescent="0.25">
      <c r="B115" s="130" t="s">
        <v>19</v>
      </c>
      <c r="C115" s="131" t="s">
        <v>81</v>
      </c>
      <c r="D115" s="131" t="s">
        <v>82</v>
      </c>
      <c r="E115" s="131" t="s">
        <v>83</v>
      </c>
      <c r="F115" s="131" t="s">
        <v>84</v>
      </c>
      <c r="G115" s="131" t="s">
        <v>85</v>
      </c>
    </row>
    <row r="116" spans="2:9" ht="31.5" thickTop="1" thickBot="1" x14ac:dyDescent="0.45">
      <c r="B116" s="254" t="s">
        <v>228</v>
      </c>
      <c r="C116" s="255">
        <f>'Supply Alternatives Summary'!B13</f>
        <v>7.2</v>
      </c>
      <c r="D116" s="255">
        <f>'Supply Alternatives Summary'!C13</f>
        <v>0</v>
      </c>
      <c r="E116" s="255">
        <f>'Supply Alternatives Summary'!D13</f>
        <v>0</v>
      </c>
      <c r="F116" s="255">
        <f>'Supply Alternatives Summary'!E13</f>
        <v>0</v>
      </c>
      <c r="G116" s="255">
        <f>'Supply Alternatives Summary'!F13</f>
        <v>0</v>
      </c>
      <c r="H116" s="191" t="s">
        <v>227</v>
      </c>
      <c r="I116" s="190" t="s">
        <v>185</v>
      </c>
    </row>
    <row r="117" spans="2:9" ht="13.5" thickBot="1" x14ac:dyDescent="0.25">
      <c r="B117" s="254" t="s">
        <v>86</v>
      </c>
      <c r="C117" s="256">
        <f>'Supply Alternatives Summary'!B14</f>
        <v>9.5</v>
      </c>
      <c r="D117" s="256">
        <f>'Supply Alternatives Summary'!C14</f>
        <v>9.5</v>
      </c>
      <c r="E117" s="256">
        <f>'Supply Alternatives Summary'!D14</f>
        <v>9.5</v>
      </c>
      <c r="F117" s="256">
        <f>'Supply Alternatives Summary'!E14</f>
        <v>9.5</v>
      </c>
      <c r="G117" s="256">
        <f>'Supply Alternatives Summary'!F14</f>
        <v>9.5</v>
      </c>
      <c r="I117" s="152" t="s">
        <v>291</v>
      </c>
    </row>
    <row r="118" spans="2:9" ht="13.5" thickBot="1" x14ac:dyDescent="0.25">
      <c r="B118" s="254" t="s">
        <v>87</v>
      </c>
      <c r="C118" s="257" t="str">
        <f>'Supply Alternatives Summary'!B15</f>
        <v>Same As</v>
      </c>
      <c r="D118" s="257" t="str">
        <f>'Supply Alternatives Summary'!C15</f>
        <v>Same As</v>
      </c>
      <c r="E118" s="257" t="str">
        <f>'Supply Alternatives Summary'!D15</f>
        <v>More Than</v>
      </c>
      <c r="F118" s="257" t="str">
        <f>'Supply Alternatives Summary'!E15</f>
        <v>More Than</v>
      </c>
      <c r="G118" s="257" t="str">
        <f>'Supply Alternatives Summary'!F15</f>
        <v>More Than</v>
      </c>
    </row>
    <row r="119" spans="2:9" ht="13.5" thickBot="1" x14ac:dyDescent="0.25">
      <c r="B119" s="254" t="s">
        <v>88</v>
      </c>
      <c r="C119" s="257" t="str">
        <f>'Supply Alternatives Summary'!B16</f>
        <v>WS IV B NSW CA</v>
      </c>
      <c r="D119" s="257" t="str">
        <f>'Supply Alternatives Summary'!C16</f>
        <v>WS IV B NSW CA</v>
      </c>
      <c r="E119" s="257" t="str">
        <f>'Supply Alternatives Summary'!D16</f>
        <v>WS IV CA</v>
      </c>
      <c r="F119" s="258" t="str">
        <f>'Supply Alternatives Summary'!E16</f>
        <v>C NSW</v>
      </c>
      <c r="G119" s="258" t="str">
        <f>'Supply Alternatives Summary'!F16</f>
        <v>WS III B CA</v>
      </c>
    </row>
    <row r="120" spans="2:9" ht="13.5" thickBot="1" x14ac:dyDescent="0.25">
      <c r="B120" s="254" t="s">
        <v>236</v>
      </c>
      <c r="C120" s="257" t="str">
        <f>'Supply Alternatives Summary'!B17</f>
        <v>Timely</v>
      </c>
      <c r="D120" s="257" t="str">
        <f>'Supply Alternatives Summary'!C17</f>
        <v>Timely</v>
      </c>
      <c r="E120" s="257" t="str">
        <f>'Supply Alternatives Summary'!D17</f>
        <v>Timely</v>
      </c>
      <c r="F120" s="258" t="str">
        <f>'Supply Alternatives Summary'!E17</f>
        <v>Timely</v>
      </c>
      <c r="G120" s="258" t="str">
        <f>'Supply Alternatives Summary'!F17</f>
        <v>Timely</v>
      </c>
    </row>
    <row r="121" spans="2:9" ht="15.75" thickBot="1" x14ac:dyDescent="0.25">
      <c r="B121" s="254" t="s">
        <v>407</v>
      </c>
      <c r="C121" s="333">
        <f>'Supply Alternatives Summary'!B18</f>
        <v>9.5400988875210206</v>
      </c>
      <c r="D121" s="333">
        <f>'Supply Alternatives Summary'!C18</f>
        <v>9.5400988875210206</v>
      </c>
      <c r="E121" s="333">
        <f>'Supply Alternatives Summary'!D18</f>
        <v>8.0428702912366088</v>
      </c>
      <c r="F121" s="334">
        <f>'Supply Alternatives Summary'!E18</f>
        <v>4.5077349169625816</v>
      </c>
      <c r="G121" s="334">
        <f>'Supply Alternatives Summary'!F18</f>
        <v>11.045352047860106</v>
      </c>
    </row>
    <row r="122" spans="2:9" ht="13.5" thickBot="1" x14ac:dyDescent="0.25">
      <c r="B122" s="254" t="s">
        <v>90</v>
      </c>
      <c r="C122" s="257" t="str">
        <f>'Supply Alternatives Summary'!B19</f>
        <v>Yes, JLP</v>
      </c>
      <c r="D122" s="257" t="str">
        <f>'Supply Alternatives Summary'!C19</f>
        <v>Yes</v>
      </c>
      <c r="E122" s="257" t="str">
        <f>'Supply Alternatives Summary'!D19</f>
        <v>Yes</v>
      </c>
      <c r="F122" s="258" t="str">
        <f>'Supply Alternatives Summary'!E19</f>
        <v>Yes</v>
      </c>
      <c r="G122" s="258" t="str">
        <f>'Supply Alternatives Summary'!F19</f>
        <v>Yes</v>
      </c>
    </row>
    <row r="123" spans="2:9" ht="13.5" thickBot="1" x14ac:dyDescent="0.25">
      <c r="B123" s="254" t="s">
        <v>91</v>
      </c>
      <c r="C123" s="257" t="str">
        <f>'Supply Alternatives Summary'!B20</f>
        <v>Not Complex</v>
      </c>
      <c r="D123" s="257" t="str">
        <f>'Supply Alternatives Summary'!C20</f>
        <v>Not Complex</v>
      </c>
      <c r="E123" s="257" t="str">
        <f>'Supply Alternatives Summary'!D20</f>
        <v>Complex</v>
      </c>
      <c r="F123" s="257" t="str">
        <f>'Supply Alternatives Summary'!E20</f>
        <v>Very Complex</v>
      </c>
      <c r="G123" s="257" t="str">
        <f>'Supply Alternatives Summary'!F20</f>
        <v>Complex</v>
      </c>
    </row>
    <row r="124" spans="2:9" ht="13.5" thickBot="1" x14ac:dyDescent="0.25">
      <c r="B124" s="254" t="s">
        <v>92</v>
      </c>
      <c r="C124" s="257" t="str">
        <f>'Supply Alternatives Summary'!B21</f>
        <v>Not Complex</v>
      </c>
      <c r="D124" s="257" t="str">
        <f>'Supply Alternatives Summary'!C21</f>
        <v>Complex</v>
      </c>
      <c r="E124" s="257" t="str">
        <f>'Supply Alternatives Summary'!D21</f>
        <v>Complex</v>
      </c>
      <c r="F124" s="257" t="str">
        <f>'Supply Alternatives Summary'!E21</f>
        <v>Very Complex</v>
      </c>
      <c r="G124" s="257" t="str">
        <f>'Supply Alternatives Summary'!F21</f>
        <v>Very Complex</v>
      </c>
    </row>
    <row r="125" spans="2:9" ht="13.5" thickBot="1" x14ac:dyDescent="0.25">
      <c r="B125" s="254" t="s">
        <v>93</v>
      </c>
      <c r="C125" s="257" t="str">
        <f>'Supply Alternatives Summary'!B22</f>
        <v>Not Complex</v>
      </c>
      <c r="D125" s="257" t="str">
        <f>'Supply Alternatives Summary'!C22</f>
        <v>Not Complex</v>
      </c>
      <c r="E125" s="257" t="str">
        <f>'Supply Alternatives Summary'!D22</f>
        <v>Complex</v>
      </c>
      <c r="F125" s="257" t="str">
        <f>'Supply Alternatives Summary'!E22</f>
        <v>Very Complex</v>
      </c>
      <c r="G125" s="257" t="str">
        <f>'Supply Alternatives Summary'!F22</f>
        <v>Very Complex</v>
      </c>
    </row>
    <row r="126" spans="2:9" ht="13.5" thickBot="1" x14ac:dyDescent="0.25">
      <c r="B126" s="254" t="s">
        <v>94</v>
      </c>
      <c r="C126" s="257" t="str">
        <f>'Supply Alternatives Summary'!B23</f>
        <v>None</v>
      </c>
      <c r="D126" s="257" t="str">
        <f>'Supply Alternatives Summary'!C23</f>
        <v>None</v>
      </c>
      <c r="E126" s="257" t="str">
        <f>'Supply Alternatives Summary'!D23</f>
        <v>None</v>
      </c>
      <c r="F126" s="258" t="str">
        <f>'Supply Alternatives Summary'!E23</f>
        <v>Few</v>
      </c>
      <c r="G126" s="258" t="str">
        <f>'Supply Alternatives Summary'!F23</f>
        <v>None</v>
      </c>
    </row>
    <row r="127" spans="2:9" ht="13.5" thickBot="1" x14ac:dyDescent="0.25">
      <c r="B127" s="254" t="s">
        <v>95</v>
      </c>
      <c r="C127" s="257" t="str">
        <f>'Supply Alternatives Summary'!B24</f>
        <v>Yes</v>
      </c>
      <c r="D127" s="257" t="str">
        <f>'Supply Alternatives Summary'!C24</f>
        <v>Yes</v>
      </c>
      <c r="E127" s="257" t="str">
        <f>'Supply Alternatives Summary'!D24</f>
        <v>Yes</v>
      </c>
      <c r="F127" s="258" t="str">
        <f>'Supply Alternatives Summary'!E24</f>
        <v>Yes</v>
      </c>
      <c r="G127" s="258" t="str">
        <f>'Supply Alternatives Summary'!F24</f>
        <v>Yes</v>
      </c>
    </row>
    <row r="128" spans="2:9" ht="13.5" thickBot="1" x14ac:dyDescent="0.25">
      <c r="B128" s="254" t="s">
        <v>96</v>
      </c>
      <c r="C128" s="326">
        <f>'Supply Alternatives Summary'!B25</f>
        <v>52.3</v>
      </c>
      <c r="D128" s="327">
        <f>'Supply Alternatives Summary'!C25</f>
        <v>55.3</v>
      </c>
      <c r="E128" s="326">
        <f>'Supply Alternatives Summary'!D25</f>
        <v>174.3</v>
      </c>
      <c r="F128" s="326">
        <f>'Supply Alternatives Summary'!E25</f>
        <v>62.7</v>
      </c>
      <c r="G128" s="327">
        <f>'Supply Alternatives Summary'!F25</f>
        <v>178.2</v>
      </c>
    </row>
    <row r="129" spans="2:26" ht="13.5" thickBot="1" x14ac:dyDescent="0.25">
      <c r="B129" s="325" t="s">
        <v>386</v>
      </c>
      <c r="C129" s="335">
        <f>'Supply Alternatives Summary'!B26</f>
        <v>5.5052631578947366</v>
      </c>
      <c r="D129" s="335">
        <f>'Supply Alternatives Summary'!C26</f>
        <v>5.8210526315789473</v>
      </c>
      <c r="E129" s="335">
        <f>'Supply Alternatives Summary'!D26</f>
        <v>18.347368421052632</v>
      </c>
      <c r="F129" s="335">
        <f>'Supply Alternatives Summary'!E26</f>
        <v>6.6000000000000005</v>
      </c>
      <c r="G129" s="335">
        <f>'Supply Alternatives Summary'!F26</f>
        <v>18.757894736842104</v>
      </c>
    </row>
    <row r="130" spans="2:26" ht="20.25" thickTop="1" thickBot="1" x14ac:dyDescent="0.25">
      <c r="B130" s="159" t="s">
        <v>174</v>
      </c>
      <c r="C130" s="149">
        <v>1</v>
      </c>
      <c r="D130" s="149"/>
      <c r="E130" s="149"/>
      <c r="F130" s="149"/>
      <c r="G130" s="149"/>
    </row>
    <row r="131" spans="2:26" ht="13.5" thickTop="1" x14ac:dyDescent="0.2">
      <c r="B131" s="336" t="s">
        <v>408</v>
      </c>
      <c r="C131" s="337"/>
      <c r="D131" s="337"/>
      <c r="E131" s="337"/>
      <c r="F131" s="337"/>
      <c r="G131" s="337"/>
    </row>
    <row r="133" spans="2:26" x14ac:dyDescent="0.2">
      <c r="B133" s="162" t="s">
        <v>243</v>
      </c>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row>
    <row r="134" spans="2:26" ht="16.5" customHeight="1" x14ac:dyDescent="0.2"/>
    <row r="135" spans="2:26" ht="13.5" thickBot="1" x14ac:dyDescent="0.25">
      <c r="B135" s="135" t="s">
        <v>274</v>
      </c>
    </row>
    <row r="136" spans="2:26" ht="20.25" customHeight="1" thickTop="1" x14ac:dyDescent="0.2">
      <c r="B136" s="152" t="s">
        <v>275</v>
      </c>
      <c r="I136" s="341" t="s">
        <v>131</v>
      </c>
      <c r="J136" s="339" t="s">
        <v>233</v>
      </c>
      <c r="K136" s="339">
        <v>2010</v>
      </c>
      <c r="L136" s="339">
        <v>2015</v>
      </c>
      <c r="M136" s="339">
        <v>2020</v>
      </c>
      <c r="N136" s="339">
        <v>2025</v>
      </c>
      <c r="O136" s="339">
        <v>2030</v>
      </c>
      <c r="P136" s="339">
        <v>2035</v>
      </c>
      <c r="Q136" s="339">
        <v>2040</v>
      </c>
      <c r="R136" s="339">
        <v>2045</v>
      </c>
      <c r="S136" s="339">
        <v>2050</v>
      </c>
      <c r="T136" s="339">
        <v>2055</v>
      </c>
      <c r="U136" s="339">
        <v>2060</v>
      </c>
    </row>
    <row r="137" spans="2:26" ht="13.5" thickBot="1" x14ac:dyDescent="0.25">
      <c r="I137" s="342"/>
      <c r="J137" s="340"/>
      <c r="K137" s="340"/>
      <c r="L137" s="340"/>
      <c r="M137" s="340"/>
      <c r="N137" s="340"/>
      <c r="O137" s="340"/>
      <c r="P137" s="340"/>
      <c r="Q137" s="340"/>
      <c r="R137" s="340"/>
      <c r="S137" s="340"/>
      <c r="T137" s="340"/>
      <c r="U137" s="340"/>
    </row>
    <row r="138" spans="2:26" ht="30" thickTop="1" thickBot="1" x14ac:dyDescent="0.25">
      <c r="I138" s="272" t="str">
        <f>VLOOKUP(1,'Supply Alternative 1'!$A$26:$I$31,2)</f>
        <v>Jordan Lake Allocation - Round 4</v>
      </c>
      <c r="J138" s="192">
        <f>VLOOKUP(1,'Supply Alternative 1'!$A$26:$I$31,9)</f>
        <v>2015</v>
      </c>
      <c r="K138" s="259">
        <f>'Supply Alternative 1'!C8</f>
        <v>0</v>
      </c>
      <c r="L138" s="259">
        <f>'Supply Alternative 1'!D8</f>
        <v>7.2</v>
      </c>
      <c r="M138" s="259">
        <f>'Supply Alternative 1'!E8</f>
        <v>7.2</v>
      </c>
      <c r="N138" s="259">
        <f>'Supply Alternative 1'!F8</f>
        <v>7.2</v>
      </c>
      <c r="O138" s="259">
        <f>'Supply Alternative 1'!G8</f>
        <v>7.2</v>
      </c>
      <c r="P138" s="259">
        <f>'Supply Alternative 1'!H8</f>
        <v>7.2</v>
      </c>
      <c r="Q138" s="259">
        <f>'Supply Alternative 1'!I8</f>
        <v>7.2</v>
      </c>
      <c r="R138" s="259">
        <f>'Supply Alternative 1'!J8</f>
        <v>7.2</v>
      </c>
      <c r="S138" s="259">
        <f>'Supply Alternative 1'!K8</f>
        <v>7.2</v>
      </c>
      <c r="T138" s="259">
        <f>'Supply Alternative 1'!L8</f>
        <v>7.2</v>
      </c>
      <c r="U138" s="259">
        <f>'Supply Alternative 1'!M8</f>
        <v>7.2</v>
      </c>
    </row>
    <row r="139" spans="2:26" ht="29.25" thickBot="1" x14ac:dyDescent="0.25">
      <c r="I139" s="272" t="str">
        <f>VLOOKUP(2,'Supply Alternative 1'!$A$26:$I$31,2)</f>
        <v>Jordan Lake Allocation - Future</v>
      </c>
      <c r="J139" s="192">
        <f>VLOOKUP(2,'Supply Alternative 1'!$A$26:$I$31,9, FALSE)</f>
        <v>2050</v>
      </c>
      <c r="K139" s="260">
        <f>'Supply Alternative 1'!C9</f>
        <v>0</v>
      </c>
      <c r="L139" s="260">
        <f>'Supply Alternative 1'!D9</f>
        <v>0</v>
      </c>
      <c r="M139" s="260">
        <f>'Supply Alternative 1'!E9</f>
        <v>0</v>
      </c>
      <c r="N139" s="260">
        <f>'Supply Alternative 1'!F9</f>
        <v>0</v>
      </c>
      <c r="O139" s="260">
        <f>'Supply Alternative 1'!G9</f>
        <v>0</v>
      </c>
      <c r="P139" s="260">
        <f>'Supply Alternative 1'!H9</f>
        <v>0</v>
      </c>
      <c r="Q139" s="260">
        <f>'Supply Alternative 1'!I9</f>
        <v>0</v>
      </c>
      <c r="R139" s="260">
        <f>'Supply Alternative 1'!J9</f>
        <v>0</v>
      </c>
      <c r="S139" s="260">
        <f>'Supply Alternative 1'!K9</f>
        <v>2.2999999999999998</v>
      </c>
      <c r="T139" s="260">
        <f>'Supply Alternative 1'!L9</f>
        <v>2.2999999999999998</v>
      </c>
      <c r="U139" s="260">
        <f>'Supply Alternative 1'!M9</f>
        <v>2.2999999999999998</v>
      </c>
      <c r="W139" s="152" t="s">
        <v>292</v>
      </c>
    </row>
    <row r="140" spans="2:26" ht="17.25" thickTop="1" thickBot="1" x14ac:dyDescent="0.25">
      <c r="I140" s="261" t="s">
        <v>293</v>
      </c>
      <c r="J140" s="150"/>
      <c r="K140" s="150">
        <f t="shared" ref="K140:U140" si="9">SUM(K138:K139)</f>
        <v>0</v>
      </c>
      <c r="L140" s="150">
        <f t="shared" si="9"/>
        <v>7.2</v>
      </c>
      <c r="M140" s="150">
        <f t="shared" si="9"/>
        <v>7.2</v>
      </c>
      <c r="N140" s="150">
        <f t="shared" si="9"/>
        <v>7.2</v>
      </c>
      <c r="O140" s="150">
        <f t="shared" si="9"/>
        <v>7.2</v>
      </c>
      <c r="P140" s="150">
        <f t="shared" si="9"/>
        <v>7.2</v>
      </c>
      <c r="Q140" s="150">
        <f t="shared" si="9"/>
        <v>7.2</v>
      </c>
      <c r="R140" s="150">
        <f t="shared" si="9"/>
        <v>7.2</v>
      </c>
      <c r="S140" s="150">
        <f t="shared" si="9"/>
        <v>9.5</v>
      </c>
      <c r="T140" s="150">
        <f t="shared" si="9"/>
        <v>9.5</v>
      </c>
      <c r="U140" s="150">
        <f t="shared" si="9"/>
        <v>9.5</v>
      </c>
    </row>
    <row r="141" spans="2:26" ht="13.5" thickTop="1" x14ac:dyDescent="0.2"/>
    <row r="148" spans="2:2" x14ac:dyDescent="0.2">
      <c r="B148" s="135" t="s">
        <v>276</v>
      </c>
    </row>
    <row r="149" spans="2:2" x14ac:dyDescent="0.2">
      <c r="B149" s="152" t="s">
        <v>277</v>
      </c>
    </row>
    <row r="151" spans="2:2" x14ac:dyDescent="0.2">
      <c r="B151" s="135" t="s">
        <v>278</v>
      </c>
    </row>
    <row r="152" spans="2:2" x14ac:dyDescent="0.2">
      <c r="B152" s="152" t="s">
        <v>279</v>
      </c>
    </row>
  </sheetData>
  <mergeCells count="13">
    <mergeCell ref="U136:U137"/>
    <mergeCell ref="I136:I137"/>
    <mergeCell ref="K136:K137"/>
    <mergeCell ref="P136:P137"/>
    <mergeCell ref="Q136:Q137"/>
    <mergeCell ref="R136:R137"/>
    <mergeCell ref="S136:S137"/>
    <mergeCell ref="T136:T137"/>
    <mergeCell ref="J136:J137"/>
    <mergeCell ref="L136:L137"/>
    <mergeCell ref="M136:M137"/>
    <mergeCell ref="N136:N137"/>
    <mergeCell ref="O136:O137"/>
  </mergeCells>
  <conditionalFormatting sqref="C130">
    <cfRule type="iconSet" priority="25">
      <iconSet iconSet="3Symbols2" showValue="0">
        <cfvo type="percent" val="0"/>
        <cfvo type="percent" val="33"/>
        <cfvo type="percent" val="67"/>
      </iconSet>
    </cfRule>
  </conditionalFormatting>
  <conditionalFormatting sqref="C123:G125">
    <cfRule type="cellIs" dxfId="40" priority="23" operator="equal">
      <formula>"Not Complex"</formula>
    </cfRule>
    <cfRule type="cellIs" dxfId="39" priority="24" operator="equal">
      <formula>"Complex"</formula>
    </cfRule>
  </conditionalFormatting>
  <conditionalFormatting sqref="C123:G125">
    <cfRule type="cellIs" dxfId="38" priority="22" operator="equal">
      <formula>"Very Complex"</formula>
    </cfRule>
  </conditionalFormatting>
  <conditionalFormatting sqref="C118:G118">
    <cfRule type="cellIs" dxfId="37" priority="20" operator="equal">
      <formula>"Less Than"</formula>
    </cfRule>
    <cfRule type="cellIs" dxfId="36" priority="21" operator="equal">
      <formula>"The Same"</formula>
    </cfRule>
  </conditionalFormatting>
  <conditionalFormatting sqref="C118:G118">
    <cfRule type="cellIs" dxfId="35" priority="19" operator="equal">
      <formula>"More Than"</formula>
    </cfRule>
  </conditionalFormatting>
  <conditionalFormatting sqref="K66:U66 K74:U74 K82:U82">
    <cfRule type="cellIs" dxfId="34" priority="17" operator="greaterThan">
      <formula>1</formula>
    </cfRule>
    <cfRule type="cellIs" dxfId="33" priority="18" operator="between">
      <formula>0.8</formula>
      <formula>0.9999</formula>
    </cfRule>
  </conditionalFormatting>
  <conditionalFormatting sqref="C105:G110">
    <cfRule type="cellIs" dxfId="32" priority="16" operator="equal">
      <formula>0</formula>
    </cfRule>
  </conditionalFormatting>
  <conditionalFormatting sqref="K138:U139">
    <cfRule type="cellIs" dxfId="31" priority="6" operator="equal">
      <formula>0</formula>
    </cfRule>
  </conditionalFormatting>
  <conditionalFormatting sqref="L138:U138">
    <cfRule type="expression" dxfId="30" priority="14">
      <formula>L138&gt;K138</formula>
    </cfRule>
  </conditionalFormatting>
  <conditionalFormatting sqref="K138:L138">
    <cfRule type="expression" dxfId="29" priority="13">
      <formula>U138=T138</formula>
    </cfRule>
  </conditionalFormatting>
  <conditionalFormatting sqref="K139:L139">
    <cfRule type="expression" dxfId="28" priority="77">
      <formula>K139&gt;J139</formula>
    </cfRule>
    <cfRule type="expression" dxfId="27" priority="78">
      <formula>U139=T139</formula>
    </cfRule>
  </conditionalFormatting>
  <conditionalFormatting sqref="O138:U138">
    <cfRule type="expression" dxfId="26" priority="79">
      <formula>Y136=X136</formula>
    </cfRule>
  </conditionalFormatting>
  <conditionalFormatting sqref="N138">
    <cfRule type="expression" dxfId="25" priority="80">
      <formula>X136=W137</formula>
    </cfRule>
  </conditionalFormatting>
  <conditionalFormatting sqref="M139">
    <cfRule type="expression" dxfId="24" priority="91">
      <formula>M139&gt;L139</formula>
    </cfRule>
    <cfRule type="expression" dxfId="23" priority="92">
      <formula>W138=V139</formula>
    </cfRule>
  </conditionalFormatting>
  <conditionalFormatting sqref="M138">
    <cfRule type="expression" dxfId="22" priority="93">
      <formula>W137=V138</formula>
    </cfRule>
  </conditionalFormatting>
  <conditionalFormatting sqref="O139:U139">
    <cfRule type="expression" dxfId="21" priority="107">
      <formula>O139&gt;N139</formula>
    </cfRule>
    <cfRule type="expression" dxfId="20" priority="108">
      <formula>Y137=X137</formula>
    </cfRule>
  </conditionalFormatting>
  <conditionalFormatting sqref="N139">
    <cfRule type="expression" dxfId="19" priority="109">
      <formula>N139&gt;M139</formula>
    </cfRule>
    <cfRule type="expression" dxfId="18" priority="110">
      <formula>X137=W138</formula>
    </cfRule>
  </conditionalFormatting>
  <hyperlinks>
    <hyperlink ref="K51" r:id="rId1"/>
    <hyperlink ref="L55" r:id="rId2"/>
  </hyperlinks>
  <pageMargins left="0.7" right="0.7" top="0.75" bottom="0.75" header="0.3" footer="0.3"/>
  <pageSetup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A1:Z237"/>
  <sheetViews>
    <sheetView zoomScale="115" zoomScaleNormal="115" workbookViewId="0">
      <selection activeCell="H122" sqref="H122"/>
    </sheetView>
  </sheetViews>
  <sheetFormatPr defaultRowHeight="12.75" x14ac:dyDescent="0.2"/>
  <cols>
    <col min="8" max="8" width="15.140625" customWidth="1"/>
    <col min="9" max="9" width="13.42578125" customWidth="1"/>
  </cols>
  <sheetData>
    <row r="1" spans="1:26" x14ac:dyDescent="0.2">
      <c r="A1" s="139" t="s">
        <v>115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row>
    <row r="2" spans="1:26" x14ac:dyDescent="0.2">
      <c r="A2" s="135"/>
    </row>
    <row r="3" spans="1:26" x14ac:dyDescent="0.2">
      <c r="A3" s="135" t="s">
        <v>164</v>
      </c>
    </row>
    <row r="4" spans="1:26" x14ac:dyDescent="0.2">
      <c r="A4" s="135"/>
      <c r="B4" s="129"/>
    </row>
    <row r="5" spans="1:26" x14ac:dyDescent="0.2">
      <c r="A5" s="135"/>
      <c r="B5" s="129"/>
    </row>
    <row r="6" spans="1:26" x14ac:dyDescent="0.2">
      <c r="A6" s="135"/>
      <c r="B6" s="129"/>
    </row>
    <row r="7" spans="1:26" x14ac:dyDescent="0.2">
      <c r="A7" s="135"/>
      <c r="B7" s="129"/>
    </row>
    <row r="8" spans="1:26" x14ac:dyDescent="0.2">
      <c r="A8" s="135"/>
      <c r="B8" s="129"/>
    </row>
    <row r="9" spans="1:26" x14ac:dyDescent="0.2">
      <c r="A9" s="135"/>
      <c r="B9" s="129"/>
    </row>
    <row r="10" spans="1:26" x14ac:dyDescent="0.2">
      <c r="A10" s="135"/>
      <c r="B10" s="129"/>
    </row>
    <row r="11" spans="1:26" x14ac:dyDescent="0.2">
      <c r="A11" s="135"/>
      <c r="B11" s="129"/>
    </row>
    <row r="12" spans="1:26" x14ac:dyDescent="0.2">
      <c r="A12" s="135"/>
      <c r="B12" s="129"/>
    </row>
    <row r="13" spans="1:26" x14ac:dyDescent="0.2">
      <c r="A13" s="135"/>
      <c r="B13" s="129"/>
    </row>
    <row r="14" spans="1:26" x14ac:dyDescent="0.2">
      <c r="A14" s="135"/>
      <c r="B14" s="129"/>
    </row>
    <row r="15" spans="1:26" x14ac:dyDescent="0.2">
      <c r="A15" s="135"/>
      <c r="B15" s="129"/>
    </row>
    <row r="16" spans="1:26" x14ac:dyDescent="0.2">
      <c r="A16" s="135"/>
      <c r="B16" s="129"/>
    </row>
    <row r="17" spans="1:2" x14ac:dyDescent="0.2">
      <c r="A17" s="135"/>
      <c r="B17" s="129"/>
    </row>
    <row r="18" spans="1:2" x14ac:dyDescent="0.2">
      <c r="A18" s="135"/>
      <c r="B18" s="129"/>
    </row>
    <row r="19" spans="1:2" x14ac:dyDescent="0.2">
      <c r="A19" s="135"/>
      <c r="B19" s="129"/>
    </row>
    <row r="20" spans="1:2" x14ac:dyDescent="0.2">
      <c r="A20" s="135"/>
      <c r="B20" s="129"/>
    </row>
    <row r="21" spans="1:2" x14ac:dyDescent="0.2">
      <c r="A21" s="135"/>
      <c r="B21" s="129"/>
    </row>
    <row r="22" spans="1:2" x14ac:dyDescent="0.2">
      <c r="A22" s="135"/>
      <c r="B22" s="129"/>
    </row>
    <row r="23" spans="1:2" x14ac:dyDescent="0.2">
      <c r="A23" s="135"/>
      <c r="B23" s="129"/>
    </row>
    <row r="24" spans="1:2" x14ac:dyDescent="0.2">
      <c r="A24" s="135"/>
      <c r="B24" s="129"/>
    </row>
    <row r="25" spans="1:2" x14ac:dyDescent="0.2">
      <c r="A25" s="135"/>
      <c r="B25" s="129"/>
    </row>
    <row r="26" spans="1:2" x14ac:dyDescent="0.2">
      <c r="A26" s="135"/>
      <c r="B26" s="129"/>
    </row>
    <row r="27" spans="1:2" x14ac:dyDescent="0.2">
      <c r="A27" s="135"/>
      <c r="B27" s="129"/>
    </row>
    <row r="28" spans="1:2" x14ac:dyDescent="0.2">
      <c r="A28" s="135"/>
      <c r="B28" s="129"/>
    </row>
    <row r="29" spans="1:2" x14ac:dyDescent="0.2">
      <c r="A29" s="135"/>
      <c r="B29" s="129"/>
    </row>
    <row r="30" spans="1:2" x14ac:dyDescent="0.2">
      <c r="A30" s="135"/>
      <c r="B30" s="129"/>
    </row>
    <row r="31" spans="1:2" x14ac:dyDescent="0.2">
      <c r="A31" s="135"/>
      <c r="B31" s="129"/>
    </row>
    <row r="32" spans="1:2" x14ac:dyDescent="0.2">
      <c r="A32" s="135"/>
      <c r="B32" s="129"/>
    </row>
    <row r="33" spans="1:13" x14ac:dyDescent="0.2">
      <c r="A33" s="135"/>
      <c r="B33" s="129"/>
    </row>
    <row r="35" spans="1:13" x14ac:dyDescent="0.2">
      <c r="A35" s="135" t="s">
        <v>163</v>
      </c>
      <c r="L35" s="129"/>
      <c r="M35" s="129"/>
    </row>
    <row r="36" spans="1:13" x14ac:dyDescent="0.2">
      <c r="A36" s="135"/>
      <c r="L36" s="129"/>
      <c r="M36" s="129"/>
    </row>
    <row r="37" spans="1:13" x14ac:dyDescent="0.2">
      <c r="A37" s="152" t="s">
        <v>387</v>
      </c>
      <c r="L37" s="129"/>
      <c r="M37" s="129"/>
    </row>
    <row r="60" spans="1:1" x14ac:dyDescent="0.2">
      <c r="A60" s="152" t="s">
        <v>230</v>
      </c>
    </row>
    <row r="83" spans="1:1" x14ac:dyDescent="0.2">
      <c r="A83" s="152" t="s">
        <v>167</v>
      </c>
    </row>
    <row r="107" spans="1:26" x14ac:dyDescent="0.2">
      <c r="A107" s="141" t="s">
        <v>124</v>
      </c>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row>
    <row r="109" spans="1:26" x14ac:dyDescent="0.2">
      <c r="B109" s="129" t="s">
        <v>165</v>
      </c>
    </row>
    <row r="112" spans="1:26" x14ac:dyDescent="0.2">
      <c r="A112" s="141" t="s">
        <v>125</v>
      </c>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row>
    <row r="114" spans="1:1" x14ac:dyDescent="0.2">
      <c r="A114" s="135" t="s">
        <v>126</v>
      </c>
    </row>
    <row r="115" spans="1:1" x14ac:dyDescent="0.2">
      <c r="A115" s="129"/>
    </row>
    <row r="116" spans="1:1" x14ac:dyDescent="0.2">
      <c r="A116" s="129"/>
    </row>
    <row r="117" spans="1:1" x14ac:dyDescent="0.2">
      <c r="A117" s="129"/>
    </row>
    <row r="118" spans="1:1" x14ac:dyDescent="0.2">
      <c r="A118" s="129"/>
    </row>
    <row r="119" spans="1:1" x14ac:dyDescent="0.2">
      <c r="A119" s="129"/>
    </row>
    <row r="120" spans="1:1" x14ac:dyDescent="0.2">
      <c r="A120" s="129"/>
    </row>
    <row r="121" spans="1:1" x14ac:dyDescent="0.2">
      <c r="A121" s="129"/>
    </row>
    <row r="122" spans="1:1" x14ac:dyDescent="0.2">
      <c r="A122" s="129"/>
    </row>
    <row r="123" spans="1:1" x14ac:dyDescent="0.2">
      <c r="A123" s="129"/>
    </row>
    <row r="124" spans="1:1" x14ac:dyDescent="0.2">
      <c r="A124" s="129"/>
    </row>
    <row r="125" spans="1:1" x14ac:dyDescent="0.2">
      <c r="A125" s="129"/>
    </row>
    <row r="126" spans="1:1" x14ac:dyDescent="0.2">
      <c r="A126" s="129"/>
    </row>
    <row r="127" spans="1:1" x14ac:dyDescent="0.2">
      <c r="A127" s="129"/>
    </row>
    <row r="128" spans="1:1" x14ac:dyDescent="0.2">
      <c r="A128" s="129"/>
    </row>
    <row r="129" spans="1:1" x14ac:dyDescent="0.2">
      <c r="A129" s="129"/>
    </row>
    <row r="130" spans="1:1" x14ac:dyDescent="0.2">
      <c r="A130" s="129"/>
    </row>
    <row r="131" spans="1:1" x14ac:dyDescent="0.2">
      <c r="A131" s="129"/>
    </row>
    <row r="132" spans="1:1" x14ac:dyDescent="0.2">
      <c r="A132" s="129"/>
    </row>
    <row r="133" spans="1:1" x14ac:dyDescent="0.2">
      <c r="A133" s="129"/>
    </row>
    <row r="134" spans="1:1" x14ac:dyDescent="0.2">
      <c r="A134" s="129"/>
    </row>
    <row r="135" spans="1:1" x14ac:dyDescent="0.2">
      <c r="A135" s="129"/>
    </row>
    <row r="136" spans="1:1" x14ac:dyDescent="0.2">
      <c r="A136" s="129"/>
    </row>
    <row r="137" spans="1:1" x14ac:dyDescent="0.2">
      <c r="A137" s="129"/>
    </row>
    <row r="138" spans="1:1" x14ac:dyDescent="0.2">
      <c r="A138" s="129"/>
    </row>
    <row r="139" spans="1:1" x14ac:dyDescent="0.2">
      <c r="A139" s="129"/>
    </row>
    <row r="140" spans="1:1" x14ac:dyDescent="0.2">
      <c r="A140" s="129"/>
    </row>
    <row r="141" spans="1:1" x14ac:dyDescent="0.2">
      <c r="A141" s="129"/>
    </row>
    <row r="142" spans="1:1" x14ac:dyDescent="0.2">
      <c r="A142" s="129"/>
    </row>
    <row r="143" spans="1:1" x14ac:dyDescent="0.2">
      <c r="A143" s="129"/>
    </row>
    <row r="144" spans="1:1" x14ac:dyDescent="0.2">
      <c r="A144" s="129"/>
    </row>
    <row r="145" spans="1:26" x14ac:dyDescent="0.2">
      <c r="A145" s="129"/>
    </row>
    <row r="147" spans="1:26" x14ac:dyDescent="0.2">
      <c r="A147" s="158" t="s">
        <v>243</v>
      </c>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row>
    <row r="148" spans="1:26" x14ac:dyDescent="0.2">
      <c r="B148" s="129"/>
    </row>
    <row r="149" spans="1:26" x14ac:dyDescent="0.2">
      <c r="A149" s="152" t="s">
        <v>301</v>
      </c>
      <c r="B149" s="152" t="s">
        <v>391</v>
      </c>
    </row>
    <row r="150" spans="1:26" x14ac:dyDescent="0.2">
      <c r="B150" s="129"/>
      <c r="J150">
        <v>2010</v>
      </c>
      <c r="K150">
        <v>2015</v>
      </c>
      <c r="L150">
        <v>2020</v>
      </c>
      <c r="M150">
        <v>2025</v>
      </c>
      <c r="N150">
        <v>2030</v>
      </c>
      <c r="O150">
        <v>2035</v>
      </c>
      <c r="P150">
        <v>2040</v>
      </c>
      <c r="Q150">
        <v>2045</v>
      </c>
      <c r="R150">
        <v>2050</v>
      </c>
      <c r="S150">
        <v>2055</v>
      </c>
      <c r="T150">
        <v>2060</v>
      </c>
    </row>
    <row r="151" spans="1:26" x14ac:dyDescent="0.2">
      <c r="B151" s="129"/>
      <c r="I151" s="152" t="s">
        <v>298</v>
      </c>
      <c r="J151" s="302">
        <f>'Population&amp;Demand Projections'!C83</f>
        <v>32</v>
      </c>
      <c r="K151" s="302">
        <f>'Population&amp;Demand Projections'!D83</f>
        <v>32</v>
      </c>
      <c r="L151" s="302">
        <f>'Population&amp;Demand Projections'!E83</f>
        <v>32</v>
      </c>
      <c r="M151" s="302">
        <f>'Population&amp;Demand Projections'!F83</f>
        <v>32</v>
      </c>
      <c r="N151" s="302">
        <f>'Population&amp;Demand Projections'!G83</f>
        <v>32</v>
      </c>
      <c r="O151" s="302">
        <f>'Population&amp;Demand Projections'!H83</f>
        <v>32</v>
      </c>
      <c r="P151" s="302">
        <f>'Population&amp;Demand Projections'!I83</f>
        <v>32</v>
      </c>
      <c r="Q151" s="302">
        <f>'Population&amp;Demand Projections'!J83</f>
        <v>32</v>
      </c>
      <c r="R151" s="302">
        <f>'Population&amp;Demand Projections'!K83</f>
        <v>32</v>
      </c>
      <c r="S151" s="302">
        <f>'Population&amp;Demand Projections'!L83</f>
        <v>32</v>
      </c>
      <c r="T151" s="302">
        <f>'Population&amp;Demand Projections'!M83</f>
        <v>32</v>
      </c>
    </row>
    <row r="152" spans="1:26" x14ac:dyDescent="0.2">
      <c r="B152" s="129"/>
      <c r="I152" s="152" t="s">
        <v>299</v>
      </c>
      <c r="J152">
        <f>'Population&amp;Demand Projections'!$C$93</f>
        <v>18.400000000000002</v>
      </c>
      <c r="K152">
        <f>'Population&amp;Demand Projections'!$C$93</f>
        <v>18.400000000000002</v>
      </c>
      <c r="L152">
        <f>'Population&amp;Demand Projections'!$C$93</f>
        <v>18.400000000000002</v>
      </c>
      <c r="M152">
        <f>'Population&amp;Demand Projections'!$C$93</f>
        <v>18.400000000000002</v>
      </c>
      <c r="N152">
        <f>'Population&amp;Demand Projections'!$C$93</f>
        <v>18.400000000000002</v>
      </c>
      <c r="O152">
        <f>'Population&amp;Demand Projections'!$C$93</f>
        <v>18.400000000000002</v>
      </c>
      <c r="P152">
        <f>'Population&amp;Demand Projections'!$C$93</f>
        <v>18.400000000000002</v>
      </c>
      <c r="Q152">
        <f>'Population&amp;Demand Projections'!$C$93</f>
        <v>18.400000000000002</v>
      </c>
      <c r="R152">
        <f>'Population&amp;Demand Projections'!$C$93</f>
        <v>18.400000000000002</v>
      </c>
      <c r="S152">
        <f>'Population&amp;Demand Projections'!$C$93</f>
        <v>18.400000000000002</v>
      </c>
      <c r="T152">
        <f>'Population&amp;Demand Projections'!$C$93</f>
        <v>18.400000000000002</v>
      </c>
    </row>
    <row r="153" spans="1:26" x14ac:dyDescent="0.2">
      <c r="B153" s="129"/>
      <c r="I153" s="152" t="s">
        <v>300</v>
      </c>
      <c r="J153" s="302">
        <f>MIN('Population&amp;Demand Projections'!C93-ReportFigures!J152,ReportFigures!J151-ReportFigures!J152)</f>
        <v>0</v>
      </c>
      <c r="K153" s="302">
        <f>MIN('Population&amp;Demand Projections'!D93-ReportFigures!K152,ReportFigures!K151-ReportFigures!K152)</f>
        <v>2.4999999999999964</v>
      </c>
      <c r="L153" s="302">
        <f>MIN('Population&amp;Demand Projections'!E93-ReportFigures!L152,ReportFigures!L151-ReportFigures!L152)</f>
        <v>6.5999999999999943</v>
      </c>
      <c r="M153" s="302">
        <f>MIN('Population&amp;Demand Projections'!F93-ReportFigures!M152,ReportFigures!M151-ReportFigures!M152)</f>
        <v>10.399999999999995</v>
      </c>
      <c r="N153" s="302">
        <f>MIN('Population&amp;Demand Projections'!G93-ReportFigures!N152,ReportFigures!N151-ReportFigures!N152)</f>
        <v>13.499999999999996</v>
      </c>
      <c r="O153" s="302">
        <f>MIN('Population&amp;Demand Projections'!H93-ReportFigures!O152,ReportFigures!O151-ReportFigures!O152)</f>
        <v>13.599999999999998</v>
      </c>
      <c r="P153" s="302">
        <f>MIN('Population&amp;Demand Projections'!I93-ReportFigures!P152,ReportFigures!P151-ReportFigures!P152)</f>
        <v>13.599999999999998</v>
      </c>
      <c r="Q153" s="302">
        <f>MIN('Population&amp;Demand Projections'!J93-ReportFigures!Q152,ReportFigures!Q151-ReportFigures!Q152)</f>
        <v>13.599999999999998</v>
      </c>
      <c r="R153" s="302">
        <f>MIN('Population&amp;Demand Projections'!K93-ReportFigures!R152,ReportFigures!R151-ReportFigures!R152)</f>
        <v>13.599999999999998</v>
      </c>
      <c r="S153" s="302">
        <f>MIN('Population&amp;Demand Projections'!L93-ReportFigures!S152,ReportFigures!S151-ReportFigures!S152)</f>
        <v>13.599999999999998</v>
      </c>
      <c r="T153" s="302">
        <f>MIN('Population&amp;Demand Projections'!M93-ReportFigures!T152,ReportFigures!T151-ReportFigures!T152)</f>
        <v>13.599999999999998</v>
      </c>
    </row>
    <row r="154" spans="1:26" x14ac:dyDescent="0.2">
      <c r="B154" s="129"/>
      <c r="I154" s="152" t="s">
        <v>268</v>
      </c>
      <c r="J154" s="302">
        <f>MAX('Population&amp;Demand Projections'!C93-J151,0)</f>
        <v>0</v>
      </c>
      <c r="K154" s="302">
        <f>MAX('Population&amp;Demand Projections'!D93-K151,0)</f>
        <v>0</v>
      </c>
      <c r="L154" s="302">
        <f>MAX('Population&amp;Demand Projections'!E93-L151,0)</f>
        <v>0</v>
      </c>
      <c r="M154" s="302">
        <f>MAX('Population&amp;Demand Projections'!F93-M151,0)</f>
        <v>0</v>
      </c>
      <c r="N154" s="302">
        <f>MAX('Population&amp;Demand Projections'!G93-N151,0)</f>
        <v>0</v>
      </c>
      <c r="O154" s="302">
        <f>MAX('Population&amp;Demand Projections'!H93-O151,0)</f>
        <v>2.8000000000000043</v>
      </c>
      <c r="P154" s="302">
        <f>MAX('Population&amp;Demand Projections'!I93-P151,0)</f>
        <v>5.2999999999999972</v>
      </c>
      <c r="Q154" s="302">
        <f>MAX('Population&amp;Demand Projections'!J93-Q151,0)</f>
        <v>7.1499999999999986</v>
      </c>
      <c r="R154" s="302">
        <f>MAX('Population&amp;Demand Projections'!K93-R151,0)</f>
        <v>8.7999999999999972</v>
      </c>
      <c r="S154" s="302">
        <f>MAX('Population&amp;Demand Projections'!L93-S151,0)</f>
        <v>9.1000000000000014</v>
      </c>
      <c r="T154" s="302">
        <f>MAX('Population&amp;Demand Projections'!M93-T151,0)</f>
        <v>9.3999999999999986</v>
      </c>
    </row>
    <row r="155" spans="1:26" x14ac:dyDescent="0.2">
      <c r="B155" s="129"/>
    </row>
    <row r="156" spans="1:26" x14ac:dyDescent="0.2">
      <c r="B156" s="129"/>
    </row>
    <row r="157" spans="1:26" x14ac:dyDescent="0.2">
      <c r="B157" s="129"/>
    </row>
    <row r="158" spans="1:26" x14ac:dyDescent="0.2">
      <c r="B158" s="129"/>
    </row>
    <row r="159" spans="1:26" x14ac:dyDescent="0.2">
      <c r="B159" s="129"/>
    </row>
    <row r="160" spans="1:26" x14ac:dyDescent="0.2">
      <c r="B160" s="129"/>
    </row>
    <row r="161" spans="1:20" x14ac:dyDescent="0.2">
      <c r="B161" s="129"/>
    </row>
    <row r="162" spans="1:20" x14ac:dyDescent="0.2">
      <c r="B162" s="129"/>
    </row>
    <row r="163" spans="1:20" x14ac:dyDescent="0.2">
      <c r="B163" s="129"/>
    </row>
    <row r="164" spans="1:20" x14ac:dyDescent="0.2">
      <c r="B164" s="129"/>
    </row>
    <row r="165" spans="1:20" x14ac:dyDescent="0.2">
      <c r="B165" s="129"/>
    </row>
    <row r="166" spans="1:20" x14ac:dyDescent="0.2">
      <c r="B166" s="129"/>
    </row>
    <row r="168" spans="1:20" x14ac:dyDescent="0.2">
      <c r="A168" s="152"/>
      <c r="B168" s="152" t="s">
        <v>392</v>
      </c>
    </row>
    <row r="169" spans="1:20" x14ac:dyDescent="0.2">
      <c r="B169" s="129"/>
      <c r="J169">
        <v>2010</v>
      </c>
      <c r="K169">
        <v>2015</v>
      </c>
      <c r="L169">
        <v>2020</v>
      </c>
      <c r="M169">
        <v>2025</v>
      </c>
      <c r="N169">
        <v>2030</v>
      </c>
      <c r="O169">
        <v>2035</v>
      </c>
      <c r="P169">
        <v>2040</v>
      </c>
      <c r="Q169">
        <v>2045</v>
      </c>
      <c r="R169">
        <v>2050</v>
      </c>
      <c r="S169">
        <v>2055</v>
      </c>
      <c r="T169">
        <v>2060</v>
      </c>
    </row>
    <row r="170" spans="1:20" x14ac:dyDescent="0.2">
      <c r="B170" s="129"/>
      <c r="I170" s="152" t="s">
        <v>298</v>
      </c>
      <c r="J170" s="302">
        <f>'Population&amp;Demand Projections'!AS83</f>
        <v>3.5</v>
      </c>
      <c r="K170" s="302">
        <f>'Population&amp;Demand Projections'!AT83</f>
        <v>3.5</v>
      </c>
      <c r="L170" s="302">
        <f>'Population&amp;Demand Projections'!AU83</f>
        <v>3.5</v>
      </c>
      <c r="M170" s="302">
        <f>'Population&amp;Demand Projections'!AV83</f>
        <v>3.5</v>
      </c>
      <c r="N170" s="302">
        <f>'Population&amp;Demand Projections'!AW83</f>
        <v>3.5</v>
      </c>
      <c r="O170" s="302">
        <f>'Population&amp;Demand Projections'!AX83</f>
        <v>3.5</v>
      </c>
      <c r="P170" s="302">
        <f>'Population&amp;Demand Projections'!AY83</f>
        <v>3.5</v>
      </c>
      <c r="Q170" s="302">
        <f>'Population&amp;Demand Projections'!AZ83</f>
        <v>3.5</v>
      </c>
      <c r="R170" s="302">
        <f>'Population&amp;Demand Projections'!BA83</f>
        <v>3.5</v>
      </c>
      <c r="S170" s="302">
        <f>'Population&amp;Demand Projections'!BB83</f>
        <v>3.5</v>
      </c>
      <c r="T170" s="302">
        <f>'Population&amp;Demand Projections'!BC83</f>
        <v>3.5</v>
      </c>
    </row>
    <row r="171" spans="1:20" x14ac:dyDescent="0.2">
      <c r="B171" s="129"/>
      <c r="I171" s="152" t="s">
        <v>299</v>
      </c>
      <c r="J171">
        <f>'Population&amp;Demand Projections'!$AS$93</f>
        <v>1.7199999999999998</v>
      </c>
      <c r="K171">
        <f>'Population&amp;Demand Projections'!$AS$93</f>
        <v>1.7199999999999998</v>
      </c>
      <c r="L171">
        <f>'Population&amp;Demand Projections'!$AS$93</f>
        <v>1.7199999999999998</v>
      </c>
      <c r="M171">
        <f>'Population&amp;Demand Projections'!$AS$93</f>
        <v>1.7199999999999998</v>
      </c>
      <c r="N171">
        <f>'Population&amp;Demand Projections'!$AS$93</f>
        <v>1.7199999999999998</v>
      </c>
      <c r="O171">
        <f>'Population&amp;Demand Projections'!$AS$93</f>
        <v>1.7199999999999998</v>
      </c>
      <c r="P171">
        <f>'Population&amp;Demand Projections'!$AS$93</f>
        <v>1.7199999999999998</v>
      </c>
      <c r="Q171">
        <f>'Population&amp;Demand Projections'!$AS$93</f>
        <v>1.7199999999999998</v>
      </c>
      <c r="R171">
        <f>'Population&amp;Demand Projections'!$AS$93</f>
        <v>1.7199999999999998</v>
      </c>
      <c r="S171">
        <f>'Population&amp;Demand Projections'!$AS$93</f>
        <v>1.7199999999999998</v>
      </c>
      <c r="T171">
        <f>'Population&amp;Demand Projections'!$AS$93</f>
        <v>1.7199999999999998</v>
      </c>
    </row>
    <row r="172" spans="1:20" x14ac:dyDescent="0.2">
      <c r="B172" s="129"/>
      <c r="I172" s="152" t="s">
        <v>300</v>
      </c>
      <c r="J172" s="302">
        <f>MIN('Population&amp;Demand Projections'!AS93-ReportFigures!J171,ReportFigures!J170-ReportFigures!J171)</f>
        <v>0</v>
      </c>
      <c r="K172" s="302">
        <f>MIN('Population&amp;Demand Projections'!AT93-ReportFigures!K171,ReportFigures!K170-ReportFigures!K171)</f>
        <v>0.31000000000000005</v>
      </c>
      <c r="L172" s="302">
        <f>MIN('Population&amp;Demand Projections'!AU93-ReportFigures!L171,ReportFigures!L170-ReportFigures!L171)</f>
        <v>0.81999999999999984</v>
      </c>
      <c r="M172" s="302">
        <f>MIN('Population&amp;Demand Projections'!AV93-ReportFigures!M171,ReportFigures!M170-ReportFigures!M171)</f>
        <v>1.0300000000000002</v>
      </c>
      <c r="N172" s="302">
        <f>MIN('Population&amp;Demand Projections'!AW93-ReportFigures!N171,ReportFigures!N170-ReportFigures!N171)</f>
        <v>1.1600000000000001</v>
      </c>
      <c r="O172" s="302">
        <f>MIN('Population&amp;Demand Projections'!AX93-ReportFigures!O171,ReportFigures!O170-ReportFigures!O171)</f>
        <v>1.6</v>
      </c>
      <c r="P172" s="302">
        <f>MIN('Population&amp;Demand Projections'!AY93-ReportFigures!P171,ReportFigures!P170-ReportFigures!P171)</f>
        <v>1.7000000000000002</v>
      </c>
      <c r="Q172" s="302">
        <f>MIN('Population&amp;Demand Projections'!AZ93-ReportFigures!Q171,ReportFigures!Q170-ReportFigures!Q171)</f>
        <v>1.7500000000000004</v>
      </c>
      <c r="R172" s="302">
        <f>MIN('Population&amp;Demand Projections'!BA93-ReportFigures!R171,ReportFigures!R170-ReportFigures!R171)</f>
        <v>1.7800000000000002</v>
      </c>
      <c r="S172" s="302">
        <f>MIN('Population&amp;Demand Projections'!BB93-ReportFigures!S171,ReportFigures!S170-ReportFigures!S171)</f>
        <v>1.7800000000000002</v>
      </c>
      <c r="T172" s="302">
        <f>MIN('Population&amp;Demand Projections'!BC93-ReportFigures!T171,ReportFigures!T170-ReportFigures!T171)</f>
        <v>1.7800000000000002</v>
      </c>
    </row>
    <row r="173" spans="1:20" x14ac:dyDescent="0.2">
      <c r="B173" s="129"/>
      <c r="I173" s="152" t="s">
        <v>268</v>
      </c>
      <c r="J173" s="302">
        <f>MAX('Population&amp;Demand Projections'!AS93-J170,0)</f>
        <v>0</v>
      </c>
      <c r="K173" s="302">
        <f>MAX('Population&amp;Demand Projections'!AT93-K170,0)</f>
        <v>0</v>
      </c>
      <c r="L173" s="302">
        <f>MAX('Population&amp;Demand Projections'!AU93-L170,0)</f>
        <v>0</v>
      </c>
      <c r="M173" s="302">
        <f>MAX('Population&amp;Demand Projections'!AV93-M170,0)</f>
        <v>0</v>
      </c>
      <c r="N173" s="302">
        <f>MAX('Population&amp;Demand Projections'!AW93-N170,0)</f>
        <v>0</v>
      </c>
      <c r="O173" s="302">
        <f>MAX('Population&amp;Demand Projections'!AX93-O170,0)</f>
        <v>0</v>
      </c>
      <c r="P173" s="302">
        <f>MAX('Population&amp;Demand Projections'!AY93-P170,0)</f>
        <v>0</v>
      </c>
      <c r="Q173" s="302">
        <f>MAX('Population&amp;Demand Projections'!AZ93-Q170,0)</f>
        <v>0</v>
      </c>
      <c r="R173" s="302">
        <f>MAX('Population&amp;Demand Projections'!BA93-R170,0)</f>
        <v>2.0000000000000462E-2</v>
      </c>
      <c r="S173" s="302">
        <f>MAX('Population&amp;Demand Projections'!BB93-S170,0)</f>
        <v>7.5000000000000622E-2</v>
      </c>
      <c r="T173" s="302">
        <f>MAX('Population&amp;Demand Projections'!BC93-T170,0)</f>
        <v>0.13000000000000034</v>
      </c>
    </row>
    <row r="174" spans="1:20" x14ac:dyDescent="0.2">
      <c r="B174" s="129"/>
    </row>
    <row r="175" spans="1:20" x14ac:dyDescent="0.2">
      <c r="B175" s="129"/>
    </row>
    <row r="176" spans="1:20" x14ac:dyDescent="0.2">
      <c r="B176" s="129"/>
    </row>
    <row r="177" spans="1:20" x14ac:dyDescent="0.2">
      <c r="B177" s="129"/>
    </row>
    <row r="178" spans="1:20" x14ac:dyDescent="0.2">
      <c r="B178" s="129"/>
    </row>
    <row r="179" spans="1:20" x14ac:dyDescent="0.2">
      <c r="B179" s="129"/>
    </row>
    <row r="180" spans="1:20" x14ac:dyDescent="0.2">
      <c r="B180" s="129"/>
    </row>
    <row r="181" spans="1:20" x14ac:dyDescent="0.2">
      <c r="B181" s="129"/>
    </row>
    <row r="182" spans="1:20" x14ac:dyDescent="0.2">
      <c r="B182" s="129"/>
    </row>
    <row r="183" spans="1:20" x14ac:dyDescent="0.2">
      <c r="B183" s="129"/>
    </row>
    <row r="184" spans="1:20" x14ac:dyDescent="0.2">
      <c r="B184" s="129"/>
    </row>
    <row r="185" spans="1:20" x14ac:dyDescent="0.2">
      <c r="B185" s="129"/>
    </row>
    <row r="186" spans="1:20" x14ac:dyDescent="0.2">
      <c r="B186" s="129"/>
    </row>
    <row r="187" spans="1:20" x14ac:dyDescent="0.2">
      <c r="A187" s="152"/>
      <c r="B187" s="152" t="s">
        <v>393</v>
      </c>
    </row>
    <row r="188" spans="1:20" x14ac:dyDescent="0.2">
      <c r="B188" s="129"/>
      <c r="J188">
        <v>2010</v>
      </c>
      <c r="K188">
        <v>2015</v>
      </c>
      <c r="L188">
        <v>2020</v>
      </c>
      <c r="M188">
        <v>2025</v>
      </c>
      <c r="N188">
        <v>2030</v>
      </c>
      <c r="O188">
        <v>2035</v>
      </c>
      <c r="P188">
        <v>2040</v>
      </c>
      <c r="Q188">
        <v>2045</v>
      </c>
      <c r="R188">
        <v>2050</v>
      </c>
      <c r="S188">
        <v>2055</v>
      </c>
      <c r="T188">
        <v>2060</v>
      </c>
    </row>
    <row r="189" spans="1:20" x14ac:dyDescent="0.2">
      <c r="B189" s="129"/>
      <c r="I189" s="152" t="s">
        <v>298</v>
      </c>
      <c r="J189" s="302">
        <f>'Population&amp;Demand Projections'!BG83</f>
        <v>3.5</v>
      </c>
      <c r="K189" s="302">
        <f>'Population&amp;Demand Projections'!BH83</f>
        <v>3.5</v>
      </c>
      <c r="L189" s="302">
        <f>'Population&amp;Demand Projections'!BI83</f>
        <v>3.5</v>
      </c>
      <c r="M189" s="302">
        <f>'Population&amp;Demand Projections'!BJ83</f>
        <v>3.5</v>
      </c>
      <c r="N189" s="302">
        <f>'Population&amp;Demand Projections'!BK83</f>
        <v>3.5</v>
      </c>
      <c r="O189" s="302">
        <f>'Population&amp;Demand Projections'!BL83</f>
        <v>3.5</v>
      </c>
      <c r="P189" s="302">
        <f>'Population&amp;Demand Projections'!BM83</f>
        <v>3.5</v>
      </c>
      <c r="Q189" s="302">
        <f>'Population&amp;Demand Projections'!BN83</f>
        <v>3.5</v>
      </c>
      <c r="R189" s="302">
        <f>'Population&amp;Demand Projections'!BO83</f>
        <v>3.5</v>
      </c>
      <c r="S189" s="302">
        <f>'Population&amp;Demand Projections'!BP83</f>
        <v>3.5</v>
      </c>
      <c r="T189" s="302">
        <f>'Population&amp;Demand Projections'!BQ83</f>
        <v>3.5</v>
      </c>
    </row>
    <row r="190" spans="1:20" x14ac:dyDescent="0.2">
      <c r="B190" s="129"/>
      <c r="I190" s="152" t="s">
        <v>299</v>
      </c>
      <c r="J190">
        <f>'Population&amp;Demand Projections'!$BG$93</f>
        <v>0.6</v>
      </c>
      <c r="K190">
        <f>'Population&amp;Demand Projections'!$BG$93</f>
        <v>0.6</v>
      </c>
      <c r="L190">
        <f>'Population&amp;Demand Projections'!$BG$93</f>
        <v>0.6</v>
      </c>
      <c r="M190">
        <f>'Population&amp;Demand Projections'!$BG$93</f>
        <v>0.6</v>
      </c>
      <c r="N190">
        <f>'Population&amp;Demand Projections'!$BG$93</f>
        <v>0.6</v>
      </c>
      <c r="O190">
        <f>'Population&amp;Demand Projections'!$BG$93</f>
        <v>0.6</v>
      </c>
      <c r="P190">
        <f>'Population&amp;Demand Projections'!$BG$93</f>
        <v>0.6</v>
      </c>
      <c r="Q190">
        <f>'Population&amp;Demand Projections'!$BG$93</f>
        <v>0.6</v>
      </c>
      <c r="R190">
        <f>'Population&amp;Demand Projections'!$BG$93</f>
        <v>0.6</v>
      </c>
      <c r="S190">
        <f>'Population&amp;Demand Projections'!$BG$93</f>
        <v>0.6</v>
      </c>
      <c r="T190">
        <f>'Population&amp;Demand Projections'!$BG$93</f>
        <v>0.6</v>
      </c>
    </row>
    <row r="191" spans="1:20" x14ac:dyDescent="0.2">
      <c r="B191" s="129"/>
      <c r="I191" s="152" t="s">
        <v>300</v>
      </c>
      <c r="J191" s="302">
        <f>MIN('Population&amp;Demand Projections'!BG93-ReportFigures!J190,ReportFigures!J189-ReportFigures!J190)</f>
        <v>0</v>
      </c>
      <c r="K191" s="302">
        <f>MIN('Population&amp;Demand Projections'!BH93-ReportFigures!K190,ReportFigures!K189-ReportFigures!K190)</f>
        <v>0.30000000000000004</v>
      </c>
      <c r="L191" s="302">
        <f>MIN('Population&amp;Demand Projections'!BI93-ReportFigures!L190,ReportFigures!L189-ReportFigures!L190)</f>
        <v>0.79999999999999993</v>
      </c>
      <c r="M191" s="302">
        <f>MIN('Population&amp;Demand Projections'!BJ93-ReportFigures!M190,ReportFigures!M189-ReportFigures!M190)</f>
        <v>1.2999999999999998</v>
      </c>
      <c r="N191" s="302">
        <f>MIN('Population&amp;Demand Projections'!BK93-ReportFigures!N190,ReportFigures!N189-ReportFigures!N190)</f>
        <v>1.6</v>
      </c>
      <c r="O191" s="302">
        <f>MIN('Population&amp;Demand Projections'!BL93-ReportFigures!O190,ReportFigures!O189-ReportFigures!O190)</f>
        <v>2.1</v>
      </c>
      <c r="P191" s="302">
        <f>MIN('Population&amp;Demand Projections'!BM93-ReportFigures!P190,ReportFigures!P189-ReportFigures!P190)</f>
        <v>2.6</v>
      </c>
      <c r="Q191" s="302">
        <f>MIN('Population&amp;Demand Projections'!BN93-ReportFigures!Q190,ReportFigures!Q189-ReportFigures!Q190)</f>
        <v>2.6</v>
      </c>
      <c r="R191" s="302">
        <f>MIN('Population&amp;Demand Projections'!BO93-ReportFigures!R190,ReportFigures!R189-ReportFigures!R190)</f>
        <v>2.6</v>
      </c>
      <c r="S191" s="302">
        <f>MIN('Population&amp;Demand Projections'!BP93-ReportFigures!S190,ReportFigures!S189-ReportFigures!S190)</f>
        <v>2.6500000000000004</v>
      </c>
      <c r="T191" s="302">
        <f>MIN('Population&amp;Demand Projections'!BQ93-ReportFigures!T190,ReportFigures!T189-ReportFigures!T190)</f>
        <v>2.6999999999999997</v>
      </c>
    </row>
    <row r="192" spans="1:20" x14ac:dyDescent="0.2">
      <c r="B192" s="129"/>
      <c r="I192" s="152" t="s">
        <v>268</v>
      </c>
      <c r="J192" s="302">
        <f>MAX('Population&amp;Demand Projections'!BG93-J189,0)</f>
        <v>0</v>
      </c>
      <c r="K192" s="302">
        <f>MAX('Population&amp;Demand Projections'!BH93-K189,0)</f>
        <v>0</v>
      </c>
      <c r="L192" s="302">
        <f>MAX('Population&amp;Demand Projections'!BI93-L189,0)</f>
        <v>0</v>
      </c>
      <c r="M192" s="302">
        <f>MAX('Population&amp;Demand Projections'!BJ93-M189,0)</f>
        <v>0</v>
      </c>
      <c r="N192" s="302">
        <f>MAX('Population&amp;Demand Projections'!BK93-N189,0)</f>
        <v>0</v>
      </c>
      <c r="O192" s="302">
        <f>MAX('Population&amp;Demand Projections'!BL93-O189,0)</f>
        <v>0</v>
      </c>
      <c r="P192" s="302">
        <f>MAX('Population&amp;Demand Projections'!BM93-P189,0)</f>
        <v>0</v>
      </c>
      <c r="Q192" s="302">
        <f>MAX('Population&amp;Demand Projections'!BN93-Q189,0)</f>
        <v>0</v>
      </c>
      <c r="R192" s="302">
        <f>MAX('Population&amp;Demand Projections'!BO93-R189,0)</f>
        <v>0</v>
      </c>
      <c r="S192" s="302">
        <f>MAX('Population&amp;Demand Projections'!BP93-S189,0)</f>
        <v>0</v>
      </c>
      <c r="T192" s="302">
        <f>MAX('Population&amp;Demand Projections'!BQ93-T189,0)</f>
        <v>0</v>
      </c>
    </row>
    <row r="193" spans="1:26" x14ac:dyDescent="0.2">
      <c r="B193" s="129"/>
    </row>
    <row r="194" spans="1:26" x14ac:dyDescent="0.2">
      <c r="B194" s="129"/>
    </row>
    <row r="195" spans="1:26" x14ac:dyDescent="0.2">
      <c r="B195" s="129"/>
    </row>
    <row r="196" spans="1:26" x14ac:dyDescent="0.2">
      <c r="B196" s="129"/>
    </row>
    <row r="197" spans="1:26" x14ac:dyDescent="0.2">
      <c r="B197" s="129"/>
    </row>
    <row r="198" spans="1:26" x14ac:dyDescent="0.2">
      <c r="B198" s="129"/>
    </row>
    <row r="199" spans="1:26" x14ac:dyDescent="0.2">
      <c r="B199" s="129"/>
    </row>
    <row r="200" spans="1:26" x14ac:dyDescent="0.2">
      <c r="B200" s="129"/>
    </row>
    <row r="201" spans="1:26" x14ac:dyDescent="0.2">
      <c r="B201" s="129"/>
    </row>
    <row r="202" spans="1:26" x14ac:dyDescent="0.2">
      <c r="B202" s="129"/>
    </row>
    <row r="203" spans="1:26" x14ac:dyDescent="0.2">
      <c r="B203" s="129"/>
    </row>
    <row r="204" spans="1:26" x14ac:dyDescent="0.2">
      <c r="B204" s="129"/>
    </row>
    <row r="205" spans="1:26" x14ac:dyDescent="0.2">
      <c r="B205" s="129"/>
    </row>
    <row r="206" spans="1:26" x14ac:dyDescent="0.2">
      <c r="A206" s="162" t="s">
        <v>242</v>
      </c>
      <c r="B206" s="189"/>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row>
    <row r="208" spans="1:26" ht="15" x14ac:dyDescent="0.2">
      <c r="A208" s="231" t="s">
        <v>245</v>
      </c>
      <c r="G208" s="152" t="s">
        <v>246</v>
      </c>
    </row>
    <row r="209" spans="1:20" ht="15" x14ac:dyDescent="0.2">
      <c r="A209" s="231"/>
      <c r="G209" s="152"/>
    </row>
    <row r="211" spans="1:20" ht="15" x14ac:dyDescent="0.2">
      <c r="A211" s="231" t="s">
        <v>244</v>
      </c>
      <c r="I211" s="152" t="s">
        <v>247</v>
      </c>
    </row>
    <row r="213" spans="1:20" x14ac:dyDescent="0.2">
      <c r="J213">
        <v>2010</v>
      </c>
      <c r="K213">
        <v>2015</v>
      </c>
      <c r="L213">
        <v>2020</v>
      </c>
      <c r="M213">
        <v>2025</v>
      </c>
      <c r="N213">
        <v>2030</v>
      </c>
      <c r="O213">
        <v>2035</v>
      </c>
      <c r="P213">
        <v>2040</v>
      </c>
      <c r="Q213">
        <v>2045</v>
      </c>
      <c r="R213">
        <v>2050</v>
      </c>
      <c r="S213">
        <v>2055</v>
      </c>
      <c r="T213">
        <v>2060</v>
      </c>
    </row>
    <row r="214" spans="1:20" x14ac:dyDescent="0.2">
      <c r="I214" s="152" t="s">
        <v>149</v>
      </c>
      <c r="J214" s="302">
        <f>MAX('Population&amp;Demand Projections'!C$94,0)</f>
        <v>0</v>
      </c>
      <c r="K214" s="302">
        <f>MAX('Population&amp;Demand Projections'!D$94,0)</f>
        <v>0</v>
      </c>
      <c r="L214" s="302">
        <f>MAX('Population&amp;Demand Projections'!E$94,0)</f>
        <v>0</v>
      </c>
      <c r="M214" s="302">
        <f>MAX('Population&amp;Demand Projections'!F$94,0)</f>
        <v>0</v>
      </c>
      <c r="N214" s="302">
        <f>MAX('Population&amp;Demand Projections'!G$94,0)</f>
        <v>0</v>
      </c>
      <c r="O214" s="302">
        <f>MAX('Population&amp;Demand Projections'!H$94,0)</f>
        <v>2.8000000000000043</v>
      </c>
      <c r="P214" s="302">
        <f>MAX('Population&amp;Demand Projections'!I$94,0)</f>
        <v>5.2999999999999972</v>
      </c>
      <c r="Q214" s="302">
        <f>MAX('Population&amp;Demand Projections'!J$94,0)</f>
        <v>7.1499999999999986</v>
      </c>
      <c r="R214" s="302">
        <f>MAX('Population&amp;Demand Projections'!K$94+'Population&amp;Demand Projections'!BA$94,0)</f>
        <v>8.8199999999999967</v>
      </c>
      <c r="S214" s="302">
        <f>MAX('Population&amp;Demand Projections'!L$94+'Population&amp;Demand Projections'!BB$94,0)</f>
        <v>9.1750000000000025</v>
      </c>
      <c r="T214" s="302">
        <f>MAX('Population&amp;Demand Projections'!M$94+'Population&amp;Demand Projections'!BC$94,0)</f>
        <v>9.5299999999999994</v>
      </c>
    </row>
    <row r="215" spans="1:20" x14ac:dyDescent="0.2">
      <c r="I215" s="152" t="s">
        <v>237</v>
      </c>
      <c r="J215">
        <f>SUM('Supply Alternative 1'!C$8:C$10)</f>
        <v>0</v>
      </c>
      <c r="K215">
        <f>SUM('Supply Alternative 1'!D$8:D$10)</f>
        <v>7.2</v>
      </c>
      <c r="L215">
        <f>SUM('Supply Alternative 1'!E$8:E$10)</f>
        <v>7.2</v>
      </c>
      <c r="M215">
        <f>SUM('Supply Alternative 1'!F$8:F$10)</f>
        <v>7.2</v>
      </c>
      <c r="N215">
        <f>SUM('Supply Alternative 1'!G$8:G$10)</f>
        <v>7.2</v>
      </c>
      <c r="O215">
        <f>SUM('Supply Alternative 1'!H$8:H$10)</f>
        <v>7.2</v>
      </c>
      <c r="P215">
        <f>SUM('Supply Alternative 1'!I$8:I$10)</f>
        <v>7.2</v>
      </c>
      <c r="Q215">
        <f>SUM('Supply Alternative 1'!J$8:J$10)</f>
        <v>7.2</v>
      </c>
      <c r="R215">
        <f>SUM('Supply Alternative 1'!K$8:K$10)</f>
        <v>9.5</v>
      </c>
      <c r="S215">
        <f>SUM('Supply Alternative 1'!L$8:L$10)</f>
        <v>9.5</v>
      </c>
      <c r="T215">
        <f>SUM('Supply Alternative 1'!M$8:M$10)</f>
        <v>9.5</v>
      </c>
    </row>
    <row r="216" spans="1:20" x14ac:dyDescent="0.2">
      <c r="I216" s="152" t="s">
        <v>238</v>
      </c>
      <c r="J216">
        <f>SUM('Supply Alternative 2'!C$8:C$10)</f>
        <v>0</v>
      </c>
      <c r="K216">
        <f>SUM('Supply Alternative 2'!D$8:D$10)</f>
        <v>0</v>
      </c>
      <c r="L216">
        <f>SUM('Supply Alternative 2'!E$8:E$10)</f>
        <v>0</v>
      </c>
      <c r="M216">
        <f>SUM('Supply Alternative 2'!F$8:F$10)</f>
        <v>0</v>
      </c>
      <c r="N216">
        <f>SUM('Supply Alternative 2'!G$8:G$10)</f>
        <v>9.5</v>
      </c>
      <c r="O216">
        <f>SUM('Supply Alternative 2'!H$8:H$10)</f>
        <v>9.5</v>
      </c>
      <c r="P216">
        <f>SUM('Supply Alternative 2'!I$8:I$10)</f>
        <v>9.5</v>
      </c>
      <c r="Q216">
        <f>SUM('Supply Alternative 2'!J$8:J$10)</f>
        <v>9.5</v>
      </c>
      <c r="R216">
        <f>SUM('Supply Alternative 2'!K$8:K$10)</f>
        <v>9.5</v>
      </c>
      <c r="S216">
        <f>SUM('Supply Alternative 2'!L$8:L$10)</f>
        <v>9.5</v>
      </c>
      <c r="T216">
        <f>SUM('Supply Alternative 2'!M$8:M$10)</f>
        <v>9.5</v>
      </c>
    </row>
    <row r="217" spans="1:20" x14ac:dyDescent="0.2">
      <c r="I217" s="152" t="s">
        <v>239</v>
      </c>
      <c r="J217">
        <f>SUM('Supply Alternative 3'!C$8:C$10)</f>
        <v>0</v>
      </c>
      <c r="K217">
        <f>SUM('Supply Alternative 3'!D$8:D$10)</f>
        <v>0</v>
      </c>
      <c r="L217">
        <f>SUM('Supply Alternative 3'!E$8:E$10)</f>
        <v>0</v>
      </c>
      <c r="M217">
        <f>SUM('Supply Alternative 3'!F$8:F$10)</f>
        <v>0</v>
      </c>
      <c r="N217">
        <f>SUM('Supply Alternative 3'!G$8:G$10)</f>
        <v>0</v>
      </c>
      <c r="O217">
        <f>SUM('Supply Alternative 3'!H$8:H$10)</f>
        <v>9.5</v>
      </c>
      <c r="P217">
        <f>SUM('Supply Alternative 3'!I$8:I$10)</f>
        <v>9.5</v>
      </c>
      <c r="Q217">
        <f>SUM('Supply Alternative 3'!J$8:J$10)</f>
        <v>9.5</v>
      </c>
      <c r="R217">
        <f>SUM('Supply Alternative 3'!K$8:K$10)</f>
        <v>9.5</v>
      </c>
      <c r="S217">
        <f>SUM('Supply Alternative 3'!L$8:L$10)</f>
        <v>9.5</v>
      </c>
      <c r="T217">
        <f>SUM('Supply Alternative 3'!M$8:M$10)</f>
        <v>9.5</v>
      </c>
    </row>
    <row r="218" spans="1:20" x14ac:dyDescent="0.2">
      <c r="I218" s="152" t="s">
        <v>240</v>
      </c>
      <c r="J218">
        <f>SUM('Supply Alternative 4'!C$8:C$10)</f>
        <v>0</v>
      </c>
      <c r="K218">
        <f>SUM('Supply Alternative 4'!D$8:D$10)</f>
        <v>0</v>
      </c>
      <c r="L218">
        <f>SUM('Supply Alternative 4'!E$8:E$10)</f>
        <v>0</v>
      </c>
      <c r="M218">
        <f>SUM('Supply Alternative 4'!F$8:F$10)</f>
        <v>0</v>
      </c>
      <c r="N218">
        <f>SUM('Supply Alternative 4'!G$8:G$10)</f>
        <v>9.5</v>
      </c>
      <c r="O218">
        <f>SUM('Supply Alternative 4'!H$8:H$10)</f>
        <v>9.5</v>
      </c>
      <c r="P218">
        <f>SUM('Supply Alternative 4'!I$8:I$10)</f>
        <v>9.5</v>
      </c>
      <c r="Q218">
        <f>SUM('Supply Alternative 4'!J$8:J$10)</f>
        <v>9.5</v>
      </c>
      <c r="R218">
        <f>SUM('Supply Alternative 4'!K$8:K$10)</f>
        <v>9.5</v>
      </c>
      <c r="S218">
        <f>SUM('Supply Alternative 4'!L$8:L$10)</f>
        <v>9.5</v>
      </c>
      <c r="T218">
        <f>SUM('Supply Alternative 4'!M$8:M$10)</f>
        <v>9.5</v>
      </c>
    </row>
    <row r="219" spans="1:20" x14ac:dyDescent="0.2">
      <c r="I219" s="152" t="s">
        <v>241</v>
      </c>
      <c r="J219">
        <f>SUM('Supply Alternative 5'!C$8:C$10)</f>
        <v>0</v>
      </c>
      <c r="K219">
        <f>SUM('Supply Alternative 5'!D$8:D$10)</f>
        <v>0</v>
      </c>
      <c r="L219">
        <f>SUM('Supply Alternative 5'!E$8:E$10)</f>
        <v>0</v>
      </c>
      <c r="M219">
        <f>SUM('Supply Alternative 5'!F$8:F$10)</f>
        <v>0</v>
      </c>
      <c r="N219">
        <f>SUM('Supply Alternative 5'!G$8:G$10)</f>
        <v>0</v>
      </c>
      <c r="O219">
        <f>SUM('Supply Alternative 5'!H$8:H$10)</f>
        <v>2.9</v>
      </c>
      <c r="P219">
        <f>SUM('Supply Alternative 5'!I$8:I$10)</f>
        <v>9.5</v>
      </c>
      <c r="Q219">
        <f>SUM('Supply Alternative 5'!J$8:J$10)</f>
        <v>9.5</v>
      </c>
      <c r="R219">
        <f>SUM('Supply Alternative 5'!K$8:K$10)</f>
        <v>9.5</v>
      </c>
      <c r="S219">
        <f>SUM('Supply Alternative 5'!L$8:L$10)</f>
        <v>9.5</v>
      </c>
      <c r="T219">
        <f>SUM('Supply Alternative 5'!M$8:M$10)</f>
        <v>9.5</v>
      </c>
    </row>
    <row r="232" spans="1:26" x14ac:dyDescent="0.2">
      <c r="A232" s="135" t="s">
        <v>281</v>
      </c>
    </row>
    <row r="233" spans="1:26" x14ac:dyDescent="0.2">
      <c r="B233" s="152" t="s">
        <v>280</v>
      </c>
    </row>
    <row r="235" spans="1:26" x14ac:dyDescent="0.2">
      <c r="A235" s="158" t="s">
        <v>248</v>
      </c>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row>
    <row r="237" spans="1:26" x14ac:dyDescent="0.2">
      <c r="A237" s="152"/>
      <c r="B237" s="129" t="s">
        <v>165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N60"/>
  <sheetViews>
    <sheetView workbookViewId="0">
      <selection activeCell="B50" sqref="B50:N59"/>
    </sheetView>
  </sheetViews>
  <sheetFormatPr defaultRowHeight="12.75" x14ac:dyDescent="0.2"/>
  <cols>
    <col min="1" max="1" width="2.7109375" customWidth="1"/>
    <col min="2" max="2" width="16.140625" customWidth="1"/>
    <col min="3" max="3" width="17.28515625" customWidth="1"/>
    <col min="4" max="14" width="5.42578125" customWidth="1"/>
  </cols>
  <sheetData>
    <row r="1" spans="2:14" ht="13.5" thickBot="1" x14ac:dyDescent="0.25">
      <c r="B1" s="152" t="s">
        <v>387</v>
      </c>
    </row>
    <row r="2" spans="2:14" ht="17.25" thickTop="1" thickBot="1" x14ac:dyDescent="0.25">
      <c r="B2" s="130" t="s">
        <v>109</v>
      </c>
      <c r="C2" s="131" t="s">
        <v>110</v>
      </c>
      <c r="D2" s="131">
        <v>2010</v>
      </c>
      <c r="E2" s="131">
        <v>2015</v>
      </c>
      <c r="F2" s="131">
        <v>2020</v>
      </c>
      <c r="G2" s="131">
        <v>2025</v>
      </c>
      <c r="H2" s="131">
        <v>2030</v>
      </c>
      <c r="I2" s="131">
        <v>2035</v>
      </c>
      <c r="J2" s="131">
        <v>2040</v>
      </c>
      <c r="K2" s="131">
        <v>2045</v>
      </c>
      <c r="L2" s="131">
        <v>2050</v>
      </c>
      <c r="M2" s="131">
        <v>2055</v>
      </c>
      <c r="N2" s="131">
        <v>2060</v>
      </c>
    </row>
    <row r="3" spans="2:14" ht="18" thickTop="1" thickBot="1" x14ac:dyDescent="0.25">
      <c r="B3" s="147" t="s">
        <v>102</v>
      </c>
      <c r="C3" s="148" t="s">
        <v>102</v>
      </c>
      <c r="D3" s="243">
        <f>'Population&amp;Demand Projections'!D16</f>
        <v>10.3</v>
      </c>
      <c r="E3" s="243">
        <f>'Population&amp;Demand Projections'!E16</f>
        <v>11.6</v>
      </c>
      <c r="F3" s="243">
        <f>'Population&amp;Demand Projections'!F16</f>
        <v>14</v>
      </c>
      <c r="G3" s="243">
        <f>'Population&amp;Demand Projections'!G16</f>
        <v>15.899999999999999</v>
      </c>
      <c r="H3" s="243">
        <f>'Population&amp;Demand Projections'!H16</f>
        <v>17.600000000000001</v>
      </c>
      <c r="I3" s="243">
        <f>'Population&amp;Demand Projections'!I16</f>
        <v>19.3</v>
      </c>
      <c r="J3" s="243">
        <f>'Population&amp;Demand Projections'!J16</f>
        <v>20.8</v>
      </c>
      <c r="K3" s="243">
        <f>'Population&amp;Demand Projections'!K16</f>
        <v>21.8</v>
      </c>
      <c r="L3" s="243">
        <f>'Population&amp;Demand Projections'!L16</f>
        <v>22.799999999999997</v>
      </c>
      <c r="M3" s="243">
        <f>'Population&amp;Demand Projections'!M16</f>
        <v>22.85</v>
      </c>
      <c r="N3" s="243">
        <f>'Population&amp;Demand Projections'!N16</f>
        <v>22.9</v>
      </c>
    </row>
    <row r="4" spans="2:14" ht="17.25" thickBot="1" x14ac:dyDescent="0.25">
      <c r="B4" s="147" t="s">
        <v>103</v>
      </c>
      <c r="C4" s="148" t="s">
        <v>103</v>
      </c>
      <c r="D4" s="244">
        <f>'Population&amp;Demand Projections'!D20</f>
        <v>3.4000000000000004</v>
      </c>
      <c r="E4" s="244">
        <f>'Population&amp;Demand Projections'!E20</f>
        <v>4.3999999999999995</v>
      </c>
      <c r="F4" s="244">
        <f>'Population&amp;Demand Projections'!F20</f>
        <v>5.1000000000000005</v>
      </c>
      <c r="G4" s="244">
        <f>'Population&amp;Demand Projections'!G20</f>
        <v>5.8000000000000007</v>
      </c>
      <c r="H4" s="244">
        <f>'Population&amp;Demand Projections'!H20</f>
        <v>6.4</v>
      </c>
      <c r="I4" s="244">
        <f>'Population&amp;Demand Projections'!I20</f>
        <v>6.8000000000000007</v>
      </c>
      <c r="J4" s="244">
        <f>'Population&amp;Demand Projections'!J20</f>
        <v>7.1000000000000005</v>
      </c>
      <c r="K4" s="244">
        <f>'Population&amp;Demand Projections'!K20</f>
        <v>7.4</v>
      </c>
      <c r="L4" s="244">
        <f>'Population&amp;Demand Projections'!L20</f>
        <v>7.7</v>
      </c>
      <c r="M4" s="244">
        <f>'Population&amp;Demand Projections'!M20</f>
        <v>7.8000000000000007</v>
      </c>
      <c r="N4" s="244">
        <f>'Population&amp;Demand Projections'!N20</f>
        <v>7.9</v>
      </c>
    </row>
    <row r="5" spans="2:14" ht="17.25" thickBot="1" x14ac:dyDescent="0.25">
      <c r="B5" s="147" t="s">
        <v>104</v>
      </c>
      <c r="C5" s="148" t="s">
        <v>104</v>
      </c>
      <c r="D5" s="244">
        <f>'Population&amp;Demand Projections'!D22</f>
        <v>0.2</v>
      </c>
      <c r="E5" s="244">
        <f>'Population&amp;Demand Projections'!E22</f>
        <v>0.30000000000000004</v>
      </c>
      <c r="F5" s="244">
        <f>'Population&amp;Demand Projections'!F22</f>
        <v>0.30000000000000004</v>
      </c>
      <c r="G5" s="244">
        <f>'Population&amp;Demand Projections'!G22</f>
        <v>0.60000000000000009</v>
      </c>
      <c r="H5" s="244">
        <f>'Population&amp;Demand Projections'!H22</f>
        <v>0.7</v>
      </c>
      <c r="I5" s="244">
        <f>'Population&amp;Demand Projections'!I22</f>
        <v>0.89999999999999991</v>
      </c>
      <c r="J5" s="244">
        <f>'Population&amp;Demand Projections'!J22</f>
        <v>1.0999999999999999</v>
      </c>
      <c r="K5" s="244">
        <f>'Population&amp;Demand Projections'!K22</f>
        <v>1.1499999999999999</v>
      </c>
      <c r="L5" s="244">
        <f>'Population&amp;Demand Projections'!L22</f>
        <v>1.2</v>
      </c>
      <c r="M5" s="244">
        <f>'Population&amp;Demand Projections'!M22</f>
        <v>1.2</v>
      </c>
      <c r="N5" s="244">
        <f>'Population&amp;Demand Projections'!N22</f>
        <v>1.2</v>
      </c>
    </row>
    <row r="6" spans="2:14" ht="17.25" thickBot="1" x14ac:dyDescent="0.25">
      <c r="B6" s="147" t="s">
        <v>105</v>
      </c>
      <c r="C6" s="148" t="s">
        <v>105</v>
      </c>
      <c r="D6" s="244">
        <f>'Population&amp;Demand Projections'!D24</f>
        <v>0.30000000000000004</v>
      </c>
      <c r="E6" s="244">
        <f>'Population&amp;Demand Projections'!E24</f>
        <v>0.30000000000000004</v>
      </c>
      <c r="F6" s="244">
        <f>'Population&amp;Demand Projections'!F24</f>
        <v>0.4</v>
      </c>
      <c r="G6" s="244">
        <f>'Population&amp;Demand Projections'!G24</f>
        <v>0.4</v>
      </c>
      <c r="H6" s="244">
        <f>'Population&amp;Demand Projections'!H24</f>
        <v>0.5</v>
      </c>
      <c r="I6" s="244">
        <f>'Population&amp;Demand Projections'!I24</f>
        <v>0.5</v>
      </c>
      <c r="J6" s="244">
        <f>'Population&amp;Demand Projections'!J24</f>
        <v>0.60000000000000009</v>
      </c>
      <c r="K6" s="244">
        <f>'Population&amp;Demand Projections'!K24</f>
        <v>0.60000000000000009</v>
      </c>
      <c r="L6" s="244">
        <f>'Population&amp;Demand Projections'!L24</f>
        <v>0.60000000000000009</v>
      </c>
      <c r="M6" s="244">
        <f>'Population&amp;Demand Projections'!M24</f>
        <v>0.60000000000000009</v>
      </c>
      <c r="N6" s="244">
        <f>'Population&amp;Demand Projections'!N24</f>
        <v>0.60000000000000009</v>
      </c>
    </row>
    <row r="7" spans="2:14" ht="17.25" thickBot="1" x14ac:dyDescent="0.25">
      <c r="B7" s="147" t="s">
        <v>330</v>
      </c>
      <c r="C7" s="148" t="s">
        <v>330</v>
      </c>
      <c r="D7" s="244">
        <f>'Population&amp;Demand Projections'!D26</f>
        <v>0.1</v>
      </c>
      <c r="E7" s="244">
        <f>'Population&amp;Demand Projections'!E26</f>
        <v>0.1</v>
      </c>
      <c r="F7" s="244">
        <f>'Population&amp;Demand Projections'!F26</f>
        <v>0.1</v>
      </c>
      <c r="G7" s="244">
        <f>'Population&amp;Demand Projections'!G26</f>
        <v>0.1</v>
      </c>
      <c r="H7" s="244">
        <f>'Population&amp;Demand Projections'!H26</f>
        <v>0.1</v>
      </c>
      <c r="I7" s="244">
        <f>'Population&amp;Demand Projections'!I26</f>
        <v>0.1</v>
      </c>
      <c r="J7" s="244">
        <f>'Population&amp;Demand Projections'!J26</f>
        <v>0.1</v>
      </c>
      <c r="K7" s="244">
        <f>'Population&amp;Demand Projections'!K26</f>
        <v>0.1</v>
      </c>
      <c r="L7" s="244">
        <f>'Population&amp;Demand Projections'!L26</f>
        <v>0.1</v>
      </c>
      <c r="M7" s="244">
        <f>'Population&amp;Demand Projections'!M26</f>
        <v>0.1</v>
      </c>
      <c r="N7" s="244">
        <f>'Population&amp;Demand Projections'!N26</f>
        <v>0.1</v>
      </c>
    </row>
    <row r="8" spans="2:14" ht="17.25" thickBot="1" x14ac:dyDescent="0.25">
      <c r="B8" s="147" t="s">
        <v>111</v>
      </c>
      <c r="C8" s="148" t="s">
        <v>366</v>
      </c>
      <c r="D8" s="244">
        <f>'Population&amp;Demand Projections'!D29</f>
        <v>0.23</v>
      </c>
      <c r="E8" s="244">
        <f>'Population&amp;Demand Projections'!E29</f>
        <v>0.32999999999999996</v>
      </c>
      <c r="F8" s="244">
        <f>'Population&amp;Demand Projections'!F29</f>
        <v>0.33999999999999997</v>
      </c>
      <c r="G8" s="244">
        <f>'Population&amp;Demand Projections'!G29</f>
        <v>0.45</v>
      </c>
      <c r="H8" s="244">
        <f>'Population&amp;Demand Projections'!H29</f>
        <v>0.5</v>
      </c>
      <c r="I8" s="244">
        <f>'Population&amp;Demand Projections'!I29</f>
        <v>0.5</v>
      </c>
      <c r="J8" s="244">
        <f>'Population&amp;Demand Projections'!J29</f>
        <v>0.5</v>
      </c>
      <c r="K8" s="244">
        <f>'Population&amp;Demand Projections'!K29</f>
        <v>0.55000000000000004</v>
      </c>
      <c r="L8" s="244">
        <f>'Population&amp;Demand Projections'!L29</f>
        <v>0.6</v>
      </c>
      <c r="M8" s="244">
        <f>'Population&amp;Demand Projections'!M29</f>
        <v>0.6</v>
      </c>
      <c r="N8" s="244">
        <f>'Population&amp;Demand Projections'!N29</f>
        <v>0.6</v>
      </c>
    </row>
    <row r="9" spans="2:14" ht="17.25" thickBot="1" x14ac:dyDescent="0.25">
      <c r="B9" s="147" t="s">
        <v>111</v>
      </c>
      <c r="C9" s="148" t="s">
        <v>113</v>
      </c>
      <c r="D9" s="244">
        <f>'Population&amp;Demand Projections'!D30</f>
        <v>3.2000000000000028</v>
      </c>
      <c r="E9" s="244">
        <f>'Population&amp;Demand Projections'!E30</f>
        <v>3.0000000000000022</v>
      </c>
      <c r="F9" s="244">
        <f>'Population&amp;Demand Projections'!F30</f>
        <v>3.599999999999997</v>
      </c>
      <c r="G9" s="244">
        <f>'Population&amp;Demand Projections'!G30</f>
        <v>4.2000000000000028</v>
      </c>
      <c r="H9" s="244">
        <f>'Population&amp;Demand Projections'!H30</f>
        <v>4.6000000000000032</v>
      </c>
      <c r="I9" s="244">
        <f>'Population&amp;Demand Projections'!I30</f>
        <v>5.1000000000000005</v>
      </c>
      <c r="J9" s="244">
        <f>'Population&amp;Demand Projections'!J30</f>
        <v>5.3999999999999968</v>
      </c>
      <c r="K9" s="244">
        <f>'Population&amp;Demand Projections'!K30</f>
        <v>5.65</v>
      </c>
      <c r="L9" s="244">
        <f>'Population&amp;Demand Projections'!L30</f>
        <v>5.9000000000000039</v>
      </c>
      <c r="M9" s="244">
        <f>'Population&amp;Demand Projections'!M30</f>
        <v>5.9500000000000046</v>
      </c>
      <c r="N9" s="244">
        <f>'Population&amp;Demand Projections'!N30</f>
        <v>6.0000000000000044</v>
      </c>
    </row>
    <row r="10" spans="2:14" ht="17.25" thickBot="1" x14ac:dyDescent="0.25">
      <c r="B10" s="147" t="s">
        <v>112</v>
      </c>
      <c r="C10" s="148" t="s">
        <v>114</v>
      </c>
      <c r="D10" s="244">
        <f>'Population&amp;Demand Projections'!D31</f>
        <v>0.8</v>
      </c>
      <c r="E10" s="244">
        <f>'Population&amp;Demand Projections'!E31</f>
        <v>1</v>
      </c>
      <c r="F10" s="244">
        <f>'Population&amp;Demand Projections'!F31</f>
        <v>1.2000000000000002</v>
      </c>
      <c r="G10" s="244">
        <f>'Population&amp;Demand Projections'!G31</f>
        <v>1.4</v>
      </c>
      <c r="H10" s="244">
        <f>'Population&amp;Demand Projections'!H31</f>
        <v>1.5</v>
      </c>
      <c r="I10" s="244">
        <f>'Population&amp;Demand Projections'!I31</f>
        <v>1.6</v>
      </c>
      <c r="J10" s="244">
        <f>'Population&amp;Demand Projections'!J31</f>
        <v>1.8</v>
      </c>
      <c r="K10" s="244">
        <f>'Population&amp;Demand Projections'!K31</f>
        <v>1.9</v>
      </c>
      <c r="L10" s="244">
        <f>'Population&amp;Demand Projections'!L31</f>
        <v>2</v>
      </c>
      <c r="M10" s="244">
        <f>'Population&amp;Demand Projections'!M31</f>
        <v>2</v>
      </c>
      <c r="N10" s="244">
        <f>'Population&amp;Demand Projections'!N31</f>
        <v>2</v>
      </c>
    </row>
    <row r="11" spans="2:14" ht="18" thickTop="1" thickBot="1" x14ac:dyDescent="0.25">
      <c r="B11" s="133" t="s">
        <v>117</v>
      </c>
      <c r="C11" s="134"/>
      <c r="D11" s="146">
        <f>'Population&amp;Demand Projections'!D33</f>
        <v>18.400000000000002</v>
      </c>
      <c r="E11" s="146">
        <f>'Population&amp;Demand Projections'!E33</f>
        <v>20.9</v>
      </c>
      <c r="F11" s="146">
        <f>'Population&amp;Demand Projections'!F33</f>
        <v>24.999999999999996</v>
      </c>
      <c r="G11" s="146">
        <f>'Population&amp;Demand Projections'!G33</f>
        <v>28.799999999999997</v>
      </c>
      <c r="H11" s="146">
        <f>'Population&amp;Demand Projections'!H33</f>
        <v>31.9</v>
      </c>
      <c r="I11" s="146">
        <f>'Population&amp;Demand Projections'!I33</f>
        <v>34.800000000000004</v>
      </c>
      <c r="J11" s="146">
        <f>'Population&amp;Demand Projections'!J33</f>
        <v>37.299999999999997</v>
      </c>
      <c r="K11" s="146">
        <f>'Population&amp;Demand Projections'!K33</f>
        <v>39.15</v>
      </c>
      <c r="L11" s="146">
        <f>'Population&amp;Demand Projections'!L33</f>
        <v>40.799999999999997</v>
      </c>
      <c r="M11" s="146">
        <f>'Population&amp;Demand Projections'!M33</f>
        <v>41.1</v>
      </c>
      <c r="N11" s="146">
        <f>'Population&amp;Demand Projections'!N33</f>
        <v>41.4</v>
      </c>
    </row>
    <row r="12" spans="2:14" ht="13.5" thickTop="1" x14ac:dyDescent="0.2">
      <c r="K12" s="302"/>
      <c r="L12" s="302"/>
      <c r="M12" s="302"/>
      <c r="N12" s="302"/>
    </row>
    <row r="13" spans="2:14" ht="13.5" thickBot="1" x14ac:dyDescent="0.25">
      <c r="B13" s="152" t="s">
        <v>166</v>
      </c>
    </row>
    <row r="14" spans="2:14" ht="17.25" thickTop="1" thickBot="1" x14ac:dyDescent="0.25">
      <c r="B14" s="130" t="s">
        <v>109</v>
      </c>
      <c r="C14" s="328" t="s">
        <v>110</v>
      </c>
      <c r="D14" s="328">
        <v>2010</v>
      </c>
      <c r="E14" s="328">
        <v>2015</v>
      </c>
      <c r="F14" s="328">
        <v>2020</v>
      </c>
      <c r="G14" s="328">
        <v>2025</v>
      </c>
      <c r="H14" s="328">
        <v>2030</v>
      </c>
      <c r="I14" s="328">
        <v>2035</v>
      </c>
      <c r="J14" s="328">
        <v>2040</v>
      </c>
      <c r="K14" s="328">
        <v>2045</v>
      </c>
      <c r="L14" s="328">
        <v>2050</v>
      </c>
      <c r="M14" s="328">
        <v>2055</v>
      </c>
      <c r="N14" s="328">
        <v>2060</v>
      </c>
    </row>
    <row r="15" spans="2:14" ht="18" thickTop="1" thickBot="1" x14ac:dyDescent="0.25">
      <c r="B15" s="147" t="s">
        <v>102</v>
      </c>
      <c r="C15" s="148" t="s">
        <v>102</v>
      </c>
      <c r="D15" s="243">
        <f>'Population&amp;Demand Projections'!R16</f>
        <v>2</v>
      </c>
      <c r="E15" s="243">
        <f>'Population&amp;Demand Projections'!S16</f>
        <v>2.5</v>
      </c>
      <c r="F15" s="243">
        <f>'Population&amp;Demand Projections'!T16</f>
        <v>3.2</v>
      </c>
      <c r="G15" s="243">
        <f>'Population&amp;Demand Projections'!U16</f>
        <v>3.8</v>
      </c>
      <c r="H15" s="243">
        <f>'Population&amp;Demand Projections'!V16</f>
        <v>4.5</v>
      </c>
      <c r="I15" s="243">
        <f>'Population&amp;Demand Projections'!W16</f>
        <v>5.2</v>
      </c>
      <c r="J15" s="243">
        <f>'Population&amp;Demand Projections'!X16</f>
        <v>6</v>
      </c>
      <c r="K15" s="243">
        <f>'Population&amp;Demand Projections'!Y16</f>
        <v>6.3</v>
      </c>
      <c r="L15" s="243">
        <f>'Population&amp;Demand Projections'!Z16</f>
        <v>6.6</v>
      </c>
      <c r="M15" s="243">
        <f>'Population&amp;Demand Projections'!AA16</f>
        <v>6.65</v>
      </c>
      <c r="N15" s="243">
        <f>'Population&amp;Demand Projections'!AB16</f>
        <v>6.7</v>
      </c>
    </row>
    <row r="16" spans="2:14" ht="17.25" thickBot="1" x14ac:dyDescent="0.25">
      <c r="B16" s="147" t="s">
        <v>103</v>
      </c>
      <c r="C16" s="148" t="s">
        <v>103</v>
      </c>
      <c r="D16" s="244">
        <f>'Population&amp;Demand Projections'!R20</f>
        <v>0.6</v>
      </c>
      <c r="E16" s="244">
        <f>'Population&amp;Demand Projections'!S20</f>
        <v>0.7</v>
      </c>
      <c r="F16" s="244">
        <f>'Population&amp;Demand Projections'!T20</f>
        <v>0.9</v>
      </c>
      <c r="G16" s="244">
        <f>'Population&amp;Demand Projections'!U20</f>
        <v>1</v>
      </c>
      <c r="H16" s="244">
        <f>'Population&amp;Demand Projections'!V20</f>
        <v>1.1000000000000001</v>
      </c>
      <c r="I16" s="244">
        <f>'Population&amp;Demand Projections'!W20</f>
        <v>1.2</v>
      </c>
      <c r="J16" s="244">
        <f>'Population&amp;Demand Projections'!X20</f>
        <v>1.3</v>
      </c>
      <c r="K16" s="244">
        <f>'Population&amp;Demand Projections'!Y20</f>
        <v>1.4</v>
      </c>
      <c r="L16" s="244">
        <f>'Population&amp;Demand Projections'!Z20</f>
        <v>1.5</v>
      </c>
      <c r="M16" s="244">
        <f>'Population&amp;Demand Projections'!AA20</f>
        <v>1.6</v>
      </c>
      <c r="N16" s="244">
        <f>'Population&amp;Demand Projections'!AB20</f>
        <v>1.7</v>
      </c>
    </row>
    <row r="17" spans="2:14" ht="17.25" thickBot="1" x14ac:dyDescent="0.25">
      <c r="B17" s="147" t="s">
        <v>104</v>
      </c>
      <c r="C17" s="148" t="s">
        <v>104</v>
      </c>
      <c r="D17" s="244">
        <f>'Population&amp;Demand Projections'!R22</f>
        <v>0.1</v>
      </c>
      <c r="E17" s="244">
        <f>'Population&amp;Demand Projections'!S22</f>
        <v>0.1</v>
      </c>
      <c r="F17" s="244">
        <f>'Population&amp;Demand Projections'!T22</f>
        <v>0.1</v>
      </c>
      <c r="G17" s="244">
        <f>'Population&amp;Demand Projections'!U22</f>
        <v>0.2</v>
      </c>
      <c r="H17" s="244">
        <f>'Population&amp;Demand Projections'!V22</f>
        <v>0.2</v>
      </c>
      <c r="I17" s="244">
        <f>'Population&amp;Demand Projections'!W22</f>
        <v>0.2</v>
      </c>
      <c r="J17" s="244">
        <f>'Population&amp;Demand Projections'!X22</f>
        <v>0.3</v>
      </c>
      <c r="K17" s="244">
        <f>'Population&amp;Demand Projections'!Y22</f>
        <v>0.3</v>
      </c>
      <c r="L17" s="244">
        <f>'Population&amp;Demand Projections'!Z22</f>
        <v>0.3</v>
      </c>
      <c r="M17" s="244">
        <f>'Population&amp;Demand Projections'!AA22</f>
        <v>0.3</v>
      </c>
      <c r="N17" s="244">
        <f>'Population&amp;Demand Projections'!AB22</f>
        <v>0.3</v>
      </c>
    </row>
    <row r="18" spans="2:14" ht="17.25" thickBot="1" x14ac:dyDescent="0.25">
      <c r="B18" s="147" t="s">
        <v>105</v>
      </c>
      <c r="C18" s="148" t="s">
        <v>105</v>
      </c>
      <c r="D18" s="244">
        <f>'Population&amp;Demand Projections'!R24</f>
        <v>0.1</v>
      </c>
      <c r="E18" s="244">
        <f>'Population&amp;Demand Projections'!S24</f>
        <v>0.1</v>
      </c>
      <c r="F18" s="244">
        <f>'Population&amp;Demand Projections'!T24</f>
        <v>0.1</v>
      </c>
      <c r="G18" s="244">
        <f>'Population&amp;Demand Projections'!U24</f>
        <v>0.1</v>
      </c>
      <c r="H18" s="244">
        <f>'Population&amp;Demand Projections'!V24</f>
        <v>0.1</v>
      </c>
      <c r="I18" s="244">
        <f>'Population&amp;Demand Projections'!W24</f>
        <v>0.2</v>
      </c>
      <c r="J18" s="244">
        <f>'Population&amp;Demand Projections'!X24</f>
        <v>0.2</v>
      </c>
      <c r="K18" s="244">
        <f>'Population&amp;Demand Projections'!Y24</f>
        <v>0.2</v>
      </c>
      <c r="L18" s="244">
        <f>'Population&amp;Demand Projections'!Z24</f>
        <v>0.2</v>
      </c>
      <c r="M18" s="244">
        <f>'Population&amp;Demand Projections'!AA24</f>
        <v>0.2</v>
      </c>
      <c r="N18" s="244">
        <f>'Population&amp;Demand Projections'!AB24</f>
        <v>0.2</v>
      </c>
    </row>
    <row r="19" spans="2:14" ht="17.25" thickBot="1" x14ac:dyDescent="0.25">
      <c r="B19" s="147" t="s">
        <v>111</v>
      </c>
      <c r="C19" s="148" t="s">
        <v>366</v>
      </c>
      <c r="D19" s="244">
        <f>'Population&amp;Demand Projections'!R29</f>
        <v>0.03</v>
      </c>
      <c r="E19" s="244">
        <f>'Population&amp;Demand Projections'!S29</f>
        <v>0.03</v>
      </c>
      <c r="F19" s="244">
        <f>'Population&amp;Demand Projections'!T29</f>
        <v>0.04</v>
      </c>
      <c r="G19" s="244">
        <f>'Population&amp;Demand Projections'!U29</f>
        <v>0.05</v>
      </c>
      <c r="H19" s="244">
        <f>'Population&amp;Demand Projections'!V29</f>
        <v>0.1</v>
      </c>
      <c r="I19" s="244">
        <f>'Population&amp;Demand Projections'!W29</f>
        <v>0.1</v>
      </c>
      <c r="J19" s="244">
        <f>'Population&amp;Demand Projections'!X29</f>
        <v>0.1</v>
      </c>
      <c r="K19" s="244">
        <f>'Population&amp;Demand Projections'!Y29</f>
        <v>0.1</v>
      </c>
      <c r="L19" s="244">
        <f>'Population&amp;Demand Projections'!Z29</f>
        <v>0.1</v>
      </c>
      <c r="M19" s="244">
        <f>'Population&amp;Demand Projections'!AA29</f>
        <v>0.1</v>
      </c>
      <c r="N19" s="244">
        <f>'Population&amp;Demand Projections'!AB29</f>
        <v>0.1</v>
      </c>
    </row>
    <row r="20" spans="2:14" ht="17.25" thickBot="1" x14ac:dyDescent="0.25">
      <c r="B20" s="147" t="s">
        <v>111</v>
      </c>
      <c r="C20" s="148" t="s">
        <v>113</v>
      </c>
      <c r="D20" s="244">
        <f>'Population&amp;Demand Projections'!R30</f>
        <v>0.5</v>
      </c>
      <c r="E20" s="244">
        <f>'Population&amp;Demand Projections'!S30</f>
        <v>0.6</v>
      </c>
      <c r="F20" s="244">
        <f>'Population&amp;Demand Projections'!T30</f>
        <v>0.8</v>
      </c>
      <c r="G20" s="244">
        <f>'Population&amp;Demand Projections'!U30</f>
        <v>1</v>
      </c>
      <c r="H20" s="244">
        <f>'Population&amp;Demand Projections'!V30</f>
        <v>1.1000000000000001</v>
      </c>
      <c r="I20" s="244">
        <f>'Population&amp;Demand Projections'!W30</f>
        <v>1.3</v>
      </c>
      <c r="J20" s="244">
        <f>'Population&amp;Demand Projections'!X30</f>
        <v>1.4</v>
      </c>
      <c r="K20" s="244">
        <f>'Population&amp;Demand Projections'!Y30</f>
        <v>1.5</v>
      </c>
      <c r="L20" s="244">
        <f>'Population&amp;Demand Projections'!Z30</f>
        <v>1.6</v>
      </c>
      <c r="M20" s="244">
        <f>'Population&amp;Demand Projections'!AA30</f>
        <v>1.65</v>
      </c>
      <c r="N20" s="244">
        <f>'Population&amp;Demand Projections'!AB30</f>
        <v>1.7</v>
      </c>
    </row>
    <row r="21" spans="2:14" ht="17.25" thickBot="1" x14ac:dyDescent="0.25">
      <c r="B21" s="147" t="s">
        <v>112</v>
      </c>
      <c r="C21" s="148" t="s">
        <v>114</v>
      </c>
      <c r="D21" s="244">
        <f>'Population&amp;Demand Projections'!R31</f>
        <v>0.3</v>
      </c>
      <c r="E21" s="244">
        <f>'Population&amp;Demand Projections'!S31</f>
        <v>0.3</v>
      </c>
      <c r="F21" s="244">
        <f>'Population&amp;Demand Projections'!T31</f>
        <v>0.4</v>
      </c>
      <c r="G21" s="244">
        <f>'Population&amp;Demand Projections'!U31</f>
        <v>0.5</v>
      </c>
      <c r="H21" s="244">
        <f>'Population&amp;Demand Projections'!V31</f>
        <v>0.5</v>
      </c>
      <c r="I21" s="244">
        <f>'Population&amp;Demand Projections'!W31</f>
        <v>0.6</v>
      </c>
      <c r="J21" s="244">
        <f>'Population&amp;Demand Projections'!X31</f>
        <v>0.7</v>
      </c>
      <c r="K21" s="244">
        <f>'Population&amp;Demand Projections'!Y31</f>
        <v>0.75</v>
      </c>
      <c r="L21" s="244">
        <f>'Population&amp;Demand Projections'!Z31</f>
        <v>0.8</v>
      </c>
      <c r="M21" s="244">
        <f>'Population&amp;Demand Projections'!AA31</f>
        <v>0.8</v>
      </c>
      <c r="N21" s="244">
        <f>'Population&amp;Demand Projections'!AB31</f>
        <v>0.8</v>
      </c>
    </row>
    <row r="22" spans="2:14" ht="18" thickTop="1" thickBot="1" x14ac:dyDescent="0.25">
      <c r="B22" s="133" t="s">
        <v>117</v>
      </c>
      <c r="C22" s="134"/>
      <c r="D22" s="146">
        <f>'Population&amp;Demand Projections'!R33</f>
        <v>3.5</v>
      </c>
      <c r="E22" s="146">
        <f>'Population&amp;Demand Projections'!S33</f>
        <v>4.2</v>
      </c>
      <c r="F22" s="146">
        <f>'Population&amp;Demand Projections'!T33</f>
        <v>5.5</v>
      </c>
      <c r="G22" s="146">
        <f>'Population&amp;Demand Projections'!U33</f>
        <v>6.6</v>
      </c>
      <c r="H22" s="146">
        <f>'Population&amp;Demand Projections'!V33</f>
        <v>7.6</v>
      </c>
      <c r="I22" s="146">
        <f>'Population&amp;Demand Projections'!W33</f>
        <v>8.8000000000000007</v>
      </c>
      <c r="J22" s="146">
        <f>'Population&amp;Demand Projections'!X33</f>
        <v>9.9</v>
      </c>
      <c r="K22" s="146">
        <f>'Population&amp;Demand Projections'!Y33</f>
        <v>10.549999999999999</v>
      </c>
      <c r="L22" s="146">
        <f>'Population&amp;Demand Projections'!Z33</f>
        <v>11</v>
      </c>
      <c r="M22" s="146">
        <f>'Population&amp;Demand Projections'!AA33</f>
        <v>11.3</v>
      </c>
      <c r="N22" s="146">
        <f>'Population&amp;Demand Projections'!AB33</f>
        <v>11.6</v>
      </c>
    </row>
    <row r="23" spans="2:14" ht="13.5" thickTop="1" x14ac:dyDescent="0.2">
      <c r="K23" s="302"/>
      <c r="L23" s="302"/>
      <c r="M23" s="302"/>
      <c r="N23" s="302"/>
    </row>
    <row r="24" spans="2:14" ht="13.5" thickBot="1" x14ac:dyDescent="0.25">
      <c r="B24" s="152" t="s">
        <v>229</v>
      </c>
    </row>
    <row r="25" spans="2:14" ht="17.25" thickTop="1" thickBot="1" x14ac:dyDescent="0.25">
      <c r="B25" s="130" t="s">
        <v>109</v>
      </c>
      <c r="C25" s="328" t="s">
        <v>110</v>
      </c>
      <c r="D25" s="328">
        <v>2010</v>
      </c>
      <c r="E25" s="328">
        <v>2015</v>
      </c>
      <c r="F25" s="328">
        <v>2020</v>
      </c>
      <c r="G25" s="328">
        <v>2025</v>
      </c>
      <c r="H25" s="328">
        <v>2030</v>
      </c>
      <c r="I25" s="328">
        <v>2035</v>
      </c>
      <c r="J25" s="328">
        <v>2040</v>
      </c>
      <c r="K25" s="328">
        <v>2045</v>
      </c>
      <c r="L25" s="328">
        <v>2050</v>
      </c>
      <c r="M25" s="328">
        <v>2055</v>
      </c>
      <c r="N25" s="328">
        <v>2060</v>
      </c>
    </row>
    <row r="26" spans="2:14" ht="18" thickTop="1" thickBot="1" x14ac:dyDescent="0.25">
      <c r="B26" s="147" t="s">
        <v>102</v>
      </c>
      <c r="C26" s="148" t="s">
        <v>368</v>
      </c>
      <c r="D26" s="243">
        <f>'Population&amp;Demand Projections'!AF17</f>
        <v>6.4</v>
      </c>
      <c r="E26" s="243">
        <f>'Population&amp;Demand Projections'!AG17</f>
        <v>7.1</v>
      </c>
      <c r="F26" s="243">
        <f>'Population&amp;Demand Projections'!AH17</f>
        <v>8.4</v>
      </c>
      <c r="G26" s="243">
        <f>'Population&amp;Demand Projections'!AI17</f>
        <v>9.6</v>
      </c>
      <c r="H26" s="243">
        <f>'Population&amp;Demand Projections'!AJ17</f>
        <v>10.5</v>
      </c>
      <c r="I26" s="243">
        <f>'Population&amp;Demand Projections'!AK17</f>
        <v>11.4</v>
      </c>
      <c r="J26" s="243">
        <f>'Population&amp;Demand Projections'!AL17</f>
        <v>12.1</v>
      </c>
      <c r="K26" s="243">
        <f>'Population&amp;Demand Projections'!AM17</f>
        <v>12.75</v>
      </c>
      <c r="L26" s="243">
        <f>'Population&amp;Demand Projections'!AN17</f>
        <v>13.4</v>
      </c>
      <c r="M26" s="243">
        <f>'Population&amp;Demand Projections'!AO17</f>
        <v>13.4</v>
      </c>
      <c r="N26" s="243">
        <f>'Population&amp;Demand Projections'!AP17</f>
        <v>13.4</v>
      </c>
    </row>
    <row r="27" spans="2:14" ht="17.25" thickBot="1" x14ac:dyDescent="0.25">
      <c r="B27" s="147" t="s">
        <v>102</v>
      </c>
      <c r="C27" s="148" t="s">
        <v>367</v>
      </c>
      <c r="D27" s="244">
        <f>'Population&amp;Demand Projections'!AF18</f>
        <v>1.9</v>
      </c>
      <c r="E27" s="244">
        <f>'Population&amp;Demand Projections'!AG18</f>
        <v>2</v>
      </c>
      <c r="F27" s="244">
        <f>'Population&amp;Demand Projections'!AH18</f>
        <v>2.4</v>
      </c>
      <c r="G27" s="244">
        <f>'Population&amp;Demand Projections'!AI18</f>
        <v>2.5</v>
      </c>
      <c r="H27" s="244">
        <f>'Population&amp;Demand Projections'!AJ18</f>
        <v>2.6</v>
      </c>
      <c r="I27" s="244">
        <f>'Population&amp;Demand Projections'!AK18</f>
        <v>2.7</v>
      </c>
      <c r="J27" s="244">
        <f>'Population&amp;Demand Projections'!AL18</f>
        <v>2.7</v>
      </c>
      <c r="K27" s="244">
        <f>'Population&amp;Demand Projections'!AM18</f>
        <v>2.75</v>
      </c>
      <c r="L27" s="244">
        <f>'Population&amp;Demand Projections'!AN18</f>
        <v>2.8000000000000003</v>
      </c>
      <c r="M27" s="244">
        <f>'Population&amp;Demand Projections'!AO18</f>
        <v>2.8000000000000003</v>
      </c>
      <c r="N27" s="244">
        <f>'Population&amp;Demand Projections'!AP18</f>
        <v>2.8000000000000003</v>
      </c>
    </row>
    <row r="28" spans="2:14" ht="17.25" thickBot="1" x14ac:dyDescent="0.25">
      <c r="B28" s="147" t="s">
        <v>103</v>
      </c>
      <c r="C28" s="148" t="s">
        <v>103</v>
      </c>
      <c r="D28" s="244">
        <f>'Population&amp;Demand Projections'!AF20</f>
        <v>2.8000000000000003</v>
      </c>
      <c r="E28" s="244">
        <f>'Population&amp;Demand Projections'!AG20</f>
        <v>3.6999999999999997</v>
      </c>
      <c r="F28" s="244">
        <f>'Population&amp;Demand Projections'!AH20</f>
        <v>4.2</v>
      </c>
      <c r="G28" s="244">
        <f>'Population&amp;Demand Projections'!AI20</f>
        <v>4.8000000000000007</v>
      </c>
      <c r="H28" s="244">
        <f>'Population&amp;Demand Projections'!AJ20</f>
        <v>5.3000000000000007</v>
      </c>
      <c r="I28" s="244">
        <f>'Population&amp;Demand Projections'!AK20</f>
        <v>5.6000000000000005</v>
      </c>
      <c r="J28" s="244">
        <f>'Population&amp;Demand Projections'!AL20</f>
        <v>5.8000000000000007</v>
      </c>
      <c r="K28" s="244">
        <f>'Population&amp;Demand Projections'!AM20</f>
        <v>6</v>
      </c>
      <c r="L28" s="244">
        <f>'Population&amp;Demand Projections'!AN20</f>
        <v>6.2</v>
      </c>
      <c r="M28" s="244">
        <f>'Population&amp;Demand Projections'!AO20</f>
        <v>6.2</v>
      </c>
      <c r="N28" s="244">
        <f>'Population&amp;Demand Projections'!AP20</f>
        <v>6.2</v>
      </c>
    </row>
    <row r="29" spans="2:14" ht="17.25" thickBot="1" x14ac:dyDescent="0.25">
      <c r="B29" s="147" t="s">
        <v>104</v>
      </c>
      <c r="C29" s="148" t="s">
        <v>104</v>
      </c>
      <c r="D29" s="244">
        <f>'Population&amp;Demand Projections'!AF22</f>
        <v>0.1</v>
      </c>
      <c r="E29" s="244">
        <f>'Population&amp;Demand Projections'!AG22</f>
        <v>0.2</v>
      </c>
      <c r="F29" s="244">
        <f>'Population&amp;Demand Projections'!AH22</f>
        <v>0.2</v>
      </c>
      <c r="G29" s="244">
        <f>'Population&amp;Demand Projections'!AI22</f>
        <v>0.4</v>
      </c>
      <c r="H29" s="244">
        <f>'Population&amp;Demand Projections'!AJ22</f>
        <v>0.5</v>
      </c>
      <c r="I29" s="244">
        <f>'Population&amp;Demand Projections'!AK22</f>
        <v>0.7</v>
      </c>
      <c r="J29" s="244">
        <f>'Population&amp;Demand Projections'!AL22</f>
        <v>0.79999999999999993</v>
      </c>
      <c r="K29" s="244">
        <f>'Population&amp;Demand Projections'!AM22</f>
        <v>0.85</v>
      </c>
      <c r="L29" s="244">
        <f>'Population&amp;Demand Projections'!AN22</f>
        <v>0.9</v>
      </c>
      <c r="M29" s="244">
        <f>'Population&amp;Demand Projections'!AO22</f>
        <v>0.9</v>
      </c>
      <c r="N29" s="244">
        <f>'Population&amp;Demand Projections'!AP22</f>
        <v>0.9</v>
      </c>
    </row>
    <row r="30" spans="2:14" ht="17.25" thickBot="1" x14ac:dyDescent="0.25">
      <c r="B30" s="147" t="s">
        <v>105</v>
      </c>
      <c r="C30" s="148" t="s">
        <v>105</v>
      </c>
      <c r="D30" s="244">
        <f>'Population&amp;Demand Projections'!AF24</f>
        <v>0.2</v>
      </c>
      <c r="E30" s="244">
        <f>'Population&amp;Demand Projections'!AG24</f>
        <v>0.2</v>
      </c>
      <c r="F30" s="244">
        <f>'Population&amp;Demand Projections'!AH24</f>
        <v>0.30000000000000004</v>
      </c>
      <c r="G30" s="244">
        <f>'Population&amp;Demand Projections'!AI24</f>
        <v>0.30000000000000004</v>
      </c>
      <c r="H30" s="244">
        <f>'Population&amp;Demand Projections'!AJ24</f>
        <v>0.4</v>
      </c>
      <c r="I30" s="244">
        <f>'Population&amp;Demand Projections'!AK24</f>
        <v>0.30000000000000004</v>
      </c>
      <c r="J30" s="244">
        <f>'Population&amp;Demand Projections'!AL24</f>
        <v>0.4</v>
      </c>
      <c r="K30" s="244">
        <f>'Population&amp;Demand Projections'!AM24</f>
        <v>0.4</v>
      </c>
      <c r="L30" s="244">
        <f>'Population&amp;Demand Projections'!AN24</f>
        <v>0.4</v>
      </c>
      <c r="M30" s="244">
        <f>'Population&amp;Demand Projections'!AO24</f>
        <v>0.4</v>
      </c>
      <c r="N30" s="244">
        <f>'Population&amp;Demand Projections'!AP24</f>
        <v>0.4</v>
      </c>
    </row>
    <row r="31" spans="2:14" ht="17.25" thickBot="1" x14ac:dyDescent="0.25">
      <c r="B31" s="147" t="s">
        <v>330</v>
      </c>
      <c r="C31" s="148" t="s">
        <v>330</v>
      </c>
      <c r="D31" s="244">
        <f>'Population&amp;Demand Projections'!AF26</f>
        <v>0.1</v>
      </c>
      <c r="E31" s="244">
        <f>'Population&amp;Demand Projections'!AG26</f>
        <v>0.1</v>
      </c>
      <c r="F31" s="244">
        <f>'Population&amp;Demand Projections'!AH26</f>
        <v>0.1</v>
      </c>
      <c r="G31" s="244">
        <f>'Population&amp;Demand Projections'!AI26</f>
        <v>0.1</v>
      </c>
      <c r="H31" s="244">
        <f>'Population&amp;Demand Projections'!AJ26</f>
        <v>0.1</v>
      </c>
      <c r="I31" s="244">
        <f>'Population&amp;Demand Projections'!AK26</f>
        <v>0.1</v>
      </c>
      <c r="J31" s="244">
        <f>'Population&amp;Demand Projections'!AL26</f>
        <v>0.1</v>
      </c>
      <c r="K31" s="244">
        <f>'Population&amp;Demand Projections'!AM26</f>
        <v>0.1</v>
      </c>
      <c r="L31" s="244">
        <f>'Population&amp;Demand Projections'!AN26</f>
        <v>0.1</v>
      </c>
      <c r="M31" s="244">
        <f>'Population&amp;Demand Projections'!AO26</f>
        <v>0.1</v>
      </c>
      <c r="N31" s="244">
        <f>'Population&amp;Demand Projections'!AP26</f>
        <v>0.1</v>
      </c>
    </row>
    <row r="32" spans="2:14" ht="17.25" thickBot="1" x14ac:dyDescent="0.25">
      <c r="B32" s="147" t="s">
        <v>111</v>
      </c>
      <c r="C32" s="148" t="s">
        <v>366</v>
      </c>
      <c r="D32" s="244">
        <f>'Population&amp;Demand Projections'!AF29</f>
        <v>0.2</v>
      </c>
      <c r="E32" s="244">
        <f>'Population&amp;Demand Projections'!AG29</f>
        <v>0.3</v>
      </c>
      <c r="F32" s="244">
        <f>'Population&amp;Demand Projections'!AH29</f>
        <v>0.3</v>
      </c>
      <c r="G32" s="244">
        <f>'Population&amp;Demand Projections'!AI29</f>
        <v>0.4</v>
      </c>
      <c r="H32" s="244">
        <f>'Population&amp;Demand Projections'!AJ29</f>
        <v>0.4</v>
      </c>
      <c r="I32" s="244">
        <f>'Population&amp;Demand Projections'!AK29</f>
        <v>0.4</v>
      </c>
      <c r="J32" s="244">
        <f>'Population&amp;Demand Projections'!AL29</f>
        <v>0.4</v>
      </c>
      <c r="K32" s="244">
        <f>'Population&amp;Demand Projections'!AM29</f>
        <v>0.45</v>
      </c>
      <c r="L32" s="244">
        <f>'Population&amp;Demand Projections'!AN29</f>
        <v>0.5</v>
      </c>
      <c r="M32" s="244">
        <f>'Population&amp;Demand Projections'!AO29</f>
        <v>0.5</v>
      </c>
      <c r="N32" s="244">
        <f>'Population&amp;Demand Projections'!AP29</f>
        <v>0.5</v>
      </c>
    </row>
    <row r="33" spans="2:14" ht="17.25" thickBot="1" x14ac:dyDescent="0.25">
      <c r="B33" s="147" t="s">
        <v>111</v>
      </c>
      <c r="C33" s="148" t="s">
        <v>113</v>
      </c>
      <c r="D33" s="244">
        <f>'Population&amp;Demand Projections'!AF30</f>
        <v>2.7000000000000028</v>
      </c>
      <c r="E33" s="244">
        <f>'Population&amp;Demand Projections'!AG30</f>
        <v>2.4000000000000021</v>
      </c>
      <c r="F33" s="244">
        <f>'Population&amp;Demand Projections'!AH30</f>
        <v>2.7999999999999972</v>
      </c>
      <c r="G33" s="244">
        <f>'Population&amp;Demand Projections'!AI30</f>
        <v>3.2000000000000028</v>
      </c>
      <c r="H33" s="244">
        <f>'Population&amp;Demand Projections'!AJ30</f>
        <v>3.5000000000000036</v>
      </c>
      <c r="I33" s="244">
        <f>'Population&amp;Demand Projections'!AK30</f>
        <v>3.8000000000000007</v>
      </c>
      <c r="J33" s="244">
        <f>'Population&amp;Demand Projections'!AL30</f>
        <v>3.9999999999999964</v>
      </c>
      <c r="K33" s="244">
        <f>'Population&amp;Demand Projections'!AM30</f>
        <v>4.1500000000000004</v>
      </c>
      <c r="L33" s="244">
        <f>'Population&amp;Demand Projections'!AN30</f>
        <v>4.3000000000000043</v>
      </c>
      <c r="M33" s="244">
        <f>'Population&amp;Demand Projections'!AO30</f>
        <v>4.3000000000000043</v>
      </c>
      <c r="N33" s="244">
        <f>'Population&amp;Demand Projections'!AP30</f>
        <v>4.3000000000000043</v>
      </c>
    </row>
    <row r="34" spans="2:14" ht="17.25" thickBot="1" x14ac:dyDescent="0.25">
      <c r="B34" s="147" t="s">
        <v>112</v>
      </c>
      <c r="C34" s="148" t="s">
        <v>114</v>
      </c>
      <c r="D34" s="244">
        <f>'Population&amp;Demand Projections'!AF31</f>
        <v>0.5</v>
      </c>
      <c r="E34" s="244">
        <f>'Population&amp;Demand Projections'!AG31</f>
        <v>0.7</v>
      </c>
      <c r="F34" s="244">
        <f>'Population&amp;Demand Projections'!AH31</f>
        <v>0.8</v>
      </c>
      <c r="G34" s="244">
        <f>'Population&amp;Demand Projections'!AI31</f>
        <v>0.9</v>
      </c>
      <c r="H34" s="244">
        <f>'Population&amp;Demand Projections'!AJ31</f>
        <v>1</v>
      </c>
      <c r="I34" s="244">
        <f>'Population&amp;Demand Projections'!AK31</f>
        <v>1</v>
      </c>
      <c r="J34" s="244">
        <f>'Population&amp;Demand Projections'!AL31</f>
        <v>1.1000000000000001</v>
      </c>
      <c r="K34" s="244">
        <f>'Population&amp;Demand Projections'!AM31</f>
        <v>1.1499999999999999</v>
      </c>
      <c r="L34" s="244">
        <f>'Population&amp;Demand Projections'!AN31</f>
        <v>1.2</v>
      </c>
      <c r="M34" s="244">
        <f>'Population&amp;Demand Projections'!AO31</f>
        <v>1.2</v>
      </c>
      <c r="N34" s="244">
        <f>'Population&amp;Demand Projections'!AP31</f>
        <v>1.2</v>
      </c>
    </row>
    <row r="35" spans="2:14" ht="18" thickTop="1" thickBot="1" x14ac:dyDescent="0.25">
      <c r="B35" s="133" t="s">
        <v>117</v>
      </c>
      <c r="C35" s="134"/>
      <c r="D35" s="146">
        <f t="shared" ref="D35:N35" si="0">SUM(D26:D34)</f>
        <v>14.900000000000002</v>
      </c>
      <c r="E35" s="146">
        <f t="shared" si="0"/>
        <v>16.7</v>
      </c>
      <c r="F35" s="146">
        <f t="shared" si="0"/>
        <v>19.499999999999996</v>
      </c>
      <c r="G35" s="146">
        <f t="shared" si="0"/>
        <v>22.2</v>
      </c>
      <c r="H35" s="146">
        <f t="shared" si="0"/>
        <v>24.3</v>
      </c>
      <c r="I35" s="146">
        <f t="shared" si="0"/>
        <v>26.000000000000004</v>
      </c>
      <c r="J35" s="146">
        <f t="shared" si="0"/>
        <v>27.4</v>
      </c>
      <c r="K35" s="146">
        <f t="shared" si="0"/>
        <v>28.6</v>
      </c>
      <c r="L35" s="146">
        <f t="shared" si="0"/>
        <v>29.8</v>
      </c>
      <c r="M35" s="146">
        <f t="shared" si="0"/>
        <v>29.8</v>
      </c>
      <c r="N35" s="146">
        <f t="shared" si="0"/>
        <v>29.8</v>
      </c>
    </row>
    <row r="36" spans="2:14" ht="13.5" thickTop="1" x14ac:dyDescent="0.2">
      <c r="K36" s="302"/>
      <c r="L36" s="302"/>
      <c r="M36" s="302"/>
      <c r="N36" s="302"/>
    </row>
    <row r="37" spans="2:14" ht="13.5" thickBot="1" x14ac:dyDescent="0.25">
      <c r="B37" s="152" t="s">
        <v>230</v>
      </c>
    </row>
    <row r="38" spans="2:14" ht="17.25" thickTop="1" thickBot="1" x14ac:dyDescent="0.25">
      <c r="B38" s="130" t="s">
        <v>109</v>
      </c>
      <c r="C38" s="131" t="s">
        <v>110</v>
      </c>
      <c r="D38" s="131">
        <v>2010</v>
      </c>
      <c r="E38" s="131">
        <v>2015</v>
      </c>
      <c r="F38" s="131">
        <v>2020</v>
      </c>
      <c r="G38" s="131">
        <v>2025</v>
      </c>
      <c r="H38" s="131">
        <v>2030</v>
      </c>
      <c r="I38" s="131">
        <v>2035</v>
      </c>
      <c r="J38" s="131">
        <v>2040</v>
      </c>
      <c r="K38" s="131">
        <v>2045</v>
      </c>
      <c r="L38" s="131">
        <v>2050</v>
      </c>
      <c r="M38" s="131">
        <v>2055</v>
      </c>
      <c r="N38" s="131">
        <v>2060</v>
      </c>
    </row>
    <row r="39" spans="2:14" ht="18" thickTop="1" thickBot="1" x14ac:dyDescent="0.25">
      <c r="B39" s="147" t="s">
        <v>102</v>
      </c>
      <c r="C39" s="148" t="s">
        <v>368</v>
      </c>
      <c r="D39" s="243">
        <f>'Population&amp;Demand Projections'!AT17</f>
        <v>0.6</v>
      </c>
      <c r="E39" s="243">
        <f>'Population&amp;Demand Projections'!AU17</f>
        <v>0.7</v>
      </c>
      <c r="F39" s="243">
        <f>'Population&amp;Demand Projections'!AV17</f>
        <v>0.8</v>
      </c>
      <c r="G39" s="243">
        <f>'Population&amp;Demand Projections'!AW17</f>
        <v>1</v>
      </c>
      <c r="H39" s="243">
        <f>'Population&amp;Demand Projections'!AX17</f>
        <v>1</v>
      </c>
      <c r="I39" s="243">
        <f>'Population&amp;Demand Projections'!AY17</f>
        <v>1.1000000000000001</v>
      </c>
      <c r="J39" s="243">
        <f>'Population&amp;Demand Projections'!AZ17</f>
        <v>1.1000000000000001</v>
      </c>
      <c r="K39" s="243">
        <f>'Population&amp;Demand Projections'!BA17</f>
        <v>1.1500000000000001</v>
      </c>
      <c r="L39" s="243">
        <f>'Population&amp;Demand Projections'!BB17</f>
        <v>1.2000000000000002</v>
      </c>
      <c r="M39" s="243">
        <f>'Population&amp;Demand Projections'!BC17</f>
        <v>1.2500000000000002</v>
      </c>
      <c r="N39" s="243">
        <f>'Population&amp;Demand Projections'!BD17</f>
        <v>1.3000000000000003</v>
      </c>
    </row>
    <row r="40" spans="2:14" ht="17.25" thickBot="1" x14ac:dyDescent="0.25">
      <c r="B40" s="147" t="s">
        <v>102</v>
      </c>
      <c r="C40" s="148" t="s">
        <v>367</v>
      </c>
      <c r="D40" s="244">
        <f>'Population&amp;Demand Projections'!AT18</f>
        <v>0.3</v>
      </c>
      <c r="E40" s="244">
        <f>'Population&amp;Demand Projections'!AU18</f>
        <v>0.4</v>
      </c>
      <c r="F40" s="244">
        <f>'Population&amp;Demand Projections'!AV18</f>
        <v>0.4</v>
      </c>
      <c r="G40" s="244">
        <f>'Population&amp;Demand Projections'!AW18</f>
        <v>0.4</v>
      </c>
      <c r="H40" s="244">
        <f>'Population&amp;Demand Projections'!AX18</f>
        <v>0.4</v>
      </c>
      <c r="I40" s="244">
        <f>'Population&amp;Demand Projections'!AY18</f>
        <v>0.4</v>
      </c>
      <c r="J40" s="244">
        <f>'Population&amp;Demand Projections'!AZ18</f>
        <v>0.4</v>
      </c>
      <c r="K40" s="244">
        <f>'Population&amp;Demand Projections'!BA18</f>
        <v>0.4</v>
      </c>
      <c r="L40" s="244">
        <f>'Population&amp;Demand Projections'!BB18</f>
        <v>0.4</v>
      </c>
      <c r="M40" s="244">
        <f>'Population&amp;Demand Projections'!BC18</f>
        <v>0.4</v>
      </c>
      <c r="N40" s="244">
        <f>'Population&amp;Demand Projections'!BD18</f>
        <v>0.4</v>
      </c>
    </row>
    <row r="41" spans="2:14" ht="17.25" thickBot="1" x14ac:dyDescent="0.25">
      <c r="B41" s="147" t="s">
        <v>103</v>
      </c>
      <c r="C41" s="148" t="s">
        <v>103</v>
      </c>
      <c r="D41" s="244">
        <f>'Population&amp;Demand Projections'!AT20</f>
        <v>0.4</v>
      </c>
      <c r="E41" s="244">
        <f>'Population&amp;Demand Projections'!AU20</f>
        <v>0.5</v>
      </c>
      <c r="F41" s="244">
        <f>'Population&amp;Demand Projections'!AV20</f>
        <v>0.8</v>
      </c>
      <c r="G41" s="244">
        <f>'Population&amp;Demand Projections'!AW20</f>
        <v>0.8</v>
      </c>
      <c r="H41" s="244">
        <f>'Population&amp;Demand Projections'!AX20</f>
        <v>0.9</v>
      </c>
      <c r="I41" s="244">
        <f>'Population&amp;Demand Projections'!AY20</f>
        <v>1</v>
      </c>
      <c r="J41" s="244">
        <f>'Population&amp;Demand Projections'!AZ20</f>
        <v>1.1000000000000001</v>
      </c>
      <c r="K41" s="244">
        <f>'Population&amp;Demand Projections'!BA20</f>
        <v>1.1000000000000001</v>
      </c>
      <c r="L41" s="244">
        <f>'Population&amp;Demand Projections'!BB20</f>
        <v>1.1000000000000001</v>
      </c>
      <c r="M41" s="244">
        <f>'Population&amp;Demand Projections'!BC20</f>
        <v>1.1000000000000001</v>
      </c>
      <c r="N41" s="244">
        <f>'Population&amp;Demand Projections'!BD20</f>
        <v>1.1000000000000001</v>
      </c>
    </row>
    <row r="42" spans="2:14" ht="17.25" thickBot="1" x14ac:dyDescent="0.25">
      <c r="B42" s="147" t="s">
        <v>104</v>
      </c>
      <c r="C42" s="148" t="s">
        <v>104</v>
      </c>
      <c r="D42" s="244">
        <f>'Population&amp;Demand Projections'!AT22</f>
        <v>0.01</v>
      </c>
      <c r="E42" s="244">
        <f>'Population&amp;Demand Projections'!AU22</f>
        <v>0.02</v>
      </c>
      <c r="F42" s="244">
        <f>'Population&amp;Demand Projections'!AV22</f>
        <v>0.03</v>
      </c>
      <c r="G42" s="244">
        <f>'Population&amp;Demand Projections'!AW22</f>
        <v>0.04</v>
      </c>
      <c r="H42" s="244">
        <f>'Population&amp;Demand Projections'!AX22</f>
        <v>6.0000000000000005E-2</v>
      </c>
      <c r="I42" s="244">
        <f>'Population&amp;Demand Projections'!AY22</f>
        <v>0.1</v>
      </c>
      <c r="J42" s="244">
        <f>'Population&amp;Demand Projections'!AZ22</f>
        <v>0.1</v>
      </c>
      <c r="K42" s="244">
        <f>'Population&amp;Demand Projections'!BA22</f>
        <v>0.1</v>
      </c>
      <c r="L42" s="244">
        <f>'Population&amp;Demand Projections'!BB22</f>
        <v>0.1</v>
      </c>
      <c r="M42" s="244">
        <f>'Population&amp;Demand Projections'!BC22</f>
        <v>0.1</v>
      </c>
      <c r="N42" s="244">
        <f>'Population&amp;Demand Projections'!BD22</f>
        <v>0.1</v>
      </c>
    </row>
    <row r="43" spans="2:14" ht="17.25" thickBot="1" x14ac:dyDescent="0.25">
      <c r="B43" s="147" t="s">
        <v>105</v>
      </c>
      <c r="C43" s="148" t="s">
        <v>105</v>
      </c>
      <c r="D43" s="244">
        <f>'Population&amp;Demand Projections'!AT24</f>
        <v>0.01</v>
      </c>
      <c r="E43" s="244">
        <f>'Population&amp;Demand Projections'!AU24</f>
        <v>0.01</v>
      </c>
      <c r="F43" s="244">
        <f>'Population&amp;Demand Projections'!AV24</f>
        <v>0.01</v>
      </c>
      <c r="G43" s="244">
        <f>'Population&amp;Demand Projections'!AW24</f>
        <v>0.01</v>
      </c>
      <c r="H43" s="244">
        <f>'Population&amp;Demand Projections'!AX24</f>
        <v>0.02</v>
      </c>
      <c r="I43" s="244">
        <f>'Population&amp;Demand Projections'!AY24</f>
        <v>0.02</v>
      </c>
      <c r="J43" s="244">
        <f>'Population&amp;Demand Projections'!AZ24</f>
        <v>0.02</v>
      </c>
      <c r="K43" s="244">
        <f>'Population&amp;Demand Projections'!BA24</f>
        <v>0.02</v>
      </c>
      <c r="L43" s="244">
        <f>'Population&amp;Demand Projections'!BB24</f>
        <v>0.02</v>
      </c>
      <c r="M43" s="244">
        <f>'Population&amp;Demand Projections'!BC24</f>
        <v>2.5000000000000001E-2</v>
      </c>
      <c r="N43" s="244">
        <f>'Population&amp;Demand Projections'!BD24</f>
        <v>0.03</v>
      </c>
    </row>
    <row r="44" spans="2:14" ht="17.25" thickBot="1" x14ac:dyDescent="0.25">
      <c r="B44" s="147" t="s">
        <v>111</v>
      </c>
      <c r="C44" s="148" t="s">
        <v>366</v>
      </c>
      <c r="D44" s="244">
        <f>'Population&amp;Demand Projections'!AT29</f>
        <v>0</v>
      </c>
      <c r="E44" s="244">
        <f>'Population&amp;Demand Projections'!AU29</f>
        <v>0</v>
      </c>
      <c r="F44" s="244">
        <f>'Population&amp;Demand Projections'!AV29</f>
        <v>0</v>
      </c>
      <c r="G44" s="244">
        <f>'Population&amp;Demand Projections'!AW29</f>
        <v>0</v>
      </c>
      <c r="H44" s="244">
        <f>'Population&amp;Demand Projections'!AX29</f>
        <v>0</v>
      </c>
      <c r="I44" s="244">
        <f>'Population&amp;Demand Projections'!AY29</f>
        <v>0.1</v>
      </c>
      <c r="J44" s="244">
        <f>'Population&amp;Demand Projections'!AZ29</f>
        <v>0.1</v>
      </c>
      <c r="K44" s="244">
        <f>'Population&amp;Demand Projections'!BA29</f>
        <v>0.1</v>
      </c>
      <c r="L44" s="244">
        <f>'Population&amp;Demand Projections'!BB29</f>
        <v>0.1</v>
      </c>
      <c r="M44" s="244">
        <f>'Population&amp;Demand Projections'!BC29</f>
        <v>0.1</v>
      </c>
      <c r="N44" s="244">
        <f>'Population&amp;Demand Projections'!BD29</f>
        <v>0.1</v>
      </c>
    </row>
    <row r="45" spans="2:14" ht="17.25" thickBot="1" x14ac:dyDescent="0.25">
      <c r="B45" s="147" t="s">
        <v>111</v>
      </c>
      <c r="C45" s="148" t="s">
        <v>113</v>
      </c>
      <c r="D45" s="244">
        <f>'Population&amp;Demand Projections'!AT30</f>
        <v>0.29999999999999982</v>
      </c>
      <c r="E45" s="244">
        <f>'Population&amp;Demand Projections'!AU30</f>
        <v>0.29999999999999982</v>
      </c>
      <c r="F45" s="244">
        <f>'Population&amp;Demand Projections'!AV30</f>
        <v>0.39999999999999991</v>
      </c>
      <c r="G45" s="244">
        <f>'Population&amp;Demand Projections'!AW30</f>
        <v>0.39999999999999991</v>
      </c>
      <c r="H45" s="244">
        <f>'Population&amp;Demand Projections'!AX30</f>
        <v>0.39999999999999991</v>
      </c>
      <c r="I45" s="244">
        <f>'Population&amp;Demand Projections'!AY30</f>
        <v>0.49999999999999956</v>
      </c>
      <c r="J45" s="244">
        <f>'Population&amp;Demand Projections'!AZ30</f>
        <v>0.49999999999999956</v>
      </c>
      <c r="K45" s="244">
        <f>'Population&amp;Demand Projections'!BA30</f>
        <v>0.49999999999999978</v>
      </c>
      <c r="L45" s="244">
        <f>'Population&amp;Demand Projections'!BB30</f>
        <v>0.5</v>
      </c>
      <c r="M45" s="244">
        <f>'Population&amp;Demand Projections'!BC30</f>
        <v>0.5</v>
      </c>
      <c r="N45" s="244">
        <f>'Population&amp;Demand Projections'!BD30</f>
        <v>0.5</v>
      </c>
    </row>
    <row r="46" spans="2:14" ht="17.25" thickBot="1" x14ac:dyDescent="0.25">
      <c r="B46" s="147" t="s">
        <v>112</v>
      </c>
      <c r="C46" s="148" t="s">
        <v>114</v>
      </c>
      <c r="D46" s="244">
        <f>'Population&amp;Demand Projections'!AT31</f>
        <v>0.1</v>
      </c>
      <c r="E46" s="244">
        <f>'Population&amp;Demand Projections'!AU31</f>
        <v>0.1</v>
      </c>
      <c r="F46" s="244">
        <f>'Population&amp;Demand Projections'!AV31</f>
        <v>0.1</v>
      </c>
      <c r="G46" s="244">
        <f>'Population&amp;Demand Projections'!AW31</f>
        <v>0.1</v>
      </c>
      <c r="H46" s="244">
        <f>'Population&amp;Demand Projections'!AX31</f>
        <v>0.1</v>
      </c>
      <c r="I46" s="244">
        <f>'Population&amp;Demand Projections'!AY31</f>
        <v>0.1</v>
      </c>
      <c r="J46" s="244">
        <f>'Population&amp;Demand Projections'!AZ31</f>
        <v>0.1</v>
      </c>
      <c r="K46" s="244">
        <f>'Population&amp;Demand Projections'!BA31</f>
        <v>0.1</v>
      </c>
      <c r="L46" s="244">
        <f>'Population&amp;Demand Projections'!BB31</f>
        <v>0.1</v>
      </c>
      <c r="M46" s="244">
        <f>'Population&amp;Demand Projections'!BC31</f>
        <v>0.1</v>
      </c>
      <c r="N46" s="244">
        <f>'Population&amp;Demand Projections'!BD31</f>
        <v>0.1</v>
      </c>
    </row>
    <row r="47" spans="2:14" ht="18" thickTop="1" thickBot="1" x14ac:dyDescent="0.25">
      <c r="B47" s="133" t="s">
        <v>117</v>
      </c>
      <c r="C47" s="134"/>
      <c r="D47" s="146">
        <f t="shared" ref="D47:N47" si="1">SUM(D39:D46)</f>
        <v>1.7199999999999998</v>
      </c>
      <c r="E47" s="146">
        <f t="shared" si="1"/>
        <v>2.0299999999999998</v>
      </c>
      <c r="F47" s="146">
        <f t="shared" si="1"/>
        <v>2.5399999999999996</v>
      </c>
      <c r="G47" s="146">
        <f t="shared" si="1"/>
        <v>2.75</v>
      </c>
      <c r="H47" s="146">
        <f t="shared" si="1"/>
        <v>2.88</v>
      </c>
      <c r="I47" s="146">
        <f t="shared" si="1"/>
        <v>3.32</v>
      </c>
      <c r="J47" s="146">
        <f t="shared" si="1"/>
        <v>3.42</v>
      </c>
      <c r="K47" s="146">
        <f t="shared" si="1"/>
        <v>3.47</v>
      </c>
      <c r="L47" s="146">
        <f t="shared" si="1"/>
        <v>3.5200000000000005</v>
      </c>
      <c r="M47" s="146">
        <f t="shared" si="1"/>
        <v>3.5750000000000006</v>
      </c>
      <c r="N47" s="146">
        <f t="shared" si="1"/>
        <v>3.6300000000000003</v>
      </c>
    </row>
    <row r="48" spans="2:14" ht="13.5" thickTop="1" x14ac:dyDescent="0.2">
      <c r="K48" s="302"/>
      <c r="L48" s="302"/>
      <c r="M48" s="302"/>
      <c r="N48" s="302"/>
    </row>
    <row r="49" spans="2:14" ht="13.5" thickBot="1" x14ac:dyDescent="0.25">
      <c r="B49" s="152" t="s">
        <v>167</v>
      </c>
    </row>
    <row r="50" spans="2:14" ht="17.25" thickTop="1" thickBot="1" x14ac:dyDescent="0.25">
      <c r="B50" s="130" t="s">
        <v>109</v>
      </c>
      <c r="C50" s="131" t="s">
        <v>110</v>
      </c>
      <c r="D50" s="131">
        <v>2010</v>
      </c>
      <c r="E50" s="131">
        <v>2015</v>
      </c>
      <c r="F50" s="131">
        <v>2020</v>
      </c>
      <c r="G50" s="131">
        <v>2025</v>
      </c>
      <c r="H50" s="131">
        <v>2030</v>
      </c>
      <c r="I50" s="131">
        <v>2035</v>
      </c>
      <c r="J50" s="131">
        <v>2040</v>
      </c>
      <c r="K50" s="131">
        <v>2045</v>
      </c>
      <c r="L50" s="131">
        <v>2050</v>
      </c>
      <c r="M50" s="131">
        <v>2055</v>
      </c>
      <c r="N50" s="131">
        <v>2060</v>
      </c>
    </row>
    <row r="51" spans="2:14" ht="18" thickTop="1" thickBot="1" x14ac:dyDescent="0.25">
      <c r="B51" s="147" t="s">
        <v>102</v>
      </c>
      <c r="C51" s="148" t="s">
        <v>368</v>
      </c>
      <c r="D51" s="243">
        <f>'Population&amp;Demand Projections'!BH17</f>
        <v>0</v>
      </c>
      <c r="E51" s="243">
        <f>'Population&amp;Demand Projections'!BI17</f>
        <v>0</v>
      </c>
      <c r="F51" s="243">
        <f>'Population&amp;Demand Projections'!BJ17</f>
        <v>0</v>
      </c>
      <c r="G51" s="243">
        <f>'Population&amp;Demand Projections'!BK17</f>
        <v>0</v>
      </c>
      <c r="H51" s="243">
        <f>'Population&amp;Demand Projections'!BL17</f>
        <v>0</v>
      </c>
      <c r="I51" s="243">
        <f>'Population&amp;Demand Projections'!BM17</f>
        <v>0</v>
      </c>
      <c r="J51" s="243">
        <f>'Population&amp;Demand Projections'!BN17</f>
        <v>0</v>
      </c>
      <c r="K51" s="243">
        <f>'Population&amp;Demand Projections'!BO17</f>
        <v>0</v>
      </c>
      <c r="L51" s="243">
        <f>'Population&amp;Demand Projections'!BP17</f>
        <v>0</v>
      </c>
      <c r="M51" s="243">
        <f>'Population&amp;Demand Projections'!BQ17</f>
        <v>0</v>
      </c>
      <c r="N51" s="243">
        <f>'Population&amp;Demand Projections'!BR17</f>
        <v>0</v>
      </c>
    </row>
    <row r="52" spans="2:14" ht="17.25" thickBot="1" x14ac:dyDescent="0.25">
      <c r="B52" s="147" t="s">
        <v>102</v>
      </c>
      <c r="C52" s="148" t="s">
        <v>367</v>
      </c>
      <c r="D52" s="317">
        <f>'Population&amp;Demand Projections'!BH18</f>
        <v>0</v>
      </c>
      <c r="E52" s="317">
        <f>'Population&amp;Demand Projections'!BI18</f>
        <v>0</v>
      </c>
      <c r="F52" s="317">
        <f>'Population&amp;Demand Projections'!BJ18</f>
        <v>0</v>
      </c>
      <c r="G52" s="317">
        <f>'Population&amp;Demand Projections'!BK18</f>
        <v>0</v>
      </c>
      <c r="H52" s="317">
        <f>'Population&amp;Demand Projections'!BL18</f>
        <v>0</v>
      </c>
      <c r="I52" s="317">
        <f>'Population&amp;Demand Projections'!BM18</f>
        <v>0</v>
      </c>
      <c r="J52" s="317">
        <f>'Population&amp;Demand Projections'!BN18</f>
        <v>0</v>
      </c>
      <c r="K52" s="317">
        <f>'Population&amp;Demand Projections'!BO18</f>
        <v>0</v>
      </c>
      <c r="L52" s="317">
        <f>'Population&amp;Demand Projections'!BP18</f>
        <v>0</v>
      </c>
      <c r="M52" s="317">
        <f>'Population&amp;Demand Projections'!BQ18</f>
        <v>0</v>
      </c>
      <c r="N52" s="317">
        <f>'Population&amp;Demand Projections'!BR18</f>
        <v>0</v>
      </c>
    </row>
    <row r="53" spans="2:14" ht="17.25" thickBot="1" x14ac:dyDescent="0.25">
      <c r="B53" s="147" t="s">
        <v>103</v>
      </c>
      <c r="C53" s="148" t="s">
        <v>103</v>
      </c>
      <c r="D53" s="244">
        <f>'Population&amp;Demand Projections'!BH20</f>
        <v>0.3</v>
      </c>
      <c r="E53" s="244">
        <f>'Population&amp;Demand Projections'!BI20</f>
        <v>0.7</v>
      </c>
      <c r="F53" s="244">
        <f>'Population&amp;Demand Projections'!BJ20</f>
        <v>1</v>
      </c>
      <c r="G53" s="244">
        <f>'Population&amp;Demand Projections'!BK20</f>
        <v>1.4000000000000001</v>
      </c>
      <c r="H53" s="244">
        <f>'Population&amp;Demand Projections'!BL20</f>
        <v>1.7</v>
      </c>
      <c r="I53" s="244">
        <f>'Population&amp;Demand Projections'!BM20</f>
        <v>2.1</v>
      </c>
      <c r="J53" s="244">
        <f>'Population&amp;Demand Projections'!BN20</f>
        <v>2.4</v>
      </c>
      <c r="K53" s="244">
        <f>'Population&amp;Demand Projections'!BO20</f>
        <v>2.4</v>
      </c>
      <c r="L53" s="244">
        <f>'Population&amp;Demand Projections'!BP20</f>
        <v>2.4</v>
      </c>
      <c r="M53" s="244">
        <f>'Population&amp;Demand Projections'!BQ20</f>
        <v>2.4500000000000002</v>
      </c>
      <c r="N53" s="244">
        <f>'Population&amp;Demand Projections'!BR20</f>
        <v>2.5</v>
      </c>
    </row>
    <row r="54" spans="2:14" ht="17.25" thickBot="1" x14ac:dyDescent="0.25">
      <c r="B54" s="147" t="s">
        <v>104</v>
      </c>
      <c r="C54" s="148" t="s">
        <v>104</v>
      </c>
      <c r="D54" s="244">
        <f>'Population&amp;Demand Projections'!BH22</f>
        <v>0.2</v>
      </c>
      <c r="E54" s="244">
        <f>'Population&amp;Demand Projections'!BI22</f>
        <v>0.1</v>
      </c>
      <c r="F54" s="244">
        <f>'Population&amp;Demand Projections'!BJ22</f>
        <v>0.1</v>
      </c>
      <c r="G54" s="244">
        <f>'Population&amp;Demand Projections'!BK22</f>
        <v>0.1</v>
      </c>
      <c r="H54" s="244">
        <f>'Population&amp;Demand Projections'!BL22</f>
        <v>0.1</v>
      </c>
      <c r="I54" s="244">
        <f>'Population&amp;Demand Projections'!BM22</f>
        <v>0.1</v>
      </c>
      <c r="J54" s="244">
        <f>'Population&amp;Demand Projections'!BN22</f>
        <v>0.1</v>
      </c>
      <c r="K54" s="244">
        <f>'Population&amp;Demand Projections'!BO22</f>
        <v>0.1</v>
      </c>
      <c r="L54" s="244">
        <f>'Population&amp;Demand Projections'!BP22</f>
        <v>0.1</v>
      </c>
      <c r="M54" s="244">
        <f>'Population&amp;Demand Projections'!BQ22</f>
        <v>0.1</v>
      </c>
      <c r="N54" s="244">
        <f>'Population&amp;Demand Projections'!BR22</f>
        <v>0.1</v>
      </c>
    </row>
    <row r="55" spans="2:14" ht="17.25" thickBot="1" x14ac:dyDescent="0.25">
      <c r="B55" s="147" t="s">
        <v>105</v>
      </c>
      <c r="C55" s="148" t="s">
        <v>105</v>
      </c>
      <c r="D55" s="244">
        <f>'Population&amp;Demand Projections'!BH24</f>
        <v>0</v>
      </c>
      <c r="E55" s="244">
        <f>'Population&amp;Demand Projections'!BI24</f>
        <v>0</v>
      </c>
      <c r="F55" s="244">
        <f>'Population&amp;Demand Projections'!BJ24</f>
        <v>0</v>
      </c>
      <c r="G55" s="244">
        <f>'Population&amp;Demand Projections'!BK24</f>
        <v>0</v>
      </c>
      <c r="H55" s="244">
        <f>'Population&amp;Demand Projections'!BL24</f>
        <v>0</v>
      </c>
      <c r="I55" s="244">
        <f>'Population&amp;Demand Projections'!BM24</f>
        <v>0</v>
      </c>
      <c r="J55" s="244">
        <f>'Population&amp;Demand Projections'!BN24</f>
        <v>0</v>
      </c>
      <c r="K55" s="244">
        <f>'Population&amp;Demand Projections'!BO24</f>
        <v>0</v>
      </c>
      <c r="L55" s="244">
        <f>'Population&amp;Demand Projections'!BP24</f>
        <v>0</v>
      </c>
      <c r="M55" s="244">
        <f>'Population&amp;Demand Projections'!BQ24</f>
        <v>0</v>
      </c>
      <c r="N55" s="244">
        <f>'Population&amp;Demand Projections'!BR24</f>
        <v>0</v>
      </c>
    </row>
    <row r="56" spans="2:14" ht="17.25" thickBot="1" x14ac:dyDescent="0.25">
      <c r="B56" s="147" t="s">
        <v>111</v>
      </c>
      <c r="C56" s="148" t="s">
        <v>366</v>
      </c>
      <c r="D56" s="244">
        <f>'Population&amp;Demand Projections'!BH29</f>
        <v>0</v>
      </c>
      <c r="E56" s="244">
        <f>'Population&amp;Demand Projections'!BI29</f>
        <v>0</v>
      </c>
      <c r="F56" s="244">
        <f>'Population&amp;Demand Projections'!BJ29</f>
        <v>0</v>
      </c>
      <c r="G56" s="244">
        <f>'Population&amp;Demand Projections'!BK29</f>
        <v>0</v>
      </c>
      <c r="H56" s="244">
        <f>'Population&amp;Demand Projections'!BL29</f>
        <v>0</v>
      </c>
      <c r="I56" s="244">
        <f>'Population&amp;Demand Projections'!BM29</f>
        <v>0</v>
      </c>
      <c r="J56" s="244">
        <f>'Population&amp;Demand Projections'!BN29</f>
        <v>0.1</v>
      </c>
      <c r="K56" s="244">
        <f>'Population&amp;Demand Projections'!BO29</f>
        <v>0.1</v>
      </c>
      <c r="L56" s="244">
        <f>'Population&amp;Demand Projections'!BP29</f>
        <v>0.1</v>
      </c>
      <c r="M56" s="244">
        <f>'Population&amp;Demand Projections'!BQ29</f>
        <v>0.1</v>
      </c>
      <c r="N56" s="244">
        <f>'Population&amp;Demand Projections'!BR29</f>
        <v>0.1</v>
      </c>
    </row>
    <row r="57" spans="2:14" ht="17.25" thickBot="1" x14ac:dyDescent="0.25">
      <c r="B57" s="147" t="s">
        <v>111</v>
      </c>
      <c r="C57" s="148" t="s">
        <v>113</v>
      </c>
      <c r="D57" s="244">
        <f>'Population&amp;Demand Projections'!BH30</f>
        <v>9.9999999999999978E-2</v>
      </c>
      <c r="E57" s="244">
        <f>'Population&amp;Demand Projections'!BI30</f>
        <v>0.10000000000000009</v>
      </c>
      <c r="F57" s="244">
        <f>'Population&amp;Demand Projections'!BJ30</f>
        <v>0.19999999999999973</v>
      </c>
      <c r="G57" s="244">
        <f>'Population&amp;Demand Projections'!BK30</f>
        <v>0.2999999999999996</v>
      </c>
      <c r="H57" s="244">
        <f>'Population&amp;Demand Projections'!BL30</f>
        <v>0.30000000000000004</v>
      </c>
      <c r="I57" s="244">
        <f>'Population&amp;Demand Projections'!BM30</f>
        <v>0.39999999999999991</v>
      </c>
      <c r="J57" s="244">
        <f>'Population&amp;Demand Projections'!BN30</f>
        <v>0.5</v>
      </c>
      <c r="K57" s="244">
        <f>'Population&amp;Demand Projections'!BO30</f>
        <v>0.5</v>
      </c>
      <c r="L57" s="244">
        <f>'Population&amp;Demand Projections'!BP30</f>
        <v>0.5</v>
      </c>
      <c r="M57" s="244">
        <f>'Population&amp;Demand Projections'!BQ30</f>
        <v>0.49999999999999978</v>
      </c>
      <c r="N57" s="244">
        <f>'Population&amp;Demand Projections'!BR30</f>
        <v>0.49999999999999956</v>
      </c>
    </row>
    <row r="58" spans="2:14" ht="17.25" thickBot="1" x14ac:dyDescent="0.25">
      <c r="B58" s="147" t="s">
        <v>112</v>
      </c>
      <c r="C58" s="148" t="s">
        <v>114</v>
      </c>
      <c r="D58" s="244">
        <f>'Population&amp;Demand Projections'!BH31</f>
        <v>0</v>
      </c>
      <c r="E58" s="244">
        <f>'Population&amp;Demand Projections'!BI31</f>
        <v>0</v>
      </c>
      <c r="F58" s="244">
        <f>'Population&amp;Demand Projections'!BJ31</f>
        <v>0.1</v>
      </c>
      <c r="G58" s="244">
        <f>'Population&amp;Demand Projections'!BK31</f>
        <v>0.1</v>
      </c>
      <c r="H58" s="244">
        <f>'Population&amp;Demand Projections'!BL31</f>
        <v>0.1</v>
      </c>
      <c r="I58" s="244">
        <f>'Population&amp;Demand Projections'!BM31</f>
        <v>0.1</v>
      </c>
      <c r="J58" s="244">
        <f>'Population&amp;Demand Projections'!BN31</f>
        <v>0.1</v>
      </c>
      <c r="K58" s="244">
        <f>'Population&amp;Demand Projections'!BO31</f>
        <v>0.1</v>
      </c>
      <c r="L58" s="244">
        <f>'Population&amp;Demand Projections'!BP31</f>
        <v>0.1</v>
      </c>
      <c r="M58" s="244">
        <f>'Population&amp;Demand Projections'!BQ31</f>
        <v>0.1</v>
      </c>
      <c r="N58" s="244">
        <f>'Population&amp;Demand Projections'!BR31</f>
        <v>0.1</v>
      </c>
    </row>
    <row r="59" spans="2:14" ht="18" thickTop="1" thickBot="1" x14ac:dyDescent="0.25">
      <c r="B59" s="133" t="s">
        <v>117</v>
      </c>
      <c r="C59" s="134"/>
      <c r="D59" s="146">
        <f>SUM(D51:D58)</f>
        <v>0.6</v>
      </c>
      <c r="E59" s="146">
        <f t="shared" ref="E59:N59" si="2">SUM(E51:E58)</f>
        <v>0.9</v>
      </c>
      <c r="F59" s="146">
        <f t="shared" si="2"/>
        <v>1.4</v>
      </c>
      <c r="G59" s="146">
        <f t="shared" si="2"/>
        <v>1.9</v>
      </c>
      <c r="H59" s="146">
        <f t="shared" si="2"/>
        <v>2.2000000000000002</v>
      </c>
      <c r="I59" s="146">
        <f t="shared" si="2"/>
        <v>2.7</v>
      </c>
      <c r="J59" s="146">
        <f t="shared" si="2"/>
        <v>3.2</v>
      </c>
      <c r="K59" s="146">
        <f t="shared" si="2"/>
        <v>3.2</v>
      </c>
      <c r="L59" s="146">
        <f t="shared" si="2"/>
        <v>3.2</v>
      </c>
      <c r="M59" s="146">
        <f t="shared" si="2"/>
        <v>3.2500000000000004</v>
      </c>
      <c r="N59" s="146">
        <f t="shared" si="2"/>
        <v>3.3</v>
      </c>
    </row>
    <row r="60" spans="2:14" ht="13.5" thickTop="1" x14ac:dyDescent="0.2"/>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D39"/>
  <sheetViews>
    <sheetView workbookViewId="0">
      <selection activeCell="C10" sqref="C10"/>
    </sheetView>
  </sheetViews>
  <sheetFormatPr defaultRowHeight="12.75" x14ac:dyDescent="0.2"/>
  <cols>
    <col min="2" max="2" width="23.85546875" customWidth="1"/>
    <col min="3" max="3" width="25.85546875" customWidth="1"/>
    <col min="4" max="4" width="70" customWidth="1"/>
  </cols>
  <sheetData>
    <row r="2" spans="2:4" ht="15.75" x14ac:dyDescent="0.25">
      <c r="B2" s="43" t="s">
        <v>217</v>
      </c>
      <c r="C2" s="135"/>
    </row>
    <row r="3" spans="2:4" x14ac:dyDescent="0.2">
      <c r="B3" s="188" t="s">
        <v>218</v>
      </c>
      <c r="C3" s="193" t="s">
        <v>302</v>
      </c>
      <c r="D3" s="193" t="s">
        <v>303</v>
      </c>
    </row>
    <row r="4" spans="2:4" x14ac:dyDescent="0.2">
      <c r="B4" s="188" t="s">
        <v>219</v>
      </c>
      <c r="C4" s="193" t="s">
        <v>304</v>
      </c>
      <c r="D4" s="193" t="s">
        <v>305</v>
      </c>
    </row>
    <row r="5" spans="2:4" x14ac:dyDescent="0.2">
      <c r="B5" s="188" t="s">
        <v>220</v>
      </c>
      <c r="C5" s="193" t="s">
        <v>306</v>
      </c>
      <c r="D5" s="193" t="s">
        <v>409</v>
      </c>
    </row>
    <row r="6" spans="2:4" x14ac:dyDescent="0.2">
      <c r="B6" s="188" t="s">
        <v>221</v>
      </c>
      <c r="C6" s="193" t="s">
        <v>307</v>
      </c>
      <c r="D6" s="193" t="s">
        <v>410</v>
      </c>
    </row>
    <row r="7" spans="2:4" x14ac:dyDescent="0.2">
      <c r="B7" s="188" t="s">
        <v>222</v>
      </c>
      <c r="C7" s="193" t="s">
        <v>308</v>
      </c>
      <c r="D7" s="193" t="s">
        <v>411</v>
      </c>
    </row>
    <row r="8" spans="2:4" x14ac:dyDescent="0.2">
      <c r="B8" s="188" t="s">
        <v>223</v>
      </c>
      <c r="C8" s="193" t="s">
        <v>309</v>
      </c>
      <c r="D8" s="193" t="s">
        <v>412</v>
      </c>
    </row>
    <row r="9" spans="2:4" x14ac:dyDescent="0.2">
      <c r="B9" s="188"/>
      <c r="C9" s="305"/>
    </row>
    <row r="10" spans="2:4" x14ac:dyDescent="0.2">
      <c r="B10" s="188"/>
      <c r="C10" s="305"/>
    </row>
    <row r="11" spans="2:4" x14ac:dyDescent="0.2">
      <c r="B11" s="188"/>
      <c r="C11" s="305"/>
    </row>
    <row r="16" spans="2:4" ht="15.75" x14ac:dyDescent="0.25">
      <c r="B16" s="114" t="s">
        <v>106</v>
      </c>
      <c r="C16" s="113"/>
      <c r="D16" s="113"/>
    </row>
    <row r="17" spans="2:4" ht="13.5" thickBot="1" x14ac:dyDescent="0.25">
      <c r="B17" s="113"/>
      <c r="C17" s="113"/>
      <c r="D17" s="113"/>
    </row>
    <row r="18" spans="2:4" ht="17.25" thickTop="1" thickBot="1" x14ac:dyDescent="0.25">
      <c r="B18" s="130" t="s">
        <v>99</v>
      </c>
      <c r="C18" s="131" t="s">
        <v>100</v>
      </c>
      <c r="D18" s="131" t="s">
        <v>101</v>
      </c>
    </row>
    <row r="19" spans="2:4" ht="33" thickTop="1" thickBot="1" x14ac:dyDescent="0.25">
      <c r="B19" s="296" t="s">
        <v>102</v>
      </c>
      <c r="C19" s="297"/>
      <c r="D19" s="283" t="s">
        <v>323</v>
      </c>
    </row>
    <row r="20" spans="2:4" ht="19.5" thickTop="1" x14ac:dyDescent="0.2">
      <c r="B20" s="282"/>
      <c r="C20" s="297" t="s">
        <v>311</v>
      </c>
      <c r="D20" s="283" t="s">
        <v>324</v>
      </c>
    </row>
    <row r="21" spans="2:4" ht="32.25" thickBot="1" x14ac:dyDescent="0.25">
      <c r="B21" s="282"/>
      <c r="C21" s="298" t="s">
        <v>312</v>
      </c>
      <c r="D21" s="284" t="s">
        <v>325</v>
      </c>
    </row>
    <row r="22" spans="2:4" ht="48" thickBot="1" x14ac:dyDescent="0.25">
      <c r="B22" s="289" t="s">
        <v>103</v>
      </c>
      <c r="C22" s="286"/>
      <c r="D22" s="285" t="s">
        <v>326</v>
      </c>
    </row>
    <row r="23" spans="2:4" ht="32.25" thickBot="1" x14ac:dyDescent="0.25">
      <c r="B23" s="290" t="s">
        <v>104</v>
      </c>
      <c r="C23" s="295"/>
      <c r="D23" s="284" t="s">
        <v>327</v>
      </c>
    </row>
    <row r="24" spans="2:4" ht="32.25" thickBot="1" x14ac:dyDescent="0.25">
      <c r="B24" s="291" t="s">
        <v>105</v>
      </c>
      <c r="C24" s="287"/>
      <c r="D24" s="285" t="s">
        <v>328</v>
      </c>
    </row>
    <row r="25" spans="2:4" ht="19.5" thickBot="1" x14ac:dyDescent="0.25">
      <c r="B25" s="292" t="s">
        <v>330</v>
      </c>
      <c r="C25" s="288"/>
      <c r="D25" s="284" t="s">
        <v>333</v>
      </c>
    </row>
    <row r="26" spans="2:4" ht="32.25" x14ac:dyDescent="0.3">
      <c r="B26" s="293" t="s">
        <v>112</v>
      </c>
      <c r="C26" s="299" t="s">
        <v>296</v>
      </c>
      <c r="D26" s="307" t="s">
        <v>329</v>
      </c>
    </row>
    <row r="27" spans="2:4" ht="32.25" x14ac:dyDescent="0.3">
      <c r="B27" s="294"/>
      <c r="C27" s="300" t="s">
        <v>297</v>
      </c>
      <c r="D27" s="307" t="s">
        <v>332</v>
      </c>
    </row>
    <row r="28" spans="2:4" ht="48.75" thickBot="1" x14ac:dyDescent="0.35">
      <c r="B28" s="308"/>
      <c r="C28" s="301" t="s">
        <v>114</v>
      </c>
      <c r="D28" s="309" t="s">
        <v>331</v>
      </c>
    </row>
    <row r="29" spans="2:4" x14ac:dyDescent="0.2">
      <c r="B29" s="113"/>
      <c r="C29" s="113"/>
      <c r="D29" s="113"/>
    </row>
    <row r="30" spans="2:4" x14ac:dyDescent="0.2">
      <c r="B30" s="113"/>
      <c r="C30" s="113"/>
      <c r="D30" s="113"/>
    </row>
    <row r="31" spans="2:4" x14ac:dyDescent="0.2">
      <c r="B31" s="113"/>
      <c r="C31" s="113"/>
      <c r="D31" s="113"/>
    </row>
    <row r="32" spans="2:4" x14ac:dyDescent="0.2">
      <c r="B32" s="113"/>
      <c r="C32" s="113"/>
      <c r="D32" s="113"/>
    </row>
    <row r="33" spans="2:4" x14ac:dyDescent="0.2">
      <c r="B33" s="113"/>
      <c r="C33" s="113"/>
      <c r="D33" s="113"/>
    </row>
    <row r="34" spans="2:4" x14ac:dyDescent="0.2">
      <c r="B34" s="113"/>
      <c r="C34" s="113"/>
      <c r="D34" s="113"/>
    </row>
    <row r="35" spans="2:4" x14ac:dyDescent="0.2">
      <c r="B35" s="113"/>
      <c r="C35" s="113"/>
      <c r="D35" s="113"/>
    </row>
    <row r="36" spans="2:4" x14ac:dyDescent="0.2">
      <c r="B36" s="113"/>
      <c r="C36" s="113"/>
      <c r="D36" s="113"/>
    </row>
    <row r="37" spans="2:4" x14ac:dyDescent="0.2">
      <c r="B37" s="113"/>
      <c r="C37" s="113"/>
      <c r="D37" s="113"/>
    </row>
    <row r="38" spans="2:4" x14ac:dyDescent="0.2">
      <c r="B38" s="113"/>
      <c r="C38" s="113"/>
      <c r="D38" s="113"/>
    </row>
    <row r="39" spans="2:4" x14ac:dyDescent="0.2">
      <c r="B39" s="113"/>
      <c r="C39" s="113"/>
      <c r="D39" s="11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pageSetUpPr fitToPage="1"/>
  </sheetPr>
  <dimension ref="B2:BR95"/>
  <sheetViews>
    <sheetView zoomScale="80" zoomScaleNormal="80" workbookViewId="0">
      <selection activeCell="B1" sqref="B1"/>
    </sheetView>
  </sheetViews>
  <sheetFormatPr defaultRowHeight="15.95" customHeight="1" x14ac:dyDescent="0.2"/>
  <cols>
    <col min="1" max="1" width="1.85546875" style="26" customWidth="1"/>
    <col min="2" max="2" width="54.140625" style="26" customWidth="1"/>
    <col min="3" max="3" width="13.85546875" style="28" bestFit="1" customWidth="1"/>
    <col min="4" max="14" width="16.42578125" style="28" customWidth="1"/>
    <col min="15" max="15" width="3.85546875" style="26" customWidth="1"/>
    <col min="16" max="16" width="54" style="26" customWidth="1"/>
    <col min="17" max="17" width="13.85546875" style="26" bestFit="1" customWidth="1"/>
    <col min="18" max="18" width="9.28515625" style="26" bestFit="1" customWidth="1"/>
    <col min="19" max="25" width="9.140625" style="26"/>
    <col min="26" max="26" width="9.28515625" style="26" bestFit="1" customWidth="1"/>
    <col min="27" max="27" width="9.140625" style="26"/>
    <col min="28" max="28" width="9.28515625" style="26" bestFit="1" customWidth="1"/>
    <col min="29" max="29" width="3.7109375" style="26" customWidth="1"/>
    <col min="30" max="30" width="54" style="26" customWidth="1"/>
    <col min="31" max="31" width="13.85546875" style="26" bestFit="1" customWidth="1"/>
    <col min="32" max="39" width="9.140625" style="26"/>
    <col min="40" max="40" width="9.28515625" style="26" bestFit="1" customWidth="1"/>
    <col min="41" max="41" width="9.140625" style="26"/>
    <col min="42" max="42" width="9.28515625" style="26" bestFit="1" customWidth="1"/>
    <col min="43" max="43" width="3.7109375" style="26" customWidth="1"/>
    <col min="44" max="44" width="54" style="26" customWidth="1"/>
    <col min="45" max="45" width="13.85546875" style="26" bestFit="1" customWidth="1"/>
    <col min="46" max="46" width="9.28515625" style="26" bestFit="1" customWidth="1"/>
    <col min="47" max="52" width="9.140625" style="26"/>
    <col min="53" max="56" width="9.28515625" style="26" bestFit="1" customWidth="1"/>
    <col min="57" max="57" width="3.7109375" style="26" customWidth="1"/>
    <col min="58" max="58" width="54" style="26" customWidth="1"/>
    <col min="59" max="70" width="9.140625" style="26"/>
    <col min="71" max="71" width="3.7109375" style="26" customWidth="1"/>
    <col min="72" max="72" width="54" style="26" customWidth="1"/>
    <col min="73" max="16384" width="9.140625" style="26"/>
  </cols>
  <sheetData>
    <row r="2" spans="2:70" ht="15.95" customHeight="1" x14ac:dyDescent="0.25">
      <c r="B2" s="43" t="s">
        <v>62</v>
      </c>
    </row>
    <row r="3" spans="2:70" ht="15.95" customHeight="1" x14ac:dyDescent="0.25">
      <c r="B3" s="78" t="s">
        <v>34</v>
      </c>
      <c r="C3" s="73" t="s">
        <v>401</v>
      </c>
      <c r="D3" s="74"/>
      <c r="E3" s="75"/>
    </row>
    <row r="4" spans="2:70" ht="15.95" customHeight="1" x14ac:dyDescent="0.25">
      <c r="B4" s="78" t="s">
        <v>35</v>
      </c>
      <c r="C4" s="76">
        <v>41759</v>
      </c>
      <c r="D4" s="74"/>
      <c r="E4" s="75"/>
    </row>
    <row r="5" spans="2:70" ht="15.95" customHeight="1" x14ac:dyDescent="0.2">
      <c r="C5" s="26"/>
      <c r="D5" s="26"/>
      <c r="E5" s="26"/>
      <c r="F5" s="26"/>
      <c r="G5" s="26"/>
      <c r="H5" s="26"/>
      <c r="I5" s="26"/>
      <c r="J5" s="26"/>
      <c r="K5" s="26"/>
      <c r="L5" s="26"/>
      <c r="M5" s="26"/>
      <c r="N5" s="26"/>
    </row>
    <row r="6" spans="2:70" s="89" customFormat="1" ht="24" customHeight="1" x14ac:dyDescent="0.2">
      <c r="B6" s="90" t="s">
        <v>381</v>
      </c>
      <c r="C6" s="91"/>
      <c r="D6" s="91"/>
      <c r="E6" s="91"/>
      <c r="F6" s="91"/>
      <c r="G6" s="91"/>
      <c r="H6" s="91"/>
      <c r="I6" s="91"/>
      <c r="J6" s="91"/>
      <c r="K6" s="91"/>
      <c r="L6" s="91"/>
      <c r="M6" s="91"/>
      <c r="N6" s="91"/>
      <c r="P6" s="90" t="s">
        <v>313</v>
      </c>
      <c r="Q6" s="91"/>
      <c r="R6" s="91"/>
      <c r="S6" s="91"/>
      <c r="T6" s="91"/>
      <c r="U6" s="91"/>
      <c r="V6" s="91"/>
      <c r="W6" s="91"/>
      <c r="X6" s="91"/>
      <c r="Y6" s="91"/>
      <c r="Z6" s="91"/>
      <c r="AA6" s="91"/>
      <c r="AB6" s="91"/>
      <c r="AD6" s="90" t="s">
        <v>314</v>
      </c>
      <c r="AE6" s="91"/>
      <c r="AF6" s="91"/>
      <c r="AG6" s="91"/>
      <c r="AH6" s="91"/>
      <c r="AI6" s="91"/>
      <c r="AJ6" s="91"/>
      <c r="AK6" s="91"/>
      <c r="AL6" s="91"/>
      <c r="AM6" s="91"/>
      <c r="AN6" s="91"/>
      <c r="AO6" s="91"/>
      <c r="AP6" s="91"/>
      <c r="AR6" s="90" t="s">
        <v>315</v>
      </c>
      <c r="AS6" s="91"/>
      <c r="AT6" s="91"/>
      <c r="AU6" s="91"/>
      <c r="AV6" s="91"/>
      <c r="AW6" s="91"/>
      <c r="AX6" s="91"/>
      <c r="AY6" s="91"/>
      <c r="AZ6" s="91"/>
      <c r="BA6" s="91"/>
      <c r="BB6" s="91"/>
      <c r="BC6" s="91"/>
      <c r="BD6" s="91"/>
      <c r="BF6" s="90" t="s">
        <v>316</v>
      </c>
      <c r="BG6" s="91"/>
      <c r="BH6" s="91"/>
      <c r="BI6" s="91"/>
      <c r="BJ6" s="91"/>
      <c r="BK6" s="91"/>
      <c r="BL6" s="91"/>
      <c r="BM6" s="91"/>
      <c r="BN6" s="91"/>
      <c r="BO6" s="91"/>
      <c r="BP6" s="91"/>
      <c r="BQ6" s="91"/>
      <c r="BR6" s="91"/>
    </row>
    <row r="7" spans="2:70" ht="15.95" customHeight="1" x14ac:dyDescent="0.25">
      <c r="B7" s="122" t="s">
        <v>59</v>
      </c>
      <c r="C7" s="123"/>
      <c r="D7" s="123"/>
      <c r="E7" s="123"/>
      <c r="F7" s="123"/>
      <c r="G7" s="123"/>
      <c r="H7" s="123"/>
      <c r="I7" s="123"/>
      <c r="J7" s="123"/>
      <c r="K7" s="123"/>
      <c r="L7" s="123"/>
      <c r="M7" s="123"/>
      <c r="N7" s="124"/>
      <c r="P7" s="122" t="s">
        <v>59</v>
      </c>
      <c r="Q7" s="123"/>
      <c r="R7" s="123"/>
      <c r="S7" s="123"/>
      <c r="T7" s="123"/>
      <c r="U7" s="123"/>
      <c r="V7" s="123"/>
      <c r="W7" s="123"/>
      <c r="X7" s="123"/>
      <c r="Y7" s="123"/>
      <c r="Z7" s="123"/>
      <c r="AA7" s="123"/>
      <c r="AB7" s="124"/>
      <c r="AD7" s="122" t="s">
        <v>59</v>
      </c>
      <c r="AE7" s="123"/>
      <c r="AF7" s="123"/>
      <c r="AG7" s="123"/>
      <c r="AH7" s="123"/>
      <c r="AI7" s="123"/>
      <c r="AJ7" s="123"/>
      <c r="AK7" s="123"/>
      <c r="AL7" s="123"/>
      <c r="AM7" s="123"/>
      <c r="AN7" s="123"/>
      <c r="AO7" s="123"/>
      <c r="AP7" s="124"/>
      <c r="AR7" s="122" t="s">
        <v>59</v>
      </c>
      <c r="AS7" s="123"/>
      <c r="AT7" s="123"/>
      <c r="AU7" s="123"/>
      <c r="AV7" s="123"/>
      <c r="AW7" s="123"/>
      <c r="AX7" s="123"/>
      <c r="AY7" s="123"/>
      <c r="AZ7" s="123"/>
      <c r="BA7" s="123"/>
      <c r="BB7" s="123"/>
      <c r="BC7" s="123"/>
      <c r="BD7" s="124"/>
      <c r="BF7" s="122" t="s">
        <v>59</v>
      </c>
      <c r="BG7" s="123"/>
      <c r="BH7" s="123"/>
      <c r="BI7" s="123"/>
      <c r="BJ7" s="123"/>
      <c r="BK7" s="123"/>
      <c r="BL7" s="123"/>
      <c r="BM7" s="123"/>
      <c r="BN7" s="123"/>
      <c r="BO7" s="123"/>
      <c r="BP7" s="123"/>
      <c r="BQ7" s="123"/>
      <c r="BR7" s="124"/>
    </row>
    <row r="8" spans="2:70" ht="15.95" customHeight="1" x14ac:dyDescent="0.25">
      <c r="B8" s="125"/>
      <c r="C8" s="126"/>
      <c r="D8" s="127">
        <v>2010</v>
      </c>
      <c r="E8" s="128">
        <v>2015</v>
      </c>
      <c r="F8" s="128">
        <v>2020</v>
      </c>
      <c r="G8" s="128">
        <v>2025</v>
      </c>
      <c r="H8" s="128">
        <v>2030</v>
      </c>
      <c r="I8" s="128">
        <v>2035</v>
      </c>
      <c r="J8" s="128">
        <v>2040</v>
      </c>
      <c r="K8" s="128">
        <v>2045</v>
      </c>
      <c r="L8" s="128">
        <v>2050</v>
      </c>
      <c r="M8" s="128">
        <v>2055</v>
      </c>
      <c r="N8" s="128">
        <v>2060</v>
      </c>
      <c r="P8" s="125"/>
      <c r="Q8" s="126"/>
      <c r="R8" s="127">
        <v>2010</v>
      </c>
      <c r="S8" s="128">
        <v>2015</v>
      </c>
      <c r="T8" s="128">
        <v>2020</v>
      </c>
      <c r="U8" s="128">
        <v>2025</v>
      </c>
      <c r="V8" s="128">
        <v>2030</v>
      </c>
      <c r="W8" s="128">
        <v>2035</v>
      </c>
      <c r="X8" s="128">
        <v>2040</v>
      </c>
      <c r="Y8" s="128">
        <v>2045</v>
      </c>
      <c r="Z8" s="128">
        <v>2050</v>
      </c>
      <c r="AA8" s="128">
        <v>2055</v>
      </c>
      <c r="AB8" s="128">
        <v>2060</v>
      </c>
      <c r="AD8" s="125"/>
      <c r="AE8" s="126"/>
      <c r="AF8" s="127">
        <v>2010</v>
      </c>
      <c r="AG8" s="128">
        <v>2015</v>
      </c>
      <c r="AH8" s="128">
        <v>2020</v>
      </c>
      <c r="AI8" s="128">
        <v>2025</v>
      </c>
      <c r="AJ8" s="128">
        <v>2030</v>
      </c>
      <c r="AK8" s="128">
        <v>2035</v>
      </c>
      <c r="AL8" s="128">
        <v>2040</v>
      </c>
      <c r="AM8" s="128">
        <v>2045</v>
      </c>
      <c r="AN8" s="128">
        <v>2050</v>
      </c>
      <c r="AO8" s="128">
        <v>2055</v>
      </c>
      <c r="AP8" s="128">
        <v>2060</v>
      </c>
      <c r="AR8" s="125"/>
      <c r="AS8" s="126"/>
      <c r="AT8" s="127">
        <v>2010</v>
      </c>
      <c r="AU8" s="128">
        <v>2015</v>
      </c>
      <c r="AV8" s="128">
        <v>2020</v>
      </c>
      <c r="AW8" s="128">
        <v>2025</v>
      </c>
      <c r="AX8" s="128">
        <v>2030</v>
      </c>
      <c r="AY8" s="128">
        <v>2035</v>
      </c>
      <c r="AZ8" s="128">
        <v>2040</v>
      </c>
      <c r="BA8" s="128">
        <v>2045</v>
      </c>
      <c r="BB8" s="128">
        <v>2050</v>
      </c>
      <c r="BC8" s="128">
        <v>2055</v>
      </c>
      <c r="BD8" s="128">
        <v>2060</v>
      </c>
      <c r="BF8" s="125"/>
      <c r="BG8" s="126"/>
      <c r="BH8" s="127">
        <v>2010</v>
      </c>
      <c r="BI8" s="128">
        <v>2015</v>
      </c>
      <c r="BJ8" s="128">
        <v>2020</v>
      </c>
      <c r="BK8" s="128">
        <v>2025</v>
      </c>
      <c r="BL8" s="128">
        <v>2030</v>
      </c>
      <c r="BM8" s="128">
        <v>2035</v>
      </c>
      <c r="BN8" s="128">
        <v>2040</v>
      </c>
      <c r="BO8" s="128">
        <v>2045</v>
      </c>
      <c r="BP8" s="128">
        <v>2050</v>
      </c>
      <c r="BQ8" s="128">
        <v>2055</v>
      </c>
      <c r="BR8" s="128">
        <v>2060</v>
      </c>
    </row>
    <row r="9" spans="2:70" ht="15.95" customHeight="1" x14ac:dyDescent="0.25">
      <c r="B9" s="117" t="s">
        <v>107</v>
      </c>
      <c r="C9" s="118"/>
      <c r="D9" s="306">
        <f>R9+AF9</f>
        <v>164200</v>
      </c>
      <c r="E9" s="306">
        <f t="shared" ref="E9:N9" si="0">S9+AG9</f>
        <v>180800</v>
      </c>
      <c r="F9" s="306">
        <f t="shared" si="0"/>
        <v>207200</v>
      </c>
      <c r="G9" s="306">
        <f t="shared" si="0"/>
        <v>232900</v>
      </c>
      <c r="H9" s="306">
        <f t="shared" si="0"/>
        <v>258200</v>
      </c>
      <c r="I9" s="306">
        <f t="shared" si="0"/>
        <v>284300</v>
      </c>
      <c r="J9" s="306">
        <f t="shared" si="0"/>
        <v>305300</v>
      </c>
      <c r="K9" s="306">
        <f t="shared" si="0"/>
        <v>318050</v>
      </c>
      <c r="L9" s="306">
        <f t="shared" si="0"/>
        <v>330700</v>
      </c>
      <c r="M9" s="306">
        <f t="shared" si="0"/>
        <v>332200</v>
      </c>
      <c r="N9" s="306">
        <f t="shared" si="0"/>
        <v>333700</v>
      </c>
      <c r="P9" s="117" t="s">
        <v>107</v>
      </c>
      <c r="Q9" s="118"/>
      <c r="R9" s="306">
        <v>37700</v>
      </c>
      <c r="S9" s="306">
        <v>41400</v>
      </c>
      <c r="T9" s="306">
        <v>53100</v>
      </c>
      <c r="U9" s="306">
        <v>62900</v>
      </c>
      <c r="V9" s="306">
        <v>74400</v>
      </c>
      <c r="W9" s="306">
        <v>87400</v>
      </c>
      <c r="X9" s="306">
        <v>100500</v>
      </c>
      <c r="Y9" s="306">
        <f>AVERAGE(X9,Z9)</f>
        <v>104850</v>
      </c>
      <c r="Z9" s="306">
        <v>109200</v>
      </c>
      <c r="AA9" s="306">
        <f>AVERAGE(Z9,AB9)</f>
        <v>110700</v>
      </c>
      <c r="AB9" s="306">
        <v>112200</v>
      </c>
      <c r="AD9" s="117" t="s">
        <v>107</v>
      </c>
      <c r="AE9" s="118"/>
      <c r="AF9" s="306">
        <v>126500</v>
      </c>
      <c r="AG9" s="306">
        <v>139400</v>
      </c>
      <c r="AH9" s="306">
        <v>154100</v>
      </c>
      <c r="AI9" s="306">
        <v>170000</v>
      </c>
      <c r="AJ9" s="306">
        <v>183800</v>
      </c>
      <c r="AK9" s="306">
        <v>196900</v>
      </c>
      <c r="AL9" s="306">
        <v>204800</v>
      </c>
      <c r="AM9" s="306">
        <f>ROUND(AVERAGE(AL9,AN9),-2)</f>
        <v>213200</v>
      </c>
      <c r="AN9" s="306">
        <v>221500</v>
      </c>
      <c r="AO9" s="306">
        <f>ROUND(AVERAGE(AN9,AP9), -2)</f>
        <v>221500</v>
      </c>
      <c r="AP9" s="306">
        <v>221500</v>
      </c>
      <c r="AR9" s="117" t="s">
        <v>107</v>
      </c>
      <c r="AS9" s="118"/>
      <c r="AT9" s="306">
        <v>18400</v>
      </c>
      <c r="AU9" s="306">
        <v>20400</v>
      </c>
      <c r="AV9" s="306">
        <v>22300</v>
      </c>
      <c r="AW9" s="306">
        <v>23200</v>
      </c>
      <c r="AX9" s="306">
        <v>24300</v>
      </c>
      <c r="AY9" s="306">
        <v>25300</v>
      </c>
      <c r="AZ9" s="306">
        <v>25800</v>
      </c>
      <c r="BA9" s="306">
        <f>ROUND(AVERAGE(AZ9,BB9),-2)</f>
        <v>26100</v>
      </c>
      <c r="BB9" s="306">
        <v>26400</v>
      </c>
      <c r="BC9" s="306">
        <f>ROUND(AVERAGE(BB9,BD9), -2)</f>
        <v>26700</v>
      </c>
      <c r="BD9" s="306">
        <v>26900</v>
      </c>
      <c r="BF9" s="117" t="s">
        <v>107</v>
      </c>
      <c r="BG9" s="118"/>
      <c r="BH9" s="306">
        <v>0</v>
      </c>
      <c r="BI9" s="306">
        <v>0</v>
      </c>
      <c r="BJ9" s="306">
        <v>0</v>
      </c>
      <c r="BK9" s="306">
        <v>0</v>
      </c>
      <c r="BL9" s="306">
        <v>0</v>
      </c>
      <c r="BM9" s="306">
        <v>0</v>
      </c>
      <c r="BN9" s="306">
        <v>0</v>
      </c>
      <c r="BO9" s="306">
        <v>0</v>
      </c>
      <c r="BP9" s="306">
        <v>0</v>
      </c>
      <c r="BQ9" s="306">
        <v>0</v>
      </c>
      <c r="BR9" s="306">
        <v>0</v>
      </c>
    </row>
    <row r="10" spans="2:70" ht="15.95" customHeight="1" x14ac:dyDescent="0.25">
      <c r="B10" s="119" t="s">
        <v>108</v>
      </c>
      <c r="C10" s="118"/>
      <c r="D10" s="118"/>
      <c r="E10" s="118"/>
      <c r="F10" s="118"/>
      <c r="G10" s="118"/>
      <c r="H10" s="118"/>
      <c r="I10" s="118"/>
      <c r="J10" s="118"/>
      <c r="K10" s="118"/>
      <c r="L10" s="118"/>
      <c r="M10" s="118"/>
      <c r="N10" s="118"/>
      <c r="P10" s="119" t="s">
        <v>108</v>
      </c>
      <c r="Q10" s="118"/>
      <c r="R10" s="118"/>
      <c r="S10" s="118"/>
      <c r="T10" s="118"/>
      <c r="U10" s="118"/>
      <c r="V10" s="118"/>
      <c r="W10" s="118"/>
      <c r="X10" s="118"/>
      <c r="Y10" s="118"/>
      <c r="Z10" s="118"/>
      <c r="AA10" s="118"/>
      <c r="AB10" s="118"/>
      <c r="AD10" s="119" t="s">
        <v>108</v>
      </c>
      <c r="AE10" s="118"/>
      <c r="AF10" s="118"/>
      <c r="AG10" s="118"/>
      <c r="AH10" s="118"/>
      <c r="AI10" s="118"/>
      <c r="AJ10" s="118"/>
      <c r="AK10" s="118"/>
      <c r="AL10" s="118"/>
      <c r="AM10" s="118"/>
      <c r="AN10" s="118"/>
      <c r="AO10" s="118"/>
      <c r="AP10" s="118"/>
      <c r="AR10" s="119" t="s">
        <v>108</v>
      </c>
      <c r="AS10" s="118"/>
      <c r="AT10" s="118"/>
      <c r="AU10" s="118"/>
      <c r="AV10" s="118"/>
      <c r="AW10" s="118"/>
      <c r="AX10" s="118"/>
      <c r="AY10" s="118"/>
      <c r="AZ10" s="118"/>
      <c r="BA10" s="118"/>
      <c r="BB10" s="118"/>
      <c r="BC10" s="118"/>
      <c r="BD10" s="118"/>
      <c r="BF10" s="119" t="s">
        <v>108</v>
      </c>
      <c r="BG10" s="118"/>
      <c r="BH10" s="118"/>
      <c r="BI10" s="118"/>
      <c r="BJ10" s="118"/>
      <c r="BK10" s="118"/>
      <c r="BL10" s="118"/>
      <c r="BM10" s="118"/>
      <c r="BN10" s="118"/>
      <c r="BO10" s="118"/>
      <c r="BP10" s="118"/>
      <c r="BQ10" s="118"/>
      <c r="BR10" s="118"/>
    </row>
    <row r="11" spans="2:70" ht="15.95" customHeight="1" x14ac:dyDescent="0.25">
      <c r="B11" s="120" t="s">
        <v>45</v>
      </c>
      <c r="C11" s="121"/>
      <c r="D11" s="121"/>
      <c r="E11" s="121"/>
      <c r="F11" s="121"/>
      <c r="G11" s="121"/>
      <c r="H11" s="121"/>
      <c r="I11" s="121"/>
      <c r="J11" s="121"/>
      <c r="K11" s="121"/>
      <c r="L11" s="121"/>
      <c r="M11" s="121"/>
      <c r="N11" s="121"/>
      <c r="P11" s="120" t="s">
        <v>45</v>
      </c>
      <c r="Q11" s="121"/>
      <c r="R11" s="121"/>
      <c r="S11" s="121"/>
      <c r="T11" s="121"/>
      <c r="U11" s="121"/>
      <c r="V11" s="121"/>
      <c r="W11" s="121"/>
      <c r="X11" s="121"/>
      <c r="Y11" s="121"/>
      <c r="Z11" s="121"/>
      <c r="AA11" s="121"/>
      <c r="AB11" s="121"/>
      <c r="AD11" s="120" t="s">
        <v>45</v>
      </c>
      <c r="AE11" s="121"/>
      <c r="AF11" s="121"/>
      <c r="AG11" s="121"/>
      <c r="AH11" s="121"/>
      <c r="AI11" s="121"/>
      <c r="AJ11" s="121"/>
      <c r="AK11" s="121"/>
      <c r="AL11" s="121"/>
      <c r="AM11" s="121"/>
      <c r="AN11" s="121"/>
      <c r="AO11" s="121"/>
      <c r="AP11" s="121"/>
      <c r="AR11" s="120" t="s">
        <v>45</v>
      </c>
      <c r="AS11" s="121"/>
      <c r="AT11" s="121"/>
      <c r="AU11" s="121"/>
      <c r="AV11" s="121"/>
      <c r="AW11" s="121"/>
      <c r="AX11" s="121"/>
      <c r="AY11" s="121"/>
      <c r="AZ11" s="121"/>
      <c r="BA11" s="121"/>
      <c r="BB11" s="121"/>
      <c r="BC11" s="121"/>
      <c r="BD11" s="121"/>
      <c r="BF11" s="120" t="s">
        <v>45</v>
      </c>
      <c r="BG11" s="121"/>
      <c r="BH11" s="121"/>
      <c r="BI11" s="121"/>
      <c r="BJ11" s="121"/>
      <c r="BK11" s="121"/>
      <c r="BL11" s="121"/>
      <c r="BM11" s="121"/>
      <c r="BN11" s="121"/>
      <c r="BO11" s="121"/>
      <c r="BP11" s="121"/>
      <c r="BQ11" s="121"/>
      <c r="BR11" s="121"/>
    </row>
    <row r="12" spans="2:70" s="27" customFormat="1" ht="15.95" customHeight="1" x14ac:dyDescent="0.25">
      <c r="B12" s="115"/>
      <c r="C12" s="116" t="s">
        <v>46</v>
      </c>
      <c r="D12" s="116" t="s">
        <v>47</v>
      </c>
      <c r="E12" s="116" t="s">
        <v>57</v>
      </c>
      <c r="F12" s="116" t="s">
        <v>56</v>
      </c>
      <c r="G12" s="116" t="s">
        <v>55</v>
      </c>
      <c r="H12" s="116" t="s">
        <v>54</v>
      </c>
      <c r="I12" s="116" t="s">
        <v>53</v>
      </c>
      <c r="J12" s="116" t="s">
        <v>52</v>
      </c>
      <c r="K12" s="116" t="s">
        <v>51</v>
      </c>
      <c r="L12" s="116" t="s">
        <v>50</v>
      </c>
      <c r="M12" s="116" t="s">
        <v>49</v>
      </c>
      <c r="N12" s="116" t="s">
        <v>48</v>
      </c>
      <c r="P12" s="115"/>
      <c r="Q12" s="116" t="s">
        <v>46</v>
      </c>
      <c r="R12" s="116" t="s">
        <v>47</v>
      </c>
      <c r="S12" s="116" t="s">
        <v>57</v>
      </c>
      <c r="T12" s="116" t="s">
        <v>56</v>
      </c>
      <c r="U12" s="116" t="s">
        <v>55</v>
      </c>
      <c r="V12" s="116" t="s">
        <v>54</v>
      </c>
      <c r="W12" s="116" t="s">
        <v>53</v>
      </c>
      <c r="X12" s="116" t="s">
        <v>52</v>
      </c>
      <c r="Y12" s="116" t="s">
        <v>51</v>
      </c>
      <c r="Z12" s="116" t="s">
        <v>50</v>
      </c>
      <c r="AA12" s="116" t="s">
        <v>49</v>
      </c>
      <c r="AB12" s="116" t="s">
        <v>48</v>
      </c>
      <c r="AD12" s="115"/>
      <c r="AE12" s="116" t="s">
        <v>46</v>
      </c>
      <c r="AF12" s="116" t="s">
        <v>47</v>
      </c>
      <c r="AG12" s="116" t="s">
        <v>57</v>
      </c>
      <c r="AH12" s="116" t="s">
        <v>56</v>
      </c>
      <c r="AI12" s="116" t="s">
        <v>55</v>
      </c>
      <c r="AJ12" s="116" t="s">
        <v>54</v>
      </c>
      <c r="AK12" s="116" t="s">
        <v>53</v>
      </c>
      <c r="AL12" s="116" t="s">
        <v>52</v>
      </c>
      <c r="AM12" s="116" t="s">
        <v>51</v>
      </c>
      <c r="AN12" s="116" t="s">
        <v>50</v>
      </c>
      <c r="AO12" s="116" t="s">
        <v>49</v>
      </c>
      <c r="AP12" s="116" t="s">
        <v>48</v>
      </c>
      <c r="AR12" s="115"/>
      <c r="AS12" s="116" t="s">
        <v>46</v>
      </c>
      <c r="AT12" s="116" t="s">
        <v>47</v>
      </c>
      <c r="AU12" s="116" t="s">
        <v>57</v>
      </c>
      <c r="AV12" s="116" t="s">
        <v>56</v>
      </c>
      <c r="AW12" s="116" t="s">
        <v>55</v>
      </c>
      <c r="AX12" s="116" t="s">
        <v>54</v>
      </c>
      <c r="AY12" s="116" t="s">
        <v>53</v>
      </c>
      <c r="AZ12" s="116" t="s">
        <v>52</v>
      </c>
      <c r="BA12" s="116" t="s">
        <v>51</v>
      </c>
      <c r="BB12" s="116" t="s">
        <v>50</v>
      </c>
      <c r="BC12" s="116" t="s">
        <v>49</v>
      </c>
      <c r="BD12" s="116" t="s">
        <v>48</v>
      </c>
      <c r="BF12" s="115"/>
      <c r="BG12" s="116" t="s">
        <v>46</v>
      </c>
      <c r="BH12" s="116" t="s">
        <v>47</v>
      </c>
      <c r="BI12" s="116" t="s">
        <v>57</v>
      </c>
      <c r="BJ12" s="116" t="s">
        <v>56</v>
      </c>
      <c r="BK12" s="116" t="s">
        <v>55</v>
      </c>
      <c r="BL12" s="116" t="s">
        <v>54</v>
      </c>
      <c r="BM12" s="116" t="s">
        <v>53</v>
      </c>
      <c r="BN12" s="116" t="s">
        <v>52</v>
      </c>
      <c r="BO12" s="116" t="s">
        <v>51</v>
      </c>
      <c r="BP12" s="116" t="s">
        <v>50</v>
      </c>
      <c r="BQ12" s="116" t="s">
        <v>49</v>
      </c>
      <c r="BR12" s="116" t="s">
        <v>48</v>
      </c>
    </row>
    <row r="13" spans="2:70" ht="15.95" customHeight="1" x14ac:dyDescent="0.2">
      <c r="Q13" s="28"/>
      <c r="R13" s="28"/>
      <c r="S13" s="28"/>
      <c r="T13" s="28"/>
      <c r="U13" s="28"/>
      <c r="V13" s="28"/>
      <c r="W13" s="28"/>
      <c r="X13" s="28"/>
      <c r="Y13" s="28"/>
      <c r="Z13" s="28"/>
      <c r="AA13" s="28"/>
      <c r="AB13" s="28"/>
      <c r="AE13" s="28"/>
      <c r="AF13" s="28"/>
      <c r="AG13" s="28"/>
      <c r="AH13" s="28"/>
      <c r="AI13" s="28"/>
      <c r="AJ13" s="28"/>
      <c r="AK13" s="28"/>
      <c r="AL13" s="28"/>
      <c r="AM13" s="28"/>
      <c r="AN13" s="28"/>
      <c r="AO13" s="28"/>
      <c r="AP13" s="28"/>
      <c r="AS13" s="28"/>
      <c r="AT13" s="28"/>
      <c r="AU13" s="28"/>
      <c r="AV13" s="28"/>
      <c r="AW13" s="28"/>
      <c r="AX13" s="28"/>
      <c r="AY13" s="28"/>
      <c r="AZ13" s="28"/>
      <c r="BA13" s="28"/>
      <c r="BB13" s="28"/>
      <c r="BC13" s="28"/>
      <c r="BD13" s="28"/>
      <c r="BG13" s="28"/>
      <c r="BH13" s="28"/>
      <c r="BI13" s="28"/>
      <c r="BJ13" s="28"/>
      <c r="BK13" s="28"/>
      <c r="BL13" s="28"/>
      <c r="BM13" s="28"/>
      <c r="BN13" s="28"/>
      <c r="BO13" s="28"/>
      <c r="BP13" s="28"/>
      <c r="BQ13" s="28"/>
      <c r="BR13" s="28"/>
    </row>
    <row r="14" spans="2:70" ht="15.95" customHeight="1" x14ac:dyDescent="0.25">
      <c r="B14" s="32" t="s">
        <v>60</v>
      </c>
      <c r="C14" s="33"/>
      <c r="D14" s="58"/>
      <c r="E14" s="58"/>
      <c r="F14" s="58"/>
      <c r="G14" s="58"/>
      <c r="H14" s="58"/>
      <c r="I14" s="58"/>
      <c r="J14" s="58"/>
      <c r="K14" s="58"/>
      <c r="L14" s="58"/>
      <c r="M14" s="58"/>
      <c r="N14" s="59"/>
      <c r="P14" s="32" t="s">
        <v>60</v>
      </c>
      <c r="Q14" s="33"/>
      <c r="R14" s="58"/>
      <c r="S14" s="58"/>
      <c r="T14" s="58"/>
      <c r="U14" s="58"/>
      <c r="V14" s="58"/>
      <c r="W14" s="58"/>
      <c r="X14" s="58"/>
      <c r="Y14" s="58"/>
      <c r="Z14" s="58"/>
      <c r="AA14" s="58"/>
      <c r="AB14" s="59"/>
      <c r="AD14" s="32" t="s">
        <v>60</v>
      </c>
      <c r="AE14" s="33"/>
      <c r="AF14" s="58"/>
      <c r="AG14" s="58"/>
      <c r="AH14" s="58"/>
      <c r="AI14" s="58"/>
      <c r="AJ14" s="58"/>
      <c r="AK14" s="58"/>
      <c r="AL14" s="58"/>
      <c r="AM14" s="58"/>
      <c r="AN14" s="58"/>
      <c r="AO14" s="58"/>
      <c r="AP14" s="59"/>
      <c r="AR14" s="32" t="s">
        <v>60</v>
      </c>
      <c r="AS14" s="33"/>
      <c r="AT14" s="58"/>
      <c r="AU14" s="58"/>
      <c r="AV14" s="58"/>
      <c r="AW14" s="58"/>
      <c r="AX14" s="58"/>
      <c r="AY14" s="58"/>
      <c r="AZ14" s="58"/>
      <c r="BA14" s="58"/>
      <c r="BB14" s="58"/>
      <c r="BC14" s="58"/>
      <c r="BD14" s="59"/>
      <c r="BF14" s="32" t="s">
        <v>60</v>
      </c>
      <c r="BG14" s="33"/>
      <c r="BH14" s="58"/>
      <c r="BI14" s="58"/>
      <c r="BJ14" s="58"/>
      <c r="BK14" s="58"/>
      <c r="BL14" s="58"/>
      <c r="BM14" s="58"/>
      <c r="BN14" s="58"/>
      <c r="BO14" s="58"/>
      <c r="BP14" s="58"/>
      <c r="BQ14" s="58"/>
      <c r="BR14" s="59"/>
    </row>
    <row r="15" spans="2:70" ht="15.95" customHeight="1" x14ac:dyDescent="0.25">
      <c r="B15" s="34"/>
      <c r="C15" s="35"/>
      <c r="D15" s="60">
        <v>2010</v>
      </c>
      <c r="E15" s="61">
        <v>2015</v>
      </c>
      <c r="F15" s="61">
        <v>2020</v>
      </c>
      <c r="G15" s="61">
        <v>2025</v>
      </c>
      <c r="H15" s="61">
        <v>2030</v>
      </c>
      <c r="I15" s="61">
        <v>2035</v>
      </c>
      <c r="J15" s="61">
        <v>2040</v>
      </c>
      <c r="K15" s="61">
        <v>2045</v>
      </c>
      <c r="L15" s="61">
        <v>2050</v>
      </c>
      <c r="M15" s="61">
        <v>2055</v>
      </c>
      <c r="N15" s="61">
        <v>2060</v>
      </c>
      <c r="P15" s="34"/>
      <c r="Q15" s="35"/>
      <c r="R15" s="60">
        <v>2010</v>
      </c>
      <c r="S15" s="61">
        <v>2015</v>
      </c>
      <c r="T15" s="61">
        <v>2020</v>
      </c>
      <c r="U15" s="61">
        <v>2025</v>
      </c>
      <c r="V15" s="61">
        <v>2030</v>
      </c>
      <c r="W15" s="61">
        <v>2035</v>
      </c>
      <c r="X15" s="61">
        <v>2040</v>
      </c>
      <c r="Y15" s="61">
        <v>2045</v>
      </c>
      <c r="Z15" s="61">
        <v>2050</v>
      </c>
      <c r="AA15" s="61">
        <v>2055</v>
      </c>
      <c r="AB15" s="61">
        <v>2060</v>
      </c>
      <c r="AD15" s="34"/>
      <c r="AE15" s="35"/>
      <c r="AF15" s="60">
        <v>2010</v>
      </c>
      <c r="AG15" s="61">
        <v>2015</v>
      </c>
      <c r="AH15" s="61">
        <v>2020</v>
      </c>
      <c r="AI15" s="61">
        <v>2025</v>
      </c>
      <c r="AJ15" s="61">
        <v>2030</v>
      </c>
      <c r="AK15" s="61">
        <v>2035</v>
      </c>
      <c r="AL15" s="61">
        <v>2040</v>
      </c>
      <c r="AM15" s="61">
        <v>2045</v>
      </c>
      <c r="AN15" s="61">
        <v>2050</v>
      </c>
      <c r="AO15" s="61">
        <v>2055</v>
      </c>
      <c r="AP15" s="61">
        <v>2060</v>
      </c>
      <c r="AR15" s="34"/>
      <c r="AS15" s="35"/>
      <c r="AT15" s="60">
        <v>2010</v>
      </c>
      <c r="AU15" s="61">
        <v>2015</v>
      </c>
      <c r="AV15" s="61">
        <v>2020</v>
      </c>
      <c r="AW15" s="61">
        <v>2025</v>
      </c>
      <c r="AX15" s="61">
        <v>2030</v>
      </c>
      <c r="AY15" s="61">
        <v>2035</v>
      </c>
      <c r="AZ15" s="61">
        <v>2040</v>
      </c>
      <c r="BA15" s="61">
        <v>2045</v>
      </c>
      <c r="BB15" s="61">
        <v>2050</v>
      </c>
      <c r="BC15" s="61">
        <v>2055</v>
      </c>
      <c r="BD15" s="61">
        <v>2060</v>
      </c>
      <c r="BF15" s="34"/>
      <c r="BG15" s="35"/>
      <c r="BH15" s="60">
        <v>2010</v>
      </c>
      <c r="BI15" s="61">
        <v>2015</v>
      </c>
      <c r="BJ15" s="61">
        <v>2020</v>
      </c>
      <c r="BK15" s="61">
        <v>2025</v>
      </c>
      <c r="BL15" s="61">
        <v>2030</v>
      </c>
      <c r="BM15" s="61">
        <v>2035</v>
      </c>
      <c r="BN15" s="61">
        <v>2040</v>
      </c>
      <c r="BO15" s="61">
        <v>2045</v>
      </c>
      <c r="BP15" s="61">
        <v>2050</v>
      </c>
      <c r="BQ15" s="61">
        <v>2055</v>
      </c>
      <c r="BR15" s="61">
        <v>2060</v>
      </c>
    </row>
    <row r="16" spans="2:70" ht="15.95" customHeight="1" x14ac:dyDescent="0.25">
      <c r="B16" s="31" t="s">
        <v>0</v>
      </c>
      <c r="C16" s="36"/>
      <c r="D16" s="70">
        <f>R16+AF16</f>
        <v>10.3</v>
      </c>
      <c r="E16" s="70">
        <f t="shared" ref="E16:N16" si="1">S16+AG16</f>
        <v>11.6</v>
      </c>
      <c r="F16" s="70">
        <f t="shared" si="1"/>
        <v>14</v>
      </c>
      <c r="G16" s="70">
        <f t="shared" si="1"/>
        <v>15.899999999999999</v>
      </c>
      <c r="H16" s="70">
        <f t="shared" si="1"/>
        <v>17.600000000000001</v>
      </c>
      <c r="I16" s="70">
        <f t="shared" si="1"/>
        <v>19.3</v>
      </c>
      <c r="J16" s="70">
        <f t="shared" si="1"/>
        <v>20.8</v>
      </c>
      <c r="K16" s="70">
        <f t="shared" si="1"/>
        <v>21.8</v>
      </c>
      <c r="L16" s="70">
        <f t="shared" si="1"/>
        <v>22.799999999999997</v>
      </c>
      <c r="M16" s="70">
        <f t="shared" si="1"/>
        <v>22.85</v>
      </c>
      <c r="N16" s="70">
        <f t="shared" si="1"/>
        <v>22.9</v>
      </c>
      <c r="P16" s="31" t="s">
        <v>0</v>
      </c>
      <c r="Q16" s="36"/>
      <c r="R16" s="70">
        <v>2</v>
      </c>
      <c r="S16" s="70">
        <v>2.5</v>
      </c>
      <c r="T16" s="70">
        <v>3.2</v>
      </c>
      <c r="U16" s="70">
        <v>3.8</v>
      </c>
      <c r="V16" s="70">
        <v>4.5</v>
      </c>
      <c r="W16" s="70">
        <v>5.2</v>
      </c>
      <c r="X16" s="70">
        <v>6</v>
      </c>
      <c r="Y16" s="70">
        <f>AVERAGE(X16,Z16)</f>
        <v>6.3</v>
      </c>
      <c r="Z16" s="70">
        <v>6.6</v>
      </c>
      <c r="AA16" s="70">
        <f>AVERAGE(Z16,AB16)</f>
        <v>6.65</v>
      </c>
      <c r="AB16" s="70">
        <v>6.7</v>
      </c>
      <c r="AD16" s="31" t="s">
        <v>0</v>
      </c>
      <c r="AE16" s="36"/>
      <c r="AF16" s="70">
        <f>SUM(AF17:AF18)</f>
        <v>8.3000000000000007</v>
      </c>
      <c r="AG16" s="70">
        <f t="shared" ref="AG16" si="2">SUM(AG17:AG18)</f>
        <v>9.1</v>
      </c>
      <c r="AH16" s="70">
        <f t="shared" ref="AH16" si="3">SUM(AH17:AH18)</f>
        <v>10.8</v>
      </c>
      <c r="AI16" s="70">
        <f t="shared" ref="AI16" si="4">SUM(AI17:AI18)</f>
        <v>12.1</v>
      </c>
      <c r="AJ16" s="70">
        <f t="shared" ref="AJ16" si="5">SUM(AJ17:AJ18)</f>
        <v>13.1</v>
      </c>
      <c r="AK16" s="70">
        <f t="shared" ref="AK16" si="6">SUM(AK17:AK18)</f>
        <v>14.100000000000001</v>
      </c>
      <c r="AL16" s="70">
        <f t="shared" ref="AL16" si="7">SUM(AL17:AL18)</f>
        <v>14.8</v>
      </c>
      <c r="AM16" s="70">
        <f t="shared" ref="AM16" si="8">SUM(AM17:AM18)</f>
        <v>15.5</v>
      </c>
      <c r="AN16" s="70">
        <f t="shared" ref="AN16" si="9">SUM(AN17:AN18)</f>
        <v>16.2</v>
      </c>
      <c r="AO16" s="70">
        <f t="shared" ref="AO16" si="10">SUM(AO17:AO18)</f>
        <v>16.2</v>
      </c>
      <c r="AP16" s="70">
        <f t="shared" ref="AP16" si="11">SUM(AP17:AP18)</f>
        <v>16.2</v>
      </c>
      <c r="AR16" s="31" t="s">
        <v>0</v>
      </c>
      <c r="AS16" s="36"/>
      <c r="AT16" s="70">
        <f>SUM(AT17:AT18)</f>
        <v>0.89999999999999991</v>
      </c>
      <c r="AU16" s="70">
        <f t="shared" ref="AU16:BD16" si="12">SUM(AU17:AU18)</f>
        <v>1.1000000000000001</v>
      </c>
      <c r="AV16" s="70">
        <f t="shared" si="12"/>
        <v>1.2000000000000002</v>
      </c>
      <c r="AW16" s="70">
        <f t="shared" si="12"/>
        <v>1.4</v>
      </c>
      <c r="AX16" s="70">
        <f t="shared" si="12"/>
        <v>1.4</v>
      </c>
      <c r="AY16" s="70">
        <f t="shared" si="12"/>
        <v>1.5</v>
      </c>
      <c r="AZ16" s="70">
        <f t="shared" si="12"/>
        <v>1.5</v>
      </c>
      <c r="BA16" s="70">
        <f t="shared" si="12"/>
        <v>1.5500000000000003</v>
      </c>
      <c r="BB16" s="70">
        <f t="shared" si="12"/>
        <v>1.6</v>
      </c>
      <c r="BC16" s="70">
        <f t="shared" si="12"/>
        <v>1.6500000000000004</v>
      </c>
      <c r="BD16" s="70">
        <f t="shared" si="12"/>
        <v>1.7000000000000002</v>
      </c>
      <c r="BF16" s="31" t="s">
        <v>0</v>
      </c>
      <c r="BG16" s="36"/>
      <c r="BH16" s="70">
        <f>SUM(BH17:BH18)</f>
        <v>0</v>
      </c>
      <c r="BI16" s="70">
        <f t="shared" ref="BI16:BR16" si="13">SUM(BI17:BI18)</f>
        <v>0</v>
      </c>
      <c r="BJ16" s="70">
        <f t="shared" si="13"/>
        <v>0</v>
      </c>
      <c r="BK16" s="70">
        <f t="shared" si="13"/>
        <v>0</v>
      </c>
      <c r="BL16" s="70">
        <f t="shared" si="13"/>
        <v>0</v>
      </c>
      <c r="BM16" s="70">
        <f t="shared" si="13"/>
        <v>0</v>
      </c>
      <c r="BN16" s="70">
        <f t="shared" si="13"/>
        <v>0</v>
      </c>
      <c r="BO16" s="70">
        <f t="shared" si="13"/>
        <v>0</v>
      </c>
      <c r="BP16" s="70">
        <f t="shared" si="13"/>
        <v>0</v>
      </c>
      <c r="BQ16" s="70">
        <f t="shared" si="13"/>
        <v>0</v>
      </c>
      <c r="BR16" s="70">
        <f t="shared" si="13"/>
        <v>0</v>
      </c>
    </row>
    <row r="17" spans="2:70" ht="15.95" customHeight="1" x14ac:dyDescent="0.25">
      <c r="B17" s="57"/>
      <c r="C17" s="36"/>
      <c r="D17" s="70"/>
      <c r="E17" s="37"/>
      <c r="F17" s="37"/>
      <c r="G17" s="37"/>
      <c r="H17" s="37"/>
      <c r="I17" s="37"/>
      <c r="J17" s="37"/>
      <c r="K17" s="37"/>
      <c r="L17" s="37"/>
      <c r="M17" s="62"/>
      <c r="N17" s="62"/>
      <c r="P17" s="57"/>
      <c r="Q17" s="36"/>
      <c r="R17" s="70"/>
      <c r="S17" s="37"/>
      <c r="T17" s="37"/>
      <c r="U17" s="37"/>
      <c r="V17" s="37"/>
      <c r="W17" s="37"/>
      <c r="X17" s="37"/>
      <c r="Y17" s="37"/>
      <c r="Z17" s="37"/>
      <c r="AA17" s="62"/>
      <c r="AB17" s="62"/>
      <c r="AD17" s="57" t="s">
        <v>311</v>
      </c>
      <c r="AE17" s="36"/>
      <c r="AF17" s="70">
        <v>6.4</v>
      </c>
      <c r="AG17" s="37">
        <v>7.1</v>
      </c>
      <c r="AH17" s="37">
        <v>8.4</v>
      </c>
      <c r="AI17" s="37">
        <v>9.6</v>
      </c>
      <c r="AJ17" s="37">
        <v>10.5</v>
      </c>
      <c r="AK17" s="37">
        <v>11.4</v>
      </c>
      <c r="AL17" s="37">
        <v>12.1</v>
      </c>
      <c r="AM17" s="37">
        <f>AVERAGE(AL17,AN17)</f>
        <v>12.75</v>
      </c>
      <c r="AN17" s="37">
        <v>13.4</v>
      </c>
      <c r="AO17" s="62">
        <f>AVERAGE(AN17,AP17)</f>
        <v>13.4</v>
      </c>
      <c r="AP17" s="62">
        <v>13.4</v>
      </c>
      <c r="AR17" s="57" t="s">
        <v>311</v>
      </c>
      <c r="AS17" s="36"/>
      <c r="AT17" s="70">
        <v>0.6</v>
      </c>
      <c r="AU17" s="37">
        <v>0.7</v>
      </c>
      <c r="AV17" s="37">
        <v>0.8</v>
      </c>
      <c r="AW17" s="37">
        <v>1</v>
      </c>
      <c r="AX17" s="37">
        <v>1</v>
      </c>
      <c r="AY17" s="37">
        <v>1.1000000000000001</v>
      </c>
      <c r="AZ17" s="37">
        <v>1.1000000000000001</v>
      </c>
      <c r="BA17" s="37">
        <f>AVERAGE(AZ17,BB17)</f>
        <v>1.1500000000000001</v>
      </c>
      <c r="BB17" s="37">
        <v>1.2000000000000002</v>
      </c>
      <c r="BC17" s="62">
        <f>AVERAGE(BB17,BD17)</f>
        <v>1.2500000000000002</v>
      </c>
      <c r="BD17" s="62">
        <v>1.3000000000000003</v>
      </c>
      <c r="BF17" s="57" t="s">
        <v>311</v>
      </c>
      <c r="BG17" s="36"/>
      <c r="BH17" s="70">
        <v>0</v>
      </c>
      <c r="BI17" s="37">
        <v>0</v>
      </c>
      <c r="BJ17" s="37">
        <v>0</v>
      </c>
      <c r="BK17" s="37">
        <v>0</v>
      </c>
      <c r="BL17" s="37">
        <v>0</v>
      </c>
      <c r="BM17" s="37">
        <v>0</v>
      </c>
      <c r="BN17" s="37">
        <v>0</v>
      </c>
      <c r="BO17" s="37">
        <f>AVERAGE(BN17,BP17)</f>
        <v>0</v>
      </c>
      <c r="BP17" s="37">
        <v>0</v>
      </c>
      <c r="BQ17" s="62">
        <f>AVERAGE(BP17,BR17)</f>
        <v>0</v>
      </c>
      <c r="BR17" s="62">
        <v>0</v>
      </c>
    </row>
    <row r="18" spans="2:70" ht="15.95" customHeight="1" x14ac:dyDescent="0.25">
      <c r="B18" s="57"/>
      <c r="C18" s="36"/>
      <c r="D18" s="70"/>
      <c r="E18" s="37"/>
      <c r="F18" s="37"/>
      <c r="G18" s="37"/>
      <c r="H18" s="37"/>
      <c r="I18" s="37"/>
      <c r="J18" s="37"/>
      <c r="K18" s="37"/>
      <c r="L18" s="37"/>
      <c r="M18" s="62"/>
      <c r="N18" s="62"/>
      <c r="P18" s="57"/>
      <c r="Q18" s="36"/>
      <c r="R18" s="70"/>
      <c r="S18" s="37"/>
      <c r="T18" s="37"/>
      <c r="U18" s="37"/>
      <c r="V18" s="37"/>
      <c r="W18" s="37"/>
      <c r="X18" s="37"/>
      <c r="Y18" s="37"/>
      <c r="Z18" s="37"/>
      <c r="AA18" s="62"/>
      <c r="AB18" s="62"/>
      <c r="AD18" s="57" t="s">
        <v>312</v>
      </c>
      <c r="AE18" s="36"/>
      <c r="AF18" s="70">
        <v>1.9</v>
      </c>
      <c r="AG18" s="37">
        <v>2</v>
      </c>
      <c r="AH18" s="37">
        <v>2.4</v>
      </c>
      <c r="AI18" s="37">
        <v>2.5</v>
      </c>
      <c r="AJ18" s="37">
        <v>2.6</v>
      </c>
      <c r="AK18" s="37">
        <v>2.7</v>
      </c>
      <c r="AL18" s="37">
        <v>2.7</v>
      </c>
      <c r="AM18" s="37">
        <f>AVERAGE(AL18,AN18)</f>
        <v>2.75</v>
      </c>
      <c r="AN18" s="37">
        <v>2.8000000000000003</v>
      </c>
      <c r="AO18" s="62">
        <f>AVERAGE(AN18,AP18)</f>
        <v>2.8000000000000003</v>
      </c>
      <c r="AP18" s="62">
        <v>2.8000000000000003</v>
      </c>
      <c r="AR18" s="57" t="s">
        <v>312</v>
      </c>
      <c r="AS18" s="36"/>
      <c r="AT18" s="70">
        <v>0.3</v>
      </c>
      <c r="AU18" s="37">
        <v>0.4</v>
      </c>
      <c r="AV18" s="37">
        <v>0.4</v>
      </c>
      <c r="AW18" s="37">
        <v>0.4</v>
      </c>
      <c r="AX18" s="37">
        <v>0.4</v>
      </c>
      <c r="AY18" s="37">
        <v>0.4</v>
      </c>
      <c r="AZ18" s="37">
        <v>0.4</v>
      </c>
      <c r="BA18" s="37">
        <f>AVERAGE(AZ18,BB18)</f>
        <v>0.4</v>
      </c>
      <c r="BB18" s="37">
        <v>0.4</v>
      </c>
      <c r="BC18" s="62">
        <f>AVERAGE(BB18,BD18)</f>
        <v>0.4</v>
      </c>
      <c r="BD18" s="62">
        <v>0.4</v>
      </c>
      <c r="BF18" s="57" t="s">
        <v>312</v>
      </c>
      <c r="BG18" s="36"/>
      <c r="BH18" s="70">
        <v>0</v>
      </c>
      <c r="BI18" s="37">
        <v>0</v>
      </c>
      <c r="BJ18" s="37">
        <v>0</v>
      </c>
      <c r="BK18" s="37">
        <v>0</v>
      </c>
      <c r="BL18" s="37">
        <v>0</v>
      </c>
      <c r="BM18" s="37">
        <v>0</v>
      </c>
      <c r="BN18" s="37">
        <v>0</v>
      </c>
      <c r="BO18" s="37">
        <f>AVERAGE(BN18,BP18)</f>
        <v>0</v>
      </c>
      <c r="BP18" s="37">
        <v>0</v>
      </c>
      <c r="BQ18" s="62">
        <f>AVERAGE(BP18,BR18)</f>
        <v>0</v>
      </c>
      <c r="BR18" s="62">
        <v>0</v>
      </c>
    </row>
    <row r="19" spans="2:70" ht="15.95" customHeight="1" x14ac:dyDescent="0.25">
      <c r="B19" s="57"/>
      <c r="C19" s="36"/>
      <c r="D19" s="70"/>
      <c r="E19" s="37"/>
      <c r="F19" s="37"/>
      <c r="G19" s="37"/>
      <c r="H19" s="37"/>
      <c r="I19" s="37"/>
      <c r="J19" s="37"/>
      <c r="K19" s="37"/>
      <c r="L19" s="37"/>
      <c r="M19" s="62"/>
      <c r="N19" s="62"/>
      <c r="P19" s="57"/>
      <c r="Q19" s="36"/>
      <c r="R19" s="70"/>
      <c r="S19" s="37"/>
      <c r="T19" s="37"/>
      <c r="U19" s="37"/>
      <c r="V19" s="37"/>
      <c r="W19" s="37"/>
      <c r="X19" s="37"/>
      <c r="Y19" s="37"/>
      <c r="Z19" s="37"/>
      <c r="AA19" s="62"/>
      <c r="AB19" s="62"/>
      <c r="AD19" s="57"/>
      <c r="AE19" s="36"/>
      <c r="AF19" s="70"/>
      <c r="AG19" s="37"/>
      <c r="AH19" s="37"/>
      <c r="AI19" s="37"/>
      <c r="AJ19" s="37"/>
      <c r="AK19" s="37"/>
      <c r="AL19" s="37"/>
      <c r="AM19" s="37"/>
      <c r="AN19" s="37"/>
      <c r="AO19" s="62"/>
      <c r="AP19" s="62"/>
      <c r="AR19" s="57"/>
      <c r="AS19" s="36"/>
      <c r="AT19" s="70"/>
      <c r="AU19" s="37"/>
      <c r="AV19" s="37"/>
      <c r="AW19" s="37"/>
      <c r="AX19" s="37"/>
      <c r="AY19" s="37"/>
      <c r="AZ19" s="37"/>
      <c r="BA19" s="37"/>
      <c r="BB19" s="37"/>
      <c r="BC19" s="62"/>
      <c r="BD19" s="62"/>
      <c r="BF19" s="57"/>
      <c r="BG19" s="36"/>
      <c r="BH19" s="70"/>
      <c r="BI19" s="37"/>
      <c r="BJ19" s="37"/>
      <c r="BK19" s="37"/>
      <c r="BL19" s="37"/>
      <c r="BM19" s="37"/>
      <c r="BN19" s="37"/>
      <c r="BO19" s="37"/>
      <c r="BP19" s="37"/>
      <c r="BQ19" s="62"/>
      <c r="BR19" s="62"/>
    </row>
    <row r="20" spans="2:70" ht="15.95" customHeight="1" x14ac:dyDescent="0.25">
      <c r="B20" s="34" t="s">
        <v>1</v>
      </c>
      <c r="C20" s="36"/>
      <c r="D20" s="70">
        <f>R20+AF20</f>
        <v>3.4000000000000004</v>
      </c>
      <c r="E20" s="70">
        <f t="shared" ref="E20:N20" si="14">S20+AG20</f>
        <v>4.3999999999999995</v>
      </c>
      <c r="F20" s="70">
        <f t="shared" si="14"/>
        <v>5.1000000000000005</v>
      </c>
      <c r="G20" s="70">
        <f t="shared" si="14"/>
        <v>5.8000000000000007</v>
      </c>
      <c r="H20" s="70">
        <f t="shared" si="14"/>
        <v>6.4</v>
      </c>
      <c r="I20" s="70">
        <f t="shared" si="14"/>
        <v>6.8000000000000007</v>
      </c>
      <c r="J20" s="70">
        <f t="shared" si="14"/>
        <v>7.1000000000000005</v>
      </c>
      <c r="K20" s="70">
        <f t="shared" si="14"/>
        <v>7.4</v>
      </c>
      <c r="L20" s="70">
        <f t="shared" si="14"/>
        <v>7.7</v>
      </c>
      <c r="M20" s="70">
        <f t="shared" si="14"/>
        <v>7.8000000000000007</v>
      </c>
      <c r="N20" s="70">
        <f t="shared" si="14"/>
        <v>7.9</v>
      </c>
      <c r="P20" s="34" t="s">
        <v>1</v>
      </c>
      <c r="Q20" s="36"/>
      <c r="R20" s="70">
        <v>0.6</v>
      </c>
      <c r="S20" s="70">
        <v>0.7</v>
      </c>
      <c r="T20" s="70">
        <v>0.9</v>
      </c>
      <c r="U20" s="70">
        <v>1</v>
      </c>
      <c r="V20" s="70">
        <v>1.1000000000000001</v>
      </c>
      <c r="W20" s="70">
        <v>1.2</v>
      </c>
      <c r="X20" s="70">
        <v>1.3</v>
      </c>
      <c r="Y20" s="70">
        <f>AVERAGE(X20,Z20)</f>
        <v>1.4</v>
      </c>
      <c r="Z20" s="70">
        <v>1.5</v>
      </c>
      <c r="AA20" s="70">
        <f>AVERAGE(Z20,AB20)</f>
        <v>1.6</v>
      </c>
      <c r="AB20" s="70">
        <v>1.7</v>
      </c>
      <c r="AD20" s="34" t="s">
        <v>1</v>
      </c>
      <c r="AE20" s="36"/>
      <c r="AF20" s="70">
        <v>2.8000000000000003</v>
      </c>
      <c r="AG20" s="70">
        <v>3.6999999999999997</v>
      </c>
      <c r="AH20" s="70">
        <v>4.2</v>
      </c>
      <c r="AI20" s="70">
        <v>4.8000000000000007</v>
      </c>
      <c r="AJ20" s="70">
        <v>5.3000000000000007</v>
      </c>
      <c r="AK20" s="70">
        <v>5.6000000000000005</v>
      </c>
      <c r="AL20" s="70">
        <v>5.8000000000000007</v>
      </c>
      <c r="AM20" s="70">
        <f>AVERAGE(AL20,AN20)</f>
        <v>6</v>
      </c>
      <c r="AN20" s="70">
        <v>6.2</v>
      </c>
      <c r="AO20" s="70">
        <f>AVERAGE(AN20,AP20)</f>
        <v>6.2</v>
      </c>
      <c r="AP20" s="70">
        <v>6.2</v>
      </c>
      <c r="AR20" s="34" t="s">
        <v>1</v>
      </c>
      <c r="AS20" s="36"/>
      <c r="AT20" s="70">
        <v>0.4</v>
      </c>
      <c r="AU20" s="70">
        <v>0.5</v>
      </c>
      <c r="AV20" s="70">
        <v>0.8</v>
      </c>
      <c r="AW20" s="70">
        <v>0.8</v>
      </c>
      <c r="AX20" s="70">
        <v>0.9</v>
      </c>
      <c r="AY20" s="70">
        <v>1</v>
      </c>
      <c r="AZ20" s="70">
        <v>1.1000000000000001</v>
      </c>
      <c r="BA20" s="70">
        <f>AVERAGE(AZ20,BB20)</f>
        <v>1.1000000000000001</v>
      </c>
      <c r="BB20" s="70">
        <v>1.1000000000000001</v>
      </c>
      <c r="BC20" s="70">
        <f>AVERAGE(BB20,BD20)</f>
        <v>1.1000000000000001</v>
      </c>
      <c r="BD20" s="70">
        <v>1.1000000000000001</v>
      </c>
      <c r="BF20" s="34" t="s">
        <v>1</v>
      </c>
      <c r="BG20" s="36"/>
      <c r="BH20" s="70">
        <v>0.3</v>
      </c>
      <c r="BI20" s="70">
        <v>0.7</v>
      </c>
      <c r="BJ20" s="70">
        <v>1</v>
      </c>
      <c r="BK20" s="70">
        <v>1.4000000000000001</v>
      </c>
      <c r="BL20" s="70">
        <v>1.7</v>
      </c>
      <c r="BM20" s="70">
        <v>2.1</v>
      </c>
      <c r="BN20" s="70">
        <v>2.4</v>
      </c>
      <c r="BO20" s="70">
        <f>AVERAGE(BN20,BP20)</f>
        <v>2.4</v>
      </c>
      <c r="BP20" s="70">
        <v>2.4</v>
      </c>
      <c r="BQ20" s="70">
        <f>AVERAGE(BP20,BR20)</f>
        <v>2.4500000000000002</v>
      </c>
      <c r="BR20" s="70">
        <v>2.5</v>
      </c>
    </row>
    <row r="21" spans="2:70" ht="15.95" customHeight="1" x14ac:dyDescent="0.25">
      <c r="B21" s="57"/>
      <c r="C21" s="36"/>
      <c r="D21" s="70"/>
      <c r="E21" s="37"/>
      <c r="F21" s="37"/>
      <c r="G21" s="37"/>
      <c r="H21" s="37"/>
      <c r="I21" s="37"/>
      <c r="J21" s="37"/>
      <c r="K21" s="37"/>
      <c r="L21" s="37"/>
      <c r="M21" s="62"/>
      <c r="N21" s="62"/>
      <c r="P21" s="57"/>
      <c r="Q21" s="36"/>
      <c r="R21" s="70"/>
      <c r="S21" s="37"/>
      <c r="T21" s="37"/>
      <c r="U21" s="37"/>
      <c r="V21" s="37"/>
      <c r="W21" s="37"/>
      <c r="X21" s="37"/>
      <c r="Y21" s="37"/>
      <c r="Z21" s="37"/>
      <c r="AA21" s="62"/>
      <c r="AB21" s="62"/>
      <c r="AD21" s="57"/>
      <c r="AE21" s="36"/>
      <c r="AF21" s="70"/>
      <c r="AG21" s="37"/>
      <c r="AH21" s="37"/>
      <c r="AI21" s="37"/>
      <c r="AJ21" s="37"/>
      <c r="AK21" s="37"/>
      <c r="AL21" s="37"/>
      <c r="AM21" s="37"/>
      <c r="AN21" s="37"/>
      <c r="AO21" s="62"/>
      <c r="AP21" s="62"/>
      <c r="AR21" s="57"/>
      <c r="AS21" s="36"/>
      <c r="AT21" s="70"/>
      <c r="AU21" s="37"/>
      <c r="AV21" s="37"/>
      <c r="AW21" s="37"/>
      <c r="AX21" s="37"/>
      <c r="AY21" s="37"/>
      <c r="AZ21" s="37"/>
      <c r="BA21" s="37"/>
      <c r="BB21" s="37"/>
      <c r="BC21" s="62"/>
      <c r="BD21" s="62"/>
      <c r="BF21" s="57"/>
      <c r="BG21" s="36"/>
      <c r="BH21" s="70"/>
      <c r="BI21" s="37"/>
      <c r="BJ21" s="37"/>
      <c r="BK21" s="37"/>
      <c r="BL21" s="37"/>
      <c r="BM21" s="37"/>
      <c r="BN21" s="37"/>
      <c r="BO21" s="37"/>
      <c r="BP21" s="37"/>
      <c r="BQ21" s="62"/>
      <c r="BR21" s="62"/>
    </row>
    <row r="22" spans="2:70" ht="15.95" customHeight="1" x14ac:dyDescent="0.25">
      <c r="B22" s="34" t="s">
        <v>2</v>
      </c>
      <c r="C22" s="36"/>
      <c r="D22" s="70">
        <f>R22+AF22</f>
        <v>0.2</v>
      </c>
      <c r="E22" s="70">
        <f t="shared" ref="E22:N22" si="15">S22+AG22</f>
        <v>0.30000000000000004</v>
      </c>
      <c r="F22" s="70">
        <f t="shared" si="15"/>
        <v>0.30000000000000004</v>
      </c>
      <c r="G22" s="70">
        <f t="shared" si="15"/>
        <v>0.60000000000000009</v>
      </c>
      <c r="H22" s="70">
        <f t="shared" si="15"/>
        <v>0.7</v>
      </c>
      <c r="I22" s="70">
        <f t="shared" si="15"/>
        <v>0.89999999999999991</v>
      </c>
      <c r="J22" s="70">
        <f t="shared" si="15"/>
        <v>1.0999999999999999</v>
      </c>
      <c r="K22" s="70">
        <f t="shared" si="15"/>
        <v>1.1499999999999999</v>
      </c>
      <c r="L22" s="70">
        <f t="shared" si="15"/>
        <v>1.2</v>
      </c>
      <c r="M22" s="70">
        <f t="shared" si="15"/>
        <v>1.2</v>
      </c>
      <c r="N22" s="70">
        <f t="shared" si="15"/>
        <v>1.2</v>
      </c>
      <c r="P22" s="34" t="s">
        <v>2</v>
      </c>
      <c r="Q22" s="36"/>
      <c r="R22" s="70">
        <v>0.1</v>
      </c>
      <c r="S22" s="70">
        <v>0.1</v>
      </c>
      <c r="T22" s="70">
        <v>0.1</v>
      </c>
      <c r="U22" s="70">
        <v>0.2</v>
      </c>
      <c r="V22" s="70">
        <v>0.2</v>
      </c>
      <c r="W22" s="70">
        <v>0.2</v>
      </c>
      <c r="X22" s="70">
        <v>0.3</v>
      </c>
      <c r="Y22" s="70">
        <f>AVERAGE(X22,Z22)</f>
        <v>0.3</v>
      </c>
      <c r="Z22" s="70">
        <v>0.3</v>
      </c>
      <c r="AA22" s="70">
        <f>AVERAGE(Z22,AB22)</f>
        <v>0.3</v>
      </c>
      <c r="AB22" s="70">
        <v>0.3</v>
      </c>
      <c r="AD22" s="34" t="s">
        <v>2</v>
      </c>
      <c r="AE22" s="36"/>
      <c r="AF22" s="70">
        <v>0.1</v>
      </c>
      <c r="AG22" s="70">
        <v>0.2</v>
      </c>
      <c r="AH22" s="70">
        <v>0.2</v>
      </c>
      <c r="AI22" s="70">
        <v>0.4</v>
      </c>
      <c r="AJ22" s="70">
        <v>0.5</v>
      </c>
      <c r="AK22" s="70">
        <v>0.7</v>
      </c>
      <c r="AL22" s="70">
        <v>0.79999999999999993</v>
      </c>
      <c r="AM22" s="70">
        <f>AVERAGE(AL22,AN22)</f>
        <v>0.85</v>
      </c>
      <c r="AN22" s="70">
        <v>0.9</v>
      </c>
      <c r="AO22" s="70">
        <f>AVERAGE(AN22,AP22)</f>
        <v>0.9</v>
      </c>
      <c r="AP22" s="70">
        <v>0.9</v>
      </c>
      <c r="AR22" s="34" t="s">
        <v>2</v>
      </c>
      <c r="AS22" s="36"/>
      <c r="AT22" s="269">
        <v>0.01</v>
      </c>
      <c r="AU22" s="70">
        <v>0.02</v>
      </c>
      <c r="AV22" s="70">
        <v>0.03</v>
      </c>
      <c r="AW22" s="70">
        <v>0.04</v>
      </c>
      <c r="AX22" s="70">
        <v>6.0000000000000005E-2</v>
      </c>
      <c r="AY22" s="70">
        <v>0.1</v>
      </c>
      <c r="AZ22" s="70">
        <v>0.1</v>
      </c>
      <c r="BA22" s="70">
        <f>AVERAGE(AZ22,BB22)</f>
        <v>0.1</v>
      </c>
      <c r="BB22" s="70">
        <v>0.1</v>
      </c>
      <c r="BC22" s="70">
        <f>AVERAGE(BB22,BD22)</f>
        <v>0.1</v>
      </c>
      <c r="BD22" s="70">
        <v>0.1</v>
      </c>
      <c r="BF22" s="34" t="s">
        <v>2</v>
      </c>
      <c r="BG22" s="36"/>
      <c r="BH22" s="70">
        <v>0.2</v>
      </c>
      <c r="BI22" s="70">
        <v>0.1</v>
      </c>
      <c r="BJ22" s="70">
        <v>0.1</v>
      </c>
      <c r="BK22" s="70">
        <v>0.1</v>
      </c>
      <c r="BL22" s="70">
        <v>0.1</v>
      </c>
      <c r="BM22" s="70">
        <v>0.1</v>
      </c>
      <c r="BN22" s="70">
        <v>0.1</v>
      </c>
      <c r="BO22" s="70">
        <f>AVERAGE(BN22,BP22)</f>
        <v>0.1</v>
      </c>
      <c r="BP22" s="70">
        <v>0.1</v>
      </c>
      <c r="BQ22" s="70">
        <f>AVERAGE(BP22,BR22)</f>
        <v>0.1</v>
      </c>
      <c r="BR22" s="70">
        <v>0.1</v>
      </c>
    </row>
    <row r="23" spans="2:70" ht="15.95" customHeight="1" x14ac:dyDescent="0.25">
      <c r="B23" s="57"/>
      <c r="C23" s="36"/>
      <c r="D23" s="70"/>
      <c r="E23" s="37"/>
      <c r="F23" s="37"/>
      <c r="G23" s="37"/>
      <c r="H23" s="37"/>
      <c r="I23" s="37"/>
      <c r="J23" s="37"/>
      <c r="K23" s="37"/>
      <c r="L23" s="37"/>
      <c r="M23" s="62"/>
      <c r="N23" s="62"/>
      <c r="P23" s="57"/>
      <c r="Q23" s="36"/>
      <c r="R23" s="70"/>
      <c r="S23" s="37"/>
      <c r="T23" s="37"/>
      <c r="U23" s="37"/>
      <c r="V23" s="37"/>
      <c r="W23" s="37"/>
      <c r="X23" s="37"/>
      <c r="Y23" s="37"/>
      <c r="Z23" s="37"/>
      <c r="AA23" s="62"/>
      <c r="AB23" s="62"/>
      <c r="AD23" s="57"/>
      <c r="AE23" s="36"/>
      <c r="AF23" s="70"/>
      <c r="AG23" s="37"/>
      <c r="AH23" s="37"/>
      <c r="AI23" s="37"/>
      <c r="AJ23" s="37"/>
      <c r="AK23" s="37"/>
      <c r="AL23" s="37"/>
      <c r="AM23" s="37"/>
      <c r="AN23" s="37"/>
      <c r="AO23" s="62"/>
      <c r="AP23" s="62"/>
      <c r="AR23" s="57"/>
      <c r="AS23" s="36"/>
      <c r="AT23" s="70"/>
      <c r="AU23" s="37"/>
      <c r="AV23" s="37"/>
      <c r="AW23" s="37"/>
      <c r="AX23" s="37"/>
      <c r="AY23" s="37"/>
      <c r="AZ23" s="37"/>
      <c r="BA23" s="37"/>
      <c r="BB23" s="37"/>
      <c r="BC23" s="62"/>
      <c r="BD23" s="62"/>
      <c r="BF23" s="57"/>
      <c r="BG23" s="36"/>
      <c r="BH23" s="70"/>
      <c r="BI23" s="37"/>
      <c r="BJ23" s="37"/>
      <c r="BK23" s="37"/>
      <c r="BL23" s="37"/>
      <c r="BM23" s="37"/>
      <c r="BN23" s="37"/>
      <c r="BO23" s="37"/>
      <c r="BP23" s="37"/>
      <c r="BQ23" s="62"/>
      <c r="BR23" s="62"/>
    </row>
    <row r="24" spans="2:70" ht="15.95" customHeight="1" x14ac:dyDescent="0.25">
      <c r="B24" s="34" t="s">
        <v>3</v>
      </c>
      <c r="C24" s="36"/>
      <c r="D24" s="70">
        <f>R24+AF24</f>
        <v>0.30000000000000004</v>
      </c>
      <c r="E24" s="70">
        <f t="shared" ref="E24:N24" si="16">S24+AG24</f>
        <v>0.30000000000000004</v>
      </c>
      <c r="F24" s="70">
        <f t="shared" si="16"/>
        <v>0.4</v>
      </c>
      <c r="G24" s="70">
        <f t="shared" si="16"/>
        <v>0.4</v>
      </c>
      <c r="H24" s="70">
        <f t="shared" si="16"/>
        <v>0.5</v>
      </c>
      <c r="I24" s="70">
        <f t="shared" si="16"/>
        <v>0.5</v>
      </c>
      <c r="J24" s="70">
        <f t="shared" si="16"/>
        <v>0.60000000000000009</v>
      </c>
      <c r="K24" s="70">
        <f t="shared" si="16"/>
        <v>0.60000000000000009</v>
      </c>
      <c r="L24" s="70">
        <f t="shared" si="16"/>
        <v>0.60000000000000009</v>
      </c>
      <c r="M24" s="70">
        <f t="shared" si="16"/>
        <v>0.60000000000000009</v>
      </c>
      <c r="N24" s="70">
        <f t="shared" si="16"/>
        <v>0.60000000000000009</v>
      </c>
      <c r="P24" s="34" t="s">
        <v>3</v>
      </c>
      <c r="Q24" s="36"/>
      <c r="R24" s="70">
        <v>0.1</v>
      </c>
      <c r="S24" s="70">
        <v>0.1</v>
      </c>
      <c r="T24" s="70">
        <v>0.1</v>
      </c>
      <c r="U24" s="70">
        <v>0.1</v>
      </c>
      <c r="V24" s="70">
        <v>0.1</v>
      </c>
      <c r="W24" s="70">
        <v>0.2</v>
      </c>
      <c r="X24" s="70">
        <v>0.2</v>
      </c>
      <c r="Y24" s="70">
        <f>AVERAGE(X24,Z24)</f>
        <v>0.2</v>
      </c>
      <c r="Z24" s="70">
        <v>0.2</v>
      </c>
      <c r="AA24" s="70">
        <f>AVERAGE(Z24,AB24)</f>
        <v>0.2</v>
      </c>
      <c r="AB24" s="70">
        <v>0.2</v>
      </c>
      <c r="AD24" s="34" t="s">
        <v>3</v>
      </c>
      <c r="AE24" s="36"/>
      <c r="AF24" s="70">
        <v>0.2</v>
      </c>
      <c r="AG24" s="70">
        <v>0.2</v>
      </c>
      <c r="AH24" s="70">
        <v>0.30000000000000004</v>
      </c>
      <c r="AI24" s="70">
        <v>0.30000000000000004</v>
      </c>
      <c r="AJ24" s="70">
        <v>0.4</v>
      </c>
      <c r="AK24" s="70">
        <v>0.30000000000000004</v>
      </c>
      <c r="AL24" s="70">
        <v>0.4</v>
      </c>
      <c r="AM24" s="70">
        <f>AVERAGE(AL24,AN24)</f>
        <v>0.4</v>
      </c>
      <c r="AN24" s="70">
        <v>0.4</v>
      </c>
      <c r="AO24" s="70">
        <f>AVERAGE(AN24,AP24)</f>
        <v>0.4</v>
      </c>
      <c r="AP24" s="70">
        <v>0.4</v>
      </c>
      <c r="AR24" s="34" t="s">
        <v>3</v>
      </c>
      <c r="AS24" s="36"/>
      <c r="AT24" s="269">
        <v>0.01</v>
      </c>
      <c r="AU24" s="70">
        <v>0.01</v>
      </c>
      <c r="AV24" s="70">
        <v>0.01</v>
      </c>
      <c r="AW24" s="70">
        <v>0.01</v>
      </c>
      <c r="AX24" s="70">
        <v>0.02</v>
      </c>
      <c r="AY24" s="70">
        <v>0.02</v>
      </c>
      <c r="AZ24" s="70">
        <v>0.02</v>
      </c>
      <c r="BA24" s="70">
        <f>AVERAGE(AZ24,BB24)</f>
        <v>0.02</v>
      </c>
      <c r="BB24" s="269">
        <v>0.02</v>
      </c>
      <c r="BC24" s="70">
        <f>AVERAGE(BB24,BD24)</f>
        <v>2.5000000000000001E-2</v>
      </c>
      <c r="BD24" s="269">
        <v>0.03</v>
      </c>
      <c r="BF24" s="34" t="s">
        <v>3</v>
      </c>
      <c r="BG24" s="36"/>
      <c r="BH24" s="70">
        <v>0</v>
      </c>
      <c r="BI24" s="70">
        <v>0</v>
      </c>
      <c r="BJ24" s="70">
        <v>0</v>
      </c>
      <c r="BK24" s="70">
        <v>0</v>
      </c>
      <c r="BL24" s="70">
        <v>0</v>
      </c>
      <c r="BM24" s="70">
        <v>0</v>
      </c>
      <c r="BN24" s="70">
        <v>0</v>
      </c>
      <c r="BO24" s="70">
        <f>AVERAGE(BN24,BP24)</f>
        <v>0</v>
      </c>
      <c r="BP24" s="70">
        <v>0</v>
      </c>
      <c r="BQ24" s="70">
        <f>AVERAGE(BP24,BR24)</f>
        <v>0</v>
      </c>
      <c r="BR24" s="70">
        <v>0</v>
      </c>
    </row>
    <row r="25" spans="2:70" ht="15.95" customHeight="1" x14ac:dyDescent="0.25">
      <c r="B25" s="57"/>
      <c r="C25" s="36"/>
      <c r="D25" s="70"/>
      <c r="E25" s="37"/>
      <c r="F25" s="37"/>
      <c r="G25" s="37"/>
      <c r="H25" s="37"/>
      <c r="I25" s="37"/>
      <c r="J25" s="37"/>
      <c r="K25" s="37"/>
      <c r="L25" s="37"/>
      <c r="M25" s="62"/>
      <c r="N25" s="62"/>
      <c r="P25" s="57"/>
      <c r="Q25" s="36"/>
      <c r="R25" s="70"/>
      <c r="S25" s="37"/>
      <c r="T25" s="37"/>
      <c r="U25" s="37"/>
      <c r="V25" s="37"/>
      <c r="W25" s="37"/>
      <c r="X25" s="37"/>
      <c r="Y25" s="37"/>
      <c r="Z25" s="37"/>
      <c r="AA25" s="62"/>
      <c r="AB25" s="62"/>
      <c r="AD25" s="57"/>
      <c r="AE25" s="36"/>
      <c r="AF25" s="70"/>
      <c r="AG25" s="37"/>
      <c r="AH25" s="37"/>
      <c r="AI25" s="37"/>
      <c r="AJ25" s="37"/>
      <c r="AK25" s="37"/>
      <c r="AL25" s="37"/>
      <c r="AM25" s="37"/>
      <c r="AN25" s="37"/>
      <c r="AO25" s="62"/>
      <c r="AP25" s="62"/>
      <c r="AR25" s="57"/>
      <c r="AS25" s="36"/>
      <c r="AT25" s="70"/>
      <c r="AU25" s="37"/>
      <c r="AV25" s="37"/>
      <c r="AW25" s="37"/>
      <c r="AX25" s="37"/>
      <c r="AY25" s="37"/>
      <c r="AZ25" s="37"/>
      <c r="BA25" s="37"/>
      <c r="BB25" s="37"/>
      <c r="BC25" s="62"/>
      <c r="BD25" s="62"/>
      <c r="BF25" s="57"/>
      <c r="BG25" s="36"/>
      <c r="BH25" s="70"/>
      <c r="BI25" s="37"/>
      <c r="BJ25" s="37"/>
      <c r="BK25" s="37"/>
      <c r="BL25" s="37"/>
      <c r="BM25" s="37"/>
      <c r="BN25" s="37"/>
      <c r="BO25" s="37"/>
      <c r="BP25" s="37"/>
      <c r="BQ25" s="62"/>
      <c r="BR25" s="62"/>
    </row>
    <row r="26" spans="2:70" ht="15.95" customHeight="1" x14ac:dyDescent="0.25">
      <c r="B26" s="34" t="s">
        <v>317</v>
      </c>
      <c r="C26" s="36"/>
      <c r="D26" s="70">
        <f t="shared" ref="D26:N26" si="17">AF26</f>
        <v>0.1</v>
      </c>
      <c r="E26" s="70">
        <f t="shared" si="17"/>
        <v>0.1</v>
      </c>
      <c r="F26" s="70">
        <f t="shared" si="17"/>
        <v>0.1</v>
      </c>
      <c r="G26" s="70">
        <f t="shared" si="17"/>
        <v>0.1</v>
      </c>
      <c r="H26" s="70">
        <f t="shared" si="17"/>
        <v>0.1</v>
      </c>
      <c r="I26" s="70">
        <f t="shared" si="17"/>
        <v>0.1</v>
      </c>
      <c r="J26" s="70">
        <f t="shared" si="17"/>
        <v>0.1</v>
      </c>
      <c r="K26" s="70">
        <f t="shared" si="17"/>
        <v>0.1</v>
      </c>
      <c r="L26" s="70">
        <f t="shared" si="17"/>
        <v>0.1</v>
      </c>
      <c r="M26" s="70">
        <f t="shared" si="17"/>
        <v>0.1</v>
      </c>
      <c r="N26" s="70">
        <f t="shared" si="17"/>
        <v>0.1</v>
      </c>
      <c r="P26" s="34"/>
      <c r="Q26" s="36"/>
      <c r="R26" s="70"/>
      <c r="S26" s="70"/>
      <c r="T26" s="70"/>
      <c r="U26" s="70"/>
      <c r="V26" s="70"/>
      <c r="W26" s="70"/>
      <c r="X26" s="70"/>
      <c r="Y26" s="70"/>
      <c r="Z26" s="70"/>
      <c r="AA26" s="70"/>
      <c r="AB26" s="70"/>
      <c r="AD26" s="34" t="s">
        <v>317</v>
      </c>
      <c r="AE26" s="36"/>
      <c r="AF26" s="70">
        <v>0.1</v>
      </c>
      <c r="AG26" s="70">
        <v>0.1</v>
      </c>
      <c r="AH26" s="70">
        <v>0.1</v>
      </c>
      <c r="AI26" s="70">
        <v>0.1</v>
      </c>
      <c r="AJ26" s="70">
        <v>0.1</v>
      </c>
      <c r="AK26" s="70">
        <v>0.1</v>
      </c>
      <c r="AL26" s="70">
        <v>0.1</v>
      </c>
      <c r="AM26" s="70">
        <f>AVERAGE(AL26,AN26)</f>
        <v>0.1</v>
      </c>
      <c r="AN26" s="70">
        <v>0.1</v>
      </c>
      <c r="AO26" s="70">
        <f>AVERAGE(AN26,AP26)</f>
        <v>0.1</v>
      </c>
      <c r="AP26" s="70">
        <v>0.1</v>
      </c>
      <c r="AR26" s="34"/>
      <c r="AS26" s="36"/>
      <c r="AT26" s="70"/>
      <c r="AU26" s="70"/>
      <c r="AV26" s="70"/>
      <c r="AW26" s="70"/>
      <c r="AX26" s="70"/>
      <c r="AY26" s="70"/>
      <c r="AZ26" s="70"/>
      <c r="BA26" s="70"/>
      <c r="BB26" s="70"/>
      <c r="BC26" s="70"/>
      <c r="BD26" s="70"/>
      <c r="BF26" s="34"/>
      <c r="BG26" s="36"/>
      <c r="BH26" s="70"/>
      <c r="BI26" s="70"/>
      <c r="BJ26" s="70"/>
      <c r="BK26" s="70"/>
      <c r="BL26" s="70"/>
      <c r="BM26" s="70"/>
      <c r="BN26" s="70"/>
      <c r="BO26" s="70"/>
      <c r="BP26" s="70"/>
      <c r="BQ26" s="70"/>
      <c r="BR26" s="70"/>
    </row>
    <row r="27" spans="2:70" ht="15.95" customHeight="1" x14ac:dyDescent="0.25">
      <c r="B27" s="57"/>
      <c r="C27" s="36"/>
      <c r="D27" s="70"/>
      <c r="E27" s="37"/>
      <c r="F27" s="37"/>
      <c r="G27" s="37"/>
      <c r="H27" s="37"/>
      <c r="I27" s="37"/>
      <c r="J27" s="37"/>
      <c r="K27" s="37"/>
      <c r="L27" s="37"/>
      <c r="M27" s="62"/>
      <c r="N27" s="62"/>
      <c r="P27" s="57"/>
      <c r="Q27" s="36"/>
      <c r="R27" s="70"/>
      <c r="S27" s="37"/>
      <c r="T27" s="37"/>
      <c r="U27" s="37"/>
      <c r="V27" s="37"/>
      <c r="W27" s="37"/>
      <c r="X27" s="37"/>
      <c r="Y27" s="37"/>
      <c r="Z27" s="37"/>
      <c r="AA27" s="62"/>
      <c r="AB27" s="62"/>
      <c r="AD27" s="57"/>
      <c r="AE27" s="36"/>
      <c r="AF27" s="70"/>
      <c r="AG27" s="37"/>
      <c r="AH27" s="37"/>
      <c r="AI27" s="37"/>
      <c r="AJ27" s="37"/>
      <c r="AK27" s="37"/>
      <c r="AL27" s="37"/>
      <c r="AM27" s="37"/>
      <c r="AN27" s="37"/>
      <c r="AO27" s="62"/>
      <c r="AP27" s="62"/>
      <c r="AR27" s="57"/>
      <c r="AS27" s="36"/>
      <c r="AT27" s="70"/>
      <c r="AU27" s="37"/>
      <c r="AV27" s="37"/>
      <c r="AW27" s="37"/>
      <c r="AX27" s="37"/>
      <c r="AY27" s="37"/>
      <c r="AZ27" s="37"/>
      <c r="BA27" s="37"/>
      <c r="BB27" s="37"/>
      <c r="BC27" s="62"/>
      <c r="BD27" s="62"/>
      <c r="BF27" s="57"/>
      <c r="BG27" s="36"/>
      <c r="BH27" s="70"/>
      <c r="BI27" s="37"/>
      <c r="BJ27" s="37"/>
      <c r="BK27" s="37"/>
      <c r="BL27" s="37"/>
      <c r="BM27" s="37"/>
      <c r="BN27" s="37"/>
      <c r="BO27" s="37"/>
      <c r="BP27" s="37"/>
      <c r="BQ27" s="62"/>
      <c r="BR27" s="62"/>
    </row>
    <row r="28" spans="2:70" ht="15.95" customHeight="1" x14ac:dyDescent="0.2">
      <c r="B28" s="185" t="s">
        <v>38</v>
      </c>
      <c r="C28" s="186"/>
      <c r="D28" s="187">
        <f>R28+AF28</f>
        <v>14.3</v>
      </c>
      <c r="E28" s="187">
        <f t="shared" ref="E28:N31" si="18">S28+AG28</f>
        <v>16.699999999999996</v>
      </c>
      <c r="F28" s="187">
        <f t="shared" si="18"/>
        <v>19.899999999999999</v>
      </c>
      <c r="G28" s="187">
        <f t="shared" si="18"/>
        <v>22.799999999999997</v>
      </c>
      <c r="H28" s="187">
        <f t="shared" si="18"/>
        <v>25.299999999999997</v>
      </c>
      <c r="I28" s="187">
        <f t="shared" si="18"/>
        <v>27.600000000000005</v>
      </c>
      <c r="J28" s="187">
        <f t="shared" si="18"/>
        <v>29.700000000000003</v>
      </c>
      <c r="K28" s="187">
        <f t="shared" si="18"/>
        <v>31.05</v>
      </c>
      <c r="L28" s="187">
        <f t="shared" si="18"/>
        <v>32.4</v>
      </c>
      <c r="M28" s="187">
        <f t="shared" si="18"/>
        <v>32.549999999999997</v>
      </c>
      <c r="N28" s="187">
        <f t="shared" si="18"/>
        <v>32.699999999999996</v>
      </c>
      <c r="P28" s="185" t="s">
        <v>38</v>
      </c>
      <c r="Q28" s="186"/>
      <c r="R28" s="187">
        <f>SUM(R16,R20,R22,R24,R26)</f>
        <v>2.8000000000000003</v>
      </c>
      <c r="S28" s="187">
        <f t="shared" ref="S28:AB28" si="19">SUM(S16,S20,S22,S24,S26)</f>
        <v>3.4000000000000004</v>
      </c>
      <c r="T28" s="187">
        <f t="shared" si="19"/>
        <v>4.3</v>
      </c>
      <c r="U28" s="187">
        <f t="shared" si="19"/>
        <v>5.0999999999999996</v>
      </c>
      <c r="V28" s="187">
        <f t="shared" si="19"/>
        <v>5.8999999999999995</v>
      </c>
      <c r="W28" s="187">
        <f t="shared" si="19"/>
        <v>6.8000000000000007</v>
      </c>
      <c r="X28" s="187">
        <f t="shared" si="19"/>
        <v>7.8</v>
      </c>
      <c r="Y28" s="187">
        <f t="shared" si="19"/>
        <v>8.1999999999999993</v>
      </c>
      <c r="Z28" s="187">
        <f t="shared" si="19"/>
        <v>8.6</v>
      </c>
      <c r="AA28" s="187">
        <f t="shared" si="19"/>
        <v>8.75</v>
      </c>
      <c r="AB28" s="187">
        <f t="shared" si="19"/>
        <v>8.9</v>
      </c>
      <c r="AD28" s="185" t="s">
        <v>38</v>
      </c>
      <c r="AE28" s="186"/>
      <c r="AF28" s="187">
        <f>SUM(AF16,AF20,AF22,AF24,AF26)</f>
        <v>11.5</v>
      </c>
      <c r="AG28" s="187">
        <f t="shared" ref="AG28:AP28" si="20">SUM(AG16,AG20,AG22,AG24,AG26)</f>
        <v>13.299999999999997</v>
      </c>
      <c r="AH28" s="187">
        <f t="shared" si="20"/>
        <v>15.6</v>
      </c>
      <c r="AI28" s="187">
        <f t="shared" si="20"/>
        <v>17.7</v>
      </c>
      <c r="AJ28" s="187">
        <f t="shared" si="20"/>
        <v>19.399999999999999</v>
      </c>
      <c r="AK28" s="187">
        <f t="shared" si="20"/>
        <v>20.800000000000004</v>
      </c>
      <c r="AL28" s="187">
        <f t="shared" si="20"/>
        <v>21.900000000000002</v>
      </c>
      <c r="AM28" s="187">
        <f t="shared" si="20"/>
        <v>22.85</v>
      </c>
      <c r="AN28" s="187">
        <f t="shared" si="20"/>
        <v>23.799999999999997</v>
      </c>
      <c r="AO28" s="187">
        <f t="shared" si="20"/>
        <v>23.799999999999997</v>
      </c>
      <c r="AP28" s="187">
        <f t="shared" si="20"/>
        <v>23.799999999999997</v>
      </c>
      <c r="AR28" s="185" t="s">
        <v>38</v>
      </c>
      <c r="AS28" s="186"/>
      <c r="AT28" s="187">
        <f>SUM(AT16,AT20,AT22,AT24,AT26)</f>
        <v>1.3199999999999998</v>
      </c>
      <c r="AU28" s="187">
        <f t="shared" ref="AU28:BD28" si="21">SUM(AU16,AU20,AU22,AU24,AU26)</f>
        <v>1.6300000000000001</v>
      </c>
      <c r="AV28" s="187">
        <f t="shared" si="21"/>
        <v>2.0399999999999996</v>
      </c>
      <c r="AW28" s="187">
        <f t="shared" si="21"/>
        <v>2.25</v>
      </c>
      <c r="AX28" s="187">
        <f t="shared" si="21"/>
        <v>2.38</v>
      </c>
      <c r="AY28" s="187">
        <f t="shared" si="21"/>
        <v>2.62</v>
      </c>
      <c r="AZ28" s="187">
        <f t="shared" si="21"/>
        <v>2.72</v>
      </c>
      <c r="BA28" s="187">
        <f t="shared" si="21"/>
        <v>2.7700000000000005</v>
      </c>
      <c r="BB28" s="187">
        <f t="shared" si="21"/>
        <v>2.8200000000000003</v>
      </c>
      <c r="BC28" s="187">
        <f t="shared" si="21"/>
        <v>2.8750000000000004</v>
      </c>
      <c r="BD28" s="187">
        <f t="shared" si="21"/>
        <v>2.93</v>
      </c>
      <c r="BF28" s="185" t="s">
        <v>38</v>
      </c>
      <c r="BG28" s="186"/>
      <c r="BH28" s="187">
        <f>SUM(BH16,BH20,BH22,BH24,BH26)</f>
        <v>0.5</v>
      </c>
      <c r="BI28" s="187">
        <f t="shared" ref="BI28:BR28" si="22">SUM(BI16,BI20,BI22,BI24,BI26)</f>
        <v>0.79999999999999993</v>
      </c>
      <c r="BJ28" s="187">
        <f t="shared" si="22"/>
        <v>1.1000000000000001</v>
      </c>
      <c r="BK28" s="187">
        <f t="shared" si="22"/>
        <v>1.5000000000000002</v>
      </c>
      <c r="BL28" s="187">
        <f t="shared" si="22"/>
        <v>1.8</v>
      </c>
      <c r="BM28" s="187">
        <f t="shared" si="22"/>
        <v>2.2000000000000002</v>
      </c>
      <c r="BN28" s="187">
        <f t="shared" si="22"/>
        <v>2.5</v>
      </c>
      <c r="BO28" s="187">
        <f t="shared" si="22"/>
        <v>2.5</v>
      </c>
      <c r="BP28" s="187">
        <f t="shared" si="22"/>
        <v>2.5</v>
      </c>
      <c r="BQ28" s="187">
        <f t="shared" si="22"/>
        <v>2.5500000000000003</v>
      </c>
      <c r="BR28" s="187">
        <f t="shared" si="22"/>
        <v>2.6</v>
      </c>
    </row>
    <row r="29" spans="2:70" ht="15.95" customHeight="1" x14ac:dyDescent="0.25">
      <c r="B29" s="34" t="s">
        <v>145</v>
      </c>
      <c r="C29" s="68">
        <v>0.02</v>
      </c>
      <c r="D29" s="269">
        <f>R29+AF29</f>
        <v>0.23</v>
      </c>
      <c r="E29" s="269">
        <f t="shared" si="18"/>
        <v>0.32999999999999996</v>
      </c>
      <c r="F29" s="269">
        <f t="shared" si="18"/>
        <v>0.33999999999999997</v>
      </c>
      <c r="G29" s="269">
        <f t="shared" si="18"/>
        <v>0.45</v>
      </c>
      <c r="H29" s="269">
        <f t="shared" si="18"/>
        <v>0.5</v>
      </c>
      <c r="I29" s="269">
        <f t="shared" si="18"/>
        <v>0.5</v>
      </c>
      <c r="J29" s="269">
        <f t="shared" si="18"/>
        <v>0.5</v>
      </c>
      <c r="K29" s="269">
        <f t="shared" si="18"/>
        <v>0.55000000000000004</v>
      </c>
      <c r="L29" s="269">
        <f t="shared" si="18"/>
        <v>0.6</v>
      </c>
      <c r="M29" s="269">
        <f t="shared" si="18"/>
        <v>0.6</v>
      </c>
      <c r="N29" s="269">
        <f t="shared" si="18"/>
        <v>0.6</v>
      </c>
      <c r="P29" s="34" t="s">
        <v>145</v>
      </c>
      <c r="Q29" s="68">
        <v>0.01</v>
      </c>
      <c r="R29" s="269">
        <v>0.03</v>
      </c>
      <c r="S29" s="269">
        <v>0.03</v>
      </c>
      <c r="T29" s="269">
        <v>0.04</v>
      </c>
      <c r="U29" s="269">
        <v>0.05</v>
      </c>
      <c r="V29" s="269">
        <v>0.1</v>
      </c>
      <c r="W29" s="269">
        <v>0.1</v>
      </c>
      <c r="X29" s="269">
        <v>0.1</v>
      </c>
      <c r="Y29" s="269">
        <f t="shared" ref="Y29:Y31" si="23">AVERAGE(X29,Z29)</f>
        <v>0.1</v>
      </c>
      <c r="Z29" s="269">
        <v>0.1</v>
      </c>
      <c r="AA29" s="269">
        <f t="shared" ref="AA29:AA31" si="24">AVERAGE(Z29,AB29)</f>
        <v>0.1</v>
      </c>
      <c r="AB29" s="269">
        <v>0.1</v>
      </c>
      <c r="AD29" s="34" t="s">
        <v>145</v>
      </c>
      <c r="AE29" s="68">
        <v>0.02</v>
      </c>
      <c r="AF29" s="269">
        <v>0.2</v>
      </c>
      <c r="AG29" s="269">
        <v>0.3</v>
      </c>
      <c r="AH29" s="269">
        <v>0.3</v>
      </c>
      <c r="AI29" s="269">
        <v>0.4</v>
      </c>
      <c r="AJ29" s="269">
        <v>0.4</v>
      </c>
      <c r="AK29" s="269">
        <v>0.4</v>
      </c>
      <c r="AL29" s="269">
        <v>0.4</v>
      </c>
      <c r="AM29" s="269">
        <f t="shared" ref="AM29:AM31" si="25">AVERAGE(AL29,AN29)</f>
        <v>0.45</v>
      </c>
      <c r="AN29" s="269">
        <v>0.5</v>
      </c>
      <c r="AO29" s="269">
        <f t="shared" ref="AO29:AO31" si="26">AVERAGE(AN29,AP29)</f>
        <v>0.5</v>
      </c>
      <c r="AP29" s="269">
        <v>0.5</v>
      </c>
      <c r="AR29" s="34" t="s">
        <v>145</v>
      </c>
      <c r="AS29" s="68">
        <v>0.02</v>
      </c>
      <c r="AT29" s="269">
        <v>0</v>
      </c>
      <c r="AU29" s="269">
        <v>0</v>
      </c>
      <c r="AV29" s="269">
        <v>0</v>
      </c>
      <c r="AW29" s="269">
        <v>0</v>
      </c>
      <c r="AX29" s="269">
        <v>0</v>
      </c>
      <c r="AY29" s="269">
        <v>0.1</v>
      </c>
      <c r="AZ29" s="269">
        <v>0.1</v>
      </c>
      <c r="BA29" s="269">
        <f>AVERAGE(AZ29,BB29)</f>
        <v>0.1</v>
      </c>
      <c r="BB29" s="269">
        <v>0.1</v>
      </c>
      <c r="BC29" s="269">
        <f>AVERAGE(BB29,BD29)</f>
        <v>0.1</v>
      </c>
      <c r="BD29" s="269">
        <v>0.1</v>
      </c>
      <c r="BF29" s="34" t="s">
        <v>145</v>
      </c>
      <c r="BG29" s="68">
        <v>0.02</v>
      </c>
      <c r="BH29" s="269">
        <v>0</v>
      </c>
      <c r="BI29" s="269">
        <v>0</v>
      </c>
      <c r="BJ29" s="269">
        <v>0</v>
      </c>
      <c r="BK29" s="269">
        <v>0</v>
      </c>
      <c r="BL29" s="269">
        <v>0</v>
      </c>
      <c r="BM29" s="269">
        <v>0</v>
      </c>
      <c r="BN29" s="269">
        <v>0.1</v>
      </c>
      <c r="BO29" s="269">
        <f>AVERAGE(BN29,BP29)</f>
        <v>0.1</v>
      </c>
      <c r="BP29" s="269">
        <v>0.1</v>
      </c>
      <c r="BQ29" s="269">
        <f>AVERAGE(BP29,BR29)</f>
        <v>0.1</v>
      </c>
      <c r="BR29" s="269">
        <v>0.1</v>
      </c>
    </row>
    <row r="30" spans="2:70" ht="15.95" customHeight="1" x14ac:dyDescent="0.25">
      <c r="B30" s="34" t="s">
        <v>146</v>
      </c>
      <c r="C30" s="68"/>
      <c r="D30" s="269">
        <f t="shared" ref="D30:D33" si="27">R30+AF30</f>
        <v>3.2000000000000028</v>
      </c>
      <c r="E30" s="269">
        <f t="shared" si="18"/>
        <v>3.0000000000000022</v>
      </c>
      <c r="F30" s="269">
        <f t="shared" si="18"/>
        <v>3.599999999999997</v>
      </c>
      <c r="G30" s="269">
        <f t="shared" si="18"/>
        <v>4.2000000000000028</v>
      </c>
      <c r="H30" s="269">
        <f t="shared" si="18"/>
        <v>4.6000000000000032</v>
      </c>
      <c r="I30" s="269">
        <f t="shared" si="18"/>
        <v>5.1000000000000005</v>
      </c>
      <c r="J30" s="269">
        <f t="shared" si="18"/>
        <v>5.3999999999999968</v>
      </c>
      <c r="K30" s="269">
        <f t="shared" si="18"/>
        <v>5.65</v>
      </c>
      <c r="L30" s="269">
        <f t="shared" si="18"/>
        <v>5.9000000000000039</v>
      </c>
      <c r="M30" s="269">
        <f t="shared" si="18"/>
        <v>5.9500000000000046</v>
      </c>
      <c r="N30" s="269">
        <f t="shared" si="18"/>
        <v>6.0000000000000044</v>
      </c>
      <c r="P30" s="34" t="s">
        <v>146</v>
      </c>
      <c r="Q30" s="68"/>
      <c r="R30" s="269">
        <v>0.5</v>
      </c>
      <c r="S30" s="269">
        <v>0.6</v>
      </c>
      <c r="T30" s="269">
        <v>0.8</v>
      </c>
      <c r="U30" s="269">
        <v>1</v>
      </c>
      <c r="V30" s="269">
        <v>1.1000000000000001</v>
      </c>
      <c r="W30" s="269">
        <v>1.3</v>
      </c>
      <c r="X30" s="269">
        <v>1.4</v>
      </c>
      <c r="Y30" s="269">
        <f t="shared" si="23"/>
        <v>1.5</v>
      </c>
      <c r="Z30" s="269">
        <v>1.6</v>
      </c>
      <c r="AA30" s="269">
        <f t="shared" si="24"/>
        <v>1.65</v>
      </c>
      <c r="AB30" s="269">
        <v>1.7</v>
      </c>
      <c r="AD30" s="34" t="s">
        <v>146</v>
      </c>
      <c r="AE30" s="68"/>
      <c r="AF30" s="269">
        <v>2.7000000000000028</v>
      </c>
      <c r="AG30" s="269">
        <v>2.4000000000000021</v>
      </c>
      <c r="AH30" s="269">
        <v>2.7999999999999972</v>
      </c>
      <c r="AI30" s="269">
        <v>3.2000000000000028</v>
      </c>
      <c r="AJ30" s="269">
        <v>3.5000000000000036</v>
      </c>
      <c r="AK30" s="269">
        <v>3.8000000000000007</v>
      </c>
      <c r="AL30" s="269">
        <v>3.9999999999999964</v>
      </c>
      <c r="AM30" s="269">
        <f t="shared" si="25"/>
        <v>4.1500000000000004</v>
      </c>
      <c r="AN30" s="269">
        <v>4.3000000000000043</v>
      </c>
      <c r="AO30" s="269">
        <f t="shared" si="26"/>
        <v>4.3000000000000043</v>
      </c>
      <c r="AP30" s="269">
        <v>4.3000000000000043</v>
      </c>
      <c r="AR30" s="34" t="s">
        <v>146</v>
      </c>
      <c r="AS30" s="68"/>
      <c r="AT30" s="269">
        <v>0.29999999999999982</v>
      </c>
      <c r="AU30" s="269">
        <v>0.29999999999999982</v>
      </c>
      <c r="AV30" s="269">
        <v>0.39999999999999991</v>
      </c>
      <c r="AW30" s="269">
        <v>0.39999999999999991</v>
      </c>
      <c r="AX30" s="269">
        <v>0.39999999999999991</v>
      </c>
      <c r="AY30" s="269">
        <v>0.49999999999999956</v>
      </c>
      <c r="AZ30" s="269">
        <v>0.49999999999999956</v>
      </c>
      <c r="BA30" s="269">
        <f>AVERAGE(AZ30,BB30)</f>
        <v>0.49999999999999978</v>
      </c>
      <c r="BB30" s="269">
        <v>0.5</v>
      </c>
      <c r="BC30" s="269">
        <f>AVERAGE(BB30,BD30)</f>
        <v>0.5</v>
      </c>
      <c r="BD30" s="269">
        <v>0.5</v>
      </c>
      <c r="BF30" s="34" t="s">
        <v>146</v>
      </c>
      <c r="BG30" s="68"/>
      <c r="BH30" s="269">
        <v>9.9999999999999978E-2</v>
      </c>
      <c r="BI30" s="269">
        <v>0.10000000000000009</v>
      </c>
      <c r="BJ30" s="269">
        <v>0.19999999999999973</v>
      </c>
      <c r="BK30" s="269">
        <v>0.2999999999999996</v>
      </c>
      <c r="BL30" s="269">
        <v>0.30000000000000004</v>
      </c>
      <c r="BM30" s="269">
        <v>0.39999999999999991</v>
      </c>
      <c r="BN30" s="269">
        <v>0.5</v>
      </c>
      <c r="BO30" s="269">
        <f>AVERAGE(BN30,BP30)</f>
        <v>0.5</v>
      </c>
      <c r="BP30" s="269">
        <v>0.5</v>
      </c>
      <c r="BQ30" s="269">
        <f>AVERAGE(BP30,BR30)</f>
        <v>0.49999999999999978</v>
      </c>
      <c r="BR30" s="269">
        <v>0.49999999999999956</v>
      </c>
    </row>
    <row r="31" spans="2:70" ht="15.95" customHeight="1" x14ac:dyDescent="0.25">
      <c r="B31" s="34" t="s">
        <v>147</v>
      </c>
      <c r="C31" s="68">
        <v>0.05</v>
      </c>
      <c r="D31" s="269">
        <f t="shared" si="27"/>
        <v>0.8</v>
      </c>
      <c r="E31" s="269">
        <f t="shared" si="18"/>
        <v>1</v>
      </c>
      <c r="F31" s="269">
        <f t="shared" si="18"/>
        <v>1.2000000000000002</v>
      </c>
      <c r="G31" s="269">
        <f t="shared" si="18"/>
        <v>1.4</v>
      </c>
      <c r="H31" s="269">
        <f t="shared" si="18"/>
        <v>1.5</v>
      </c>
      <c r="I31" s="269">
        <f t="shared" si="18"/>
        <v>1.6</v>
      </c>
      <c r="J31" s="269">
        <f t="shared" si="18"/>
        <v>1.8</v>
      </c>
      <c r="K31" s="269">
        <f t="shared" si="18"/>
        <v>1.9</v>
      </c>
      <c r="L31" s="269">
        <f t="shared" si="18"/>
        <v>2</v>
      </c>
      <c r="M31" s="269">
        <f t="shared" si="18"/>
        <v>2</v>
      </c>
      <c r="N31" s="269">
        <f t="shared" si="18"/>
        <v>2</v>
      </c>
      <c r="P31" s="34" t="s">
        <v>147</v>
      </c>
      <c r="Q31" s="68">
        <v>0.09</v>
      </c>
      <c r="R31" s="269">
        <v>0.3</v>
      </c>
      <c r="S31" s="269">
        <v>0.3</v>
      </c>
      <c r="T31" s="269">
        <v>0.4</v>
      </c>
      <c r="U31" s="269">
        <v>0.5</v>
      </c>
      <c r="V31" s="269">
        <v>0.5</v>
      </c>
      <c r="W31" s="269">
        <v>0.6</v>
      </c>
      <c r="X31" s="269">
        <v>0.7</v>
      </c>
      <c r="Y31" s="269">
        <f t="shared" si="23"/>
        <v>0.75</v>
      </c>
      <c r="Z31" s="269">
        <v>0.8</v>
      </c>
      <c r="AA31" s="269">
        <f t="shared" si="24"/>
        <v>0.8</v>
      </c>
      <c r="AB31" s="269">
        <v>0.8</v>
      </c>
      <c r="AD31" s="34" t="s">
        <v>147</v>
      </c>
      <c r="AE31" s="68">
        <v>0.05</v>
      </c>
      <c r="AF31" s="269">
        <v>0.5</v>
      </c>
      <c r="AG31" s="269">
        <v>0.7</v>
      </c>
      <c r="AH31" s="269">
        <v>0.8</v>
      </c>
      <c r="AI31" s="269">
        <v>0.9</v>
      </c>
      <c r="AJ31" s="269">
        <v>1</v>
      </c>
      <c r="AK31" s="269">
        <v>1</v>
      </c>
      <c r="AL31" s="269">
        <v>1.1000000000000001</v>
      </c>
      <c r="AM31" s="269">
        <f t="shared" si="25"/>
        <v>1.1499999999999999</v>
      </c>
      <c r="AN31" s="269">
        <v>1.2</v>
      </c>
      <c r="AO31" s="269">
        <f t="shared" si="26"/>
        <v>1.2</v>
      </c>
      <c r="AP31" s="269">
        <v>1.2</v>
      </c>
      <c r="AR31" s="34" t="s">
        <v>147</v>
      </c>
      <c r="AS31" s="68">
        <v>0.05</v>
      </c>
      <c r="AT31" s="269">
        <v>0.1</v>
      </c>
      <c r="AU31" s="269">
        <v>0.1</v>
      </c>
      <c r="AV31" s="269">
        <v>0.1</v>
      </c>
      <c r="AW31" s="269">
        <v>0.1</v>
      </c>
      <c r="AX31" s="269">
        <v>0.1</v>
      </c>
      <c r="AY31" s="269">
        <v>0.1</v>
      </c>
      <c r="AZ31" s="269">
        <v>0.1</v>
      </c>
      <c r="BA31" s="269">
        <f>AVERAGE(AZ31,BB31)</f>
        <v>0.1</v>
      </c>
      <c r="BB31" s="269">
        <v>0.1</v>
      </c>
      <c r="BC31" s="269">
        <f>AVERAGE(BB31,BD31)</f>
        <v>0.1</v>
      </c>
      <c r="BD31" s="269">
        <v>0.1</v>
      </c>
      <c r="BF31" s="34" t="s">
        <v>147</v>
      </c>
      <c r="BG31" s="68">
        <v>0.05</v>
      </c>
      <c r="BH31" s="269">
        <v>0</v>
      </c>
      <c r="BI31" s="269">
        <v>0</v>
      </c>
      <c r="BJ31" s="269">
        <v>0.1</v>
      </c>
      <c r="BK31" s="269">
        <v>0.1</v>
      </c>
      <c r="BL31" s="269">
        <v>0.1</v>
      </c>
      <c r="BM31" s="269">
        <v>0.1</v>
      </c>
      <c r="BN31" s="269">
        <v>0.1</v>
      </c>
      <c r="BO31" s="269">
        <f>AVERAGE(BN31,BP31)</f>
        <v>0.1</v>
      </c>
      <c r="BP31" s="269">
        <v>0.1</v>
      </c>
      <c r="BQ31" s="269">
        <f>AVERAGE(BP31,BR31)</f>
        <v>0.1</v>
      </c>
      <c r="BR31" s="269">
        <v>0.1</v>
      </c>
    </row>
    <row r="32" spans="2:70" ht="15.95" customHeight="1" x14ac:dyDescent="0.25">
      <c r="B32" s="34"/>
      <c r="C32" s="68"/>
      <c r="D32" s="269"/>
      <c r="E32" s="68"/>
      <c r="F32" s="68"/>
      <c r="G32" s="68"/>
      <c r="H32" s="68"/>
      <c r="I32" s="68"/>
      <c r="J32" s="68"/>
      <c r="K32" s="68"/>
      <c r="L32" s="68"/>
      <c r="M32" s="270"/>
      <c r="N32" s="270"/>
      <c r="P32" s="34"/>
      <c r="Q32" s="68"/>
      <c r="R32" s="269"/>
      <c r="S32" s="68"/>
      <c r="T32" s="68"/>
      <c r="U32" s="68"/>
      <c r="V32" s="68"/>
      <c r="W32" s="68"/>
      <c r="X32" s="68"/>
      <c r="Y32" s="68"/>
      <c r="Z32" s="68"/>
      <c r="AA32" s="270"/>
      <c r="AB32" s="270"/>
      <c r="AD32" s="34"/>
      <c r="AE32" s="68"/>
      <c r="AF32" s="269"/>
      <c r="AG32" s="68"/>
      <c r="AH32" s="68"/>
      <c r="AI32" s="68"/>
      <c r="AJ32" s="68"/>
      <c r="AK32" s="68"/>
      <c r="AL32" s="68"/>
      <c r="AM32" s="68"/>
      <c r="AN32" s="68"/>
      <c r="AO32" s="270"/>
      <c r="AP32" s="270"/>
      <c r="AR32" s="34"/>
      <c r="AS32" s="68"/>
      <c r="AT32" s="269"/>
      <c r="AU32" s="68"/>
      <c r="AV32" s="68"/>
      <c r="AW32" s="68"/>
      <c r="AX32" s="68"/>
      <c r="AY32" s="68"/>
      <c r="AZ32" s="68"/>
      <c r="BA32" s="68"/>
      <c r="BB32" s="68"/>
      <c r="BC32" s="270"/>
      <c r="BD32" s="270"/>
      <c r="BF32" s="34"/>
      <c r="BG32" s="68"/>
      <c r="BH32" s="269"/>
      <c r="BI32" s="68"/>
      <c r="BJ32" s="68"/>
      <c r="BK32" s="68"/>
      <c r="BL32" s="68"/>
      <c r="BM32" s="68"/>
      <c r="BN32" s="68"/>
      <c r="BO32" s="68"/>
      <c r="BP32" s="68"/>
      <c r="BQ32" s="270"/>
      <c r="BR32" s="270"/>
    </row>
    <row r="33" spans="2:70" s="27" customFormat="1" ht="15.95" customHeight="1" x14ac:dyDescent="0.25">
      <c r="B33" s="34" t="s">
        <v>4</v>
      </c>
      <c r="C33" s="36"/>
      <c r="D33" s="269">
        <f t="shared" si="27"/>
        <v>18.400000000000002</v>
      </c>
      <c r="E33" s="271">
        <f t="shared" ref="E33" si="28">S33+AG33</f>
        <v>20.9</v>
      </c>
      <c r="F33" s="271">
        <f t="shared" ref="F33" si="29">T33+AH33</f>
        <v>24.999999999999996</v>
      </c>
      <c r="G33" s="271">
        <f t="shared" ref="G33" si="30">U33+AI33</f>
        <v>28.799999999999997</v>
      </c>
      <c r="H33" s="271">
        <f t="shared" ref="H33" si="31">V33+AJ33</f>
        <v>31.9</v>
      </c>
      <c r="I33" s="271">
        <f t="shared" ref="I33" si="32">W33+AK33</f>
        <v>34.800000000000004</v>
      </c>
      <c r="J33" s="271">
        <f t="shared" ref="J33" si="33">X33+AL33</f>
        <v>37.299999999999997</v>
      </c>
      <c r="K33" s="271">
        <f t="shared" ref="K33" si="34">Y33+AM33</f>
        <v>39.15</v>
      </c>
      <c r="L33" s="271">
        <f t="shared" ref="L33" si="35">Z33+AN33</f>
        <v>40.799999999999997</v>
      </c>
      <c r="M33" s="271">
        <f t="shared" ref="M33" si="36">AA33+AO33</f>
        <v>41.1</v>
      </c>
      <c r="N33" s="271">
        <f t="shared" ref="N33" si="37">AB33+AP33</f>
        <v>41.4</v>
      </c>
      <c r="P33" s="34" t="s">
        <v>4</v>
      </c>
      <c r="Q33" s="36"/>
      <c r="R33" s="269">
        <v>3.5</v>
      </c>
      <c r="S33" s="271">
        <v>4.2</v>
      </c>
      <c r="T33" s="271">
        <v>5.5</v>
      </c>
      <c r="U33" s="271">
        <v>6.6</v>
      </c>
      <c r="V33" s="271">
        <v>7.6</v>
      </c>
      <c r="W33" s="271">
        <v>8.8000000000000007</v>
      </c>
      <c r="X33" s="271">
        <v>9.9</v>
      </c>
      <c r="Y33" s="271">
        <f t="shared" ref="Y33:AA33" si="38">SUM(Y28:Y31)</f>
        <v>10.549999999999999</v>
      </c>
      <c r="Z33" s="271">
        <v>11</v>
      </c>
      <c r="AA33" s="271">
        <f t="shared" si="38"/>
        <v>11.3</v>
      </c>
      <c r="AB33" s="271">
        <v>11.6</v>
      </c>
      <c r="AD33" s="34" t="s">
        <v>4</v>
      </c>
      <c r="AE33" s="36"/>
      <c r="AF33" s="269">
        <f>SUM(AF28:AF31)</f>
        <v>14.900000000000002</v>
      </c>
      <c r="AG33" s="271">
        <f t="shared" ref="AG33:AP33" si="39">SUM(AG28:AG31)</f>
        <v>16.7</v>
      </c>
      <c r="AH33" s="271">
        <f t="shared" si="39"/>
        <v>19.499999999999996</v>
      </c>
      <c r="AI33" s="271">
        <f t="shared" si="39"/>
        <v>22.2</v>
      </c>
      <c r="AJ33" s="271">
        <f t="shared" si="39"/>
        <v>24.3</v>
      </c>
      <c r="AK33" s="271">
        <f t="shared" si="39"/>
        <v>26.000000000000004</v>
      </c>
      <c r="AL33" s="271">
        <f t="shared" si="39"/>
        <v>27.4</v>
      </c>
      <c r="AM33" s="271">
        <f t="shared" si="39"/>
        <v>28.6</v>
      </c>
      <c r="AN33" s="271">
        <f t="shared" si="39"/>
        <v>29.8</v>
      </c>
      <c r="AO33" s="271">
        <f t="shared" si="39"/>
        <v>29.8</v>
      </c>
      <c r="AP33" s="271">
        <f t="shared" si="39"/>
        <v>29.8</v>
      </c>
      <c r="AR33" s="34" t="s">
        <v>4</v>
      </c>
      <c r="AS33" s="36"/>
      <c r="AT33" s="269">
        <f>SUM(AT28:AT31)</f>
        <v>1.7199999999999998</v>
      </c>
      <c r="AU33" s="271">
        <f t="shared" ref="AU33:BD33" si="40">SUM(AU28:AU31)</f>
        <v>2.0299999999999998</v>
      </c>
      <c r="AV33" s="271">
        <f t="shared" si="40"/>
        <v>2.5399999999999996</v>
      </c>
      <c r="AW33" s="271">
        <f t="shared" si="40"/>
        <v>2.75</v>
      </c>
      <c r="AX33" s="271">
        <f t="shared" si="40"/>
        <v>2.88</v>
      </c>
      <c r="AY33" s="271">
        <f t="shared" si="40"/>
        <v>3.32</v>
      </c>
      <c r="AZ33" s="271">
        <f t="shared" si="40"/>
        <v>3.42</v>
      </c>
      <c r="BA33" s="271">
        <f t="shared" si="40"/>
        <v>3.47</v>
      </c>
      <c r="BB33" s="271">
        <f t="shared" si="40"/>
        <v>3.5200000000000005</v>
      </c>
      <c r="BC33" s="271">
        <f t="shared" si="40"/>
        <v>3.5750000000000006</v>
      </c>
      <c r="BD33" s="271">
        <f t="shared" si="40"/>
        <v>3.6300000000000003</v>
      </c>
      <c r="BF33" s="34" t="s">
        <v>4</v>
      </c>
      <c r="BG33" s="36"/>
      <c r="BH33" s="269">
        <f>SUM(BH28:BH31)</f>
        <v>0.6</v>
      </c>
      <c r="BI33" s="271">
        <f t="shared" ref="BI33:BR33" si="41">SUM(BI28:BI31)</f>
        <v>0.9</v>
      </c>
      <c r="BJ33" s="271">
        <f t="shared" si="41"/>
        <v>1.4</v>
      </c>
      <c r="BK33" s="271">
        <f t="shared" si="41"/>
        <v>1.9</v>
      </c>
      <c r="BL33" s="271">
        <f t="shared" si="41"/>
        <v>2.2000000000000002</v>
      </c>
      <c r="BM33" s="271">
        <f t="shared" si="41"/>
        <v>2.7</v>
      </c>
      <c r="BN33" s="271">
        <f t="shared" si="41"/>
        <v>3.2</v>
      </c>
      <c r="BO33" s="271">
        <f t="shared" si="41"/>
        <v>3.2</v>
      </c>
      <c r="BP33" s="271">
        <f t="shared" si="41"/>
        <v>3.2</v>
      </c>
      <c r="BQ33" s="271">
        <f t="shared" si="41"/>
        <v>3.2500000000000004</v>
      </c>
      <c r="BR33" s="271">
        <f t="shared" si="41"/>
        <v>3.3</v>
      </c>
    </row>
    <row r="34" spans="2:70" s="27" customFormat="1" ht="15.95" customHeight="1" x14ac:dyDescent="0.25">
      <c r="B34" s="92"/>
      <c r="C34" s="93"/>
      <c r="D34" s="94"/>
      <c r="E34" s="94"/>
      <c r="F34" s="94"/>
      <c r="G34" s="94"/>
      <c r="H34" s="94"/>
      <c r="I34" s="94"/>
      <c r="J34" s="94"/>
      <c r="K34" s="94"/>
      <c r="L34" s="94"/>
      <c r="M34" s="94"/>
      <c r="N34" s="94"/>
      <c r="P34" s="92"/>
      <c r="Q34" s="93"/>
      <c r="R34" s="94"/>
      <c r="S34" s="94"/>
      <c r="T34" s="94"/>
      <c r="U34" s="94"/>
      <c r="V34" s="94"/>
      <c r="W34" s="94"/>
      <c r="X34" s="94"/>
      <c r="Y34" s="94"/>
      <c r="Z34" s="94"/>
      <c r="AA34" s="94"/>
      <c r="AB34" s="94"/>
      <c r="AD34" s="92"/>
      <c r="AE34" s="93"/>
      <c r="AF34" s="94"/>
      <c r="AG34" s="94"/>
      <c r="AH34" s="94"/>
      <c r="AI34" s="94"/>
      <c r="AJ34" s="94"/>
      <c r="AK34" s="94"/>
      <c r="AL34" s="94"/>
      <c r="AM34" s="94"/>
      <c r="AN34" s="94"/>
      <c r="AO34" s="94"/>
      <c r="AP34" s="94"/>
      <c r="AR34" s="92"/>
      <c r="AS34" s="93"/>
      <c r="AT34" s="94"/>
      <c r="AU34" s="94"/>
      <c r="AV34" s="94"/>
      <c r="AW34" s="94"/>
      <c r="AX34" s="94"/>
      <c r="AY34" s="94"/>
      <c r="AZ34" s="94"/>
      <c r="BA34" s="94"/>
      <c r="BB34" s="94"/>
      <c r="BC34" s="94"/>
      <c r="BD34" s="94"/>
      <c r="BF34" s="92"/>
      <c r="BG34" s="93"/>
      <c r="BH34" s="94"/>
      <c r="BI34" s="94"/>
      <c r="BJ34" s="94"/>
      <c r="BK34" s="94"/>
      <c r="BL34" s="94"/>
      <c r="BM34" s="94"/>
      <c r="BN34" s="94"/>
      <c r="BO34" s="94"/>
      <c r="BP34" s="94"/>
      <c r="BQ34" s="94"/>
      <c r="BR34" s="94"/>
    </row>
    <row r="35" spans="2:70" ht="15.95" customHeight="1" x14ac:dyDescent="0.25">
      <c r="B35" s="38" t="s">
        <v>40</v>
      </c>
      <c r="C35" s="253"/>
      <c r="D35" s="45">
        <v>2010</v>
      </c>
      <c r="E35" s="45">
        <v>2015</v>
      </c>
      <c r="F35" s="45">
        <v>2020</v>
      </c>
      <c r="G35" s="45">
        <v>2025</v>
      </c>
      <c r="H35" s="45">
        <v>2030</v>
      </c>
      <c r="I35" s="45">
        <v>2035</v>
      </c>
      <c r="J35" s="45">
        <v>2040</v>
      </c>
      <c r="K35" s="45">
        <v>2045</v>
      </c>
      <c r="L35" s="45">
        <v>2050</v>
      </c>
      <c r="M35" s="45">
        <v>2055</v>
      </c>
      <c r="N35" s="45">
        <v>2060</v>
      </c>
      <c r="P35" s="38" t="s">
        <v>40</v>
      </c>
      <c r="Q35" s="253"/>
      <c r="R35" s="45">
        <v>2010</v>
      </c>
      <c r="S35" s="45">
        <v>2015</v>
      </c>
      <c r="T35" s="45">
        <v>2020</v>
      </c>
      <c r="U35" s="45">
        <v>2025</v>
      </c>
      <c r="V35" s="45">
        <v>2030</v>
      </c>
      <c r="W35" s="45">
        <v>2035</v>
      </c>
      <c r="X35" s="45">
        <v>2040</v>
      </c>
      <c r="Y35" s="45">
        <v>2045</v>
      </c>
      <c r="Z35" s="45">
        <v>2050</v>
      </c>
      <c r="AA35" s="45">
        <v>2055</v>
      </c>
      <c r="AB35" s="45">
        <v>2060</v>
      </c>
      <c r="AD35" s="38" t="s">
        <v>40</v>
      </c>
      <c r="AE35" s="253"/>
      <c r="AF35" s="45">
        <v>2010</v>
      </c>
      <c r="AG35" s="45">
        <v>2015</v>
      </c>
      <c r="AH35" s="45">
        <v>2020</v>
      </c>
      <c r="AI35" s="45">
        <v>2025</v>
      </c>
      <c r="AJ35" s="45">
        <v>2030</v>
      </c>
      <c r="AK35" s="45">
        <v>2035</v>
      </c>
      <c r="AL35" s="45">
        <v>2040</v>
      </c>
      <c r="AM35" s="45">
        <v>2045</v>
      </c>
      <c r="AN35" s="45">
        <v>2050</v>
      </c>
      <c r="AO35" s="45">
        <v>2055</v>
      </c>
      <c r="AP35" s="45">
        <v>2060</v>
      </c>
      <c r="AR35" s="38" t="s">
        <v>40</v>
      </c>
      <c r="AS35" s="253"/>
      <c r="AT35" s="45">
        <v>2010</v>
      </c>
      <c r="AU35" s="45">
        <v>2015</v>
      </c>
      <c r="AV35" s="45">
        <v>2020</v>
      </c>
      <c r="AW35" s="45">
        <v>2025</v>
      </c>
      <c r="AX35" s="45">
        <v>2030</v>
      </c>
      <c r="AY35" s="45">
        <v>2035</v>
      </c>
      <c r="AZ35" s="45">
        <v>2040</v>
      </c>
      <c r="BA35" s="45">
        <v>2045</v>
      </c>
      <c r="BB35" s="45">
        <v>2050</v>
      </c>
      <c r="BC35" s="45">
        <v>2055</v>
      </c>
      <c r="BD35" s="45">
        <v>2060</v>
      </c>
      <c r="BF35" s="38" t="s">
        <v>40</v>
      </c>
      <c r="BG35" s="253"/>
      <c r="BH35" s="45">
        <v>2010</v>
      </c>
      <c r="BI35" s="45">
        <v>2015</v>
      </c>
      <c r="BJ35" s="45">
        <v>2020</v>
      </c>
      <c r="BK35" s="45">
        <v>2025</v>
      </c>
      <c r="BL35" s="45">
        <v>2030</v>
      </c>
      <c r="BM35" s="45">
        <v>2035</v>
      </c>
      <c r="BN35" s="45">
        <v>2040</v>
      </c>
      <c r="BO35" s="45">
        <v>2045</v>
      </c>
      <c r="BP35" s="45">
        <v>2050</v>
      </c>
      <c r="BQ35" s="45">
        <v>2055</v>
      </c>
      <c r="BR35" s="45">
        <v>2060</v>
      </c>
    </row>
    <row r="36" spans="2:70" ht="15.95" customHeight="1" x14ac:dyDescent="0.25">
      <c r="B36" s="39" t="s">
        <v>58</v>
      </c>
      <c r="C36" s="63"/>
      <c r="D36" s="41"/>
      <c r="E36" s="41"/>
      <c r="F36" s="41"/>
      <c r="G36" s="41"/>
      <c r="H36" s="41"/>
      <c r="I36" s="41"/>
      <c r="J36" s="41"/>
      <c r="K36" s="41"/>
      <c r="L36" s="41"/>
      <c r="M36" s="41"/>
      <c r="N36" s="63"/>
      <c r="P36" s="39" t="s">
        <v>58</v>
      </c>
      <c r="Q36" s="63"/>
      <c r="R36" s="41"/>
      <c r="S36" s="41"/>
      <c r="T36" s="41"/>
      <c r="U36" s="41"/>
      <c r="V36" s="41"/>
      <c r="W36" s="41"/>
      <c r="X36" s="41"/>
      <c r="Y36" s="41"/>
      <c r="Z36" s="41"/>
      <c r="AA36" s="41"/>
      <c r="AB36" s="63"/>
      <c r="AD36" s="39" t="s">
        <v>58</v>
      </c>
      <c r="AE36" s="63"/>
      <c r="AF36" s="41"/>
      <c r="AG36" s="41"/>
      <c r="AH36" s="41"/>
      <c r="AI36" s="41"/>
      <c r="AJ36" s="41"/>
      <c r="AK36" s="41"/>
      <c r="AL36" s="41"/>
      <c r="AM36" s="41"/>
      <c r="AN36" s="41"/>
      <c r="AO36" s="41"/>
      <c r="AP36" s="63"/>
      <c r="AR36" s="39" t="s">
        <v>58</v>
      </c>
      <c r="AS36" s="63"/>
      <c r="AT36" s="41"/>
      <c r="AU36" s="41"/>
      <c r="AV36" s="41"/>
      <c r="AW36" s="41"/>
      <c r="AX36" s="41"/>
      <c r="AY36" s="41"/>
      <c r="AZ36" s="41"/>
      <c r="BA36" s="41"/>
      <c r="BB36" s="41"/>
      <c r="BC36" s="41"/>
      <c r="BD36" s="63"/>
      <c r="BF36" s="39" t="s">
        <v>58</v>
      </c>
      <c r="BG36" s="63"/>
      <c r="BH36" s="41"/>
      <c r="BI36" s="41"/>
      <c r="BJ36" s="41"/>
      <c r="BK36" s="41"/>
      <c r="BL36" s="41"/>
      <c r="BM36" s="41"/>
      <c r="BN36" s="41"/>
      <c r="BO36" s="41"/>
      <c r="BP36" s="41"/>
      <c r="BQ36" s="41"/>
      <c r="BR36" s="63"/>
    </row>
    <row r="37" spans="2:70" ht="15.95" customHeight="1" x14ac:dyDescent="0.25">
      <c r="B37" s="39" t="s">
        <v>318</v>
      </c>
      <c r="C37" s="63" t="s">
        <v>25</v>
      </c>
      <c r="D37" s="41">
        <v>0</v>
      </c>
      <c r="E37" s="41">
        <v>0</v>
      </c>
      <c r="F37" s="41">
        <v>0</v>
      </c>
      <c r="G37" s="41">
        <v>0</v>
      </c>
      <c r="H37" s="41">
        <v>0</v>
      </c>
      <c r="I37" s="41">
        <v>0</v>
      </c>
      <c r="J37" s="41">
        <v>0</v>
      </c>
      <c r="K37" s="41">
        <v>0</v>
      </c>
      <c r="L37" s="41">
        <v>0</v>
      </c>
      <c r="M37" s="41">
        <v>0</v>
      </c>
      <c r="N37" s="63">
        <v>0</v>
      </c>
      <c r="P37" s="39"/>
      <c r="Q37" s="63"/>
      <c r="R37" s="41"/>
      <c r="S37" s="41"/>
      <c r="T37" s="41"/>
      <c r="U37" s="41"/>
      <c r="V37" s="41"/>
      <c r="W37" s="41"/>
      <c r="X37" s="41"/>
      <c r="Y37" s="41"/>
      <c r="Z37" s="41"/>
      <c r="AA37" s="41"/>
      <c r="AB37" s="63"/>
      <c r="AD37" s="39" t="s">
        <v>318</v>
      </c>
      <c r="AE37" s="63" t="s">
        <v>25</v>
      </c>
      <c r="AF37" s="41">
        <v>0</v>
      </c>
      <c r="AG37" s="41">
        <v>0</v>
      </c>
      <c r="AH37" s="41">
        <v>0</v>
      </c>
      <c r="AI37" s="41">
        <v>0</v>
      </c>
      <c r="AJ37" s="41">
        <v>0</v>
      </c>
      <c r="AK37" s="41">
        <v>0</v>
      </c>
      <c r="AL37" s="41">
        <v>0</v>
      </c>
      <c r="AM37" s="41">
        <v>0</v>
      </c>
      <c r="AN37" s="41">
        <v>0</v>
      </c>
      <c r="AO37" s="41">
        <v>0</v>
      </c>
      <c r="AP37" s="63">
        <v>0</v>
      </c>
      <c r="AR37" s="39"/>
      <c r="AS37" s="63"/>
      <c r="AT37" s="41"/>
      <c r="AU37" s="41"/>
      <c r="AV37" s="41"/>
      <c r="AW37" s="41"/>
      <c r="AX37" s="41"/>
      <c r="AY37" s="41"/>
      <c r="AZ37" s="41"/>
      <c r="BA37" s="41"/>
      <c r="BB37" s="41"/>
      <c r="BC37" s="41"/>
      <c r="BD37" s="63"/>
      <c r="BF37" s="39"/>
      <c r="BG37" s="63"/>
      <c r="BH37" s="41"/>
      <c r="BI37" s="41"/>
      <c r="BJ37" s="41"/>
      <c r="BK37" s="41"/>
      <c r="BL37" s="41"/>
      <c r="BM37" s="41"/>
      <c r="BN37" s="41"/>
      <c r="BO37" s="41"/>
      <c r="BP37" s="41"/>
      <c r="BQ37" s="41"/>
      <c r="BR37" s="63"/>
    </row>
    <row r="38" spans="2:70" ht="15.95" customHeight="1" x14ac:dyDescent="0.25">
      <c r="B38" s="39" t="s">
        <v>319</v>
      </c>
      <c r="C38" s="63" t="s">
        <v>25</v>
      </c>
      <c r="D38" s="41">
        <v>0</v>
      </c>
      <c r="E38" s="41">
        <v>0</v>
      </c>
      <c r="F38" s="41">
        <v>0</v>
      </c>
      <c r="G38" s="41">
        <v>0</v>
      </c>
      <c r="H38" s="41">
        <v>0</v>
      </c>
      <c r="I38" s="41">
        <v>0</v>
      </c>
      <c r="J38" s="41">
        <v>0</v>
      </c>
      <c r="K38" s="41">
        <v>0</v>
      </c>
      <c r="L38" s="41">
        <v>0</v>
      </c>
      <c r="M38" s="41">
        <v>0</v>
      </c>
      <c r="N38" s="63">
        <v>0</v>
      </c>
      <c r="P38" s="39"/>
      <c r="Q38" s="63"/>
      <c r="R38" s="41"/>
      <c r="S38" s="41"/>
      <c r="T38" s="41"/>
      <c r="U38" s="41"/>
      <c r="V38" s="41"/>
      <c r="W38" s="41"/>
      <c r="X38" s="41"/>
      <c r="Y38" s="41"/>
      <c r="Z38" s="41"/>
      <c r="AA38" s="41"/>
      <c r="AB38" s="63"/>
      <c r="AD38" s="39" t="s">
        <v>319</v>
      </c>
      <c r="AE38" s="63" t="s">
        <v>25</v>
      </c>
      <c r="AF38" s="41">
        <v>0</v>
      </c>
      <c r="AG38" s="41">
        <v>0</v>
      </c>
      <c r="AH38" s="41">
        <v>0</v>
      </c>
      <c r="AI38" s="41">
        <v>0</v>
      </c>
      <c r="AJ38" s="41">
        <v>0</v>
      </c>
      <c r="AK38" s="41">
        <v>0</v>
      </c>
      <c r="AL38" s="41">
        <v>0</v>
      </c>
      <c r="AM38" s="41">
        <v>0</v>
      </c>
      <c r="AN38" s="41">
        <v>0</v>
      </c>
      <c r="AO38" s="41">
        <v>0</v>
      </c>
      <c r="AP38" s="63">
        <v>0</v>
      </c>
      <c r="AR38" s="39"/>
      <c r="AS38" s="63"/>
      <c r="AT38" s="41"/>
      <c r="AU38" s="41"/>
      <c r="AV38" s="41"/>
      <c r="AW38" s="41"/>
      <c r="AX38" s="41"/>
      <c r="AY38" s="41"/>
      <c r="AZ38" s="41"/>
      <c r="BA38" s="41"/>
      <c r="BB38" s="41"/>
      <c r="BC38" s="41"/>
      <c r="BD38" s="63"/>
      <c r="BF38" s="39"/>
      <c r="BG38" s="63"/>
      <c r="BH38" s="41"/>
      <c r="BI38" s="41"/>
      <c r="BJ38" s="41"/>
      <c r="BK38" s="41"/>
      <c r="BL38" s="41"/>
      <c r="BM38" s="41"/>
      <c r="BN38" s="41"/>
      <c r="BO38" s="41"/>
      <c r="BP38" s="41"/>
      <c r="BQ38" s="41"/>
      <c r="BR38" s="63"/>
    </row>
    <row r="39" spans="2:70" ht="15.95" customHeight="1" x14ac:dyDescent="0.25">
      <c r="B39" s="39" t="s">
        <v>320</v>
      </c>
      <c r="C39" s="63" t="s">
        <v>25</v>
      </c>
      <c r="D39" s="41"/>
      <c r="E39" s="41">
        <v>0</v>
      </c>
      <c r="F39" s="41">
        <v>0</v>
      </c>
      <c r="G39" s="41">
        <v>0</v>
      </c>
      <c r="H39" s="41">
        <v>0</v>
      </c>
      <c r="I39" s="41">
        <v>0</v>
      </c>
      <c r="J39" s="41">
        <v>0</v>
      </c>
      <c r="K39" s="41">
        <v>0</v>
      </c>
      <c r="L39" s="41">
        <v>0</v>
      </c>
      <c r="M39" s="41">
        <v>0</v>
      </c>
      <c r="N39" s="63">
        <v>0</v>
      </c>
      <c r="P39" s="39"/>
      <c r="Q39" s="63"/>
      <c r="R39" s="41"/>
      <c r="S39" s="41"/>
      <c r="T39" s="41"/>
      <c r="U39" s="41"/>
      <c r="V39" s="41"/>
      <c r="W39" s="41"/>
      <c r="X39" s="41"/>
      <c r="Y39" s="41"/>
      <c r="Z39" s="41"/>
      <c r="AA39" s="41"/>
      <c r="AB39" s="63"/>
      <c r="AD39" s="39" t="s">
        <v>320</v>
      </c>
      <c r="AE39" s="63" t="s">
        <v>25</v>
      </c>
      <c r="AF39" s="41"/>
      <c r="AG39" s="41">
        <v>0</v>
      </c>
      <c r="AH39" s="41">
        <v>0</v>
      </c>
      <c r="AI39" s="41">
        <v>0</v>
      </c>
      <c r="AJ39" s="41">
        <v>0</v>
      </c>
      <c r="AK39" s="41">
        <v>0</v>
      </c>
      <c r="AL39" s="41">
        <v>0</v>
      </c>
      <c r="AM39" s="41">
        <v>0</v>
      </c>
      <c r="AN39" s="41">
        <v>0</v>
      </c>
      <c r="AO39" s="41">
        <v>0</v>
      </c>
      <c r="AP39" s="63">
        <v>0</v>
      </c>
      <c r="AR39" s="39"/>
      <c r="AS39" s="63"/>
      <c r="AT39" s="41"/>
      <c r="AU39" s="41"/>
      <c r="AV39" s="41"/>
      <c r="AW39" s="41"/>
      <c r="AX39" s="41"/>
      <c r="AY39" s="41"/>
      <c r="AZ39" s="41"/>
      <c r="BA39" s="41"/>
      <c r="BB39" s="41"/>
      <c r="BC39" s="41"/>
      <c r="BD39" s="63"/>
      <c r="BF39" s="39"/>
      <c r="BG39" s="63"/>
      <c r="BH39" s="41"/>
      <c r="BI39" s="41"/>
      <c r="BJ39" s="41"/>
      <c r="BK39" s="41"/>
      <c r="BL39" s="41"/>
      <c r="BM39" s="41"/>
      <c r="BN39" s="41"/>
      <c r="BO39" s="41"/>
      <c r="BP39" s="41"/>
      <c r="BQ39" s="41"/>
      <c r="BR39" s="63"/>
    </row>
    <row r="40" spans="2:70" ht="15.95" customHeight="1" x14ac:dyDescent="0.25">
      <c r="B40" s="39"/>
      <c r="C40" s="63"/>
      <c r="D40" s="41"/>
      <c r="E40" s="41"/>
      <c r="F40" s="41"/>
      <c r="G40" s="41"/>
      <c r="H40" s="41"/>
      <c r="I40" s="41"/>
      <c r="J40" s="41"/>
      <c r="K40" s="41"/>
      <c r="L40" s="41"/>
      <c r="M40" s="41"/>
      <c r="N40" s="63"/>
      <c r="P40" s="39" t="s">
        <v>321</v>
      </c>
      <c r="Q40" s="63" t="s">
        <v>25</v>
      </c>
      <c r="R40" s="41">
        <v>0</v>
      </c>
      <c r="S40" s="41">
        <v>0</v>
      </c>
      <c r="T40" s="41">
        <v>0</v>
      </c>
      <c r="U40" s="41">
        <v>0</v>
      </c>
      <c r="V40" s="41">
        <v>0</v>
      </c>
      <c r="W40" s="41">
        <v>0</v>
      </c>
      <c r="X40" s="41">
        <v>0</v>
      </c>
      <c r="Y40" s="41">
        <v>0</v>
      </c>
      <c r="Z40" s="41">
        <v>0</v>
      </c>
      <c r="AA40" s="41">
        <v>0</v>
      </c>
      <c r="AB40" s="63">
        <v>0</v>
      </c>
      <c r="AD40" s="39"/>
      <c r="AE40" s="63"/>
      <c r="AF40" s="41"/>
      <c r="AG40" s="41"/>
      <c r="AH40" s="41"/>
      <c r="AI40" s="41"/>
      <c r="AJ40" s="41"/>
      <c r="AK40" s="41"/>
      <c r="AL40" s="41"/>
      <c r="AM40" s="41"/>
      <c r="AN40" s="41"/>
      <c r="AO40" s="41"/>
      <c r="AP40" s="63"/>
      <c r="AR40" s="39"/>
      <c r="AS40" s="63"/>
      <c r="AT40" s="41"/>
      <c r="AU40" s="41"/>
      <c r="AV40" s="41"/>
      <c r="AW40" s="41"/>
      <c r="AX40" s="41"/>
      <c r="AY40" s="41"/>
      <c r="AZ40" s="41"/>
      <c r="BA40" s="41"/>
      <c r="BB40" s="41"/>
      <c r="BC40" s="41"/>
      <c r="BD40" s="63"/>
      <c r="BF40" s="39"/>
      <c r="BG40" s="63"/>
      <c r="BH40" s="41"/>
      <c r="BI40" s="41"/>
      <c r="BJ40" s="41"/>
      <c r="BK40" s="41"/>
      <c r="BL40" s="41"/>
      <c r="BM40" s="41"/>
      <c r="BN40" s="41"/>
      <c r="BO40" s="41"/>
      <c r="BP40" s="41"/>
      <c r="BQ40" s="41"/>
      <c r="BR40" s="63"/>
    </row>
    <row r="41" spans="2:70" ht="15.95" customHeight="1" x14ac:dyDescent="0.25">
      <c r="B41" s="39"/>
      <c r="C41" s="63"/>
      <c r="D41" s="41"/>
      <c r="E41" s="41"/>
      <c r="F41" s="41"/>
      <c r="G41" s="41"/>
      <c r="H41" s="41"/>
      <c r="I41" s="41"/>
      <c r="J41" s="41"/>
      <c r="K41" s="41"/>
      <c r="L41" s="41"/>
      <c r="M41" s="41"/>
      <c r="N41" s="63"/>
      <c r="P41" s="39" t="s">
        <v>322</v>
      </c>
      <c r="Q41" s="63" t="s">
        <v>25</v>
      </c>
      <c r="R41" s="41">
        <v>0</v>
      </c>
      <c r="S41" s="41">
        <v>0</v>
      </c>
      <c r="T41" s="41">
        <v>0</v>
      </c>
      <c r="U41" s="41">
        <v>0</v>
      </c>
      <c r="V41" s="41">
        <v>0</v>
      </c>
      <c r="W41" s="41">
        <v>0</v>
      </c>
      <c r="X41" s="41">
        <v>0</v>
      </c>
      <c r="Y41" s="41">
        <v>0</v>
      </c>
      <c r="Z41" s="41">
        <v>0</v>
      </c>
      <c r="AA41" s="41">
        <v>0</v>
      </c>
      <c r="AB41" s="63">
        <v>0</v>
      </c>
      <c r="AD41" s="39"/>
      <c r="AE41" s="63"/>
      <c r="AF41" s="41"/>
      <c r="AG41" s="41"/>
      <c r="AH41" s="41"/>
      <c r="AI41" s="41"/>
      <c r="AJ41" s="41"/>
      <c r="AK41" s="41"/>
      <c r="AL41" s="41"/>
      <c r="AM41" s="41"/>
      <c r="AN41" s="41"/>
      <c r="AO41" s="41"/>
      <c r="AP41" s="63"/>
      <c r="AR41" s="39"/>
      <c r="AS41" s="63"/>
      <c r="AT41" s="41"/>
      <c r="AU41" s="41"/>
      <c r="AV41" s="41"/>
      <c r="AW41" s="41"/>
      <c r="AX41" s="41"/>
      <c r="AY41" s="41"/>
      <c r="AZ41" s="41"/>
      <c r="BA41" s="41"/>
      <c r="BB41" s="41"/>
      <c r="BC41" s="41"/>
      <c r="BD41" s="63"/>
      <c r="BF41" s="39"/>
      <c r="BG41" s="63"/>
      <c r="BH41" s="41"/>
      <c r="BI41" s="41"/>
      <c r="BJ41" s="41"/>
      <c r="BK41" s="41"/>
      <c r="BL41" s="41"/>
      <c r="BM41" s="41"/>
      <c r="BN41" s="41"/>
      <c r="BO41" s="41"/>
      <c r="BP41" s="41"/>
      <c r="BQ41" s="41"/>
      <c r="BR41" s="63"/>
    </row>
    <row r="42" spans="2:70" ht="15.95" customHeight="1" x14ac:dyDescent="0.25">
      <c r="B42" s="39"/>
      <c r="C42" s="63"/>
      <c r="D42" s="41"/>
      <c r="E42" s="41"/>
      <c r="F42" s="41"/>
      <c r="G42" s="41"/>
      <c r="H42" s="41"/>
      <c r="I42" s="41"/>
      <c r="J42" s="41"/>
      <c r="K42" s="41"/>
      <c r="L42" s="41"/>
      <c r="M42" s="41"/>
      <c r="N42" s="63"/>
      <c r="P42" s="39"/>
      <c r="Q42" s="63"/>
      <c r="R42" s="41"/>
      <c r="S42" s="41"/>
      <c r="T42" s="41"/>
      <c r="U42" s="41"/>
      <c r="V42" s="41"/>
      <c r="W42" s="41"/>
      <c r="X42" s="41"/>
      <c r="Y42" s="41"/>
      <c r="Z42" s="41"/>
      <c r="AA42" s="41"/>
      <c r="AB42" s="63"/>
      <c r="AD42" s="39"/>
      <c r="AE42" s="63"/>
      <c r="AF42" s="41"/>
      <c r="AG42" s="41"/>
      <c r="AH42" s="41"/>
      <c r="AI42" s="41"/>
      <c r="AJ42" s="41"/>
      <c r="AK42" s="41"/>
      <c r="AL42" s="41"/>
      <c r="AM42" s="41"/>
      <c r="AN42" s="41"/>
      <c r="AO42" s="41"/>
      <c r="AP42" s="63"/>
      <c r="AR42" s="39"/>
      <c r="AS42" s="63"/>
      <c r="AT42" s="41"/>
      <c r="AU42" s="41"/>
      <c r="AV42" s="41"/>
      <c r="AW42" s="41"/>
      <c r="AX42" s="41"/>
      <c r="AY42" s="41"/>
      <c r="AZ42" s="41"/>
      <c r="BA42" s="41"/>
      <c r="BB42" s="41"/>
      <c r="BC42" s="41"/>
      <c r="BD42" s="63"/>
      <c r="BF42" s="39"/>
      <c r="BG42" s="63"/>
      <c r="BH42" s="41"/>
      <c r="BI42" s="41"/>
      <c r="BJ42" s="41"/>
      <c r="BK42" s="41"/>
      <c r="BL42" s="41"/>
      <c r="BM42" s="41"/>
      <c r="BN42" s="41"/>
      <c r="BO42" s="41"/>
      <c r="BP42" s="41"/>
      <c r="BQ42" s="41"/>
      <c r="BR42" s="63"/>
    </row>
    <row r="43" spans="2:70" ht="15.95" customHeight="1" x14ac:dyDescent="0.25">
      <c r="B43" s="39" t="s">
        <v>42</v>
      </c>
      <c r="C43" s="63"/>
      <c r="D43" s="41"/>
      <c r="E43" s="41"/>
      <c r="F43" s="41"/>
      <c r="G43" s="41"/>
      <c r="H43" s="41"/>
      <c r="I43" s="41"/>
      <c r="J43" s="41"/>
      <c r="K43" s="41"/>
      <c r="L43" s="41"/>
      <c r="M43" s="41"/>
      <c r="N43" s="63"/>
      <c r="P43" s="39" t="s">
        <v>42</v>
      </c>
      <c r="Q43" s="63"/>
      <c r="R43" s="41"/>
      <c r="S43" s="41"/>
      <c r="T43" s="41"/>
      <c r="U43" s="41"/>
      <c r="V43" s="41"/>
      <c r="W43" s="41"/>
      <c r="X43" s="41"/>
      <c r="Y43" s="41"/>
      <c r="Z43" s="41"/>
      <c r="AA43" s="41"/>
      <c r="AB43" s="63"/>
      <c r="AD43" s="39" t="s">
        <v>42</v>
      </c>
      <c r="AE43" s="63"/>
      <c r="AF43" s="41"/>
      <c r="AG43" s="41"/>
      <c r="AH43" s="41"/>
      <c r="AI43" s="41"/>
      <c r="AJ43" s="41"/>
      <c r="AK43" s="41"/>
      <c r="AL43" s="41"/>
      <c r="AM43" s="41"/>
      <c r="AN43" s="41"/>
      <c r="AO43" s="41"/>
      <c r="AP43" s="63"/>
      <c r="AR43" s="39" t="s">
        <v>42</v>
      </c>
      <c r="AS43" s="63"/>
      <c r="AT43" s="41"/>
      <c r="AU43" s="41"/>
      <c r="AV43" s="41"/>
      <c r="AW43" s="41"/>
      <c r="AX43" s="41"/>
      <c r="AY43" s="41"/>
      <c r="AZ43" s="41"/>
      <c r="BA43" s="41"/>
      <c r="BB43" s="41"/>
      <c r="BC43" s="41"/>
      <c r="BD43" s="63"/>
      <c r="BF43" s="39" t="s">
        <v>42</v>
      </c>
      <c r="BG43" s="63"/>
      <c r="BH43" s="41"/>
      <c r="BI43" s="41"/>
      <c r="BJ43" s="41"/>
      <c r="BK43" s="41"/>
      <c r="BL43" s="41"/>
      <c r="BM43" s="41"/>
      <c r="BN43" s="41"/>
      <c r="BO43" s="41"/>
      <c r="BP43" s="41"/>
      <c r="BQ43" s="41"/>
      <c r="BR43" s="63"/>
    </row>
    <row r="44" spans="2:70" ht="15.95" customHeight="1" x14ac:dyDescent="0.25">
      <c r="B44" s="39"/>
      <c r="C44" s="63"/>
      <c r="D44" s="41"/>
      <c r="E44" s="41"/>
      <c r="F44" s="41"/>
      <c r="G44" s="41"/>
      <c r="H44" s="41"/>
      <c r="I44" s="41"/>
      <c r="J44" s="41"/>
      <c r="K44" s="41"/>
      <c r="L44" s="41"/>
      <c r="M44" s="41"/>
      <c r="N44" s="63"/>
      <c r="P44" s="39"/>
      <c r="Q44" s="63"/>
      <c r="R44" s="41"/>
      <c r="S44" s="41"/>
      <c r="T44" s="41"/>
      <c r="U44" s="41"/>
      <c r="V44" s="41"/>
      <c r="W44" s="41"/>
      <c r="X44" s="41"/>
      <c r="Y44" s="41"/>
      <c r="Z44" s="41"/>
      <c r="AA44" s="41"/>
      <c r="AB44" s="63"/>
      <c r="AD44" s="39"/>
      <c r="AE44" s="63"/>
      <c r="AF44" s="41"/>
      <c r="AG44" s="41"/>
      <c r="AH44" s="41"/>
      <c r="AI44" s="41"/>
      <c r="AJ44" s="41"/>
      <c r="AK44" s="41"/>
      <c r="AL44" s="41"/>
      <c r="AM44" s="41"/>
      <c r="AN44" s="41"/>
      <c r="AO44" s="41"/>
      <c r="AP44" s="63"/>
      <c r="AR44" s="39"/>
      <c r="AS44" s="63"/>
      <c r="AT44" s="41"/>
      <c r="AU44" s="41"/>
      <c r="AV44" s="41"/>
      <c r="AW44" s="41"/>
      <c r="AX44" s="41"/>
      <c r="AY44" s="41"/>
      <c r="AZ44" s="41"/>
      <c r="BA44" s="41"/>
      <c r="BB44" s="41"/>
      <c r="BC44" s="41"/>
      <c r="BD44" s="63"/>
      <c r="BF44" s="39"/>
      <c r="BG44" s="63"/>
      <c r="BH44" s="41"/>
      <c r="BI44" s="41"/>
      <c r="BJ44" s="41"/>
      <c r="BK44" s="41"/>
      <c r="BL44" s="41"/>
      <c r="BM44" s="41"/>
      <c r="BN44" s="41"/>
      <c r="BO44" s="41"/>
      <c r="BP44" s="41"/>
      <c r="BQ44" s="41"/>
      <c r="BR44" s="63"/>
    </row>
    <row r="45" spans="2:70" ht="15.95" customHeight="1" x14ac:dyDescent="0.25">
      <c r="B45" s="39" t="s">
        <v>39</v>
      </c>
      <c r="C45" s="40"/>
      <c r="D45" s="65">
        <f t="shared" ref="D45:D46" si="42">R45+AF45</f>
        <v>0</v>
      </c>
      <c r="E45" s="65">
        <f t="shared" ref="E45:E46" si="43">S45+AG45</f>
        <v>0</v>
      </c>
      <c r="F45" s="65">
        <f t="shared" ref="F45:F46" si="44">T45+AH45</f>
        <v>0</v>
      </c>
      <c r="G45" s="65">
        <f t="shared" ref="G45:G46" si="45">U45+AI45</f>
        <v>0</v>
      </c>
      <c r="H45" s="65">
        <f t="shared" ref="H45:H46" si="46">V45+AJ45</f>
        <v>0</v>
      </c>
      <c r="I45" s="65">
        <f t="shared" ref="I45:I46" si="47">W45+AK45</f>
        <v>0</v>
      </c>
      <c r="J45" s="65">
        <f t="shared" ref="J45:J46" si="48">X45+AL45</f>
        <v>0</v>
      </c>
      <c r="K45" s="65">
        <f t="shared" ref="K45:K46" si="49">Y45+AM45</f>
        <v>0</v>
      </c>
      <c r="L45" s="65">
        <f t="shared" ref="L45:L46" si="50">Z45+AN45</f>
        <v>0</v>
      </c>
      <c r="M45" s="65">
        <f t="shared" ref="M45:M46" si="51">AA45+AO45</f>
        <v>0</v>
      </c>
      <c r="N45" s="65">
        <f t="shared" ref="N45:N46" si="52">AB45+AP45</f>
        <v>0</v>
      </c>
      <c r="P45" s="39" t="s">
        <v>39</v>
      </c>
      <c r="Q45" s="40"/>
      <c r="R45" s="65">
        <f t="shared" ref="R45:AB45" si="53">SUM(R36:R44)</f>
        <v>0</v>
      </c>
      <c r="S45" s="65">
        <f t="shared" si="53"/>
        <v>0</v>
      </c>
      <c r="T45" s="65">
        <f t="shared" si="53"/>
        <v>0</v>
      </c>
      <c r="U45" s="65">
        <f t="shared" si="53"/>
        <v>0</v>
      </c>
      <c r="V45" s="65">
        <f t="shared" si="53"/>
        <v>0</v>
      </c>
      <c r="W45" s="65">
        <f t="shared" si="53"/>
        <v>0</v>
      </c>
      <c r="X45" s="65">
        <f t="shared" si="53"/>
        <v>0</v>
      </c>
      <c r="Y45" s="65">
        <f t="shared" si="53"/>
        <v>0</v>
      </c>
      <c r="Z45" s="65">
        <f t="shared" si="53"/>
        <v>0</v>
      </c>
      <c r="AA45" s="65">
        <f t="shared" si="53"/>
        <v>0</v>
      </c>
      <c r="AB45" s="65">
        <f t="shared" si="53"/>
        <v>0</v>
      </c>
      <c r="AD45" s="39" t="s">
        <v>39</v>
      </c>
      <c r="AE45" s="40"/>
      <c r="AF45" s="65">
        <f t="shared" ref="AF45:AP45" si="54">SUM(AF36:AF44)</f>
        <v>0</v>
      </c>
      <c r="AG45" s="65">
        <f t="shared" si="54"/>
        <v>0</v>
      </c>
      <c r="AH45" s="65">
        <f t="shared" si="54"/>
        <v>0</v>
      </c>
      <c r="AI45" s="65">
        <f t="shared" si="54"/>
        <v>0</v>
      </c>
      <c r="AJ45" s="65">
        <f t="shared" si="54"/>
        <v>0</v>
      </c>
      <c r="AK45" s="65">
        <f t="shared" si="54"/>
        <v>0</v>
      </c>
      <c r="AL45" s="65">
        <f t="shared" si="54"/>
        <v>0</v>
      </c>
      <c r="AM45" s="65">
        <f t="shared" si="54"/>
        <v>0</v>
      </c>
      <c r="AN45" s="65">
        <f t="shared" si="54"/>
        <v>0</v>
      </c>
      <c r="AO45" s="65">
        <f t="shared" si="54"/>
        <v>0</v>
      </c>
      <c r="AP45" s="65">
        <f t="shared" si="54"/>
        <v>0</v>
      </c>
      <c r="AR45" s="39" t="s">
        <v>39</v>
      </c>
      <c r="AS45" s="40"/>
      <c r="AT45" s="65">
        <f t="shared" ref="AT45:BD45" si="55">SUM(AT36:AT44)</f>
        <v>0</v>
      </c>
      <c r="AU45" s="65">
        <f t="shared" si="55"/>
        <v>0</v>
      </c>
      <c r="AV45" s="65">
        <f t="shared" si="55"/>
        <v>0</v>
      </c>
      <c r="AW45" s="65">
        <f t="shared" si="55"/>
        <v>0</v>
      </c>
      <c r="AX45" s="65">
        <f t="shared" si="55"/>
        <v>0</v>
      </c>
      <c r="AY45" s="65">
        <f t="shared" si="55"/>
        <v>0</v>
      </c>
      <c r="AZ45" s="65">
        <f t="shared" si="55"/>
        <v>0</v>
      </c>
      <c r="BA45" s="65">
        <f t="shared" si="55"/>
        <v>0</v>
      </c>
      <c r="BB45" s="65">
        <f t="shared" si="55"/>
        <v>0</v>
      </c>
      <c r="BC45" s="65">
        <f t="shared" si="55"/>
        <v>0</v>
      </c>
      <c r="BD45" s="65">
        <f t="shared" si="55"/>
        <v>0</v>
      </c>
      <c r="BF45" s="39" t="s">
        <v>39</v>
      </c>
      <c r="BG45" s="40"/>
      <c r="BH45" s="65">
        <f t="shared" ref="BH45:BR45" si="56">SUM(BH36:BH44)</f>
        <v>0</v>
      </c>
      <c r="BI45" s="65">
        <f t="shared" si="56"/>
        <v>0</v>
      </c>
      <c r="BJ45" s="65">
        <f t="shared" si="56"/>
        <v>0</v>
      </c>
      <c r="BK45" s="65">
        <f t="shared" si="56"/>
        <v>0</v>
      </c>
      <c r="BL45" s="65">
        <f t="shared" si="56"/>
        <v>0</v>
      </c>
      <c r="BM45" s="65">
        <f t="shared" si="56"/>
        <v>0</v>
      </c>
      <c r="BN45" s="65">
        <f t="shared" si="56"/>
        <v>0</v>
      </c>
      <c r="BO45" s="65">
        <f t="shared" si="56"/>
        <v>0</v>
      </c>
      <c r="BP45" s="65">
        <f t="shared" si="56"/>
        <v>0</v>
      </c>
      <c r="BQ45" s="65">
        <f t="shared" si="56"/>
        <v>0</v>
      </c>
      <c r="BR45" s="65">
        <f t="shared" si="56"/>
        <v>0</v>
      </c>
    </row>
    <row r="46" spans="2:70" s="27" customFormat="1" ht="15.95" customHeight="1" x14ac:dyDescent="0.25">
      <c r="B46" s="39" t="s">
        <v>41</v>
      </c>
      <c r="C46" s="42"/>
      <c r="D46" s="69">
        <f t="shared" si="42"/>
        <v>18.400000000000002</v>
      </c>
      <c r="E46" s="69">
        <f t="shared" si="43"/>
        <v>20.9</v>
      </c>
      <c r="F46" s="69">
        <f t="shared" si="44"/>
        <v>24.999999999999996</v>
      </c>
      <c r="G46" s="69">
        <f t="shared" si="45"/>
        <v>28.799999999999997</v>
      </c>
      <c r="H46" s="69">
        <f t="shared" si="46"/>
        <v>31.9</v>
      </c>
      <c r="I46" s="69">
        <f t="shared" si="47"/>
        <v>34.800000000000004</v>
      </c>
      <c r="J46" s="69">
        <f t="shared" si="48"/>
        <v>37.299999999999997</v>
      </c>
      <c r="K46" s="69">
        <f t="shared" si="49"/>
        <v>39.15</v>
      </c>
      <c r="L46" s="69">
        <f t="shared" si="50"/>
        <v>40.799999999999997</v>
      </c>
      <c r="M46" s="69">
        <f t="shared" si="51"/>
        <v>41.1</v>
      </c>
      <c r="N46" s="69">
        <f t="shared" si="52"/>
        <v>41.4</v>
      </c>
      <c r="P46" s="39" t="s">
        <v>41</v>
      </c>
      <c r="Q46" s="42"/>
      <c r="R46" s="69">
        <f t="shared" ref="R46:AB46" si="57">R33+R45</f>
        <v>3.5</v>
      </c>
      <c r="S46" s="69">
        <f t="shared" si="57"/>
        <v>4.2</v>
      </c>
      <c r="T46" s="69">
        <f t="shared" si="57"/>
        <v>5.5</v>
      </c>
      <c r="U46" s="69">
        <f t="shared" si="57"/>
        <v>6.6</v>
      </c>
      <c r="V46" s="69">
        <f t="shared" si="57"/>
        <v>7.6</v>
      </c>
      <c r="W46" s="69">
        <f t="shared" si="57"/>
        <v>8.8000000000000007</v>
      </c>
      <c r="X46" s="69">
        <f t="shared" si="57"/>
        <v>9.9</v>
      </c>
      <c r="Y46" s="69">
        <f t="shared" si="57"/>
        <v>10.549999999999999</v>
      </c>
      <c r="Z46" s="69">
        <f t="shared" si="57"/>
        <v>11</v>
      </c>
      <c r="AA46" s="69">
        <f t="shared" si="57"/>
        <v>11.3</v>
      </c>
      <c r="AB46" s="69">
        <f t="shared" si="57"/>
        <v>11.6</v>
      </c>
      <c r="AD46" s="39" t="s">
        <v>41</v>
      </c>
      <c r="AE46" s="42"/>
      <c r="AF46" s="69">
        <f t="shared" ref="AF46:AP46" si="58">AF33+AF45</f>
        <v>14.900000000000002</v>
      </c>
      <c r="AG46" s="69">
        <f t="shared" si="58"/>
        <v>16.7</v>
      </c>
      <c r="AH46" s="69">
        <f t="shared" si="58"/>
        <v>19.499999999999996</v>
      </c>
      <c r="AI46" s="69">
        <f t="shared" si="58"/>
        <v>22.2</v>
      </c>
      <c r="AJ46" s="69">
        <f t="shared" si="58"/>
        <v>24.3</v>
      </c>
      <c r="AK46" s="69">
        <f t="shared" si="58"/>
        <v>26.000000000000004</v>
      </c>
      <c r="AL46" s="69">
        <f t="shared" si="58"/>
        <v>27.4</v>
      </c>
      <c r="AM46" s="69">
        <f t="shared" si="58"/>
        <v>28.6</v>
      </c>
      <c r="AN46" s="69">
        <f t="shared" si="58"/>
        <v>29.8</v>
      </c>
      <c r="AO46" s="69">
        <f t="shared" si="58"/>
        <v>29.8</v>
      </c>
      <c r="AP46" s="69">
        <f t="shared" si="58"/>
        <v>29.8</v>
      </c>
      <c r="AR46" s="39" t="s">
        <v>41</v>
      </c>
      <c r="AS46" s="42"/>
      <c r="AT46" s="69">
        <f t="shared" ref="AT46:BD46" si="59">AT33+AT45</f>
        <v>1.7199999999999998</v>
      </c>
      <c r="AU46" s="69">
        <f t="shared" si="59"/>
        <v>2.0299999999999998</v>
      </c>
      <c r="AV46" s="69">
        <f t="shared" si="59"/>
        <v>2.5399999999999996</v>
      </c>
      <c r="AW46" s="69">
        <f t="shared" si="59"/>
        <v>2.75</v>
      </c>
      <c r="AX46" s="69">
        <f t="shared" si="59"/>
        <v>2.88</v>
      </c>
      <c r="AY46" s="69">
        <f t="shared" si="59"/>
        <v>3.32</v>
      </c>
      <c r="AZ46" s="69">
        <f t="shared" si="59"/>
        <v>3.42</v>
      </c>
      <c r="BA46" s="69">
        <f t="shared" si="59"/>
        <v>3.47</v>
      </c>
      <c r="BB46" s="69">
        <f t="shared" si="59"/>
        <v>3.5200000000000005</v>
      </c>
      <c r="BC46" s="69">
        <f t="shared" si="59"/>
        <v>3.5750000000000006</v>
      </c>
      <c r="BD46" s="69">
        <f t="shared" si="59"/>
        <v>3.6300000000000003</v>
      </c>
      <c r="BF46" s="39" t="s">
        <v>41</v>
      </c>
      <c r="BG46" s="42"/>
      <c r="BH46" s="69">
        <f t="shared" ref="BH46:BR46" si="60">BH33+BH45</f>
        <v>0.6</v>
      </c>
      <c r="BI46" s="69">
        <f t="shared" si="60"/>
        <v>0.9</v>
      </c>
      <c r="BJ46" s="69">
        <f t="shared" si="60"/>
        <v>1.4</v>
      </c>
      <c r="BK46" s="69">
        <f t="shared" si="60"/>
        <v>1.9</v>
      </c>
      <c r="BL46" s="69">
        <f t="shared" si="60"/>
        <v>2.2000000000000002</v>
      </c>
      <c r="BM46" s="69">
        <f t="shared" si="60"/>
        <v>2.7</v>
      </c>
      <c r="BN46" s="69">
        <f t="shared" si="60"/>
        <v>3.2</v>
      </c>
      <c r="BO46" s="69">
        <f t="shared" si="60"/>
        <v>3.2</v>
      </c>
      <c r="BP46" s="69">
        <f t="shared" si="60"/>
        <v>3.2</v>
      </c>
      <c r="BQ46" s="69">
        <f t="shared" si="60"/>
        <v>3.2500000000000004</v>
      </c>
      <c r="BR46" s="69">
        <f t="shared" si="60"/>
        <v>3.3</v>
      </c>
    </row>
    <row r="47" spans="2:70" ht="15.95" customHeight="1" x14ac:dyDescent="0.25">
      <c r="B47" s="43"/>
      <c r="C47" s="44"/>
      <c r="D47" s="45">
        <v>2010</v>
      </c>
      <c r="E47" s="45">
        <v>2015</v>
      </c>
      <c r="F47" s="45">
        <v>2020</v>
      </c>
      <c r="G47" s="45">
        <v>2025</v>
      </c>
      <c r="H47" s="45">
        <v>2030</v>
      </c>
      <c r="I47" s="45">
        <v>2035</v>
      </c>
      <c r="J47" s="45">
        <v>2040</v>
      </c>
      <c r="K47" s="45">
        <v>2045</v>
      </c>
      <c r="L47" s="45">
        <v>2050</v>
      </c>
      <c r="M47" s="45">
        <v>2055</v>
      </c>
      <c r="N47" s="45">
        <v>2060</v>
      </c>
      <c r="P47" s="43"/>
      <c r="Q47" s="44"/>
      <c r="R47" s="45">
        <v>2010</v>
      </c>
      <c r="S47" s="45">
        <v>2015</v>
      </c>
      <c r="T47" s="45">
        <v>2020</v>
      </c>
      <c r="U47" s="45">
        <v>2025</v>
      </c>
      <c r="V47" s="45">
        <v>2030</v>
      </c>
      <c r="W47" s="45">
        <v>2035</v>
      </c>
      <c r="X47" s="45">
        <v>2040</v>
      </c>
      <c r="Y47" s="45">
        <v>2045</v>
      </c>
      <c r="Z47" s="45">
        <v>2050</v>
      </c>
      <c r="AA47" s="45">
        <v>2055</v>
      </c>
      <c r="AB47" s="45">
        <v>2060</v>
      </c>
      <c r="AD47" s="43"/>
      <c r="AE47" s="44"/>
      <c r="AF47" s="45">
        <v>2010</v>
      </c>
      <c r="AG47" s="45">
        <v>2015</v>
      </c>
      <c r="AH47" s="45">
        <v>2020</v>
      </c>
      <c r="AI47" s="45">
        <v>2025</v>
      </c>
      <c r="AJ47" s="45">
        <v>2030</v>
      </c>
      <c r="AK47" s="45">
        <v>2035</v>
      </c>
      <c r="AL47" s="45">
        <v>2040</v>
      </c>
      <c r="AM47" s="45">
        <v>2045</v>
      </c>
      <c r="AN47" s="45">
        <v>2050</v>
      </c>
      <c r="AO47" s="45">
        <v>2055</v>
      </c>
      <c r="AP47" s="45">
        <v>2060</v>
      </c>
      <c r="AR47" s="43"/>
      <c r="AS47" s="44"/>
      <c r="AT47" s="45">
        <v>2010</v>
      </c>
      <c r="AU47" s="45">
        <v>2015</v>
      </c>
      <c r="AV47" s="45">
        <v>2020</v>
      </c>
      <c r="AW47" s="45">
        <v>2025</v>
      </c>
      <c r="AX47" s="45">
        <v>2030</v>
      </c>
      <c r="AY47" s="45">
        <v>2035</v>
      </c>
      <c r="AZ47" s="45">
        <v>2040</v>
      </c>
      <c r="BA47" s="45">
        <v>2045</v>
      </c>
      <c r="BB47" s="45">
        <v>2050</v>
      </c>
      <c r="BC47" s="45">
        <v>2055</v>
      </c>
      <c r="BD47" s="45">
        <v>2060</v>
      </c>
      <c r="BF47" s="43"/>
      <c r="BG47" s="44"/>
      <c r="BH47" s="44">
        <v>2010</v>
      </c>
      <c r="BI47" s="44">
        <v>2015</v>
      </c>
      <c r="BJ47" s="44">
        <v>2020</v>
      </c>
      <c r="BK47" s="44">
        <v>2025</v>
      </c>
      <c r="BL47" s="44">
        <v>2030</v>
      </c>
      <c r="BM47" s="44">
        <v>2035</v>
      </c>
      <c r="BN47" s="44">
        <v>2040</v>
      </c>
      <c r="BO47" s="44">
        <v>2045</v>
      </c>
      <c r="BP47" s="44">
        <v>2050</v>
      </c>
      <c r="BQ47" s="44">
        <v>2055</v>
      </c>
      <c r="BR47" s="44">
        <v>2060</v>
      </c>
    </row>
    <row r="48" spans="2:70" ht="15.95" customHeight="1" x14ac:dyDescent="0.2">
      <c r="Q48" s="28"/>
      <c r="R48" s="28"/>
      <c r="S48" s="28"/>
      <c r="T48" s="28"/>
      <c r="U48" s="28"/>
      <c r="V48" s="28"/>
      <c r="W48" s="28"/>
      <c r="X48" s="28"/>
      <c r="Y48" s="28"/>
      <c r="Z48" s="28"/>
      <c r="AA48" s="28"/>
      <c r="AB48" s="28"/>
      <c r="AE48" s="28"/>
      <c r="AF48" s="28"/>
      <c r="AG48" s="28"/>
      <c r="AH48" s="28"/>
      <c r="AI48" s="28"/>
      <c r="AJ48" s="28"/>
      <c r="AK48" s="28"/>
      <c r="AL48" s="28"/>
      <c r="AM48" s="28"/>
      <c r="AN48" s="28"/>
      <c r="AO48" s="28"/>
      <c r="AP48" s="28"/>
      <c r="AS48" s="28"/>
      <c r="AT48" s="28"/>
      <c r="AU48" s="28"/>
      <c r="AV48" s="28"/>
      <c r="AW48" s="28"/>
      <c r="AX48" s="28"/>
      <c r="AY48" s="28"/>
      <c r="AZ48" s="28"/>
      <c r="BA48" s="28"/>
      <c r="BB48" s="28"/>
      <c r="BC48" s="28"/>
      <c r="BD48" s="28"/>
      <c r="BG48" s="28"/>
      <c r="BH48" s="28"/>
      <c r="BI48" s="28"/>
      <c r="BJ48" s="28"/>
      <c r="BK48" s="28"/>
      <c r="BL48" s="28"/>
      <c r="BM48" s="28"/>
      <c r="BN48" s="28"/>
      <c r="BO48" s="28"/>
      <c r="BP48" s="28"/>
      <c r="BQ48" s="28"/>
      <c r="BR48" s="28"/>
    </row>
    <row r="49" spans="2:70" ht="15.95" customHeight="1" thickBot="1" x14ac:dyDescent="0.25">
      <c r="G49" s="29"/>
      <c r="H49" s="29"/>
      <c r="I49" s="29"/>
      <c r="Q49" s="28"/>
      <c r="R49" s="28"/>
      <c r="S49" s="28"/>
      <c r="T49" s="28"/>
      <c r="U49" s="28"/>
      <c r="V49" s="28"/>
      <c r="W49" s="28"/>
      <c r="X49" s="28"/>
      <c r="Y49" s="28"/>
      <c r="Z49" s="28"/>
      <c r="AA49" s="28"/>
      <c r="AB49" s="28"/>
      <c r="AE49" s="28"/>
      <c r="AF49" s="28"/>
      <c r="AG49" s="28"/>
      <c r="AH49" s="28"/>
      <c r="AI49" s="29"/>
      <c r="AJ49" s="29"/>
      <c r="AK49" s="29"/>
      <c r="AL49" s="29"/>
      <c r="AM49" s="28"/>
      <c r="AN49" s="28"/>
      <c r="AO49" s="28"/>
      <c r="AP49" s="28"/>
      <c r="AS49" s="28"/>
      <c r="AT49" s="28"/>
      <c r="AU49" s="28"/>
      <c r="AV49" s="28"/>
      <c r="AW49" s="29"/>
      <c r="AX49" s="29"/>
      <c r="AY49" s="29"/>
      <c r="AZ49" s="28"/>
      <c r="BA49" s="28"/>
      <c r="BB49" s="28"/>
      <c r="BC49" s="28"/>
      <c r="BD49" s="28"/>
      <c r="BG49" s="28"/>
      <c r="BH49" s="28"/>
      <c r="BI49" s="28"/>
      <c r="BJ49" s="28"/>
      <c r="BK49" s="29"/>
      <c r="BL49" s="29"/>
      <c r="BM49" s="29"/>
      <c r="BN49" s="28"/>
      <c r="BO49" s="28"/>
      <c r="BP49" s="28"/>
      <c r="BQ49" s="28"/>
      <c r="BR49" s="28"/>
    </row>
    <row r="50" spans="2:70" ht="15.95" customHeight="1" thickBot="1" x14ac:dyDescent="0.3">
      <c r="B50" s="27"/>
      <c r="G50" s="29"/>
      <c r="H50" s="29"/>
      <c r="I50" s="71"/>
      <c r="P50" s="27"/>
      <c r="Q50" s="28"/>
      <c r="R50" s="28"/>
      <c r="S50" s="28"/>
      <c r="T50" s="28"/>
      <c r="U50" s="28"/>
      <c r="V50" s="30"/>
      <c r="W50" s="71"/>
      <c r="X50" s="28"/>
      <c r="Y50" s="28"/>
      <c r="Z50" s="28"/>
      <c r="AA50" s="28"/>
      <c r="AB50" s="28"/>
      <c r="AD50" s="27"/>
      <c r="AE50" s="28"/>
      <c r="AF50" s="28"/>
      <c r="AG50" s="28"/>
      <c r="AH50" s="28"/>
      <c r="AI50" s="29"/>
      <c r="AJ50" s="29"/>
      <c r="AK50" s="71"/>
      <c r="AL50" s="29"/>
      <c r="AM50" s="28"/>
      <c r="AN50" s="28"/>
      <c r="AO50" s="28"/>
      <c r="AP50" s="28"/>
      <c r="AR50" s="27"/>
      <c r="AS50" s="28"/>
      <c r="AT50" s="28"/>
      <c r="AU50" s="28"/>
      <c r="AV50" s="28"/>
      <c r="AW50" s="29"/>
      <c r="AX50" s="29"/>
      <c r="AY50" s="71"/>
      <c r="AZ50" s="28"/>
      <c r="BA50" s="28"/>
      <c r="BB50" s="28"/>
      <c r="BC50" s="28"/>
      <c r="BD50" s="28"/>
      <c r="BF50" s="27"/>
      <c r="BG50" s="28"/>
      <c r="BH50" s="28"/>
      <c r="BI50" s="28"/>
      <c r="BJ50" s="28"/>
      <c r="BK50" s="29"/>
      <c r="BL50" s="29"/>
      <c r="BM50" s="71"/>
      <c r="BN50" s="28"/>
      <c r="BO50" s="28"/>
      <c r="BP50" s="28"/>
      <c r="BQ50" s="28"/>
      <c r="BR50" s="28"/>
    </row>
    <row r="51" spans="2:70" ht="15.95" customHeight="1" x14ac:dyDescent="0.25">
      <c r="B51" s="27"/>
      <c r="G51" s="29"/>
      <c r="H51" s="29"/>
      <c r="I51" s="29"/>
      <c r="J51" s="29"/>
      <c r="P51" s="27"/>
      <c r="Q51" s="28"/>
      <c r="R51" s="28"/>
      <c r="S51" s="28"/>
      <c r="T51" s="28"/>
      <c r="U51" s="28"/>
      <c r="V51" s="28"/>
      <c r="W51" s="29"/>
      <c r="X51" s="29"/>
      <c r="Y51" s="28"/>
      <c r="Z51" s="28"/>
      <c r="AA51" s="28"/>
      <c r="AB51" s="28"/>
      <c r="AD51" s="27"/>
      <c r="AE51" s="28"/>
      <c r="AF51" s="28"/>
      <c r="AG51" s="28"/>
      <c r="AH51" s="28"/>
      <c r="AI51" s="29"/>
      <c r="AJ51" s="29"/>
      <c r="AK51" s="29"/>
      <c r="AL51" s="29"/>
      <c r="AM51" s="28"/>
      <c r="AN51" s="28"/>
      <c r="AO51" s="28"/>
      <c r="AP51" s="28"/>
      <c r="AR51" s="27"/>
      <c r="AS51" s="28"/>
      <c r="AT51" s="28"/>
      <c r="AU51" s="28"/>
      <c r="AV51" s="28"/>
      <c r="AW51" s="29"/>
      <c r="AX51" s="29"/>
      <c r="AY51" s="29"/>
      <c r="AZ51" s="29"/>
      <c r="BA51" s="28"/>
      <c r="BB51" s="28"/>
      <c r="BC51" s="28"/>
      <c r="BD51" s="28"/>
      <c r="BF51" s="27"/>
      <c r="BG51" s="28"/>
      <c r="BH51" s="28"/>
      <c r="BI51" s="28"/>
      <c r="BJ51" s="28"/>
      <c r="BK51" s="29"/>
      <c r="BL51" s="29"/>
      <c r="BM51" s="29"/>
      <c r="BN51" s="29"/>
      <c r="BO51" s="28"/>
      <c r="BP51" s="28"/>
      <c r="BQ51" s="28"/>
      <c r="BR51" s="28"/>
    </row>
    <row r="52" spans="2:70" ht="15.95" customHeight="1" x14ac:dyDescent="0.25">
      <c r="B52" s="27"/>
      <c r="I52" s="29"/>
      <c r="J52" s="29"/>
      <c r="P52" s="27"/>
      <c r="Q52" s="28"/>
      <c r="R52" s="28"/>
      <c r="S52" s="28"/>
      <c r="T52" s="28"/>
      <c r="U52" s="28"/>
      <c r="V52" s="28"/>
      <c r="W52" s="29"/>
      <c r="X52" s="29"/>
      <c r="Y52" s="28"/>
      <c r="Z52" s="28"/>
      <c r="AA52" s="28"/>
      <c r="AB52" s="28"/>
      <c r="AD52" s="27"/>
      <c r="AE52" s="28"/>
      <c r="AF52" s="28"/>
      <c r="AG52" s="28"/>
      <c r="AH52" s="28"/>
      <c r="AI52" s="28"/>
      <c r="AJ52" s="28"/>
      <c r="AK52" s="29"/>
      <c r="AL52" s="29"/>
      <c r="AM52" s="28"/>
      <c r="AN52" s="28"/>
      <c r="AO52" s="28"/>
      <c r="AP52" s="28"/>
      <c r="AR52" s="27"/>
      <c r="AS52" s="28"/>
      <c r="AT52" s="28"/>
      <c r="AU52" s="28"/>
      <c r="AV52" s="28"/>
      <c r="AW52" s="28"/>
      <c r="AX52" s="28"/>
      <c r="AY52" s="29"/>
      <c r="AZ52" s="29"/>
      <c r="BA52" s="28"/>
      <c r="BB52" s="28"/>
      <c r="BC52" s="28"/>
      <c r="BD52" s="28"/>
      <c r="BF52" s="27"/>
      <c r="BG52" s="28"/>
      <c r="BH52" s="28"/>
      <c r="BI52" s="28"/>
      <c r="BJ52" s="28"/>
      <c r="BK52" s="28"/>
      <c r="BL52" s="28"/>
      <c r="BM52" s="29"/>
      <c r="BN52" s="29"/>
      <c r="BO52" s="28"/>
      <c r="BP52" s="28"/>
      <c r="BQ52" s="28"/>
      <c r="BR52" s="28"/>
    </row>
    <row r="53" spans="2:70" ht="15.95" customHeight="1" x14ac:dyDescent="0.25">
      <c r="B53" s="27"/>
      <c r="I53" s="29"/>
      <c r="J53" s="29"/>
      <c r="P53" s="27"/>
      <c r="Q53" s="28"/>
      <c r="R53" s="28"/>
      <c r="S53" s="28"/>
      <c r="T53" s="28"/>
      <c r="U53" s="28"/>
      <c r="V53" s="28"/>
      <c r="W53" s="29"/>
      <c r="X53" s="29"/>
      <c r="Y53" s="28"/>
      <c r="Z53" s="28"/>
      <c r="AA53" s="28"/>
      <c r="AB53" s="28"/>
      <c r="AD53" s="27"/>
      <c r="AE53" s="28"/>
      <c r="AF53" s="28"/>
      <c r="AG53" s="28"/>
      <c r="AH53" s="28"/>
      <c r="AI53" s="28"/>
      <c r="AJ53" s="28"/>
      <c r="AK53" s="29"/>
      <c r="AL53" s="29"/>
      <c r="AM53" s="28"/>
      <c r="AN53" s="28"/>
      <c r="AO53" s="28"/>
      <c r="AP53" s="28"/>
      <c r="AR53" s="27"/>
      <c r="AS53" s="28"/>
      <c r="AT53" s="28"/>
      <c r="AU53" s="28"/>
      <c r="AV53" s="28"/>
      <c r="AW53" s="28"/>
      <c r="AX53" s="28"/>
      <c r="AY53" s="29"/>
      <c r="AZ53" s="29"/>
      <c r="BA53" s="28"/>
      <c r="BB53" s="28"/>
      <c r="BC53" s="28"/>
      <c r="BD53" s="28"/>
      <c r="BF53" s="27"/>
      <c r="BG53" s="28"/>
      <c r="BH53" s="28"/>
      <c r="BI53" s="28"/>
      <c r="BJ53" s="28"/>
      <c r="BK53" s="28"/>
      <c r="BL53" s="28"/>
      <c r="BM53" s="29"/>
      <c r="BN53" s="29"/>
      <c r="BO53" s="28"/>
      <c r="BP53" s="28"/>
      <c r="BQ53" s="28"/>
      <c r="BR53" s="28"/>
    </row>
    <row r="54" spans="2:70" ht="15.95" customHeight="1" x14ac:dyDescent="0.25">
      <c r="B54" s="27"/>
      <c r="I54" s="29"/>
      <c r="J54" s="29"/>
      <c r="P54" s="27"/>
      <c r="Q54" s="28"/>
      <c r="R54" s="28"/>
      <c r="S54" s="28"/>
      <c r="T54" s="28"/>
      <c r="U54" s="28"/>
      <c r="V54" s="28"/>
      <c r="W54" s="29"/>
      <c r="X54" s="29"/>
      <c r="Y54" s="28"/>
      <c r="Z54" s="28"/>
      <c r="AA54" s="28"/>
      <c r="AB54" s="28"/>
      <c r="AD54" s="27"/>
      <c r="AE54" s="28"/>
      <c r="AF54" s="28"/>
      <c r="AG54" s="28"/>
      <c r="AH54" s="28"/>
      <c r="AI54" s="28"/>
      <c r="AJ54" s="28"/>
      <c r="AK54" s="29"/>
      <c r="AL54" s="29"/>
      <c r="AM54" s="28"/>
      <c r="AN54" s="28"/>
      <c r="AO54" s="28"/>
      <c r="AP54" s="28"/>
      <c r="AR54" s="27"/>
      <c r="AS54" s="28"/>
      <c r="AT54" s="28"/>
      <c r="AU54" s="28"/>
      <c r="AV54" s="28"/>
      <c r="AW54" s="28"/>
      <c r="AX54" s="28"/>
      <c r="AY54" s="29"/>
      <c r="AZ54" s="29"/>
      <c r="BA54" s="28"/>
      <c r="BB54" s="28"/>
      <c r="BC54" s="28"/>
      <c r="BD54" s="28"/>
      <c r="BF54" s="27"/>
      <c r="BG54" s="28"/>
      <c r="BH54" s="28"/>
      <c r="BI54" s="28"/>
      <c r="BJ54" s="28"/>
      <c r="BK54" s="28"/>
      <c r="BL54" s="28"/>
      <c r="BM54" s="29"/>
      <c r="BN54" s="29"/>
      <c r="BO54" s="28"/>
      <c r="BP54" s="28"/>
      <c r="BQ54" s="28"/>
      <c r="BR54" s="28"/>
    </row>
    <row r="55" spans="2:70" ht="15.95" customHeight="1" x14ac:dyDescent="0.25">
      <c r="B55" s="27"/>
      <c r="I55" s="29"/>
      <c r="J55" s="29"/>
      <c r="P55" s="27"/>
      <c r="Q55" s="28"/>
      <c r="R55" s="28"/>
      <c r="S55" s="28"/>
      <c r="T55" s="28"/>
      <c r="U55" s="28"/>
      <c r="V55" s="28"/>
      <c r="W55" s="29"/>
      <c r="X55" s="29"/>
      <c r="Y55" s="28"/>
      <c r="Z55" s="28"/>
      <c r="AA55" s="28"/>
      <c r="AB55" s="28"/>
      <c r="AD55" s="27"/>
      <c r="AE55" s="28"/>
      <c r="AF55" s="28"/>
      <c r="AG55" s="28"/>
      <c r="AH55" s="28"/>
      <c r="AI55" s="28"/>
      <c r="AJ55" s="28"/>
      <c r="AK55" s="29"/>
      <c r="AL55" s="29"/>
      <c r="AM55" s="28"/>
      <c r="AN55" s="28"/>
      <c r="AO55" s="28"/>
      <c r="AP55" s="28"/>
      <c r="AR55" s="27"/>
      <c r="AS55" s="28"/>
      <c r="AT55" s="28"/>
      <c r="AU55" s="28"/>
      <c r="AV55" s="28"/>
      <c r="AW55" s="28"/>
      <c r="AX55" s="28"/>
      <c r="AY55" s="29"/>
      <c r="AZ55" s="29"/>
      <c r="BA55" s="28"/>
      <c r="BB55" s="28"/>
      <c r="BC55" s="28"/>
      <c r="BD55" s="28"/>
      <c r="BF55" s="27"/>
      <c r="BG55" s="28"/>
      <c r="BH55" s="28"/>
      <c r="BI55" s="28"/>
      <c r="BJ55" s="28"/>
      <c r="BK55" s="28"/>
      <c r="BL55" s="28"/>
      <c r="BM55" s="29"/>
      <c r="BN55" s="29"/>
      <c r="BO55" s="28"/>
      <c r="BP55" s="28"/>
      <c r="BQ55" s="28"/>
      <c r="BR55" s="28"/>
    </row>
    <row r="56" spans="2:70" ht="15.95" customHeight="1" x14ac:dyDescent="0.25">
      <c r="B56" s="27"/>
      <c r="I56" s="29"/>
      <c r="J56" s="29"/>
      <c r="P56" s="27"/>
      <c r="Q56" s="28"/>
      <c r="R56" s="28"/>
      <c r="S56" s="28"/>
      <c r="T56" s="28"/>
      <c r="U56" s="28"/>
      <c r="V56" s="28"/>
      <c r="W56" s="29"/>
      <c r="X56" s="29"/>
      <c r="Y56" s="28"/>
      <c r="Z56" s="28"/>
      <c r="AA56" s="28"/>
      <c r="AB56" s="28"/>
      <c r="AD56" s="27"/>
      <c r="AE56" s="28"/>
      <c r="AF56" s="28"/>
      <c r="AG56" s="28"/>
      <c r="AH56" s="28"/>
      <c r="AI56" s="28"/>
      <c r="AJ56" s="28"/>
      <c r="AK56" s="29"/>
      <c r="AL56" s="29"/>
      <c r="AM56" s="28"/>
      <c r="AN56" s="28"/>
      <c r="AO56" s="28"/>
      <c r="AP56" s="28"/>
      <c r="AR56" s="27"/>
      <c r="AS56" s="28"/>
      <c r="AT56" s="28"/>
      <c r="AU56" s="28"/>
      <c r="AV56" s="28"/>
      <c r="AW56" s="28"/>
      <c r="AX56" s="28"/>
      <c r="AY56" s="29"/>
      <c r="AZ56" s="29"/>
      <c r="BA56" s="28"/>
      <c r="BB56" s="28"/>
      <c r="BC56" s="28"/>
      <c r="BD56" s="28"/>
      <c r="BF56" s="27"/>
      <c r="BG56" s="28"/>
      <c r="BH56" s="28"/>
      <c r="BI56" s="28"/>
      <c r="BJ56" s="28"/>
      <c r="BK56" s="28"/>
      <c r="BL56" s="28"/>
      <c r="BM56" s="29"/>
      <c r="BN56" s="29"/>
      <c r="BO56" s="28"/>
      <c r="BP56" s="28"/>
      <c r="BQ56" s="28"/>
      <c r="BR56" s="28"/>
    </row>
    <row r="57" spans="2:70" ht="15.95" customHeight="1" x14ac:dyDescent="0.25">
      <c r="B57" s="27"/>
      <c r="I57" s="29"/>
      <c r="J57" s="29"/>
      <c r="P57" s="27"/>
      <c r="Q57" s="28"/>
      <c r="R57" s="28"/>
      <c r="S57" s="28"/>
      <c r="T57" s="28"/>
      <c r="U57" s="28"/>
      <c r="V57" s="28"/>
      <c r="W57" s="29"/>
      <c r="X57" s="29"/>
      <c r="Y57" s="28"/>
      <c r="Z57" s="28"/>
      <c r="AA57" s="28"/>
      <c r="AB57" s="28"/>
      <c r="AD57" s="27"/>
      <c r="AE57" s="28"/>
      <c r="AF57" s="28"/>
      <c r="AG57" s="28"/>
      <c r="AH57" s="28"/>
      <c r="AI57" s="28"/>
      <c r="AJ57" s="28"/>
      <c r="AK57" s="29"/>
      <c r="AL57" s="29"/>
      <c r="AM57" s="28"/>
      <c r="AN57" s="28"/>
      <c r="AO57" s="28"/>
      <c r="AP57" s="28"/>
      <c r="AR57" s="27"/>
      <c r="AS57" s="28"/>
      <c r="AT57" s="28"/>
      <c r="AU57" s="28"/>
      <c r="AV57" s="28"/>
      <c r="AW57" s="28"/>
      <c r="AX57" s="28"/>
      <c r="AY57" s="29"/>
      <c r="AZ57" s="29"/>
      <c r="BA57" s="28"/>
      <c r="BB57" s="28"/>
      <c r="BC57" s="28"/>
      <c r="BD57" s="28"/>
      <c r="BF57" s="27"/>
      <c r="BG57" s="28"/>
      <c r="BH57" s="28"/>
      <c r="BI57" s="28"/>
      <c r="BJ57" s="28"/>
      <c r="BK57" s="28"/>
      <c r="BL57" s="28"/>
      <c r="BM57" s="29"/>
      <c r="BN57" s="29"/>
      <c r="BO57" s="28"/>
      <c r="BP57" s="28"/>
      <c r="BQ57" s="28"/>
      <c r="BR57" s="28"/>
    </row>
    <row r="58" spans="2:70" ht="15.95" customHeight="1" x14ac:dyDescent="0.25">
      <c r="B58" s="27"/>
      <c r="I58" s="29"/>
      <c r="J58" s="29"/>
      <c r="P58" s="27"/>
      <c r="Q58" s="28"/>
      <c r="R58" s="28"/>
      <c r="S58" s="28"/>
      <c r="T58" s="28"/>
      <c r="U58" s="28"/>
      <c r="V58" s="28"/>
      <c r="W58" s="29"/>
      <c r="X58" s="29"/>
      <c r="Y58" s="28"/>
      <c r="Z58" s="28"/>
      <c r="AA58" s="28"/>
      <c r="AB58" s="28"/>
      <c r="AD58" s="27"/>
      <c r="AE58" s="28"/>
      <c r="AF58" s="28"/>
      <c r="AG58" s="28"/>
      <c r="AH58" s="28"/>
      <c r="AI58" s="28"/>
      <c r="AJ58" s="28"/>
      <c r="AK58" s="29"/>
      <c r="AL58" s="29"/>
      <c r="AM58" s="28"/>
      <c r="AN58" s="28"/>
      <c r="AO58" s="28"/>
      <c r="AP58" s="28"/>
      <c r="AR58" s="27"/>
      <c r="AS58" s="28"/>
      <c r="AT58" s="28"/>
      <c r="AU58" s="28"/>
      <c r="AV58" s="28"/>
      <c r="AW58" s="28"/>
      <c r="AX58" s="28"/>
      <c r="AY58" s="29"/>
      <c r="AZ58" s="29"/>
      <c r="BA58" s="28"/>
      <c r="BB58" s="28"/>
      <c r="BC58" s="28"/>
      <c r="BD58" s="28"/>
      <c r="BF58" s="27"/>
      <c r="BG58" s="28"/>
      <c r="BH58" s="28"/>
      <c r="BI58" s="28"/>
      <c r="BJ58" s="28"/>
      <c r="BK58" s="28"/>
      <c r="BL58" s="28"/>
      <c r="BM58" s="29"/>
      <c r="BN58" s="29"/>
      <c r="BO58" s="28"/>
      <c r="BP58" s="28"/>
      <c r="BQ58" s="28"/>
      <c r="BR58" s="28"/>
    </row>
    <row r="59" spans="2:70" ht="15.95" customHeight="1" x14ac:dyDescent="0.25">
      <c r="B59" s="27"/>
      <c r="I59" s="29"/>
      <c r="J59" s="29"/>
      <c r="P59" s="27"/>
      <c r="Q59" s="28"/>
      <c r="R59" s="28"/>
      <c r="S59" s="28"/>
      <c r="T59" s="28"/>
      <c r="U59" s="28"/>
      <c r="V59" s="28"/>
      <c r="W59" s="29"/>
      <c r="X59" s="29"/>
      <c r="Y59" s="28"/>
      <c r="Z59" s="28"/>
      <c r="AA59" s="28"/>
      <c r="AB59" s="28"/>
      <c r="AD59" s="27"/>
      <c r="AE59" s="28"/>
      <c r="AF59" s="28"/>
      <c r="AG59" s="28"/>
      <c r="AH59" s="28"/>
      <c r="AI59" s="28"/>
      <c r="AJ59" s="28"/>
      <c r="AK59" s="29"/>
      <c r="AL59" s="29"/>
      <c r="AM59" s="28"/>
      <c r="AN59" s="28"/>
      <c r="AO59" s="28"/>
      <c r="AP59" s="28"/>
      <c r="AR59" s="27"/>
      <c r="AS59" s="28"/>
      <c r="AT59" s="28"/>
      <c r="AU59" s="28"/>
      <c r="AV59" s="28"/>
      <c r="AW59" s="28"/>
      <c r="AX59" s="28"/>
      <c r="AY59" s="29"/>
      <c r="AZ59" s="29"/>
      <c r="BA59" s="28"/>
      <c r="BB59" s="28"/>
      <c r="BC59" s="28"/>
      <c r="BD59" s="28"/>
      <c r="BF59" s="27"/>
      <c r="BG59" s="28"/>
      <c r="BH59" s="28"/>
      <c r="BI59" s="28"/>
      <c r="BJ59" s="28"/>
      <c r="BK59" s="28"/>
      <c r="BL59" s="28"/>
      <c r="BM59" s="29"/>
      <c r="BN59" s="29"/>
      <c r="BO59" s="28"/>
      <c r="BP59" s="28"/>
      <c r="BQ59" s="28"/>
      <c r="BR59" s="28"/>
    </row>
    <row r="60" spans="2:70" ht="15.95" customHeight="1" x14ac:dyDescent="0.25">
      <c r="B60" s="27"/>
      <c r="I60" s="29"/>
      <c r="J60" s="29"/>
      <c r="P60" s="27"/>
      <c r="Q60" s="28"/>
      <c r="R60" s="28"/>
      <c r="S60" s="28"/>
      <c r="T60" s="28"/>
      <c r="U60" s="28"/>
      <c r="V60" s="28"/>
      <c r="W60" s="29"/>
      <c r="X60" s="29"/>
      <c r="Y60" s="28"/>
      <c r="Z60" s="28"/>
      <c r="AA60" s="28"/>
      <c r="AB60" s="28"/>
      <c r="AD60" s="27"/>
      <c r="AE60" s="28"/>
      <c r="AF60" s="28"/>
      <c r="AG60" s="28"/>
      <c r="AH60" s="28"/>
      <c r="AI60" s="28"/>
      <c r="AJ60" s="28"/>
      <c r="AK60" s="29"/>
      <c r="AL60" s="29"/>
      <c r="AM60" s="28"/>
      <c r="AN60" s="28"/>
      <c r="AO60" s="28"/>
      <c r="AP60" s="28"/>
      <c r="AR60" s="27"/>
      <c r="AS60" s="28"/>
      <c r="AT60" s="28"/>
      <c r="AU60" s="28"/>
      <c r="AV60" s="28"/>
      <c r="AW60" s="28"/>
      <c r="AX60" s="28"/>
      <c r="AY60" s="29"/>
      <c r="AZ60" s="29"/>
      <c r="BA60" s="28"/>
      <c r="BB60" s="28"/>
      <c r="BC60" s="28"/>
      <c r="BD60" s="28"/>
      <c r="BF60" s="27"/>
      <c r="BG60" s="28"/>
      <c r="BH60" s="28"/>
      <c r="BI60" s="28"/>
      <c r="BJ60" s="28"/>
      <c r="BK60" s="28"/>
      <c r="BL60" s="28"/>
      <c r="BM60" s="29"/>
      <c r="BN60" s="29"/>
      <c r="BO60" s="28"/>
      <c r="BP60" s="28"/>
      <c r="BQ60" s="28"/>
      <c r="BR60" s="28"/>
    </row>
    <row r="61" spans="2:70" ht="15.95" customHeight="1" x14ac:dyDescent="0.25">
      <c r="B61" s="27"/>
      <c r="I61" s="29"/>
      <c r="J61" s="29"/>
      <c r="P61" s="27"/>
      <c r="Q61" s="28"/>
      <c r="R61" s="28"/>
      <c r="S61" s="28"/>
      <c r="T61" s="28"/>
      <c r="U61" s="28"/>
      <c r="V61" s="28"/>
      <c r="W61" s="29"/>
      <c r="X61" s="29"/>
      <c r="Y61" s="28"/>
      <c r="Z61" s="28"/>
      <c r="AA61" s="28"/>
      <c r="AB61" s="28"/>
      <c r="AD61" s="27"/>
      <c r="AE61" s="28"/>
      <c r="AF61" s="28"/>
      <c r="AG61" s="28"/>
      <c r="AH61" s="28"/>
      <c r="AI61" s="28"/>
      <c r="AJ61" s="28"/>
      <c r="AK61" s="29"/>
      <c r="AL61" s="29"/>
      <c r="AM61" s="28"/>
      <c r="AN61" s="28"/>
      <c r="AO61" s="28"/>
      <c r="AP61" s="28"/>
      <c r="AR61" s="27"/>
      <c r="AS61" s="28"/>
      <c r="AT61" s="28"/>
      <c r="AU61" s="28"/>
      <c r="AV61" s="28"/>
      <c r="AW61" s="28"/>
      <c r="AX61" s="28"/>
      <c r="AY61" s="29"/>
      <c r="AZ61" s="29"/>
      <c r="BA61" s="28"/>
      <c r="BB61" s="28"/>
      <c r="BC61" s="28"/>
      <c r="BD61" s="28"/>
      <c r="BF61" s="27"/>
      <c r="BG61" s="28"/>
      <c r="BH61" s="28"/>
      <c r="BI61" s="28"/>
      <c r="BJ61" s="28"/>
      <c r="BK61" s="28"/>
      <c r="BL61" s="28"/>
      <c r="BM61" s="29"/>
      <c r="BN61" s="29"/>
      <c r="BO61" s="28"/>
      <c r="BP61" s="28"/>
      <c r="BQ61" s="28"/>
      <c r="BR61" s="28"/>
    </row>
    <row r="62" spans="2:70" ht="15.95" customHeight="1" x14ac:dyDescent="0.25">
      <c r="B62" s="27"/>
      <c r="I62" s="29"/>
      <c r="J62" s="29"/>
      <c r="P62" s="27"/>
      <c r="Q62" s="28"/>
      <c r="R62" s="28"/>
      <c r="S62" s="28"/>
      <c r="T62" s="28"/>
      <c r="U62" s="28"/>
      <c r="V62" s="28"/>
      <c r="W62" s="29"/>
      <c r="X62" s="29"/>
      <c r="Y62" s="28"/>
      <c r="Z62" s="28"/>
      <c r="AA62" s="28"/>
      <c r="AB62" s="28"/>
      <c r="AD62" s="27"/>
      <c r="AE62" s="28"/>
      <c r="AF62" s="28"/>
      <c r="AG62" s="28"/>
      <c r="AH62" s="28"/>
      <c r="AI62" s="28"/>
      <c r="AJ62" s="28"/>
      <c r="AK62" s="29"/>
      <c r="AL62" s="29"/>
      <c r="AM62" s="28"/>
      <c r="AN62" s="28"/>
      <c r="AO62" s="28"/>
      <c r="AP62" s="28"/>
      <c r="AR62" s="27"/>
      <c r="AS62" s="28"/>
      <c r="AT62" s="28"/>
      <c r="AU62" s="28"/>
      <c r="AV62" s="28"/>
      <c r="AW62" s="28"/>
      <c r="AX62" s="28"/>
      <c r="AY62" s="29"/>
      <c r="AZ62" s="29"/>
      <c r="BA62" s="28"/>
      <c r="BB62" s="28"/>
      <c r="BC62" s="28"/>
      <c r="BD62" s="28"/>
      <c r="BF62" s="27"/>
      <c r="BG62" s="28"/>
      <c r="BH62" s="28"/>
      <c r="BI62" s="28"/>
      <c r="BJ62" s="28"/>
      <c r="BK62" s="28"/>
      <c r="BL62" s="28"/>
      <c r="BM62" s="29"/>
      <c r="BN62" s="29"/>
      <c r="BO62" s="28"/>
      <c r="BP62" s="28"/>
      <c r="BQ62" s="28"/>
      <c r="BR62" s="28"/>
    </row>
    <row r="63" spans="2:70" ht="15.95" customHeight="1" x14ac:dyDescent="0.25">
      <c r="B63" s="27"/>
      <c r="I63" s="29"/>
      <c r="J63" s="29"/>
      <c r="P63" s="27"/>
      <c r="Q63" s="28"/>
      <c r="R63" s="28"/>
      <c r="S63" s="28"/>
      <c r="T63" s="28"/>
      <c r="U63" s="28"/>
      <c r="V63" s="28"/>
      <c r="W63" s="29"/>
      <c r="X63" s="29"/>
      <c r="Y63" s="28"/>
      <c r="Z63" s="28"/>
      <c r="AA63" s="28"/>
      <c r="AB63" s="28"/>
      <c r="AD63" s="27"/>
      <c r="AE63" s="28"/>
      <c r="AF63" s="28"/>
      <c r="AG63" s="28"/>
      <c r="AH63" s="28"/>
      <c r="AI63" s="28"/>
      <c r="AJ63" s="28"/>
      <c r="AK63" s="29"/>
      <c r="AL63" s="29"/>
      <c r="AM63" s="28"/>
      <c r="AN63" s="28"/>
      <c r="AO63" s="28"/>
      <c r="AP63" s="28"/>
      <c r="AR63" s="27"/>
      <c r="AS63" s="28"/>
      <c r="AT63" s="28"/>
      <c r="AU63" s="28"/>
      <c r="AV63" s="28"/>
      <c r="AW63" s="28"/>
      <c r="AX63" s="28"/>
      <c r="AY63" s="29"/>
      <c r="AZ63" s="29"/>
      <c r="BA63" s="28"/>
      <c r="BB63" s="28"/>
      <c r="BC63" s="28"/>
      <c r="BD63" s="28"/>
      <c r="BF63" s="27"/>
      <c r="BG63" s="28"/>
      <c r="BH63" s="28"/>
      <c r="BI63" s="28"/>
      <c r="BJ63" s="28"/>
      <c r="BK63" s="28"/>
      <c r="BL63" s="28"/>
      <c r="BM63" s="29"/>
      <c r="BN63" s="29"/>
      <c r="BO63" s="28"/>
      <c r="BP63" s="28"/>
      <c r="BQ63" s="28"/>
      <c r="BR63" s="28"/>
    </row>
    <row r="64" spans="2:70" ht="15.95" customHeight="1" x14ac:dyDescent="0.2">
      <c r="Q64" s="28"/>
      <c r="R64" s="28"/>
      <c r="S64" s="28"/>
      <c r="T64" s="28"/>
      <c r="U64" s="28"/>
      <c r="V64" s="28"/>
      <c r="W64" s="28"/>
      <c r="X64" s="28"/>
      <c r="Y64" s="28"/>
      <c r="Z64" s="28"/>
      <c r="AA64" s="28"/>
      <c r="AB64" s="28"/>
      <c r="AE64" s="28"/>
      <c r="AF64" s="28"/>
      <c r="AG64" s="28"/>
      <c r="AH64" s="28"/>
      <c r="AI64" s="28"/>
      <c r="AJ64" s="28"/>
      <c r="AK64" s="28"/>
      <c r="AL64" s="28"/>
      <c r="AM64" s="28"/>
      <c r="AN64" s="28"/>
      <c r="AO64" s="28"/>
      <c r="AP64" s="28"/>
      <c r="AS64" s="28"/>
      <c r="AT64" s="28"/>
      <c r="AU64" s="28"/>
      <c r="AV64" s="28"/>
      <c r="AW64" s="28"/>
      <c r="AX64" s="28"/>
      <c r="AY64" s="28"/>
      <c r="AZ64" s="28"/>
      <c r="BA64" s="28"/>
      <c r="BB64" s="28"/>
      <c r="BC64" s="28"/>
      <c r="BD64" s="28"/>
      <c r="BG64" s="28"/>
      <c r="BH64" s="28"/>
      <c r="BI64" s="28"/>
      <c r="BJ64" s="28"/>
      <c r="BK64" s="28"/>
      <c r="BL64" s="28"/>
      <c r="BM64" s="28"/>
      <c r="BN64" s="28"/>
      <c r="BO64" s="28"/>
      <c r="BP64" s="28"/>
      <c r="BQ64" s="28"/>
      <c r="BR64" s="28"/>
    </row>
    <row r="65" spans="2:70" ht="15.95" customHeight="1" x14ac:dyDescent="0.2">
      <c r="Q65" s="28"/>
      <c r="R65" s="28"/>
      <c r="S65" s="28"/>
      <c r="T65" s="28"/>
      <c r="U65" s="28"/>
      <c r="V65" s="28"/>
      <c r="W65" s="28"/>
      <c r="X65" s="28"/>
      <c r="Y65" s="28"/>
      <c r="Z65" s="28"/>
      <c r="AA65" s="28"/>
      <c r="AB65" s="28"/>
      <c r="AE65" s="28"/>
      <c r="AF65" s="28"/>
      <c r="AG65" s="28"/>
      <c r="AH65" s="28"/>
      <c r="AI65" s="28"/>
      <c r="AJ65" s="28"/>
      <c r="AK65" s="28"/>
      <c r="AL65" s="28"/>
      <c r="AM65" s="28"/>
      <c r="AN65" s="28"/>
      <c r="AO65" s="28"/>
      <c r="AP65" s="28"/>
      <c r="AS65" s="28"/>
      <c r="AT65" s="28"/>
      <c r="AU65" s="28"/>
      <c r="AV65" s="28"/>
      <c r="AW65" s="28"/>
      <c r="AX65" s="28"/>
      <c r="AY65" s="28"/>
      <c r="AZ65" s="28"/>
      <c r="BA65" s="28"/>
      <c r="BB65" s="28"/>
      <c r="BC65" s="28"/>
      <c r="BD65" s="28"/>
      <c r="BG65" s="28"/>
      <c r="BH65" s="28"/>
      <c r="BI65" s="28"/>
      <c r="BJ65" s="28"/>
      <c r="BK65" s="28"/>
      <c r="BL65" s="28"/>
      <c r="BM65" s="28"/>
      <c r="BN65" s="28"/>
      <c r="BO65" s="28"/>
      <c r="BP65" s="28"/>
      <c r="BQ65" s="28"/>
      <c r="BR65" s="28"/>
    </row>
    <row r="66" spans="2:70" ht="15.95" customHeight="1" x14ac:dyDescent="0.2">
      <c r="C66" s="26"/>
      <c r="D66" s="26"/>
      <c r="E66" s="26"/>
      <c r="F66" s="26"/>
      <c r="G66" s="26"/>
      <c r="H66" s="26"/>
      <c r="I66" s="26"/>
      <c r="J66" s="26"/>
      <c r="K66" s="26"/>
      <c r="L66" s="26"/>
      <c r="M66" s="26"/>
      <c r="N66" s="26"/>
    </row>
    <row r="67" spans="2:70" ht="15.95" customHeight="1" x14ac:dyDescent="0.2">
      <c r="C67" s="26"/>
      <c r="D67" s="26"/>
      <c r="E67" s="26"/>
      <c r="F67" s="26"/>
      <c r="G67" s="26"/>
      <c r="H67" s="26"/>
      <c r="I67" s="26"/>
      <c r="J67" s="26"/>
      <c r="K67" s="26"/>
      <c r="L67" s="26"/>
      <c r="M67" s="26"/>
      <c r="N67" s="26"/>
    </row>
    <row r="68" spans="2:70" ht="15.95" customHeight="1" x14ac:dyDescent="0.2">
      <c r="C68" s="26"/>
      <c r="D68" s="26"/>
      <c r="E68" s="26"/>
      <c r="F68" s="26"/>
      <c r="G68" s="26"/>
      <c r="H68" s="26"/>
      <c r="I68" s="26"/>
      <c r="J68" s="26"/>
      <c r="K68" s="26"/>
      <c r="L68" s="26"/>
      <c r="M68" s="26"/>
      <c r="N68" s="26"/>
    </row>
    <row r="69" spans="2:70" ht="15.95" customHeight="1" x14ac:dyDescent="0.2">
      <c r="C69" s="26"/>
      <c r="D69" s="26"/>
      <c r="E69" s="26"/>
      <c r="F69" s="26"/>
      <c r="G69" s="26"/>
      <c r="H69" s="26"/>
      <c r="I69" s="26"/>
      <c r="J69" s="26"/>
      <c r="K69" s="26"/>
      <c r="L69" s="26"/>
      <c r="M69" s="26"/>
      <c r="N69" s="26"/>
    </row>
    <row r="70" spans="2:70" s="43" customFormat="1" ht="15.95" customHeight="1" x14ac:dyDescent="0.25">
      <c r="B70" s="79" t="s">
        <v>61</v>
      </c>
      <c r="C70" s="80"/>
      <c r="D70" s="80"/>
      <c r="E70" s="80"/>
      <c r="F70" s="80"/>
      <c r="G70" s="80"/>
      <c r="H70" s="80"/>
      <c r="I70" s="81"/>
      <c r="J70" s="72"/>
      <c r="K70" s="72"/>
      <c r="L70" s="72"/>
      <c r="M70" s="72"/>
      <c r="P70" s="79" t="s">
        <v>61</v>
      </c>
      <c r="Q70" s="80"/>
      <c r="R70" s="80"/>
      <c r="S70" s="80"/>
      <c r="T70" s="80"/>
      <c r="U70" s="80"/>
      <c r="V70" s="80"/>
      <c r="W70" s="81"/>
      <c r="X70" s="72"/>
      <c r="Y70" s="72"/>
      <c r="Z70" s="72"/>
      <c r="AA70" s="72"/>
      <c r="AD70" s="79" t="s">
        <v>61</v>
      </c>
      <c r="AE70" s="80"/>
      <c r="AF70" s="80"/>
      <c r="AG70" s="80"/>
      <c r="AH70" s="80"/>
      <c r="AI70" s="80"/>
      <c r="AJ70" s="80"/>
      <c r="AK70" s="81"/>
      <c r="AL70" s="72"/>
      <c r="AM70" s="72"/>
      <c r="AN70" s="72"/>
      <c r="AO70" s="72"/>
      <c r="AR70" s="79" t="s">
        <v>61</v>
      </c>
      <c r="AS70" s="80"/>
      <c r="AT70" s="80"/>
      <c r="AU70" s="80"/>
      <c r="AV70" s="80"/>
      <c r="AW70" s="80"/>
      <c r="AX70" s="80"/>
      <c r="AY70" s="81"/>
      <c r="AZ70" s="72"/>
      <c r="BA70" s="72"/>
      <c r="BB70" s="72"/>
      <c r="BC70" s="72"/>
      <c r="BF70" s="79" t="s">
        <v>61</v>
      </c>
      <c r="BG70" s="80"/>
      <c r="BH70" s="80"/>
      <c r="BI70" s="80"/>
      <c r="BJ70" s="80"/>
      <c r="BK70" s="80"/>
      <c r="BL70" s="80"/>
      <c r="BM70" s="81"/>
      <c r="BN70" s="72"/>
      <c r="BO70" s="72"/>
      <c r="BP70" s="72"/>
      <c r="BQ70" s="72"/>
    </row>
    <row r="71" spans="2:70" s="43" customFormat="1" ht="15.95" customHeight="1" x14ac:dyDescent="0.25">
      <c r="B71" s="82" t="s">
        <v>14</v>
      </c>
      <c r="C71" s="83" t="s">
        <v>15</v>
      </c>
      <c r="D71" s="84" t="s">
        <v>16</v>
      </c>
      <c r="E71" s="83" t="s">
        <v>17</v>
      </c>
      <c r="F71" s="84" t="s">
        <v>18</v>
      </c>
      <c r="G71" s="83" t="s">
        <v>70</v>
      </c>
      <c r="H71" s="84" t="s">
        <v>21</v>
      </c>
      <c r="I71" s="83" t="s">
        <v>23</v>
      </c>
      <c r="J71" s="72"/>
      <c r="K71" s="72"/>
      <c r="L71" s="72"/>
      <c r="M71" s="72"/>
      <c r="P71" s="82" t="s">
        <v>14</v>
      </c>
      <c r="Q71" s="83" t="s">
        <v>15</v>
      </c>
      <c r="R71" s="84" t="s">
        <v>16</v>
      </c>
      <c r="S71" s="83" t="s">
        <v>17</v>
      </c>
      <c r="T71" s="84" t="s">
        <v>18</v>
      </c>
      <c r="U71" s="83" t="s">
        <v>70</v>
      </c>
      <c r="V71" s="84" t="s">
        <v>21</v>
      </c>
      <c r="W71" s="83" t="s">
        <v>23</v>
      </c>
      <c r="X71" s="72"/>
      <c r="Y71" s="72"/>
      <c r="Z71" s="72"/>
      <c r="AA71" s="72"/>
      <c r="AD71" s="82" t="s">
        <v>14</v>
      </c>
      <c r="AE71" s="83" t="s">
        <v>15</v>
      </c>
      <c r="AF71" s="84" t="s">
        <v>16</v>
      </c>
      <c r="AG71" s="83" t="s">
        <v>17</v>
      </c>
      <c r="AH71" s="84" t="s">
        <v>18</v>
      </c>
      <c r="AI71" s="83" t="s">
        <v>70</v>
      </c>
      <c r="AJ71" s="84" t="s">
        <v>21</v>
      </c>
      <c r="AK71" s="83" t="s">
        <v>23</v>
      </c>
      <c r="AL71" s="72"/>
      <c r="AM71" s="72"/>
      <c r="AN71" s="72"/>
      <c r="AO71" s="72"/>
      <c r="AR71" s="82" t="s">
        <v>14</v>
      </c>
      <c r="AS71" s="83" t="s">
        <v>15</v>
      </c>
      <c r="AT71" s="84" t="s">
        <v>16</v>
      </c>
      <c r="AU71" s="83" t="s">
        <v>17</v>
      </c>
      <c r="AV71" s="84" t="s">
        <v>18</v>
      </c>
      <c r="AW71" s="83" t="s">
        <v>70</v>
      </c>
      <c r="AX71" s="84" t="s">
        <v>21</v>
      </c>
      <c r="AY71" s="83" t="s">
        <v>23</v>
      </c>
      <c r="AZ71" s="72"/>
      <c r="BA71" s="72"/>
      <c r="BB71" s="72"/>
      <c r="BC71" s="72"/>
      <c r="BF71" s="82" t="s">
        <v>14</v>
      </c>
      <c r="BG71" s="83" t="s">
        <v>15</v>
      </c>
      <c r="BH71" s="84" t="s">
        <v>16</v>
      </c>
      <c r="BI71" s="83" t="s">
        <v>17</v>
      </c>
      <c r="BJ71" s="84" t="s">
        <v>18</v>
      </c>
      <c r="BK71" s="83" t="s">
        <v>70</v>
      </c>
      <c r="BL71" s="84" t="s">
        <v>21</v>
      </c>
      <c r="BM71" s="83" t="s">
        <v>23</v>
      </c>
      <c r="BN71" s="72"/>
      <c r="BO71" s="72"/>
      <c r="BP71" s="72"/>
      <c r="BQ71" s="72"/>
    </row>
    <row r="72" spans="2:70" s="43" customFormat="1" ht="15.95" customHeight="1" x14ac:dyDescent="0.25">
      <c r="B72" s="85"/>
      <c r="C72" s="86"/>
      <c r="D72" s="84"/>
      <c r="E72" s="86"/>
      <c r="F72" s="84" t="s">
        <v>19</v>
      </c>
      <c r="G72" s="86" t="s">
        <v>20</v>
      </c>
      <c r="H72" s="84" t="s">
        <v>22</v>
      </c>
      <c r="I72" s="86" t="s">
        <v>24</v>
      </c>
      <c r="J72" s="72"/>
      <c r="K72" s="72"/>
      <c r="L72" s="72"/>
      <c r="M72" s="72"/>
      <c r="P72" s="85"/>
      <c r="Q72" s="86"/>
      <c r="R72" s="84"/>
      <c r="S72" s="86"/>
      <c r="T72" s="84" t="s">
        <v>19</v>
      </c>
      <c r="U72" s="86" t="s">
        <v>20</v>
      </c>
      <c r="V72" s="84" t="s">
        <v>22</v>
      </c>
      <c r="W72" s="86" t="s">
        <v>24</v>
      </c>
      <c r="X72" s="72"/>
      <c r="Y72" s="72"/>
      <c r="Z72" s="72"/>
      <c r="AA72" s="72"/>
      <c r="AD72" s="85"/>
      <c r="AE72" s="86"/>
      <c r="AF72" s="84"/>
      <c r="AG72" s="86"/>
      <c r="AH72" s="84" t="s">
        <v>19</v>
      </c>
      <c r="AI72" s="86" t="s">
        <v>20</v>
      </c>
      <c r="AJ72" s="84" t="s">
        <v>22</v>
      </c>
      <c r="AK72" s="86" t="s">
        <v>24</v>
      </c>
      <c r="AL72" s="72"/>
      <c r="AM72" s="72"/>
      <c r="AN72" s="72"/>
      <c r="AO72" s="72"/>
      <c r="AR72" s="85"/>
      <c r="AS72" s="86"/>
      <c r="AT72" s="84"/>
      <c r="AU72" s="86"/>
      <c r="AV72" s="84" t="s">
        <v>19</v>
      </c>
      <c r="AW72" s="86" t="s">
        <v>20</v>
      </c>
      <c r="AX72" s="84" t="s">
        <v>22</v>
      </c>
      <c r="AY72" s="86" t="s">
        <v>24</v>
      </c>
      <c r="AZ72" s="72"/>
      <c r="BA72" s="72"/>
      <c r="BB72" s="72"/>
      <c r="BC72" s="72"/>
      <c r="BF72" s="85"/>
      <c r="BG72" s="86"/>
      <c r="BH72" s="84"/>
      <c r="BI72" s="86"/>
      <c r="BJ72" s="84" t="s">
        <v>19</v>
      </c>
      <c r="BK72" s="86" t="s">
        <v>20</v>
      </c>
      <c r="BL72" s="84" t="s">
        <v>22</v>
      </c>
      <c r="BM72" s="86" t="s">
        <v>24</v>
      </c>
      <c r="BN72" s="72"/>
      <c r="BO72" s="72"/>
      <c r="BP72" s="72"/>
      <c r="BQ72" s="72"/>
    </row>
    <row r="73" spans="2:70" ht="15.95" customHeight="1" x14ac:dyDescent="0.25">
      <c r="B73" s="87"/>
      <c r="C73" s="88"/>
      <c r="D73" s="88"/>
      <c r="E73" s="88"/>
      <c r="F73" s="88"/>
      <c r="G73" s="230"/>
      <c r="H73" s="88"/>
      <c r="I73" s="230"/>
      <c r="N73" s="26"/>
      <c r="P73" s="87"/>
      <c r="Q73" s="88"/>
      <c r="R73" s="88"/>
      <c r="S73" s="88"/>
      <c r="T73" s="88"/>
      <c r="U73" s="230"/>
      <c r="V73" s="88"/>
      <c r="W73" s="230"/>
      <c r="X73" s="28"/>
      <c r="Y73" s="28"/>
      <c r="Z73" s="28"/>
      <c r="AA73" s="28"/>
      <c r="AD73" s="87"/>
      <c r="AE73" s="88"/>
      <c r="AF73" s="88"/>
      <c r="AG73" s="88"/>
      <c r="AH73" s="88"/>
      <c r="AI73" s="230"/>
      <c r="AJ73" s="88"/>
      <c r="AK73" s="230"/>
      <c r="AL73" s="28"/>
      <c r="AM73" s="28"/>
      <c r="AN73" s="28"/>
      <c r="AO73" s="28"/>
      <c r="AR73" s="87"/>
      <c r="AS73" s="88"/>
      <c r="AT73" s="88"/>
      <c r="AU73" s="88"/>
      <c r="AV73" s="88"/>
      <c r="AW73" s="230"/>
      <c r="AX73" s="88"/>
      <c r="AY73" s="230"/>
      <c r="AZ73" s="28"/>
      <c r="BA73" s="28"/>
      <c r="BB73" s="28"/>
      <c r="BC73" s="28"/>
      <c r="BF73" s="87"/>
      <c r="BG73" s="88"/>
      <c r="BH73" s="88"/>
      <c r="BI73" s="88"/>
      <c r="BJ73" s="88"/>
      <c r="BK73" s="230"/>
      <c r="BL73" s="88"/>
      <c r="BM73" s="230"/>
      <c r="BN73" s="28"/>
      <c r="BO73" s="28"/>
      <c r="BP73" s="28"/>
      <c r="BQ73" s="28"/>
    </row>
    <row r="74" spans="2:70" ht="15.95" customHeight="1" x14ac:dyDescent="0.25">
      <c r="B74" s="87"/>
      <c r="C74" s="88"/>
      <c r="D74" s="88"/>
      <c r="E74" s="88"/>
      <c r="F74" s="88"/>
      <c r="G74" s="230"/>
      <c r="H74" s="88"/>
      <c r="I74" s="230"/>
      <c r="N74" s="26"/>
      <c r="P74" s="87"/>
      <c r="Q74" s="88"/>
      <c r="R74" s="88"/>
      <c r="S74" s="88"/>
      <c r="T74" s="88"/>
      <c r="U74" s="230"/>
      <c r="V74" s="88"/>
      <c r="W74" s="230"/>
      <c r="X74" s="28"/>
      <c r="Y74" s="28"/>
      <c r="Z74" s="28"/>
      <c r="AA74" s="28"/>
      <c r="AD74" s="87"/>
      <c r="AE74" s="88"/>
      <c r="AF74" s="88"/>
      <c r="AG74" s="88"/>
      <c r="AH74" s="88"/>
      <c r="AI74" s="230"/>
      <c r="AJ74" s="88"/>
      <c r="AK74" s="230"/>
      <c r="AL74" s="28"/>
      <c r="AM74" s="28"/>
      <c r="AN74" s="28"/>
      <c r="AO74" s="28"/>
      <c r="AR74" s="87"/>
      <c r="AS74" s="88"/>
      <c r="AT74" s="88"/>
      <c r="AU74" s="88"/>
      <c r="AV74" s="88"/>
      <c r="AW74" s="230"/>
      <c r="AX74" s="88"/>
      <c r="AY74" s="230"/>
      <c r="AZ74" s="28"/>
      <c r="BA74" s="28"/>
      <c r="BB74" s="28"/>
      <c r="BC74" s="28"/>
      <c r="BF74" s="87"/>
      <c r="BG74" s="88"/>
      <c r="BH74" s="88"/>
      <c r="BI74" s="88"/>
      <c r="BJ74" s="88"/>
      <c r="BK74" s="230"/>
      <c r="BL74" s="88"/>
      <c r="BM74" s="230"/>
      <c r="BN74" s="28"/>
      <c r="BO74" s="28"/>
      <c r="BP74" s="28"/>
      <c r="BQ74" s="28"/>
    </row>
    <row r="75" spans="2:70" ht="15.95" customHeight="1" x14ac:dyDescent="0.2">
      <c r="N75" s="26"/>
      <c r="Q75" s="28"/>
      <c r="R75" s="28"/>
      <c r="S75" s="28"/>
      <c r="T75" s="28"/>
      <c r="U75" s="28"/>
      <c r="V75" s="28"/>
      <c r="W75" s="28"/>
      <c r="X75" s="28"/>
      <c r="Y75" s="28"/>
      <c r="Z75" s="28"/>
      <c r="AA75" s="28"/>
      <c r="AE75" s="28"/>
      <c r="AF75" s="28"/>
      <c r="AG75" s="28"/>
      <c r="AH75" s="28"/>
      <c r="AI75" s="28"/>
      <c r="AJ75" s="28"/>
      <c r="AK75" s="28"/>
      <c r="AL75" s="28"/>
      <c r="AM75" s="28"/>
      <c r="AN75" s="28"/>
      <c r="AO75" s="28"/>
      <c r="AS75" s="28"/>
      <c r="AT75" s="28"/>
      <c r="AU75" s="28"/>
      <c r="AV75" s="28"/>
      <c r="AW75" s="28"/>
      <c r="AX75" s="28"/>
      <c r="AY75" s="28"/>
      <c r="AZ75" s="28"/>
      <c r="BA75" s="28"/>
      <c r="BB75" s="28"/>
      <c r="BC75" s="28"/>
      <c r="BG75" s="28"/>
      <c r="BH75" s="28"/>
      <c r="BI75" s="28"/>
      <c r="BJ75" s="28"/>
      <c r="BK75" s="28"/>
      <c r="BL75" s="28"/>
      <c r="BM75" s="28"/>
      <c r="BN75" s="28"/>
      <c r="BO75" s="28"/>
      <c r="BP75" s="28"/>
      <c r="BQ75" s="28"/>
    </row>
    <row r="76" spans="2:70" ht="15.95" customHeight="1" x14ac:dyDescent="0.2">
      <c r="N76" s="26"/>
      <c r="Q76" s="28"/>
      <c r="R76" s="28"/>
      <c r="S76" s="28"/>
      <c r="T76" s="28"/>
      <c r="U76" s="28"/>
      <c r="V76" s="28"/>
      <c r="W76" s="28"/>
      <c r="X76" s="28"/>
      <c r="Y76" s="28"/>
      <c r="Z76" s="28"/>
      <c r="AA76" s="28"/>
      <c r="AE76" s="28"/>
      <c r="AF76" s="28"/>
      <c r="AG76" s="28"/>
      <c r="AH76" s="28"/>
      <c r="AI76" s="28"/>
      <c r="AJ76" s="28"/>
      <c r="AK76" s="28"/>
      <c r="AL76" s="28"/>
      <c r="AM76" s="28"/>
      <c r="AN76" s="28"/>
      <c r="AO76" s="28"/>
      <c r="AS76" s="28"/>
      <c r="AT76" s="28"/>
      <c r="AU76" s="28"/>
      <c r="AV76" s="28"/>
      <c r="AW76" s="28"/>
      <c r="AX76" s="28"/>
      <c r="AY76" s="28"/>
      <c r="AZ76" s="28"/>
      <c r="BA76" s="28"/>
      <c r="BB76" s="28"/>
      <c r="BC76" s="28"/>
      <c r="BG76" s="28"/>
      <c r="BH76" s="28"/>
      <c r="BI76" s="28"/>
      <c r="BJ76" s="28"/>
      <c r="BK76" s="28"/>
      <c r="BL76" s="28"/>
      <c r="BM76" s="28"/>
      <c r="BN76" s="28"/>
      <c r="BO76" s="28"/>
      <c r="BP76" s="28"/>
      <c r="BQ76" s="28"/>
    </row>
    <row r="77" spans="2:70" s="27" customFormat="1" ht="27" customHeight="1" x14ac:dyDescent="0.25">
      <c r="B77" s="95" t="s">
        <v>63</v>
      </c>
      <c r="C77" s="303"/>
      <c r="D77" s="304"/>
      <c r="E77" s="304"/>
      <c r="F77" s="304"/>
      <c r="G77" s="304"/>
      <c r="H77" s="304"/>
      <c r="I77" s="304"/>
      <c r="J77" s="304"/>
      <c r="K77" s="304"/>
      <c r="L77" s="304"/>
      <c r="M77" s="303"/>
      <c r="P77" s="95" t="s">
        <v>63</v>
      </c>
      <c r="Q77" s="303"/>
      <c r="R77" s="304"/>
      <c r="S77" s="304"/>
      <c r="T77" s="304"/>
      <c r="U77" s="304"/>
      <c r="V77" s="304"/>
      <c r="W77" s="304"/>
      <c r="X77" s="304"/>
      <c r="Y77" s="304"/>
      <c r="Z77" s="304"/>
      <c r="AA77" s="303"/>
      <c r="AD77" s="95" t="s">
        <v>63</v>
      </c>
      <c r="AE77" s="303"/>
      <c r="AF77" s="304"/>
      <c r="AG77" s="304"/>
      <c r="AH77" s="304"/>
      <c r="AI77" s="304"/>
      <c r="AJ77" s="304"/>
      <c r="AK77" s="304"/>
      <c r="AL77" s="304"/>
      <c r="AM77" s="304"/>
      <c r="AN77" s="304"/>
      <c r="AO77" s="303"/>
      <c r="AR77" s="95" t="s">
        <v>63</v>
      </c>
      <c r="AS77" s="303"/>
      <c r="AT77" s="304"/>
      <c r="AU77" s="304"/>
      <c r="AV77" s="304"/>
      <c r="AW77" s="304"/>
      <c r="AX77" s="304"/>
      <c r="AY77" s="304"/>
      <c r="AZ77" s="304"/>
      <c r="BA77" s="304"/>
      <c r="BB77" s="304"/>
      <c r="BC77" s="303"/>
      <c r="BF77" s="95" t="s">
        <v>63</v>
      </c>
      <c r="BG77" s="303"/>
      <c r="BH77" s="304"/>
      <c r="BI77" s="304"/>
      <c r="BJ77" s="304"/>
      <c r="BK77" s="304"/>
      <c r="BL77" s="304"/>
      <c r="BM77" s="304"/>
      <c r="BN77" s="304"/>
      <c r="BO77" s="304"/>
      <c r="BP77" s="304"/>
      <c r="BQ77" s="303"/>
    </row>
    <row r="78" spans="2:70" s="27" customFormat="1" ht="15.95" customHeight="1" x14ac:dyDescent="0.25">
      <c r="B78" s="46" t="s">
        <v>6</v>
      </c>
      <c r="C78" s="45">
        <v>2010</v>
      </c>
      <c r="D78" s="49">
        <v>2015</v>
      </c>
      <c r="E78" s="49">
        <v>2020</v>
      </c>
      <c r="F78" s="49">
        <v>2025</v>
      </c>
      <c r="G78" s="49">
        <v>2030</v>
      </c>
      <c r="H78" s="49">
        <v>2035</v>
      </c>
      <c r="I78" s="49">
        <v>2040</v>
      </c>
      <c r="J78" s="49">
        <v>2045</v>
      </c>
      <c r="K78" s="49">
        <v>2050</v>
      </c>
      <c r="L78" s="56">
        <v>2055</v>
      </c>
      <c r="M78" s="45">
        <v>2060</v>
      </c>
      <c r="P78" s="46" t="s">
        <v>6</v>
      </c>
      <c r="Q78" s="45">
        <v>2010</v>
      </c>
      <c r="R78" s="49">
        <v>2015</v>
      </c>
      <c r="S78" s="49">
        <v>2020</v>
      </c>
      <c r="T78" s="49">
        <v>2025</v>
      </c>
      <c r="U78" s="49">
        <v>2030</v>
      </c>
      <c r="V78" s="49">
        <v>2035</v>
      </c>
      <c r="W78" s="49">
        <v>2040</v>
      </c>
      <c r="X78" s="49">
        <v>2045</v>
      </c>
      <c r="Y78" s="49">
        <v>2050</v>
      </c>
      <c r="Z78" s="56">
        <v>2055</v>
      </c>
      <c r="AA78" s="45">
        <v>2060</v>
      </c>
      <c r="AD78" s="46" t="s">
        <v>6</v>
      </c>
      <c r="AE78" s="45">
        <v>2010</v>
      </c>
      <c r="AF78" s="49">
        <v>2015</v>
      </c>
      <c r="AG78" s="49">
        <v>2020</v>
      </c>
      <c r="AH78" s="49">
        <v>2025</v>
      </c>
      <c r="AI78" s="49">
        <v>2030</v>
      </c>
      <c r="AJ78" s="49">
        <v>2035</v>
      </c>
      <c r="AK78" s="49">
        <v>2040</v>
      </c>
      <c r="AL78" s="49">
        <v>2045</v>
      </c>
      <c r="AM78" s="49">
        <v>2050</v>
      </c>
      <c r="AN78" s="56">
        <v>2055</v>
      </c>
      <c r="AO78" s="45">
        <v>2060</v>
      </c>
      <c r="AR78" s="46" t="s">
        <v>6</v>
      </c>
      <c r="AS78" s="45">
        <v>2010</v>
      </c>
      <c r="AT78" s="49">
        <v>2015</v>
      </c>
      <c r="AU78" s="49">
        <v>2020</v>
      </c>
      <c r="AV78" s="49">
        <v>2025</v>
      </c>
      <c r="AW78" s="49">
        <v>2030</v>
      </c>
      <c r="AX78" s="49">
        <v>2035</v>
      </c>
      <c r="AY78" s="49">
        <v>2040</v>
      </c>
      <c r="AZ78" s="49">
        <v>2045</v>
      </c>
      <c r="BA78" s="49">
        <v>2050</v>
      </c>
      <c r="BB78" s="56">
        <v>2055</v>
      </c>
      <c r="BC78" s="45">
        <v>2060</v>
      </c>
      <c r="BF78" s="46" t="s">
        <v>6</v>
      </c>
      <c r="BG78" s="45">
        <v>2010</v>
      </c>
      <c r="BH78" s="49">
        <v>2015</v>
      </c>
      <c r="BI78" s="49">
        <v>2020</v>
      </c>
      <c r="BJ78" s="49">
        <v>2025</v>
      </c>
      <c r="BK78" s="49">
        <v>2030</v>
      </c>
      <c r="BL78" s="49">
        <v>2035</v>
      </c>
      <c r="BM78" s="49">
        <v>2040</v>
      </c>
      <c r="BN78" s="49">
        <v>2045</v>
      </c>
      <c r="BO78" s="49">
        <v>2050</v>
      </c>
      <c r="BP78" s="56">
        <v>2055</v>
      </c>
      <c r="BQ78" s="45">
        <v>2060</v>
      </c>
    </row>
    <row r="79" spans="2:70" s="27" customFormat="1" ht="15.95" customHeight="1" x14ac:dyDescent="0.25">
      <c r="B79" s="50" t="s">
        <v>64</v>
      </c>
      <c r="C79" s="266">
        <f>Q79+AE79</f>
        <v>32</v>
      </c>
      <c r="D79" s="266">
        <f t="shared" ref="D79:M79" si="61">R79+AF79</f>
        <v>32</v>
      </c>
      <c r="E79" s="266">
        <f t="shared" si="61"/>
        <v>32</v>
      </c>
      <c r="F79" s="266">
        <f t="shared" si="61"/>
        <v>32</v>
      </c>
      <c r="G79" s="266">
        <f t="shared" si="61"/>
        <v>32</v>
      </c>
      <c r="H79" s="266">
        <f t="shared" si="61"/>
        <v>32</v>
      </c>
      <c r="I79" s="266">
        <f t="shared" si="61"/>
        <v>32</v>
      </c>
      <c r="J79" s="266">
        <f t="shared" si="61"/>
        <v>32</v>
      </c>
      <c r="K79" s="266">
        <f t="shared" si="61"/>
        <v>32</v>
      </c>
      <c r="L79" s="266">
        <f t="shared" si="61"/>
        <v>32</v>
      </c>
      <c r="M79" s="266">
        <f t="shared" si="61"/>
        <v>32</v>
      </c>
      <c r="P79" s="50" t="s">
        <v>64</v>
      </c>
      <c r="Q79" s="266">
        <v>8.5</v>
      </c>
      <c r="R79" s="266">
        <v>8.5</v>
      </c>
      <c r="S79" s="266">
        <v>8.5</v>
      </c>
      <c r="T79" s="266">
        <v>8.5</v>
      </c>
      <c r="U79" s="266">
        <v>8.5</v>
      </c>
      <c r="V79" s="266">
        <v>8.5</v>
      </c>
      <c r="W79" s="266">
        <v>8.5</v>
      </c>
      <c r="X79" s="266">
        <v>8.5</v>
      </c>
      <c r="Y79" s="266">
        <v>8.5</v>
      </c>
      <c r="Z79" s="266">
        <v>8.5</v>
      </c>
      <c r="AA79" s="266">
        <v>8.5</v>
      </c>
      <c r="AD79" s="50" t="s">
        <v>64</v>
      </c>
      <c r="AE79" s="266">
        <v>23.5</v>
      </c>
      <c r="AF79" s="266">
        <v>23.5</v>
      </c>
      <c r="AG79" s="266">
        <v>23.5</v>
      </c>
      <c r="AH79" s="266">
        <v>23.5</v>
      </c>
      <c r="AI79" s="266">
        <v>23.5</v>
      </c>
      <c r="AJ79" s="266">
        <v>23.5</v>
      </c>
      <c r="AK79" s="266">
        <v>23.5</v>
      </c>
      <c r="AL79" s="266">
        <v>23.5</v>
      </c>
      <c r="AM79" s="266">
        <v>23.5</v>
      </c>
      <c r="AN79" s="266">
        <v>23.5</v>
      </c>
      <c r="AO79" s="266">
        <v>23.5</v>
      </c>
      <c r="AR79" s="50" t="s">
        <v>64</v>
      </c>
      <c r="AS79" s="266">
        <v>3.5</v>
      </c>
      <c r="AT79" s="266">
        <v>3.5</v>
      </c>
      <c r="AU79" s="266">
        <v>3.5</v>
      </c>
      <c r="AV79" s="266">
        <v>3.5</v>
      </c>
      <c r="AW79" s="266">
        <v>3.5</v>
      </c>
      <c r="AX79" s="266">
        <v>3.5</v>
      </c>
      <c r="AY79" s="266">
        <v>3.5</v>
      </c>
      <c r="AZ79" s="266">
        <v>3.5</v>
      </c>
      <c r="BA79" s="266">
        <v>3.5</v>
      </c>
      <c r="BB79" s="266">
        <v>3.5</v>
      </c>
      <c r="BC79" s="266">
        <v>3.5</v>
      </c>
      <c r="BF79" s="50" t="s">
        <v>64</v>
      </c>
      <c r="BG79" s="266">
        <v>3.5</v>
      </c>
      <c r="BH79" s="266">
        <v>3.5</v>
      </c>
      <c r="BI79" s="266">
        <v>3.5</v>
      </c>
      <c r="BJ79" s="266">
        <v>3.5</v>
      </c>
      <c r="BK79" s="266">
        <v>3.5</v>
      </c>
      <c r="BL79" s="266">
        <v>3.5</v>
      </c>
      <c r="BM79" s="266">
        <v>3.5</v>
      </c>
      <c r="BN79" s="266">
        <v>3.5</v>
      </c>
      <c r="BO79" s="266">
        <v>3.5</v>
      </c>
      <c r="BP79" s="266">
        <v>3.5</v>
      </c>
      <c r="BQ79" s="266">
        <v>3.5</v>
      </c>
    </row>
    <row r="80" spans="2:70" s="27" customFormat="1" ht="15.95" customHeight="1" x14ac:dyDescent="0.25">
      <c r="B80" s="50" t="s">
        <v>65</v>
      </c>
      <c r="C80" s="266">
        <v>0</v>
      </c>
      <c r="D80" s="266">
        <v>0</v>
      </c>
      <c r="E80" s="266">
        <v>0</v>
      </c>
      <c r="F80" s="266">
        <v>0</v>
      </c>
      <c r="G80" s="266">
        <v>0</v>
      </c>
      <c r="H80" s="266">
        <v>0</v>
      </c>
      <c r="I80" s="266">
        <v>0</v>
      </c>
      <c r="J80" s="266">
        <v>0</v>
      </c>
      <c r="K80" s="266">
        <v>0</v>
      </c>
      <c r="L80" s="267">
        <v>0</v>
      </c>
      <c r="M80" s="266">
        <v>0</v>
      </c>
      <c r="P80" s="50" t="s">
        <v>65</v>
      </c>
      <c r="Q80" s="266">
        <v>0</v>
      </c>
      <c r="R80" s="266">
        <v>0</v>
      </c>
      <c r="S80" s="266">
        <v>0</v>
      </c>
      <c r="T80" s="266">
        <v>0</v>
      </c>
      <c r="U80" s="266">
        <v>0</v>
      </c>
      <c r="V80" s="266">
        <v>0</v>
      </c>
      <c r="W80" s="266">
        <v>0</v>
      </c>
      <c r="X80" s="266">
        <v>0</v>
      </c>
      <c r="Y80" s="266">
        <v>0</v>
      </c>
      <c r="Z80" s="266">
        <v>0</v>
      </c>
      <c r="AA80" s="266">
        <v>0</v>
      </c>
      <c r="AD80" s="50" t="s">
        <v>65</v>
      </c>
      <c r="AE80" s="266">
        <v>0</v>
      </c>
      <c r="AF80" s="266">
        <v>0</v>
      </c>
      <c r="AG80" s="266">
        <v>0</v>
      </c>
      <c r="AH80" s="266">
        <v>0</v>
      </c>
      <c r="AI80" s="266">
        <v>0</v>
      </c>
      <c r="AJ80" s="266">
        <v>0</v>
      </c>
      <c r="AK80" s="266">
        <v>0</v>
      </c>
      <c r="AL80" s="266">
        <v>0</v>
      </c>
      <c r="AM80" s="266">
        <v>0</v>
      </c>
      <c r="AN80" s="267">
        <v>0</v>
      </c>
      <c r="AO80" s="266">
        <v>0</v>
      </c>
      <c r="AR80" s="50" t="s">
        <v>65</v>
      </c>
      <c r="AS80" s="266">
        <v>0</v>
      </c>
      <c r="AT80" s="266">
        <v>0</v>
      </c>
      <c r="AU80" s="266">
        <v>0</v>
      </c>
      <c r="AV80" s="266">
        <v>0</v>
      </c>
      <c r="AW80" s="266">
        <v>0</v>
      </c>
      <c r="AX80" s="266">
        <v>0</v>
      </c>
      <c r="AY80" s="266">
        <v>0</v>
      </c>
      <c r="AZ80" s="266">
        <v>0</v>
      </c>
      <c r="BA80" s="266">
        <v>0</v>
      </c>
      <c r="BB80" s="267">
        <v>0</v>
      </c>
      <c r="BC80" s="266">
        <v>0</v>
      </c>
      <c r="BF80" s="50" t="s">
        <v>65</v>
      </c>
      <c r="BG80" s="266">
        <v>0</v>
      </c>
      <c r="BH80" s="266">
        <v>0</v>
      </c>
      <c r="BI80" s="266">
        <v>0</v>
      </c>
      <c r="BJ80" s="266">
        <v>0</v>
      </c>
      <c r="BK80" s="266">
        <v>0</v>
      </c>
      <c r="BL80" s="266">
        <v>0</v>
      </c>
      <c r="BM80" s="266">
        <v>0</v>
      </c>
      <c r="BN80" s="266">
        <v>0</v>
      </c>
      <c r="BO80" s="266">
        <v>0</v>
      </c>
      <c r="BP80" s="267">
        <v>0</v>
      </c>
      <c r="BQ80" s="266">
        <v>0</v>
      </c>
    </row>
    <row r="81" spans="2:69" s="27" customFormat="1" ht="15.95" customHeight="1" x14ac:dyDescent="0.25">
      <c r="B81" s="50" t="s">
        <v>66</v>
      </c>
      <c r="C81" s="266">
        <v>0</v>
      </c>
      <c r="D81" s="266">
        <v>0</v>
      </c>
      <c r="E81" s="266">
        <v>0</v>
      </c>
      <c r="F81" s="266">
        <v>0</v>
      </c>
      <c r="G81" s="266">
        <v>0</v>
      </c>
      <c r="H81" s="266">
        <v>0</v>
      </c>
      <c r="I81" s="266">
        <v>0</v>
      </c>
      <c r="J81" s="266">
        <v>0</v>
      </c>
      <c r="K81" s="266">
        <v>0</v>
      </c>
      <c r="L81" s="266">
        <v>0</v>
      </c>
      <c r="M81" s="266">
        <v>0</v>
      </c>
      <c r="P81" s="50" t="s">
        <v>66</v>
      </c>
      <c r="Q81" s="266">
        <v>0</v>
      </c>
      <c r="R81" s="266">
        <v>0</v>
      </c>
      <c r="S81" s="266">
        <v>0</v>
      </c>
      <c r="T81" s="266">
        <v>0</v>
      </c>
      <c r="U81" s="266">
        <v>0</v>
      </c>
      <c r="V81" s="266">
        <v>0</v>
      </c>
      <c r="W81" s="266">
        <v>0</v>
      </c>
      <c r="X81" s="266">
        <v>0</v>
      </c>
      <c r="Y81" s="266">
        <v>0</v>
      </c>
      <c r="Z81" s="266">
        <v>0</v>
      </c>
      <c r="AA81" s="266">
        <v>0</v>
      </c>
      <c r="AD81" s="50" t="s">
        <v>66</v>
      </c>
      <c r="AE81" s="266">
        <v>0</v>
      </c>
      <c r="AF81" s="266">
        <v>0</v>
      </c>
      <c r="AG81" s="266">
        <v>0</v>
      </c>
      <c r="AH81" s="266">
        <v>0</v>
      </c>
      <c r="AI81" s="266">
        <v>0</v>
      </c>
      <c r="AJ81" s="266">
        <v>0</v>
      </c>
      <c r="AK81" s="266">
        <v>0</v>
      </c>
      <c r="AL81" s="266">
        <v>0</v>
      </c>
      <c r="AM81" s="266">
        <v>0</v>
      </c>
      <c r="AN81" s="266">
        <v>0</v>
      </c>
      <c r="AO81" s="266">
        <v>0</v>
      </c>
      <c r="AR81" s="50" t="s">
        <v>66</v>
      </c>
      <c r="AS81" s="266">
        <v>0</v>
      </c>
      <c r="AT81" s="266">
        <v>0</v>
      </c>
      <c r="AU81" s="266">
        <v>0</v>
      </c>
      <c r="AV81" s="266">
        <v>0</v>
      </c>
      <c r="AW81" s="266">
        <v>0</v>
      </c>
      <c r="AX81" s="266">
        <v>0</v>
      </c>
      <c r="AY81" s="266">
        <v>0</v>
      </c>
      <c r="AZ81" s="266">
        <v>0</v>
      </c>
      <c r="BA81" s="266">
        <v>0</v>
      </c>
      <c r="BB81" s="266">
        <v>0</v>
      </c>
      <c r="BC81" s="266">
        <v>0</v>
      </c>
      <c r="BF81" s="50" t="s">
        <v>66</v>
      </c>
      <c r="BG81" s="266">
        <v>0</v>
      </c>
      <c r="BH81" s="266">
        <v>0</v>
      </c>
      <c r="BI81" s="266">
        <v>0</v>
      </c>
      <c r="BJ81" s="266">
        <v>0</v>
      </c>
      <c r="BK81" s="266">
        <v>0</v>
      </c>
      <c r="BL81" s="266">
        <v>0</v>
      </c>
      <c r="BM81" s="266">
        <v>0</v>
      </c>
      <c r="BN81" s="266">
        <v>0</v>
      </c>
      <c r="BO81" s="266">
        <v>0</v>
      </c>
      <c r="BP81" s="266">
        <v>0</v>
      </c>
      <c r="BQ81" s="266">
        <v>0</v>
      </c>
    </row>
    <row r="82" spans="2:69" s="27" customFormat="1" ht="15.95" customHeight="1" x14ac:dyDescent="0.25">
      <c r="B82" s="50" t="s">
        <v>67</v>
      </c>
      <c r="C82" s="266">
        <v>0</v>
      </c>
      <c r="D82" s="266">
        <v>0</v>
      </c>
      <c r="E82" s="266">
        <v>0</v>
      </c>
      <c r="F82" s="266">
        <v>0</v>
      </c>
      <c r="G82" s="266">
        <v>0</v>
      </c>
      <c r="H82" s="266">
        <v>0</v>
      </c>
      <c r="I82" s="266">
        <v>0</v>
      </c>
      <c r="J82" s="266">
        <v>0</v>
      </c>
      <c r="K82" s="266">
        <v>0</v>
      </c>
      <c r="L82" s="266">
        <v>0</v>
      </c>
      <c r="M82" s="266">
        <v>0</v>
      </c>
      <c r="P82" s="50" t="s">
        <v>67</v>
      </c>
      <c r="Q82" s="266">
        <v>0</v>
      </c>
      <c r="R82" s="266">
        <v>0</v>
      </c>
      <c r="S82" s="266">
        <v>0</v>
      </c>
      <c r="T82" s="266">
        <v>0</v>
      </c>
      <c r="U82" s="266">
        <v>0</v>
      </c>
      <c r="V82" s="266">
        <v>0</v>
      </c>
      <c r="W82" s="266">
        <v>0</v>
      </c>
      <c r="X82" s="266">
        <v>0</v>
      </c>
      <c r="Y82" s="266">
        <v>0</v>
      </c>
      <c r="Z82" s="266">
        <v>0</v>
      </c>
      <c r="AA82" s="266">
        <v>0</v>
      </c>
      <c r="AD82" s="50" t="s">
        <v>67</v>
      </c>
      <c r="AE82" s="266">
        <v>0</v>
      </c>
      <c r="AF82" s="266">
        <v>0</v>
      </c>
      <c r="AG82" s="266">
        <v>0</v>
      </c>
      <c r="AH82" s="266">
        <v>0</v>
      </c>
      <c r="AI82" s="266">
        <v>0</v>
      </c>
      <c r="AJ82" s="266">
        <v>0</v>
      </c>
      <c r="AK82" s="266">
        <v>0</v>
      </c>
      <c r="AL82" s="266">
        <v>0</v>
      </c>
      <c r="AM82" s="266">
        <v>0</v>
      </c>
      <c r="AN82" s="266">
        <v>0</v>
      </c>
      <c r="AO82" s="266">
        <v>0</v>
      </c>
      <c r="AR82" s="50" t="s">
        <v>67</v>
      </c>
      <c r="AS82" s="266">
        <v>0</v>
      </c>
      <c r="AT82" s="266">
        <v>0</v>
      </c>
      <c r="AU82" s="266">
        <v>0</v>
      </c>
      <c r="AV82" s="266">
        <v>0</v>
      </c>
      <c r="AW82" s="266">
        <v>0</v>
      </c>
      <c r="AX82" s="266">
        <v>0</v>
      </c>
      <c r="AY82" s="266">
        <v>0</v>
      </c>
      <c r="AZ82" s="266">
        <v>0</v>
      </c>
      <c r="BA82" s="266">
        <v>0</v>
      </c>
      <c r="BB82" s="266">
        <v>0</v>
      </c>
      <c r="BC82" s="266">
        <v>0</v>
      </c>
      <c r="BF82" s="50" t="s">
        <v>67</v>
      </c>
      <c r="BG82" s="266">
        <v>0</v>
      </c>
      <c r="BH82" s="266">
        <v>0</v>
      </c>
      <c r="BI82" s="266">
        <v>0</v>
      </c>
      <c r="BJ82" s="266">
        <v>0</v>
      </c>
      <c r="BK82" s="266">
        <v>0</v>
      </c>
      <c r="BL82" s="266">
        <v>0</v>
      </c>
      <c r="BM82" s="266">
        <v>0</v>
      </c>
      <c r="BN82" s="266">
        <v>0</v>
      </c>
      <c r="BO82" s="266">
        <v>0</v>
      </c>
      <c r="BP82" s="266">
        <v>0</v>
      </c>
      <c r="BQ82" s="266">
        <v>0</v>
      </c>
    </row>
    <row r="83" spans="2:69" s="27" customFormat="1" ht="15.95" customHeight="1" x14ac:dyDescent="0.25">
      <c r="B83" s="47" t="s">
        <v>5</v>
      </c>
      <c r="C83" s="268">
        <f>SUM(C79:C82)</f>
        <v>32</v>
      </c>
      <c r="D83" s="268">
        <f>SUM(D79:D82)</f>
        <v>32</v>
      </c>
      <c r="E83" s="268">
        <f t="shared" ref="E83:M83" si="62">SUM(E79:E82)</f>
        <v>32</v>
      </c>
      <c r="F83" s="268">
        <f t="shared" si="62"/>
        <v>32</v>
      </c>
      <c r="G83" s="268">
        <f t="shared" si="62"/>
        <v>32</v>
      </c>
      <c r="H83" s="268">
        <f t="shared" si="62"/>
        <v>32</v>
      </c>
      <c r="I83" s="268">
        <f t="shared" si="62"/>
        <v>32</v>
      </c>
      <c r="J83" s="268">
        <f t="shared" si="62"/>
        <v>32</v>
      </c>
      <c r="K83" s="268">
        <f t="shared" si="62"/>
        <v>32</v>
      </c>
      <c r="L83" s="268">
        <f t="shared" si="62"/>
        <v>32</v>
      </c>
      <c r="M83" s="268">
        <f t="shared" si="62"/>
        <v>32</v>
      </c>
      <c r="P83" s="47" t="s">
        <v>5</v>
      </c>
      <c r="Q83" s="268">
        <f>SUM(Q79:Q82)</f>
        <v>8.5</v>
      </c>
      <c r="R83" s="268">
        <f>SUM(R79:R82)</f>
        <v>8.5</v>
      </c>
      <c r="S83" s="268">
        <f t="shared" ref="S83:AA83" si="63">SUM(S79:S82)</f>
        <v>8.5</v>
      </c>
      <c r="T83" s="268">
        <f t="shared" si="63"/>
        <v>8.5</v>
      </c>
      <c r="U83" s="268">
        <f t="shared" si="63"/>
        <v>8.5</v>
      </c>
      <c r="V83" s="268">
        <f t="shared" si="63"/>
        <v>8.5</v>
      </c>
      <c r="W83" s="268">
        <f t="shared" si="63"/>
        <v>8.5</v>
      </c>
      <c r="X83" s="268">
        <f t="shared" si="63"/>
        <v>8.5</v>
      </c>
      <c r="Y83" s="268">
        <f t="shared" si="63"/>
        <v>8.5</v>
      </c>
      <c r="Z83" s="268">
        <f t="shared" si="63"/>
        <v>8.5</v>
      </c>
      <c r="AA83" s="268">
        <f t="shared" si="63"/>
        <v>8.5</v>
      </c>
      <c r="AD83" s="47" t="s">
        <v>5</v>
      </c>
      <c r="AE83" s="268">
        <f>SUM(AE79:AE82)</f>
        <v>23.5</v>
      </c>
      <c r="AF83" s="268">
        <f>SUM(AF79:AF82)</f>
        <v>23.5</v>
      </c>
      <c r="AG83" s="268">
        <f t="shared" ref="AG83:AO83" si="64">SUM(AG79:AG82)</f>
        <v>23.5</v>
      </c>
      <c r="AH83" s="268">
        <f t="shared" si="64"/>
        <v>23.5</v>
      </c>
      <c r="AI83" s="268">
        <f t="shared" si="64"/>
        <v>23.5</v>
      </c>
      <c r="AJ83" s="268">
        <f t="shared" si="64"/>
        <v>23.5</v>
      </c>
      <c r="AK83" s="268">
        <f t="shared" si="64"/>
        <v>23.5</v>
      </c>
      <c r="AL83" s="268">
        <f t="shared" si="64"/>
        <v>23.5</v>
      </c>
      <c r="AM83" s="268">
        <f t="shared" si="64"/>
        <v>23.5</v>
      </c>
      <c r="AN83" s="268">
        <f t="shared" si="64"/>
        <v>23.5</v>
      </c>
      <c r="AO83" s="268">
        <f t="shared" si="64"/>
        <v>23.5</v>
      </c>
      <c r="AR83" s="47" t="s">
        <v>5</v>
      </c>
      <c r="AS83" s="268">
        <f>SUM(AS79:AS82)</f>
        <v>3.5</v>
      </c>
      <c r="AT83" s="268">
        <f>SUM(AT79:AT82)</f>
        <v>3.5</v>
      </c>
      <c r="AU83" s="268">
        <f t="shared" ref="AU83:BC83" si="65">SUM(AU79:AU82)</f>
        <v>3.5</v>
      </c>
      <c r="AV83" s="268">
        <f t="shared" si="65"/>
        <v>3.5</v>
      </c>
      <c r="AW83" s="268">
        <f t="shared" si="65"/>
        <v>3.5</v>
      </c>
      <c r="AX83" s="268">
        <f t="shared" si="65"/>
        <v>3.5</v>
      </c>
      <c r="AY83" s="268">
        <f t="shared" si="65"/>
        <v>3.5</v>
      </c>
      <c r="AZ83" s="268">
        <f t="shared" si="65"/>
        <v>3.5</v>
      </c>
      <c r="BA83" s="268">
        <f t="shared" si="65"/>
        <v>3.5</v>
      </c>
      <c r="BB83" s="268">
        <f t="shared" si="65"/>
        <v>3.5</v>
      </c>
      <c r="BC83" s="268">
        <f t="shared" si="65"/>
        <v>3.5</v>
      </c>
      <c r="BF83" s="47" t="s">
        <v>5</v>
      </c>
      <c r="BG83" s="268">
        <f>SUM(BG79:BG82)</f>
        <v>3.5</v>
      </c>
      <c r="BH83" s="268">
        <f>SUM(BH79:BH82)</f>
        <v>3.5</v>
      </c>
      <c r="BI83" s="268">
        <f t="shared" ref="BI83:BQ83" si="66">SUM(BI79:BI82)</f>
        <v>3.5</v>
      </c>
      <c r="BJ83" s="268">
        <f t="shared" si="66"/>
        <v>3.5</v>
      </c>
      <c r="BK83" s="268">
        <f t="shared" si="66"/>
        <v>3.5</v>
      </c>
      <c r="BL83" s="268">
        <f t="shared" si="66"/>
        <v>3.5</v>
      </c>
      <c r="BM83" s="268">
        <f t="shared" si="66"/>
        <v>3.5</v>
      </c>
      <c r="BN83" s="268">
        <f t="shared" si="66"/>
        <v>3.5</v>
      </c>
      <c r="BO83" s="268">
        <f t="shared" si="66"/>
        <v>3.5</v>
      </c>
      <c r="BP83" s="268">
        <f t="shared" si="66"/>
        <v>3.5</v>
      </c>
      <c r="BQ83" s="268">
        <f t="shared" si="66"/>
        <v>3.5</v>
      </c>
    </row>
    <row r="84" spans="2:69" s="27" customFormat="1" ht="15.95" customHeight="1" x14ac:dyDescent="0.25">
      <c r="B84" s="50" t="s">
        <v>7</v>
      </c>
      <c r="C84" s="266">
        <f>D33</f>
        <v>18.400000000000002</v>
      </c>
      <c r="D84" s="266">
        <f t="shared" ref="D84" si="67">E33</f>
        <v>20.9</v>
      </c>
      <c r="E84" s="266">
        <f t="shared" ref="E84" si="68">F33</f>
        <v>24.999999999999996</v>
      </c>
      <c r="F84" s="266">
        <f t="shared" ref="F84" si="69">G33</f>
        <v>28.799999999999997</v>
      </c>
      <c r="G84" s="266">
        <f t="shared" ref="G84" si="70">H33</f>
        <v>31.9</v>
      </c>
      <c r="H84" s="266">
        <f t="shared" ref="H84" si="71">I33</f>
        <v>34.800000000000004</v>
      </c>
      <c r="I84" s="266">
        <f t="shared" ref="I84" si="72">J33</f>
        <v>37.299999999999997</v>
      </c>
      <c r="J84" s="266">
        <f t="shared" ref="J84" si="73">K33</f>
        <v>39.15</v>
      </c>
      <c r="K84" s="266">
        <f t="shared" ref="K84" si="74">L33</f>
        <v>40.799999999999997</v>
      </c>
      <c r="L84" s="266">
        <f t="shared" ref="L84" si="75">M33</f>
        <v>41.1</v>
      </c>
      <c r="M84" s="266">
        <f t="shared" ref="M84" si="76">N33</f>
        <v>41.4</v>
      </c>
      <c r="P84" s="50" t="s">
        <v>7</v>
      </c>
      <c r="Q84" s="266">
        <f>R33</f>
        <v>3.5</v>
      </c>
      <c r="R84" s="266">
        <f t="shared" ref="R84" si="77">S33</f>
        <v>4.2</v>
      </c>
      <c r="S84" s="266">
        <f t="shared" ref="S84" si="78">T33</f>
        <v>5.5</v>
      </c>
      <c r="T84" s="266">
        <f t="shared" ref="T84" si="79">U33</f>
        <v>6.6</v>
      </c>
      <c r="U84" s="266">
        <f t="shared" ref="U84" si="80">V33</f>
        <v>7.6</v>
      </c>
      <c r="V84" s="266">
        <f t="shared" ref="V84" si="81">W33</f>
        <v>8.8000000000000007</v>
      </c>
      <c r="W84" s="266">
        <f t="shared" ref="W84" si="82">X33</f>
        <v>9.9</v>
      </c>
      <c r="X84" s="266">
        <f t="shared" ref="X84" si="83">Y33</f>
        <v>10.549999999999999</v>
      </c>
      <c r="Y84" s="266">
        <f t="shared" ref="Y84" si="84">Z33</f>
        <v>11</v>
      </c>
      <c r="Z84" s="266">
        <f t="shared" ref="Z84" si="85">AA33</f>
        <v>11.3</v>
      </c>
      <c r="AA84" s="266">
        <f t="shared" ref="AA84" si="86">AB33</f>
        <v>11.6</v>
      </c>
      <c r="AD84" s="50" t="s">
        <v>7</v>
      </c>
      <c r="AE84" s="266">
        <f>AF33</f>
        <v>14.900000000000002</v>
      </c>
      <c r="AF84" s="266">
        <f t="shared" ref="AF84" si="87">AG33</f>
        <v>16.7</v>
      </c>
      <c r="AG84" s="266">
        <f t="shared" ref="AG84" si="88">AH33</f>
        <v>19.499999999999996</v>
      </c>
      <c r="AH84" s="266">
        <f t="shared" ref="AH84" si="89">AI33</f>
        <v>22.2</v>
      </c>
      <c r="AI84" s="266">
        <f t="shared" ref="AI84" si="90">AJ33</f>
        <v>24.3</v>
      </c>
      <c r="AJ84" s="266">
        <f t="shared" ref="AJ84" si="91">AK33</f>
        <v>26.000000000000004</v>
      </c>
      <c r="AK84" s="266">
        <f t="shared" ref="AK84" si="92">AL33</f>
        <v>27.4</v>
      </c>
      <c r="AL84" s="266">
        <f t="shared" ref="AL84" si="93">AM33</f>
        <v>28.6</v>
      </c>
      <c r="AM84" s="266">
        <f t="shared" ref="AM84" si="94">AN33</f>
        <v>29.8</v>
      </c>
      <c r="AN84" s="266">
        <f t="shared" ref="AN84" si="95">AO33</f>
        <v>29.8</v>
      </c>
      <c r="AO84" s="266">
        <f t="shared" ref="AO84" si="96">AP33</f>
        <v>29.8</v>
      </c>
      <c r="AR84" s="50" t="s">
        <v>7</v>
      </c>
      <c r="AS84" s="266">
        <f>AT33</f>
        <v>1.7199999999999998</v>
      </c>
      <c r="AT84" s="266">
        <f t="shared" ref="AT84" si="97">AU33</f>
        <v>2.0299999999999998</v>
      </c>
      <c r="AU84" s="266">
        <f t="shared" ref="AU84" si="98">AV33</f>
        <v>2.5399999999999996</v>
      </c>
      <c r="AV84" s="266">
        <f t="shared" ref="AV84" si="99">AW33</f>
        <v>2.75</v>
      </c>
      <c r="AW84" s="266">
        <f t="shared" ref="AW84" si="100">AX33</f>
        <v>2.88</v>
      </c>
      <c r="AX84" s="266">
        <f t="shared" ref="AX84" si="101">AY33</f>
        <v>3.32</v>
      </c>
      <c r="AY84" s="266">
        <f t="shared" ref="AY84" si="102">AZ33</f>
        <v>3.42</v>
      </c>
      <c r="AZ84" s="266">
        <f t="shared" ref="AZ84" si="103">BA33</f>
        <v>3.47</v>
      </c>
      <c r="BA84" s="266">
        <f t="shared" ref="BA84" si="104">BB33</f>
        <v>3.5200000000000005</v>
      </c>
      <c r="BB84" s="266">
        <f t="shared" ref="BB84" si="105">BC33</f>
        <v>3.5750000000000006</v>
      </c>
      <c r="BC84" s="266">
        <f t="shared" ref="BC84" si="106">BD33</f>
        <v>3.6300000000000003</v>
      </c>
      <c r="BF84" s="50" t="s">
        <v>7</v>
      </c>
      <c r="BG84" s="266">
        <f>BH33</f>
        <v>0.6</v>
      </c>
      <c r="BH84" s="266">
        <f t="shared" ref="BH84" si="107">BI33</f>
        <v>0.9</v>
      </c>
      <c r="BI84" s="266">
        <f t="shared" ref="BI84" si="108">BJ33</f>
        <v>1.4</v>
      </c>
      <c r="BJ84" s="266">
        <f t="shared" ref="BJ84" si="109">BK33</f>
        <v>1.9</v>
      </c>
      <c r="BK84" s="266">
        <f t="shared" ref="BK84" si="110">BL33</f>
        <v>2.2000000000000002</v>
      </c>
      <c r="BL84" s="266">
        <f t="shared" ref="BL84" si="111">BM33</f>
        <v>2.7</v>
      </c>
      <c r="BM84" s="266">
        <f t="shared" ref="BM84" si="112">BN33</f>
        <v>3.2</v>
      </c>
      <c r="BN84" s="266">
        <f t="shared" ref="BN84" si="113">BO33</f>
        <v>3.2</v>
      </c>
      <c r="BO84" s="266">
        <f t="shared" ref="BO84" si="114">BP33</f>
        <v>3.2</v>
      </c>
      <c r="BP84" s="266">
        <f t="shared" ref="BP84" si="115">BQ33</f>
        <v>3.2500000000000004</v>
      </c>
      <c r="BQ84" s="266">
        <f t="shared" ref="BQ84" si="116">BR33</f>
        <v>3.3</v>
      </c>
    </row>
    <row r="85" spans="2:69" s="27" customFormat="1" ht="15.95" customHeight="1" x14ac:dyDescent="0.25">
      <c r="B85" s="50" t="s">
        <v>68</v>
      </c>
      <c r="C85" s="266">
        <f>SUM(D37:D40)</f>
        <v>0</v>
      </c>
      <c r="D85" s="266">
        <f t="shared" ref="D85" si="117">SUM(E37:E40)</f>
        <v>0</v>
      </c>
      <c r="E85" s="266">
        <f t="shared" ref="E85" si="118">SUM(F37:F40)</f>
        <v>0</v>
      </c>
      <c r="F85" s="266">
        <f t="shared" ref="F85" si="119">SUM(G37:G40)</f>
        <v>0</v>
      </c>
      <c r="G85" s="266">
        <f t="shared" ref="G85" si="120">SUM(H37:H40)</f>
        <v>0</v>
      </c>
      <c r="H85" s="266">
        <f t="shared" ref="H85" si="121">SUM(I37:I40)</f>
        <v>0</v>
      </c>
      <c r="I85" s="266">
        <f t="shared" ref="I85" si="122">SUM(J37:J40)</f>
        <v>0</v>
      </c>
      <c r="J85" s="266">
        <f t="shared" ref="J85" si="123">SUM(K37:K40)</f>
        <v>0</v>
      </c>
      <c r="K85" s="266">
        <f t="shared" ref="K85" si="124">SUM(L37:L40)</f>
        <v>0</v>
      </c>
      <c r="L85" s="266">
        <f t="shared" ref="L85" si="125">SUM(M37:M40)</f>
        <v>0</v>
      </c>
      <c r="M85" s="266">
        <f t="shared" ref="M85" si="126">SUM(N37:N40)</f>
        <v>0</v>
      </c>
      <c r="P85" s="50" t="s">
        <v>68</v>
      </c>
      <c r="Q85" s="266">
        <f>SUM(R37:R40)</f>
        <v>0</v>
      </c>
      <c r="R85" s="266">
        <f t="shared" ref="R85" si="127">SUM(S37:S40)</f>
        <v>0</v>
      </c>
      <c r="S85" s="266">
        <f t="shared" ref="S85" si="128">SUM(T37:T40)</f>
        <v>0</v>
      </c>
      <c r="T85" s="266">
        <f t="shared" ref="T85" si="129">SUM(U37:U40)</f>
        <v>0</v>
      </c>
      <c r="U85" s="266">
        <f t="shared" ref="U85" si="130">SUM(V37:V40)</f>
        <v>0</v>
      </c>
      <c r="V85" s="266">
        <f t="shared" ref="V85" si="131">SUM(W37:W40)</f>
        <v>0</v>
      </c>
      <c r="W85" s="266">
        <f t="shared" ref="W85" si="132">SUM(X37:X40)</f>
        <v>0</v>
      </c>
      <c r="X85" s="266">
        <f t="shared" ref="X85" si="133">SUM(Y37:Y40)</f>
        <v>0</v>
      </c>
      <c r="Y85" s="266">
        <f t="shared" ref="Y85" si="134">SUM(Z37:Z40)</f>
        <v>0</v>
      </c>
      <c r="Z85" s="266">
        <f t="shared" ref="Z85" si="135">SUM(AA37:AA40)</f>
        <v>0</v>
      </c>
      <c r="AA85" s="266">
        <f t="shared" ref="AA85" si="136">SUM(AB37:AB40)</f>
        <v>0</v>
      </c>
      <c r="AD85" s="50" t="s">
        <v>68</v>
      </c>
      <c r="AE85" s="266">
        <f>SUM(AF37:AF40)</f>
        <v>0</v>
      </c>
      <c r="AF85" s="266">
        <f t="shared" ref="AF85" si="137">SUM(AG37:AG40)</f>
        <v>0</v>
      </c>
      <c r="AG85" s="266">
        <f t="shared" ref="AG85" si="138">SUM(AH37:AH40)</f>
        <v>0</v>
      </c>
      <c r="AH85" s="266">
        <f t="shared" ref="AH85" si="139">SUM(AI37:AI40)</f>
        <v>0</v>
      </c>
      <c r="AI85" s="266">
        <f t="shared" ref="AI85" si="140">SUM(AJ37:AJ40)</f>
        <v>0</v>
      </c>
      <c r="AJ85" s="266">
        <f t="shared" ref="AJ85" si="141">SUM(AK37:AK40)</f>
        <v>0</v>
      </c>
      <c r="AK85" s="266">
        <f t="shared" ref="AK85" si="142">SUM(AL37:AL40)</f>
        <v>0</v>
      </c>
      <c r="AL85" s="266">
        <f t="shared" ref="AL85" si="143">SUM(AM37:AM40)</f>
        <v>0</v>
      </c>
      <c r="AM85" s="266">
        <f t="shared" ref="AM85" si="144">SUM(AN37:AN40)</f>
        <v>0</v>
      </c>
      <c r="AN85" s="266">
        <f t="shared" ref="AN85" si="145">SUM(AO37:AO40)</f>
        <v>0</v>
      </c>
      <c r="AO85" s="266">
        <f t="shared" ref="AO85" si="146">SUM(AP37:AP40)</f>
        <v>0</v>
      </c>
      <c r="AR85" s="50" t="s">
        <v>68</v>
      </c>
      <c r="AS85" s="266">
        <f>SUM(AT37:AT40)</f>
        <v>0</v>
      </c>
      <c r="AT85" s="266">
        <f t="shared" ref="AT85" si="147">SUM(AU37:AU40)</f>
        <v>0</v>
      </c>
      <c r="AU85" s="266">
        <f t="shared" ref="AU85" si="148">SUM(AV37:AV40)</f>
        <v>0</v>
      </c>
      <c r="AV85" s="266">
        <f t="shared" ref="AV85" si="149">SUM(AW37:AW40)</f>
        <v>0</v>
      </c>
      <c r="AW85" s="266">
        <f t="shared" ref="AW85" si="150">SUM(AX37:AX40)</f>
        <v>0</v>
      </c>
      <c r="AX85" s="266">
        <f t="shared" ref="AX85" si="151">SUM(AY37:AY40)</f>
        <v>0</v>
      </c>
      <c r="AY85" s="266">
        <f t="shared" ref="AY85" si="152">SUM(AZ37:AZ40)</f>
        <v>0</v>
      </c>
      <c r="AZ85" s="266">
        <f t="shared" ref="AZ85" si="153">SUM(BA37:BA40)</f>
        <v>0</v>
      </c>
      <c r="BA85" s="266">
        <f t="shared" ref="BA85" si="154">SUM(BB37:BB40)</f>
        <v>0</v>
      </c>
      <c r="BB85" s="266">
        <f t="shared" ref="BB85" si="155">SUM(BC37:BC40)</f>
        <v>0</v>
      </c>
      <c r="BC85" s="266">
        <f t="shared" ref="BC85" si="156">SUM(BD37:BD40)</f>
        <v>0</v>
      </c>
      <c r="BF85" s="50" t="s">
        <v>68</v>
      </c>
      <c r="BG85" s="266">
        <f>SUM(BH37:BH40)</f>
        <v>0</v>
      </c>
      <c r="BH85" s="266">
        <f t="shared" ref="BH85" si="157">SUM(BI37:BI40)</f>
        <v>0</v>
      </c>
      <c r="BI85" s="266">
        <f t="shared" ref="BI85" si="158">SUM(BJ37:BJ40)</f>
        <v>0</v>
      </c>
      <c r="BJ85" s="266">
        <f t="shared" ref="BJ85" si="159">SUM(BK37:BK40)</f>
        <v>0</v>
      </c>
      <c r="BK85" s="266">
        <f t="shared" ref="BK85" si="160">SUM(BL37:BL40)</f>
        <v>0</v>
      </c>
      <c r="BL85" s="266">
        <f t="shared" ref="BL85" si="161">SUM(BM37:BM40)</f>
        <v>0</v>
      </c>
      <c r="BM85" s="266">
        <f t="shared" ref="BM85" si="162">SUM(BN37:BN40)</f>
        <v>0</v>
      </c>
      <c r="BN85" s="266">
        <f t="shared" ref="BN85" si="163">SUM(BO37:BO40)</f>
        <v>0</v>
      </c>
      <c r="BO85" s="266">
        <f t="shared" ref="BO85" si="164">SUM(BP37:BP40)</f>
        <v>0</v>
      </c>
      <c r="BP85" s="266">
        <f t="shared" ref="BP85" si="165">SUM(BQ37:BQ40)</f>
        <v>0</v>
      </c>
      <c r="BQ85" s="266">
        <f t="shared" ref="BQ85" si="166">SUM(BR37:BR40)</f>
        <v>0</v>
      </c>
    </row>
    <row r="86" spans="2:69" s="27" customFormat="1" ht="15.95" customHeight="1" x14ac:dyDescent="0.25">
      <c r="B86" s="50" t="s">
        <v>69</v>
      </c>
      <c r="C86" s="266">
        <f t="shared" ref="C86:M86" si="167">SUM(D44:D44)</f>
        <v>0</v>
      </c>
      <c r="D86" s="266">
        <f t="shared" si="167"/>
        <v>0</v>
      </c>
      <c r="E86" s="266">
        <f t="shared" si="167"/>
        <v>0</v>
      </c>
      <c r="F86" s="266">
        <f t="shared" si="167"/>
        <v>0</v>
      </c>
      <c r="G86" s="266">
        <f t="shared" si="167"/>
        <v>0</v>
      </c>
      <c r="H86" s="266">
        <f t="shared" si="167"/>
        <v>0</v>
      </c>
      <c r="I86" s="266">
        <f t="shared" si="167"/>
        <v>0</v>
      </c>
      <c r="J86" s="266">
        <f t="shared" si="167"/>
        <v>0</v>
      </c>
      <c r="K86" s="266">
        <f t="shared" si="167"/>
        <v>0</v>
      </c>
      <c r="L86" s="266">
        <f t="shared" si="167"/>
        <v>0</v>
      </c>
      <c r="M86" s="266">
        <f t="shared" si="167"/>
        <v>0</v>
      </c>
      <c r="P86" s="50" t="s">
        <v>69</v>
      </c>
      <c r="Q86" s="266">
        <f t="shared" ref="Q86:AA86" si="168">SUM(R44:R44)</f>
        <v>0</v>
      </c>
      <c r="R86" s="266">
        <f t="shared" si="168"/>
        <v>0</v>
      </c>
      <c r="S86" s="266">
        <f t="shared" si="168"/>
        <v>0</v>
      </c>
      <c r="T86" s="266">
        <f t="shared" si="168"/>
        <v>0</v>
      </c>
      <c r="U86" s="266">
        <f t="shared" si="168"/>
        <v>0</v>
      </c>
      <c r="V86" s="266">
        <f t="shared" si="168"/>
        <v>0</v>
      </c>
      <c r="W86" s="266">
        <f t="shared" si="168"/>
        <v>0</v>
      </c>
      <c r="X86" s="266">
        <f t="shared" si="168"/>
        <v>0</v>
      </c>
      <c r="Y86" s="266">
        <f t="shared" si="168"/>
        <v>0</v>
      </c>
      <c r="Z86" s="266">
        <f t="shared" si="168"/>
        <v>0</v>
      </c>
      <c r="AA86" s="266">
        <f t="shared" si="168"/>
        <v>0</v>
      </c>
      <c r="AD86" s="50" t="s">
        <v>69</v>
      </c>
      <c r="AE86" s="266">
        <f t="shared" ref="AE86:AO86" si="169">SUM(AF44:AF44)</f>
        <v>0</v>
      </c>
      <c r="AF86" s="266">
        <f t="shared" si="169"/>
        <v>0</v>
      </c>
      <c r="AG86" s="266">
        <f t="shared" si="169"/>
        <v>0</v>
      </c>
      <c r="AH86" s="266">
        <f t="shared" si="169"/>
        <v>0</v>
      </c>
      <c r="AI86" s="266">
        <f t="shared" si="169"/>
        <v>0</v>
      </c>
      <c r="AJ86" s="266">
        <f t="shared" si="169"/>
        <v>0</v>
      </c>
      <c r="AK86" s="266">
        <f t="shared" si="169"/>
        <v>0</v>
      </c>
      <c r="AL86" s="266">
        <f t="shared" si="169"/>
        <v>0</v>
      </c>
      <c r="AM86" s="266">
        <f t="shared" si="169"/>
        <v>0</v>
      </c>
      <c r="AN86" s="266">
        <f t="shared" si="169"/>
        <v>0</v>
      </c>
      <c r="AO86" s="266">
        <f t="shared" si="169"/>
        <v>0</v>
      </c>
      <c r="AR86" s="50" t="s">
        <v>69</v>
      </c>
      <c r="AS86" s="266">
        <f t="shared" ref="AS86:BC86" si="170">SUM(AT44:AT44)</f>
        <v>0</v>
      </c>
      <c r="AT86" s="266">
        <f t="shared" si="170"/>
        <v>0</v>
      </c>
      <c r="AU86" s="266">
        <f t="shared" si="170"/>
        <v>0</v>
      </c>
      <c r="AV86" s="266">
        <f t="shared" si="170"/>
        <v>0</v>
      </c>
      <c r="AW86" s="266">
        <f t="shared" si="170"/>
        <v>0</v>
      </c>
      <c r="AX86" s="266">
        <f t="shared" si="170"/>
        <v>0</v>
      </c>
      <c r="AY86" s="266">
        <f t="shared" si="170"/>
        <v>0</v>
      </c>
      <c r="AZ86" s="266">
        <f t="shared" si="170"/>
        <v>0</v>
      </c>
      <c r="BA86" s="266">
        <f t="shared" si="170"/>
        <v>0</v>
      </c>
      <c r="BB86" s="266">
        <f t="shared" si="170"/>
        <v>0</v>
      </c>
      <c r="BC86" s="266">
        <f t="shared" si="170"/>
        <v>0</v>
      </c>
      <c r="BF86" s="50" t="s">
        <v>69</v>
      </c>
      <c r="BG86" s="266">
        <f t="shared" ref="BG86:BQ86" si="171">SUM(BH44:BH44)</f>
        <v>0</v>
      </c>
      <c r="BH86" s="266">
        <f t="shared" si="171"/>
        <v>0</v>
      </c>
      <c r="BI86" s="266">
        <f t="shared" si="171"/>
        <v>0</v>
      </c>
      <c r="BJ86" s="266">
        <f t="shared" si="171"/>
        <v>0</v>
      </c>
      <c r="BK86" s="266">
        <f t="shared" si="171"/>
        <v>0</v>
      </c>
      <c r="BL86" s="266">
        <f t="shared" si="171"/>
        <v>0</v>
      </c>
      <c r="BM86" s="266">
        <f t="shared" si="171"/>
        <v>0</v>
      </c>
      <c r="BN86" s="266">
        <f t="shared" si="171"/>
        <v>0</v>
      </c>
      <c r="BO86" s="266">
        <f t="shared" si="171"/>
        <v>0</v>
      </c>
      <c r="BP86" s="266">
        <f t="shared" si="171"/>
        <v>0</v>
      </c>
      <c r="BQ86" s="266">
        <f t="shared" si="171"/>
        <v>0</v>
      </c>
    </row>
    <row r="87" spans="2:69" s="27" customFormat="1" ht="15.95" customHeight="1" x14ac:dyDescent="0.25">
      <c r="B87" s="47" t="s">
        <v>8</v>
      </c>
      <c r="C87" s="268">
        <f>SUM(C84:C86)</f>
        <v>18.400000000000002</v>
      </c>
      <c r="D87" s="268">
        <f>SUM(D84:D86)</f>
        <v>20.9</v>
      </c>
      <c r="E87" s="268">
        <f t="shared" ref="E87:K87" si="172">SUM(E84:E86)</f>
        <v>24.999999999999996</v>
      </c>
      <c r="F87" s="268">
        <f t="shared" si="172"/>
        <v>28.799999999999997</v>
      </c>
      <c r="G87" s="268">
        <f t="shared" si="172"/>
        <v>31.9</v>
      </c>
      <c r="H87" s="268">
        <f t="shared" si="172"/>
        <v>34.800000000000004</v>
      </c>
      <c r="I87" s="268">
        <f t="shared" si="172"/>
        <v>37.299999999999997</v>
      </c>
      <c r="J87" s="268">
        <f t="shared" si="172"/>
        <v>39.15</v>
      </c>
      <c r="K87" s="268">
        <f t="shared" si="172"/>
        <v>40.799999999999997</v>
      </c>
      <c r="L87" s="268">
        <f>SUM(L84:L86)</f>
        <v>41.1</v>
      </c>
      <c r="M87" s="268">
        <f t="shared" ref="M87" si="173">SUM(M84:M86)</f>
        <v>41.4</v>
      </c>
      <c r="P87" s="47" t="s">
        <v>8</v>
      </c>
      <c r="Q87" s="268">
        <f>SUM(Q84:Q86)</f>
        <v>3.5</v>
      </c>
      <c r="R87" s="268">
        <f>SUM(R84:R86)</f>
        <v>4.2</v>
      </c>
      <c r="S87" s="268">
        <f t="shared" ref="S87:Y87" si="174">SUM(S84:S86)</f>
        <v>5.5</v>
      </c>
      <c r="T87" s="268">
        <f t="shared" si="174"/>
        <v>6.6</v>
      </c>
      <c r="U87" s="268">
        <f t="shared" si="174"/>
        <v>7.6</v>
      </c>
      <c r="V87" s="268">
        <f t="shared" si="174"/>
        <v>8.8000000000000007</v>
      </c>
      <c r="W87" s="268">
        <f t="shared" si="174"/>
        <v>9.9</v>
      </c>
      <c r="X87" s="268">
        <f t="shared" si="174"/>
        <v>10.549999999999999</v>
      </c>
      <c r="Y87" s="268">
        <f t="shared" si="174"/>
        <v>11</v>
      </c>
      <c r="Z87" s="268">
        <f>SUM(Z84:Z86)</f>
        <v>11.3</v>
      </c>
      <c r="AA87" s="268">
        <f t="shared" ref="AA87" si="175">SUM(AA84:AA86)</f>
        <v>11.6</v>
      </c>
      <c r="AD87" s="47" t="s">
        <v>8</v>
      </c>
      <c r="AE87" s="268">
        <f>SUM(AE84:AE86)</f>
        <v>14.900000000000002</v>
      </c>
      <c r="AF87" s="268">
        <f>SUM(AF84:AF86)</f>
        <v>16.7</v>
      </c>
      <c r="AG87" s="268">
        <f t="shared" ref="AG87:AM87" si="176">SUM(AG84:AG86)</f>
        <v>19.499999999999996</v>
      </c>
      <c r="AH87" s="268">
        <f t="shared" si="176"/>
        <v>22.2</v>
      </c>
      <c r="AI87" s="268">
        <f t="shared" si="176"/>
        <v>24.3</v>
      </c>
      <c r="AJ87" s="268">
        <f t="shared" si="176"/>
        <v>26.000000000000004</v>
      </c>
      <c r="AK87" s="268">
        <f t="shared" si="176"/>
        <v>27.4</v>
      </c>
      <c r="AL87" s="268">
        <f t="shared" si="176"/>
        <v>28.6</v>
      </c>
      <c r="AM87" s="268">
        <f t="shared" si="176"/>
        <v>29.8</v>
      </c>
      <c r="AN87" s="268">
        <f>SUM(AN84:AN86)</f>
        <v>29.8</v>
      </c>
      <c r="AO87" s="268">
        <f t="shared" ref="AO87" si="177">SUM(AO84:AO86)</f>
        <v>29.8</v>
      </c>
      <c r="AR87" s="47" t="s">
        <v>8</v>
      </c>
      <c r="AS87" s="268">
        <f>SUM(AS84:AS86)</f>
        <v>1.7199999999999998</v>
      </c>
      <c r="AT87" s="268">
        <f>SUM(AT84:AT86)</f>
        <v>2.0299999999999998</v>
      </c>
      <c r="AU87" s="268">
        <f t="shared" ref="AU87:BA87" si="178">SUM(AU84:AU86)</f>
        <v>2.5399999999999996</v>
      </c>
      <c r="AV87" s="268">
        <f t="shared" si="178"/>
        <v>2.75</v>
      </c>
      <c r="AW87" s="268">
        <f t="shared" si="178"/>
        <v>2.88</v>
      </c>
      <c r="AX87" s="268">
        <f t="shared" si="178"/>
        <v>3.32</v>
      </c>
      <c r="AY87" s="268">
        <f t="shared" si="178"/>
        <v>3.42</v>
      </c>
      <c r="AZ87" s="268">
        <f t="shared" si="178"/>
        <v>3.47</v>
      </c>
      <c r="BA87" s="268">
        <f t="shared" si="178"/>
        <v>3.5200000000000005</v>
      </c>
      <c r="BB87" s="268">
        <f>SUM(BB84:BB86)</f>
        <v>3.5750000000000006</v>
      </c>
      <c r="BC87" s="268">
        <f t="shared" ref="BC87" si="179">SUM(BC84:BC86)</f>
        <v>3.6300000000000003</v>
      </c>
      <c r="BF87" s="47" t="s">
        <v>8</v>
      </c>
      <c r="BG87" s="268">
        <f>SUM(BG84:BG86)</f>
        <v>0.6</v>
      </c>
      <c r="BH87" s="268">
        <f>SUM(BH84:BH86)</f>
        <v>0.9</v>
      </c>
      <c r="BI87" s="268">
        <f t="shared" ref="BI87:BO87" si="180">SUM(BI84:BI86)</f>
        <v>1.4</v>
      </c>
      <c r="BJ87" s="268">
        <f t="shared" si="180"/>
        <v>1.9</v>
      </c>
      <c r="BK87" s="268">
        <f t="shared" si="180"/>
        <v>2.2000000000000002</v>
      </c>
      <c r="BL87" s="268">
        <f t="shared" si="180"/>
        <v>2.7</v>
      </c>
      <c r="BM87" s="268">
        <f t="shared" si="180"/>
        <v>3.2</v>
      </c>
      <c r="BN87" s="268">
        <f t="shared" si="180"/>
        <v>3.2</v>
      </c>
      <c r="BO87" s="268">
        <f t="shared" si="180"/>
        <v>3.2</v>
      </c>
      <c r="BP87" s="268">
        <f>SUM(BP84:BP86)</f>
        <v>3.2500000000000004</v>
      </c>
      <c r="BQ87" s="268">
        <f t="shared" ref="BQ87" si="181">SUM(BQ84:BQ86)</f>
        <v>3.3</v>
      </c>
    </row>
    <row r="88" spans="2:69" s="27" customFormat="1" ht="18" x14ac:dyDescent="0.25">
      <c r="B88" s="50" t="s">
        <v>9</v>
      </c>
      <c r="C88" s="184">
        <f>(C87/C83)</f>
        <v>0.57500000000000007</v>
      </c>
      <c r="D88" s="184">
        <f>(D87/D83)</f>
        <v>0.65312499999999996</v>
      </c>
      <c r="E88" s="184">
        <f t="shared" ref="E88:K88" si="182">(E87/E83)</f>
        <v>0.78124999999999989</v>
      </c>
      <c r="F88" s="184">
        <f t="shared" si="182"/>
        <v>0.89999999999999991</v>
      </c>
      <c r="G88" s="184">
        <f t="shared" si="182"/>
        <v>0.99687499999999996</v>
      </c>
      <c r="H88" s="184">
        <f t="shared" si="182"/>
        <v>1.0875000000000001</v>
      </c>
      <c r="I88" s="184">
        <f t="shared" si="182"/>
        <v>1.1656249999999999</v>
      </c>
      <c r="J88" s="184">
        <f t="shared" si="182"/>
        <v>1.2234375</v>
      </c>
      <c r="K88" s="184">
        <f t="shared" si="182"/>
        <v>1.2749999999999999</v>
      </c>
      <c r="L88" s="184">
        <f>(L87/L83)</f>
        <v>1.284375</v>
      </c>
      <c r="M88" s="184">
        <f t="shared" ref="M88" si="183">(M87/M83)</f>
        <v>1.29375</v>
      </c>
      <c r="P88" s="50" t="s">
        <v>9</v>
      </c>
      <c r="Q88" s="184">
        <f>(Q87/Q83)</f>
        <v>0.41176470588235292</v>
      </c>
      <c r="R88" s="184">
        <f>(R87/R83)</f>
        <v>0.49411764705882355</v>
      </c>
      <c r="S88" s="184">
        <f t="shared" ref="S88:Y88" si="184">(S87/S83)</f>
        <v>0.6470588235294118</v>
      </c>
      <c r="T88" s="184">
        <f t="shared" si="184"/>
        <v>0.77647058823529402</v>
      </c>
      <c r="U88" s="184">
        <f t="shared" si="184"/>
        <v>0.89411764705882346</v>
      </c>
      <c r="V88" s="184">
        <f t="shared" si="184"/>
        <v>1.0352941176470589</v>
      </c>
      <c r="W88" s="184">
        <f t="shared" si="184"/>
        <v>1.1647058823529413</v>
      </c>
      <c r="X88" s="184">
        <f t="shared" si="184"/>
        <v>1.2411764705882351</v>
      </c>
      <c r="Y88" s="184">
        <f t="shared" si="184"/>
        <v>1.2941176470588236</v>
      </c>
      <c r="Z88" s="184">
        <f>(Z87/Z83)</f>
        <v>1.3294117647058825</v>
      </c>
      <c r="AA88" s="184">
        <f t="shared" ref="AA88" si="185">(AA87/AA83)</f>
        <v>1.3647058823529412</v>
      </c>
      <c r="AD88" s="50" t="s">
        <v>9</v>
      </c>
      <c r="AE88" s="184">
        <f>(AE87/AE83)</f>
        <v>0.6340425531914895</v>
      </c>
      <c r="AF88" s="184">
        <f>(AF87/AF83)</f>
        <v>0.71063829787234034</v>
      </c>
      <c r="AG88" s="184">
        <f t="shared" ref="AG88:AM88" si="186">(AG87/AG83)</f>
        <v>0.82978723404255306</v>
      </c>
      <c r="AH88" s="184">
        <f t="shared" si="186"/>
        <v>0.94468085106382971</v>
      </c>
      <c r="AI88" s="184">
        <f t="shared" si="186"/>
        <v>1.0340425531914894</v>
      </c>
      <c r="AJ88" s="184">
        <f t="shared" si="186"/>
        <v>1.1063829787234043</v>
      </c>
      <c r="AK88" s="184">
        <f t="shared" si="186"/>
        <v>1.1659574468085105</v>
      </c>
      <c r="AL88" s="184">
        <f t="shared" si="186"/>
        <v>1.2170212765957447</v>
      </c>
      <c r="AM88" s="184">
        <f t="shared" si="186"/>
        <v>1.2680851063829788</v>
      </c>
      <c r="AN88" s="184">
        <f>(AN87/AN83)</f>
        <v>1.2680851063829788</v>
      </c>
      <c r="AO88" s="184">
        <f t="shared" ref="AO88" si="187">(AO87/AO83)</f>
        <v>1.2680851063829788</v>
      </c>
      <c r="AR88" s="50" t="s">
        <v>9</v>
      </c>
      <c r="AS88" s="184">
        <f>(AS87/AS83)</f>
        <v>0.49142857142857138</v>
      </c>
      <c r="AT88" s="184">
        <f>(AT87/AT83)</f>
        <v>0.57999999999999996</v>
      </c>
      <c r="AU88" s="184">
        <f t="shared" ref="AU88:BA88" si="188">(AU87/AU83)</f>
        <v>0.72571428571428565</v>
      </c>
      <c r="AV88" s="184">
        <f t="shared" si="188"/>
        <v>0.7857142857142857</v>
      </c>
      <c r="AW88" s="184">
        <f t="shared" si="188"/>
        <v>0.82285714285714284</v>
      </c>
      <c r="AX88" s="184">
        <f t="shared" si="188"/>
        <v>0.94857142857142851</v>
      </c>
      <c r="AY88" s="184">
        <f t="shared" si="188"/>
        <v>0.97714285714285709</v>
      </c>
      <c r="AZ88" s="184">
        <f t="shared" si="188"/>
        <v>0.99142857142857144</v>
      </c>
      <c r="BA88" s="184">
        <f t="shared" si="188"/>
        <v>1.0057142857142858</v>
      </c>
      <c r="BB88" s="184">
        <f>(BB87/BB83)</f>
        <v>1.0214285714285716</v>
      </c>
      <c r="BC88" s="184">
        <f t="shared" ref="BC88" si="189">(BC87/BC83)</f>
        <v>1.0371428571428571</v>
      </c>
      <c r="BF88" s="50" t="s">
        <v>9</v>
      </c>
      <c r="BG88" s="184">
        <f>(BG87/BG83)</f>
        <v>0.17142857142857143</v>
      </c>
      <c r="BH88" s="184">
        <f>(BH87/BH83)</f>
        <v>0.25714285714285717</v>
      </c>
      <c r="BI88" s="184">
        <f t="shared" ref="BI88:BO88" si="190">(BI87/BI83)</f>
        <v>0.39999999999999997</v>
      </c>
      <c r="BJ88" s="184">
        <f t="shared" si="190"/>
        <v>0.54285714285714282</v>
      </c>
      <c r="BK88" s="184">
        <f t="shared" si="190"/>
        <v>0.62857142857142867</v>
      </c>
      <c r="BL88" s="184">
        <f t="shared" si="190"/>
        <v>0.77142857142857146</v>
      </c>
      <c r="BM88" s="184">
        <f t="shared" si="190"/>
        <v>0.91428571428571437</v>
      </c>
      <c r="BN88" s="184">
        <f t="shared" si="190"/>
        <v>0.91428571428571437</v>
      </c>
      <c r="BO88" s="184">
        <f t="shared" si="190"/>
        <v>0.91428571428571437</v>
      </c>
      <c r="BP88" s="184">
        <f>(BP87/BP83)</f>
        <v>0.92857142857142871</v>
      </c>
      <c r="BQ88" s="184">
        <f t="shared" ref="BQ88" si="191">(BQ87/BQ83)</f>
        <v>0.94285714285714284</v>
      </c>
    </row>
    <row r="89" spans="2:69" s="27" customFormat="1" ht="7.5" customHeight="1" x14ac:dyDescent="0.25">
      <c r="B89" s="50"/>
      <c r="C89" s="51"/>
      <c r="D89" s="51"/>
      <c r="E89" s="51"/>
      <c r="F89" s="51"/>
      <c r="G89" s="51"/>
      <c r="H89" s="51"/>
      <c r="I89" s="51"/>
      <c r="J89" s="51"/>
      <c r="K89" s="51"/>
      <c r="L89" s="51"/>
      <c r="M89" s="41"/>
      <c r="P89" s="50"/>
      <c r="Q89" s="51"/>
      <c r="R89" s="51"/>
      <c r="S89" s="51"/>
      <c r="T89" s="51"/>
      <c r="U89" s="51"/>
      <c r="V89" s="51"/>
      <c r="W89" s="51"/>
      <c r="X89" s="51"/>
      <c r="Y89" s="51"/>
      <c r="Z89" s="51"/>
      <c r="AA89" s="41"/>
      <c r="AD89" s="50"/>
      <c r="AE89" s="51"/>
      <c r="AF89" s="51"/>
      <c r="AG89" s="51"/>
      <c r="AH89" s="51"/>
      <c r="AI89" s="51"/>
      <c r="AJ89" s="51"/>
      <c r="AK89" s="51"/>
      <c r="AL89" s="51"/>
      <c r="AM89" s="51"/>
      <c r="AN89" s="51"/>
      <c r="AO89" s="41"/>
      <c r="AR89" s="50"/>
      <c r="AS89" s="51"/>
      <c r="AT89" s="51"/>
      <c r="AU89" s="51"/>
      <c r="AV89" s="51"/>
      <c r="AW89" s="51"/>
      <c r="AX89" s="51"/>
      <c r="AY89" s="51"/>
      <c r="AZ89" s="51"/>
      <c r="BA89" s="51"/>
      <c r="BB89" s="51"/>
      <c r="BC89" s="41"/>
      <c r="BF89" s="50"/>
      <c r="BG89" s="51"/>
      <c r="BH89" s="51"/>
      <c r="BI89" s="51"/>
      <c r="BJ89" s="51"/>
      <c r="BK89" s="51"/>
      <c r="BL89" s="51"/>
      <c r="BM89" s="51"/>
      <c r="BN89" s="51"/>
      <c r="BO89" s="51"/>
      <c r="BP89" s="51"/>
      <c r="BQ89" s="41"/>
    </row>
    <row r="90" spans="2:69" s="27" customFormat="1" ht="15.95" customHeight="1" x14ac:dyDescent="0.25">
      <c r="B90" s="48" t="s">
        <v>10</v>
      </c>
      <c r="C90" s="52"/>
      <c r="D90" s="53"/>
      <c r="E90" s="53"/>
      <c r="F90" s="53"/>
      <c r="G90" s="53"/>
      <c r="H90" s="53"/>
      <c r="I90" s="53"/>
      <c r="J90" s="53"/>
      <c r="K90" s="53"/>
      <c r="L90" s="53"/>
      <c r="M90" s="64"/>
      <c r="P90" s="48" t="s">
        <v>10</v>
      </c>
      <c r="Q90" s="52"/>
      <c r="R90" s="53"/>
      <c r="S90" s="53"/>
      <c r="T90" s="53"/>
      <c r="U90" s="53"/>
      <c r="V90" s="53"/>
      <c r="W90" s="53"/>
      <c r="X90" s="53"/>
      <c r="Y90" s="53"/>
      <c r="Z90" s="53"/>
      <c r="AA90" s="64"/>
      <c r="AD90" s="48" t="s">
        <v>10</v>
      </c>
      <c r="AE90" s="52"/>
      <c r="AF90" s="53"/>
      <c r="AG90" s="53"/>
      <c r="AH90" s="53"/>
      <c r="AI90" s="53"/>
      <c r="AJ90" s="53"/>
      <c r="AK90" s="53"/>
      <c r="AL90" s="53"/>
      <c r="AM90" s="53"/>
      <c r="AN90" s="53"/>
      <c r="AO90" s="64"/>
      <c r="AR90" s="48" t="s">
        <v>10</v>
      </c>
      <c r="AS90" s="52"/>
      <c r="AT90" s="53"/>
      <c r="AU90" s="53"/>
      <c r="AV90" s="53"/>
      <c r="AW90" s="53"/>
      <c r="AX90" s="53"/>
      <c r="AY90" s="53"/>
      <c r="AZ90" s="53"/>
      <c r="BA90" s="53"/>
      <c r="BB90" s="53"/>
      <c r="BC90" s="64"/>
      <c r="BF90" s="48" t="s">
        <v>10</v>
      </c>
      <c r="BG90" s="52"/>
      <c r="BH90" s="53"/>
      <c r="BI90" s="53"/>
      <c r="BJ90" s="53"/>
      <c r="BK90" s="53"/>
      <c r="BL90" s="53"/>
      <c r="BM90" s="53"/>
      <c r="BN90" s="53"/>
      <c r="BO90" s="53"/>
      <c r="BP90" s="53"/>
      <c r="BQ90" s="64"/>
    </row>
    <row r="91" spans="2:69" s="27" customFormat="1" ht="15.95" customHeight="1" x14ac:dyDescent="0.25">
      <c r="B91" s="54" t="s">
        <v>11</v>
      </c>
      <c r="C91" s="265">
        <f>C85</f>
        <v>0</v>
      </c>
      <c r="D91" s="265">
        <f t="shared" ref="D91:M91" si="192">D85</f>
        <v>0</v>
      </c>
      <c r="E91" s="265">
        <f t="shared" si="192"/>
        <v>0</v>
      </c>
      <c r="F91" s="265">
        <f t="shared" si="192"/>
        <v>0</v>
      </c>
      <c r="G91" s="265">
        <f t="shared" si="192"/>
        <v>0</v>
      </c>
      <c r="H91" s="265">
        <f t="shared" si="192"/>
        <v>0</v>
      </c>
      <c r="I91" s="265">
        <f t="shared" si="192"/>
        <v>0</v>
      </c>
      <c r="J91" s="265">
        <f t="shared" si="192"/>
        <v>0</v>
      </c>
      <c r="K91" s="265">
        <f t="shared" si="192"/>
        <v>0</v>
      </c>
      <c r="L91" s="265">
        <f t="shared" si="192"/>
        <v>0</v>
      </c>
      <c r="M91" s="265">
        <f t="shared" si="192"/>
        <v>0</v>
      </c>
      <c r="P91" s="54" t="s">
        <v>11</v>
      </c>
      <c r="Q91" s="265">
        <f>Q85</f>
        <v>0</v>
      </c>
      <c r="R91" s="265">
        <f t="shared" ref="R91:AA91" si="193">R85</f>
        <v>0</v>
      </c>
      <c r="S91" s="265">
        <f t="shared" si="193"/>
        <v>0</v>
      </c>
      <c r="T91" s="265">
        <f t="shared" si="193"/>
        <v>0</v>
      </c>
      <c r="U91" s="265">
        <f t="shared" si="193"/>
        <v>0</v>
      </c>
      <c r="V91" s="265">
        <f t="shared" si="193"/>
        <v>0</v>
      </c>
      <c r="W91" s="265">
        <f t="shared" si="193"/>
        <v>0</v>
      </c>
      <c r="X91" s="265">
        <f t="shared" si="193"/>
        <v>0</v>
      </c>
      <c r="Y91" s="265">
        <f t="shared" si="193"/>
        <v>0</v>
      </c>
      <c r="Z91" s="265">
        <f t="shared" si="193"/>
        <v>0</v>
      </c>
      <c r="AA91" s="265">
        <f t="shared" si="193"/>
        <v>0</v>
      </c>
      <c r="AD91" s="54" t="s">
        <v>11</v>
      </c>
      <c r="AE91" s="265">
        <f>AE85</f>
        <v>0</v>
      </c>
      <c r="AF91" s="265">
        <f t="shared" ref="AF91:AO91" si="194">AF85</f>
        <v>0</v>
      </c>
      <c r="AG91" s="265">
        <f t="shared" si="194"/>
        <v>0</v>
      </c>
      <c r="AH91" s="265">
        <f t="shared" si="194"/>
        <v>0</v>
      </c>
      <c r="AI91" s="265">
        <f t="shared" si="194"/>
        <v>0</v>
      </c>
      <c r="AJ91" s="265">
        <f t="shared" si="194"/>
        <v>0</v>
      </c>
      <c r="AK91" s="265">
        <f t="shared" si="194"/>
        <v>0</v>
      </c>
      <c r="AL91" s="265">
        <f t="shared" si="194"/>
        <v>0</v>
      </c>
      <c r="AM91" s="265">
        <f t="shared" si="194"/>
        <v>0</v>
      </c>
      <c r="AN91" s="265">
        <f t="shared" si="194"/>
        <v>0</v>
      </c>
      <c r="AO91" s="265">
        <f t="shared" si="194"/>
        <v>0</v>
      </c>
      <c r="AR91" s="54" t="s">
        <v>11</v>
      </c>
      <c r="AS91" s="265">
        <f>AS85</f>
        <v>0</v>
      </c>
      <c r="AT91" s="265">
        <f t="shared" ref="AT91:BC91" si="195">AT85</f>
        <v>0</v>
      </c>
      <c r="AU91" s="265">
        <f t="shared" si="195"/>
        <v>0</v>
      </c>
      <c r="AV91" s="265">
        <f t="shared" si="195"/>
        <v>0</v>
      </c>
      <c r="AW91" s="265">
        <f t="shared" si="195"/>
        <v>0</v>
      </c>
      <c r="AX91" s="265">
        <f t="shared" si="195"/>
        <v>0</v>
      </c>
      <c r="AY91" s="265">
        <f t="shared" si="195"/>
        <v>0</v>
      </c>
      <c r="AZ91" s="265">
        <f t="shared" si="195"/>
        <v>0</v>
      </c>
      <c r="BA91" s="265">
        <f t="shared" si="195"/>
        <v>0</v>
      </c>
      <c r="BB91" s="265">
        <f t="shared" si="195"/>
        <v>0</v>
      </c>
      <c r="BC91" s="265">
        <f t="shared" si="195"/>
        <v>0</v>
      </c>
      <c r="BF91" s="54" t="s">
        <v>11</v>
      </c>
      <c r="BG91" s="265">
        <f>BG85</f>
        <v>0</v>
      </c>
      <c r="BH91" s="265">
        <f t="shared" ref="BH91:BQ91" si="196">BH85</f>
        <v>0</v>
      </c>
      <c r="BI91" s="265">
        <f t="shared" si="196"/>
        <v>0</v>
      </c>
      <c r="BJ91" s="265">
        <f t="shared" si="196"/>
        <v>0</v>
      </c>
      <c r="BK91" s="265">
        <f t="shared" si="196"/>
        <v>0</v>
      </c>
      <c r="BL91" s="265">
        <f t="shared" si="196"/>
        <v>0</v>
      </c>
      <c r="BM91" s="265">
        <f t="shared" si="196"/>
        <v>0</v>
      </c>
      <c r="BN91" s="265">
        <f t="shared" si="196"/>
        <v>0</v>
      </c>
      <c r="BO91" s="265">
        <f t="shared" si="196"/>
        <v>0</v>
      </c>
      <c r="BP91" s="265">
        <f t="shared" si="196"/>
        <v>0</v>
      </c>
      <c r="BQ91" s="265">
        <f t="shared" si="196"/>
        <v>0</v>
      </c>
    </row>
    <row r="92" spans="2:69" s="27" customFormat="1" ht="15.95" customHeight="1" x14ac:dyDescent="0.25">
      <c r="B92" s="55" t="s">
        <v>12</v>
      </c>
      <c r="C92" s="265">
        <f>C85</f>
        <v>0</v>
      </c>
      <c r="D92" s="265">
        <f t="shared" ref="D92:M92" si="197">D85</f>
        <v>0</v>
      </c>
      <c r="E92" s="265">
        <f t="shared" si="197"/>
        <v>0</v>
      </c>
      <c r="F92" s="265">
        <f t="shared" si="197"/>
        <v>0</v>
      </c>
      <c r="G92" s="265">
        <f t="shared" si="197"/>
        <v>0</v>
      </c>
      <c r="H92" s="265">
        <f t="shared" si="197"/>
        <v>0</v>
      </c>
      <c r="I92" s="265">
        <f t="shared" si="197"/>
        <v>0</v>
      </c>
      <c r="J92" s="265">
        <f t="shared" si="197"/>
        <v>0</v>
      </c>
      <c r="K92" s="265">
        <f t="shared" si="197"/>
        <v>0</v>
      </c>
      <c r="L92" s="265">
        <f t="shared" si="197"/>
        <v>0</v>
      </c>
      <c r="M92" s="265">
        <f t="shared" si="197"/>
        <v>0</v>
      </c>
      <c r="P92" s="55" t="s">
        <v>12</v>
      </c>
      <c r="Q92" s="265">
        <f>Q85</f>
        <v>0</v>
      </c>
      <c r="R92" s="265">
        <f t="shared" ref="R92:AA92" si="198">R85</f>
        <v>0</v>
      </c>
      <c r="S92" s="265">
        <f t="shared" si="198"/>
        <v>0</v>
      </c>
      <c r="T92" s="265">
        <f t="shared" si="198"/>
        <v>0</v>
      </c>
      <c r="U92" s="265">
        <f t="shared" si="198"/>
        <v>0</v>
      </c>
      <c r="V92" s="265">
        <f t="shared" si="198"/>
        <v>0</v>
      </c>
      <c r="W92" s="265">
        <f t="shared" si="198"/>
        <v>0</v>
      </c>
      <c r="X92" s="265">
        <f t="shared" si="198"/>
        <v>0</v>
      </c>
      <c r="Y92" s="265">
        <f t="shared" si="198"/>
        <v>0</v>
      </c>
      <c r="Z92" s="265">
        <f t="shared" si="198"/>
        <v>0</v>
      </c>
      <c r="AA92" s="265">
        <f t="shared" si="198"/>
        <v>0</v>
      </c>
      <c r="AD92" s="55" t="s">
        <v>12</v>
      </c>
      <c r="AE92" s="265">
        <f>AE85</f>
        <v>0</v>
      </c>
      <c r="AF92" s="265">
        <f t="shared" ref="AF92:AO92" si="199">AF85</f>
        <v>0</v>
      </c>
      <c r="AG92" s="265">
        <f t="shared" si="199"/>
        <v>0</v>
      </c>
      <c r="AH92" s="265">
        <f t="shared" si="199"/>
        <v>0</v>
      </c>
      <c r="AI92" s="265">
        <f t="shared" si="199"/>
        <v>0</v>
      </c>
      <c r="AJ92" s="265">
        <f t="shared" si="199"/>
        <v>0</v>
      </c>
      <c r="AK92" s="265">
        <f t="shared" si="199"/>
        <v>0</v>
      </c>
      <c r="AL92" s="265">
        <f t="shared" si="199"/>
        <v>0</v>
      </c>
      <c r="AM92" s="265">
        <f t="shared" si="199"/>
        <v>0</v>
      </c>
      <c r="AN92" s="265">
        <f t="shared" si="199"/>
        <v>0</v>
      </c>
      <c r="AO92" s="265">
        <f t="shared" si="199"/>
        <v>0</v>
      </c>
      <c r="AR92" s="55" t="s">
        <v>12</v>
      </c>
      <c r="AS92" s="265">
        <f>AS85</f>
        <v>0</v>
      </c>
      <c r="AT92" s="265">
        <f t="shared" ref="AT92:BC92" si="200">AT85</f>
        <v>0</v>
      </c>
      <c r="AU92" s="265">
        <f t="shared" si="200"/>
        <v>0</v>
      </c>
      <c r="AV92" s="265">
        <f t="shared" si="200"/>
        <v>0</v>
      </c>
      <c r="AW92" s="265">
        <f t="shared" si="200"/>
        <v>0</v>
      </c>
      <c r="AX92" s="265">
        <f t="shared" si="200"/>
        <v>0</v>
      </c>
      <c r="AY92" s="265">
        <f t="shared" si="200"/>
        <v>0</v>
      </c>
      <c r="AZ92" s="265">
        <f t="shared" si="200"/>
        <v>0</v>
      </c>
      <c r="BA92" s="265">
        <f t="shared" si="200"/>
        <v>0</v>
      </c>
      <c r="BB92" s="265">
        <f t="shared" si="200"/>
        <v>0</v>
      </c>
      <c r="BC92" s="265">
        <f t="shared" si="200"/>
        <v>0</v>
      </c>
      <c r="BF92" s="55" t="s">
        <v>12</v>
      </c>
      <c r="BG92" s="265">
        <f>BG85</f>
        <v>0</v>
      </c>
      <c r="BH92" s="265">
        <f t="shared" ref="BH92:BQ92" si="201">BH85</f>
        <v>0</v>
      </c>
      <c r="BI92" s="265">
        <f t="shared" si="201"/>
        <v>0</v>
      </c>
      <c r="BJ92" s="265">
        <f t="shared" si="201"/>
        <v>0</v>
      </c>
      <c r="BK92" s="265">
        <f t="shared" si="201"/>
        <v>0</v>
      </c>
      <c r="BL92" s="265">
        <f t="shared" si="201"/>
        <v>0</v>
      </c>
      <c r="BM92" s="265">
        <f t="shared" si="201"/>
        <v>0</v>
      </c>
      <c r="BN92" s="265">
        <f t="shared" si="201"/>
        <v>0</v>
      </c>
      <c r="BO92" s="265">
        <f t="shared" si="201"/>
        <v>0</v>
      </c>
      <c r="BP92" s="265">
        <f t="shared" si="201"/>
        <v>0</v>
      </c>
      <c r="BQ92" s="265">
        <f t="shared" si="201"/>
        <v>0</v>
      </c>
    </row>
    <row r="93" spans="2:69" s="27" customFormat="1" ht="15.95" customHeight="1" x14ac:dyDescent="0.25">
      <c r="B93" s="55" t="s">
        <v>13</v>
      </c>
      <c r="C93" s="265">
        <f>(C84+C91+C92)</f>
        <v>18.400000000000002</v>
      </c>
      <c r="D93" s="265">
        <f>(D84+D91+D92)</f>
        <v>20.9</v>
      </c>
      <c r="E93" s="265">
        <f t="shared" ref="E93:K93" si="202">(E84+E91+E92)</f>
        <v>24.999999999999996</v>
      </c>
      <c r="F93" s="265">
        <f t="shared" si="202"/>
        <v>28.799999999999997</v>
      </c>
      <c r="G93" s="265">
        <f t="shared" si="202"/>
        <v>31.9</v>
      </c>
      <c r="H93" s="265">
        <f t="shared" si="202"/>
        <v>34.800000000000004</v>
      </c>
      <c r="I93" s="265">
        <f t="shared" si="202"/>
        <v>37.299999999999997</v>
      </c>
      <c r="J93" s="265">
        <f t="shared" si="202"/>
        <v>39.15</v>
      </c>
      <c r="K93" s="265">
        <f t="shared" si="202"/>
        <v>40.799999999999997</v>
      </c>
      <c r="L93" s="265">
        <f>(L84+L91+L92)</f>
        <v>41.1</v>
      </c>
      <c r="M93" s="265">
        <f t="shared" ref="M93" si="203">(M84+M91+M92)</f>
        <v>41.4</v>
      </c>
      <c r="P93" s="55" t="s">
        <v>13</v>
      </c>
      <c r="Q93" s="265">
        <f>(Q84+Q91+Q92)</f>
        <v>3.5</v>
      </c>
      <c r="R93" s="265">
        <f>(R84+R91+R92)</f>
        <v>4.2</v>
      </c>
      <c r="S93" s="265">
        <f t="shared" ref="S93:Y93" si="204">(S84+S91+S92)</f>
        <v>5.5</v>
      </c>
      <c r="T93" s="265">
        <f t="shared" si="204"/>
        <v>6.6</v>
      </c>
      <c r="U93" s="265">
        <f t="shared" si="204"/>
        <v>7.6</v>
      </c>
      <c r="V93" s="265">
        <f t="shared" si="204"/>
        <v>8.8000000000000007</v>
      </c>
      <c r="W93" s="265">
        <f t="shared" si="204"/>
        <v>9.9</v>
      </c>
      <c r="X93" s="265">
        <f t="shared" si="204"/>
        <v>10.549999999999999</v>
      </c>
      <c r="Y93" s="265">
        <f t="shared" si="204"/>
        <v>11</v>
      </c>
      <c r="Z93" s="265">
        <f>(Z84+Z91+Z92)</f>
        <v>11.3</v>
      </c>
      <c r="AA93" s="265">
        <f t="shared" ref="AA93" si="205">(AA84+AA91+AA92)</f>
        <v>11.6</v>
      </c>
      <c r="AD93" s="55" t="s">
        <v>13</v>
      </c>
      <c r="AE93" s="265">
        <f>(AE84+AE91+AE92)</f>
        <v>14.900000000000002</v>
      </c>
      <c r="AF93" s="265">
        <f>(AF84+AF91+AF92)</f>
        <v>16.7</v>
      </c>
      <c r="AG93" s="265">
        <f t="shared" ref="AG93:AM93" si="206">(AG84+AG91+AG92)</f>
        <v>19.499999999999996</v>
      </c>
      <c r="AH93" s="265">
        <f t="shared" si="206"/>
        <v>22.2</v>
      </c>
      <c r="AI93" s="265">
        <f t="shared" si="206"/>
        <v>24.3</v>
      </c>
      <c r="AJ93" s="265">
        <f t="shared" si="206"/>
        <v>26.000000000000004</v>
      </c>
      <c r="AK93" s="265">
        <f t="shared" si="206"/>
        <v>27.4</v>
      </c>
      <c r="AL93" s="265">
        <f t="shared" si="206"/>
        <v>28.6</v>
      </c>
      <c r="AM93" s="265">
        <f t="shared" si="206"/>
        <v>29.8</v>
      </c>
      <c r="AN93" s="265">
        <f>(AN84+AN91+AN92)</f>
        <v>29.8</v>
      </c>
      <c r="AO93" s="265">
        <f t="shared" ref="AO93" si="207">(AO84+AO91+AO92)</f>
        <v>29.8</v>
      </c>
      <c r="AR93" s="55" t="s">
        <v>13</v>
      </c>
      <c r="AS93" s="265">
        <f>(AS84+AS91+AS92)</f>
        <v>1.7199999999999998</v>
      </c>
      <c r="AT93" s="265">
        <f>(AT84+AT91+AT92)</f>
        <v>2.0299999999999998</v>
      </c>
      <c r="AU93" s="265">
        <f t="shared" ref="AU93:BA93" si="208">(AU84+AU91+AU92)</f>
        <v>2.5399999999999996</v>
      </c>
      <c r="AV93" s="265">
        <f t="shared" si="208"/>
        <v>2.75</v>
      </c>
      <c r="AW93" s="265">
        <f t="shared" si="208"/>
        <v>2.88</v>
      </c>
      <c r="AX93" s="265">
        <f t="shared" si="208"/>
        <v>3.32</v>
      </c>
      <c r="AY93" s="265">
        <f t="shared" si="208"/>
        <v>3.42</v>
      </c>
      <c r="AZ93" s="265">
        <f t="shared" si="208"/>
        <v>3.47</v>
      </c>
      <c r="BA93" s="265">
        <f t="shared" si="208"/>
        <v>3.5200000000000005</v>
      </c>
      <c r="BB93" s="265">
        <f>(BB84+BB91+BB92)</f>
        <v>3.5750000000000006</v>
      </c>
      <c r="BC93" s="265">
        <f t="shared" ref="BC93" si="209">(BC84+BC91+BC92)</f>
        <v>3.6300000000000003</v>
      </c>
      <c r="BF93" s="55" t="s">
        <v>13</v>
      </c>
      <c r="BG93" s="265">
        <f>(BG84+BG91+BG92)</f>
        <v>0.6</v>
      </c>
      <c r="BH93" s="265">
        <f>(BH84+BH91+BH92)</f>
        <v>0.9</v>
      </c>
      <c r="BI93" s="265">
        <f t="shared" ref="BI93:BO93" si="210">(BI84+BI91+BI92)</f>
        <v>1.4</v>
      </c>
      <c r="BJ93" s="265">
        <f t="shared" si="210"/>
        <v>1.9</v>
      </c>
      <c r="BK93" s="265">
        <f t="shared" si="210"/>
        <v>2.2000000000000002</v>
      </c>
      <c r="BL93" s="265">
        <f t="shared" si="210"/>
        <v>2.7</v>
      </c>
      <c r="BM93" s="265">
        <f t="shared" si="210"/>
        <v>3.2</v>
      </c>
      <c r="BN93" s="265">
        <f t="shared" si="210"/>
        <v>3.2</v>
      </c>
      <c r="BO93" s="265">
        <f t="shared" si="210"/>
        <v>3.2</v>
      </c>
      <c r="BP93" s="265">
        <f>(BP84+BP91+BP92)</f>
        <v>3.2500000000000004</v>
      </c>
      <c r="BQ93" s="265">
        <f t="shared" ref="BQ93" si="211">(BQ84+BQ91+BQ92)</f>
        <v>3.3</v>
      </c>
    </row>
    <row r="94" spans="2:69" s="27" customFormat="1" ht="15.95" customHeight="1" x14ac:dyDescent="0.25">
      <c r="B94" s="96" t="s">
        <v>78</v>
      </c>
      <c r="C94" s="67">
        <f>(C93-C83)</f>
        <v>-13.599999999999998</v>
      </c>
      <c r="D94" s="67">
        <f t="shared" ref="D94:M94" si="212">(D93-D83)</f>
        <v>-11.100000000000001</v>
      </c>
      <c r="E94" s="67">
        <f t="shared" si="212"/>
        <v>-7.0000000000000036</v>
      </c>
      <c r="F94" s="67">
        <f t="shared" si="212"/>
        <v>-3.2000000000000028</v>
      </c>
      <c r="G94" s="67">
        <f t="shared" si="212"/>
        <v>-0.10000000000000142</v>
      </c>
      <c r="H94" s="67">
        <f t="shared" si="212"/>
        <v>2.8000000000000043</v>
      </c>
      <c r="I94" s="67">
        <f t="shared" si="212"/>
        <v>5.2999999999999972</v>
      </c>
      <c r="J94" s="67">
        <f t="shared" si="212"/>
        <v>7.1499999999999986</v>
      </c>
      <c r="K94" s="67">
        <f t="shared" si="212"/>
        <v>8.7999999999999972</v>
      </c>
      <c r="L94" s="67">
        <f t="shared" si="212"/>
        <v>9.1000000000000014</v>
      </c>
      <c r="M94" s="67">
        <f t="shared" si="212"/>
        <v>9.3999999999999986</v>
      </c>
      <c r="P94" s="96" t="s">
        <v>78</v>
      </c>
      <c r="Q94" s="67">
        <f>(Q93-Q83)</f>
        <v>-5</v>
      </c>
      <c r="R94" s="67">
        <f t="shared" ref="R94:AA94" si="213">(R93-R83)</f>
        <v>-4.3</v>
      </c>
      <c r="S94" s="67">
        <f t="shared" si="213"/>
        <v>-3</v>
      </c>
      <c r="T94" s="67">
        <f t="shared" si="213"/>
        <v>-1.9000000000000004</v>
      </c>
      <c r="U94" s="67">
        <f t="shared" si="213"/>
        <v>-0.90000000000000036</v>
      </c>
      <c r="V94" s="67">
        <f t="shared" si="213"/>
        <v>0.30000000000000071</v>
      </c>
      <c r="W94" s="67">
        <f t="shared" si="213"/>
        <v>1.4000000000000004</v>
      </c>
      <c r="X94" s="67">
        <f t="shared" si="213"/>
        <v>2.0499999999999989</v>
      </c>
      <c r="Y94" s="67">
        <f t="shared" si="213"/>
        <v>2.5</v>
      </c>
      <c r="Z94" s="67">
        <f t="shared" si="213"/>
        <v>2.8000000000000007</v>
      </c>
      <c r="AA94" s="67">
        <f t="shared" si="213"/>
        <v>3.0999999999999996</v>
      </c>
      <c r="AD94" s="96" t="s">
        <v>78</v>
      </c>
      <c r="AE94" s="67">
        <f>(AE93-AE83)</f>
        <v>-8.5999999999999979</v>
      </c>
      <c r="AF94" s="67">
        <f t="shared" ref="AF94:AO94" si="214">(AF93-AF83)</f>
        <v>-6.8000000000000007</v>
      </c>
      <c r="AG94" s="67">
        <f t="shared" si="214"/>
        <v>-4.0000000000000036</v>
      </c>
      <c r="AH94" s="67">
        <f t="shared" si="214"/>
        <v>-1.3000000000000007</v>
      </c>
      <c r="AI94" s="67">
        <f t="shared" si="214"/>
        <v>0.80000000000000071</v>
      </c>
      <c r="AJ94" s="67">
        <f t="shared" si="214"/>
        <v>2.5000000000000036</v>
      </c>
      <c r="AK94" s="67">
        <f t="shared" si="214"/>
        <v>3.8999999999999986</v>
      </c>
      <c r="AL94" s="67">
        <f t="shared" si="214"/>
        <v>5.1000000000000014</v>
      </c>
      <c r="AM94" s="67">
        <f t="shared" si="214"/>
        <v>6.3000000000000007</v>
      </c>
      <c r="AN94" s="67">
        <f t="shared" si="214"/>
        <v>6.3000000000000007</v>
      </c>
      <c r="AO94" s="67">
        <f t="shared" si="214"/>
        <v>6.3000000000000007</v>
      </c>
      <c r="AR94" s="96" t="s">
        <v>78</v>
      </c>
      <c r="AS94" s="67">
        <f>(AS93-AS83)</f>
        <v>-1.7800000000000002</v>
      </c>
      <c r="AT94" s="67">
        <f t="shared" ref="AT94:BC94" si="215">(AT93-AT83)</f>
        <v>-1.4700000000000002</v>
      </c>
      <c r="AU94" s="67">
        <f t="shared" si="215"/>
        <v>-0.96000000000000041</v>
      </c>
      <c r="AV94" s="67">
        <f t="shared" si="215"/>
        <v>-0.75</v>
      </c>
      <c r="AW94" s="67">
        <f t="shared" si="215"/>
        <v>-0.62000000000000011</v>
      </c>
      <c r="AX94" s="67">
        <f t="shared" si="215"/>
        <v>-0.18000000000000016</v>
      </c>
      <c r="AY94" s="67">
        <f t="shared" si="215"/>
        <v>-8.0000000000000071E-2</v>
      </c>
      <c r="AZ94" s="67">
        <f t="shared" si="215"/>
        <v>-2.9999999999999805E-2</v>
      </c>
      <c r="BA94" s="67">
        <f t="shared" si="215"/>
        <v>2.0000000000000462E-2</v>
      </c>
      <c r="BB94" s="67">
        <f t="shared" si="215"/>
        <v>7.5000000000000622E-2</v>
      </c>
      <c r="BC94" s="67">
        <f t="shared" si="215"/>
        <v>0.13000000000000034</v>
      </c>
      <c r="BF94" s="96" t="s">
        <v>78</v>
      </c>
      <c r="BG94" s="67">
        <f>(BG93-BG83)</f>
        <v>-2.9</v>
      </c>
      <c r="BH94" s="67">
        <f t="shared" ref="BH94:BQ94" si="216">(BH93-BH83)</f>
        <v>-2.6</v>
      </c>
      <c r="BI94" s="67">
        <f t="shared" si="216"/>
        <v>-2.1</v>
      </c>
      <c r="BJ94" s="67">
        <f t="shared" si="216"/>
        <v>-1.6</v>
      </c>
      <c r="BK94" s="67">
        <f t="shared" si="216"/>
        <v>-1.2999999999999998</v>
      </c>
      <c r="BL94" s="67">
        <f t="shared" si="216"/>
        <v>-0.79999999999999982</v>
      </c>
      <c r="BM94" s="67">
        <f t="shared" si="216"/>
        <v>-0.29999999999999982</v>
      </c>
      <c r="BN94" s="67">
        <f t="shared" si="216"/>
        <v>-0.29999999999999982</v>
      </c>
      <c r="BO94" s="67">
        <f t="shared" si="216"/>
        <v>-0.29999999999999982</v>
      </c>
      <c r="BP94" s="67">
        <f t="shared" si="216"/>
        <v>-0.24999999999999956</v>
      </c>
      <c r="BQ94" s="67">
        <f t="shared" si="216"/>
        <v>-0.20000000000000018</v>
      </c>
    </row>
    <row r="95" spans="2:69" ht="15.95" customHeight="1" x14ac:dyDescent="0.2">
      <c r="C95" s="26"/>
      <c r="D95" s="26"/>
      <c r="E95" s="26"/>
      <c r="F95" s="26"/>
      <c r="G95" s="26"/>
      <c r="H95" s="26"/>
      <c r="I95" s="26"/>
      <c r="J95" s="26"/>
      <c r="K95" s="26"/>
      <c r="L95" s="26"/>
      <c r="M95" s="26"/>
      <c r="N95" s="26"/>
    </row>
  </sheetData>
  <phoneticPr fontId="5" type="noConversion"/>
  <conditionalFormatting sqref="C79:M82 Q79:AA82 AE79:AO82 AS79:BC82 BG79:BQ82">
    <cfRule type="cellIs" dxfId="17" priority="12" operator="equal">
      <formula>0</formula>
    </cfRule>
  </conditionalFormatting>
  <conditionalFormatting sqref="BG84:BQ86 AS84:BC86 AE84:AO86 Q84:AA86 C84:M86">
    <cfRule type="cellIs" dxfId="16" priority="11" operator="equal">
      <formula>0</formula>
    </cfRule>
  </conditionalFormatting>
  <pageMargins left="0.7" right="0.7" top="0.75" bottom="0.75" header="0.3" footer="0.3"/>
  <pageSetup paperSize="3" scale="61" orientation="portrait" r:id="rId1"/>
  <headerFooter alignWithMargins="0"/>
  <ignoredErrors>
    <ignoredError sqref="BP19 BB19 BB21 AN21 AN25 Z17:Z19 Z23 BB23 BP21" formula="1"/>
    <ignoredError sqref="Q85:AA85 AF45:AP45 AT45:BD45 BH45:BR45" formulaRang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O31"/>
  <sheetViews>
    <sheetView workbookViewId="0">
      <selection activeCell="B34" sqref="B34"/>
    </sheetView>
  </sheetViews>
  <sheetFormatPr defaultRowHeight="12" x14ac:dyDescent="0.2"/>
  <cols>
    <col min="1" max="1" width="4.140625" style="1" customWidth="1"/>
    <col min="2" max="2" width="47.140625" style="1" customWidth="1"/>
    <col min="3" max="13" width="10.7109375" style="1" customWidth="1"/>
    <col min="14" max="16384" width="9.140625" style="1"/>
  </cols>
  <sheetData>
    <row r="1" spans="2:15" ht="12.75" thickBot="1" x14ac:dyDescent="0.25">
      <c r="B1" s="24" t="str">
        <f>'Population&amp;Demand Projections'!C3</f>
        <v>Cary / Apex</v>
      </c>
      <c r="C1" s="1" t="s">
        <v>34</v>
      </c>
    </row>
    <row r="2" spans="2:15" ht="12.75" thickBot="1" x14ac:dyDescent="0.25">
      <c r="B2" s="77">
        <f>'Population&amp;Demand Projections'!$C$4</f>
        <v>41759</v>
      </c>
      <c r="C2" s="203" t="s">
        <v>35</v>
      </c>
    </row>
    <row r="3" spans="2:15" x14ac:dyDescent="0.2">
      <c r="B3" s="204" t="s">
        <v>235</v>
      </c>
      <c r="C3" s="205"/>
      <c r="D3" s="206"/>
      <c r="E3" s="206"/>
      <c r="F3" s="206"/>
      <c r="G3" s="206"/>
      <c r="H3" s="206"/>
      <c r="I3" s="206"/>
      <c r="J3" s="206"/>
      <c r="K3" s="206"/>
      <c r="L3" s="206"/>
      <c r="M3" s="207"/>
    </row>
    <row r="4" spans="2:15" ht="12.75" thickBot="1" x14ac:dyDescent="0.25">
      <c r="B4" s="208" t="s">
        <v>72</v>
      </c>
      <c r="C4" s="209"/>
      <c r="D4" s="209"/>
      <c r="E4" s="209"/>
      <c r="F4" s="209"/>
      <c r="G4" s="209"/>
      <c r="H4" s="209"/>
      <c r="I4" s="209" t="s">
        <v>44</v>
      </c>
      <c r="J4" s="209"/>
      <c r="K4" s="209"/>
      <c r="L4" s="209"/>
      <c r="M4" s="210"/>
    </row>
    <row r="5" spans="2:15" ht="13.5" customHeight="1" x14ac:dyDescent="0.2">
      <c r="B5" s="234" t="s">
        <v>98</v>
      </c>
      <c r="C5" s="9" t="s">
        <v>26</v>
      </c>
      <c r="D5" s="9"/>
      <c r="E5" s="9"/>
      <c r="F5" s="9"/>
      <c r="G5" s="9"/>
      <c r="H5" s="9"/>
      <c r="I5" s="9"/>
      <c r="J5" s="9"/>
      <c r="K5" s="9"/>
      <c r="L5" s="9"/>
      <c r="M5" s="10"/>
    </row>
    <row r="6" spans="2:15" ht="12.75" thickBot="1" x14ac:dyDescent="0.25">
      <c r="B6" s="11"/>
      <c r="C6" s="23">
        <v>2010</v>
      </c>
      <c r="D6" s="12">
        <v>2015</v>
      </c>
      <c r="E6" s="12">
        <v>2020</v>
      </c>
      <c r="F6" s="12">
        <v>2025</v>
      </c>
      <c r="G6" s="12">
        <v>2030</v>
      </c>
      <c r="H6" s="12">
        <v>2035</v>
      </c>
      <c r="I6" s="12">
        <v>2040</v>
      </c>
      <c r="J6" s="12">
        <v>2045</v>
      </c>
      <c r="K6" s="12">
        <v>2050</v>
      </c>
      <c r="L6" s="5">
        <v>2055</v>
      </c>
      <c r="M6" s="12">
        <v>2060</v>
      </c>
    </row>
    <row r="7" spans="2:15" x14ac:dyDescent="0.2">
      <c r="B7" s="66" t="s">
        <v>71</v>
      </c>
      <c r="C7" s="262">
        <f>'Population&amp;Demand Projections'!C94</f>
        <v>-13.599999999999998</v>
      </c>
      <c r="D7" s="262">
        <f>'Population&amp;Demand Projections'!D94</f>
        <v>-11.100000000000001</v>
      </c>
      <c r="E7" s="262">
        <f>'Population&amp;Demand Projections'!E94</f>
        <v>-7.0000000000000036</v>
      </c>
      <c r="F7" s="262">
        <f>'Population&amp;Demand Projections'!F94</f>
        <v>-3.2000000000000028</v>
      </c>
      <c r="G7" s="262">
        <f>'Population&amp;Demand Projections'!G94</f>
        <v>-0.10000000000000142</v>
      </c>
      <c r="H7" s="262">
        <f>'Population&amp;Demand Projections'!H94</f>
        <v>2.8000000000000043</v>
      </c>
      <c r="I7" s="262">
        <f>'Population&amp;Demand Projections'!I94</f>
        <v>5.2999999999999972</v>
      </c>
      <c r="J7" s="262">
        <f>'Population&amp;Demand Projections'!J94</f>
        <v>7.1499999999999986</v>
      </c>
      <c r="K7" s="262">
        <f>'Population&amp;Demand Projections'!K94+'Population&amp;Demand Projections'!BA94</f>
        <v>8.8199999999999967</v>
      </c>
      <c r="L7" s="262">
        <f>'Population&amp;Demand Projections'!L94+'Population&amp;Demand Projections'!BB94</f>
        <v>9.1750000000000025</v>
      </c>
      <c r="M7" s="262">
        <f>'Population&amp;Demand Projections'!M94+'Population&amp;Demand Projections'!BC94</f>
        <v>9.5299999999999994</v>
      </c>
    </row>
    <row r="8" spans="2:15" x14ac:dyDescent="0.2">
      <c r="B8" s="20" t="str">
        <f>"(2) Available supply from "&amp;IF(ISNA(VLOOKUP(1,$A$26:$I$31,2,FALSE))," project 1",VLOOKUP(1,$A$26:$I$31,2,FALSE))</f>
        <v>(2) Available supply from Jordan Lake Allocation - Round 4</v>
      </c>
      <c r="C8" s="263">
        <f t="shared" ref="C8:M8" si="0">SUMIFS($G$26:$G$31,$A$26:$A$31,1,$I$26:$I$31,"&lt;="&amp;C6,$I$26:$I$31,"&gt;0")</f>
        <v>0</v>
      </c>
      <c r="D8" s="263">
        <f t="shared" si="0"/>
        <v>7.2</v>
      </c>
      <c r="E8" s="263">
        <f t="shared" si="0"/>
        <v>7.2</v>
      </c>
      <c r="F8" s="263">
        <f t="shared" si="0"/>
        <v>7.2</v>
      </c>
      <c r="G8" s="263">
        <f t="shared" si="0"/>
        <v>7.2</v>
      </c>
      <c r="H8" s="263">
        <f t="shared" si="0"/>
        <v>7.2</v>
      </c>
      <c r="I8" s="263">
        <f t="shared" si="0"/>
        <v>7.2</v>
      </c>
      <c r="J8" s="263">
        <f t="shared" si="0"/>
        <v>7.2</v>
      </c>
      <c r="K8" s="263">
        <f t="shared" si="0"/>
        <v>7.2</v>
      </c>
      <c r="L8" s="263">
        <f t="shared" si="0"/>
        <v>7.2</v>
      </c>
      <c r="M8" s="263">
        <f t="shared" si="0"/>
        <v>7.2</v>
      </c>
    </row>
    <row r="9" spans="2:15" x14ac:dyDescent="0.2">
      <c r="B9" s="20" t="str">
        <f>"           Available supply from "&amp;IF(ISNA(VLOOKUP(2,$A$26:$I$31,2,FALSE)),"project 2",VLOOKUP(2,$A$26:$I$31,2,FALSE))</f>
        <v xml:space="preserve">           Available supply from Jordan Lake Allocation - Future</v>
      </c>
      <c r="C9" s="263">
        <f t="shared" ref="C9:M9" si="1">SUMIFS($G$26:$G$31,$A$26:$A$31,2,$I$26:$I$31,"&lt;="&amp;C$6,$I$26:$I$31,"&gt;0")</f>
        <v>0</v>
      </c>
      <c r="D9" s="263">
        <f t="shared" si="1"/>
        <v>0</v>
      </c>
      <c r="E9" s="263">
        <f t="shared" si="1"/>
        <v>0</v>
      </c>
      <c r="F9" s="263">
        <f t="shared" si="1"/>
        <v>0</v>
      </c>
      <c r="G9" s="263">
        <f t="shared" si="1"/>
        <v>0</v>
      </c>
      <c r="H9" s="263">
        <f t="shared" si="1"/>
        <v>0</v>
      </c>
      <c r="I9" s="263">
        <f t="shared" si="1"/>
        <v>0</v>
      </c>
      <c r="J9" s="263">
        <f t="shared" si="1"/>
        <v>0</v>
      </c>
      <c r="K9" s="263">
        <f t="shared" si="1"/>
        <v>2.2999999999999998</v>
      </c>
      <c r="L9" s="263">
        <f t="shared" si="1"/>
        <v>2.2999999999999998</v>
      </c>
      <c r="M9" s="263">
        <f t="shared" si="1"/>
        <v>2.2999999999999998</v>
      </c>
    </row>
    <row r="10" spans="2:15" x14ac:dyDescent="0.2">
      <c r="B10" s="20" t="str">
        <f>"           Available supply from "&amp;IF(ISNA(VLOOKUP(3,$A$26:$I$31,2,FALSE)),"project 3",VLOOKUP(3,$A$26:$I$31,2,FALSE))</f>
        <v xml:space="preserve">           Available supply from project 3</v>
      </c>
      <c r="C10" s="263">
        <f t="shared" ref="C10:M10" si="2">SUMIFS($G$26:$G$31,$A$26:$A$31,3,$I$26:$I$31,"&lt;="&amp;C$6,$I$26:$I$31,"&gt;0")</f>
        <v>0</v>
      </c>
      <c r="D10" s="263">
        <f t="shared" si="2"/>
        <v>0</v>
      </c>
      <c r="E10" s="263">
        <f t="shared" si="2"/>
        <v>0</v>
      </c>
      <c r="F10" s="263">
        <f t="shared" si="2"/>
        <v>0</v>
      </c>
      <c r="G10" s="263">
        <f t="shared" si="2"/>
        <v>0</v>
      </c>
      <c r="H10" s="263">
        <f t="shared" si="2"/>
        <v>0</v>
      </c>
      <c r="I10" s="263">
        <f t="shared" si="2"/>
        <v>0</v>
      </c>
      <c r="J10" s="263">
        <f t="shared" si="2"/>
        <v>0</v>
      </c>
      <c r="K10" s="263">
        <f t="shared" si="2"/>
        <v>0</v>
      </c>
      <c r="L10" s="263">
        <f t="shared" si="2"/>
        <v>0</v>
      </c>
      <c r="M10" s="263">
        <f t="shared" si="2"/>
        <v>0</v>
      </c>
    </row>
    <row r="11" spans="2:15" s="2" customFormat="1" x14ac:dyDescent="0.2">
      <c r="B11" s="4" t="s">
        <v>73</v>
      </c>
      <c r="C11" s="264">
        <f>SUM(C8:C10)-C7</f>
        <v>13.599999999999998</v>
      </c>
      <c r="D11" s="264">
        <f t="shared" ref="D11:M11" si="3">SUM(D8:D10)-D7</f>
        <v>18.3</v>
      </c>
      <c r="E11" s="264">
        <f t="shared" si="3"/>
        <v>14.200000000000003</v>
      </c>
      <c r="F11" s="264">
        <f t="shared" si="3"/>
        <v>10.400000000000002</v>
      </c>
      <c r="G11" s="264">
        <f t="shared" si="3"/>
        <v>7.3000000000000016</v>
      </c>
      <c r="H11" s="264">
        <f t="shared" si="3"/>
        <v>4.3999999999999959</v>
      </c>
      <c r="I11" s="264">
        <f t="shared" si="3"/>
        <v>1.900000000000003</v>
      </c>
      <c r="J11" s="264">
        <f t="shared" si="3"/>
        <v>5.0000000000001599E-2</v>
      </c>
      <c r="K11" s="264">
        <f t="shared" si="3"/>
        <v>0.68000000000000327</v>
      </c>
      <c r="L11" s="264">
        <f t="shared" si="3"/>
        <v>0.32499999999999751</v>
      </c>
      <c r="M11" s="264">
        <f t="shared" si="3"/>
        <v>-2.9999999999999361E-2</v>
      </c>
    </row>
    <row r="12" spans="2:15" x14ac:dyDescent="0.2">
      <c r="B12" s="3"/>
      <c r="C12" s="21"/>
      <c r="D12" s="21"/>
      <c r="E12" s="21"/>
      <c r="F12" s="21"/>
      <c r="G12" s="21"/>
      <c r="H12" s="21"/>
      <c r="I12" s="21"/>
      <c r="J12" s="21"/>
      <c r="K12" s="21"/>
      <c r="L12" s="21"/>
      <c r="M12" s="22"/>
    </row>
    <row r="13" spans="2:15" x14ac:dyDescent="0.2">
      <c r="B13" s="20" t="s">
        <v>382</v>
      </c>
      <c r="C13" s="314">
        <v>0</v>
      </c>
      <c r="D13" s="314">
        <v>0</v>
      </c>
      <c r="E13" s="314">
        <v>0</v>
      </c>
      <c r="F13" s="314">
        <v>0</v>
      </c>
      <c r="G13" s="314">
        <v>0</v>
      </c>
      <c r="H13" s="314">
        <v>2.0640049712599042</v>
      </c>
      <c r="I13" s="314">
        <v>5.6498016422690309</v>
      </c>
      <c r="J13" s="314">
        <v>7.686758099030139</v>
      </c>
      <c r="K13" s="314">
        <v>9.728526648979221</v>
      </c>
      <c r="L13" s="314">
        <v>10.089836444139094</v>
      </c>
      <c r="M13" s="314">
        <v>10.452090592334498</v>
      </c>
    </row>
    <row r="14" spans="2:15" x14ac:dyDescent="0.2">
      <c r="B14" s="20" t="s">
        <v>351</v>
      </c>
      <c r="C14" s="314">
        <v>0</v>
      </c>
      <c r="D14" s="314">
        <v>0</v>
      </c>
      <c r="E14" s="314">
        <v>0</v>
      </c>
      <c r="F14" s="314">
        <v>0</v>
      </c>
      <c r="G14" s="314">
        <v>0</v>
      </c>
      <c r="H14" s="314">
        <v>0.26751592356687898</v>
      </c>
      <c r="I14" s="314">
        <v>0.72985006815083964</v>
      </c>
      <c r="J14" s="314">
        <v>0.98980794412920137</v>
      </c>
      <c r="K14" s="314">
        <v>1.2490130197396065</v>
      </c>
      <c r="L14" s="314">
        <v>1.2942879499217539</v>
      </c>
      <c r="M14" s="314">
        <v>1.339622641509435</v>
      </c>
      <c r="O14" s="1" t="s">
        <v>357</v>
      </c>
    </row>
    <row r="15" spans="2:15" x14ac:dyDescent="0.2">
      <c r="B15" s="20" t="s">
        <v>352</v>
      </c>
      <c r="C15" s="314">
        <v>0</v>
      </c>
      <c r="D15" s="314">
        <v>0</v>
      </c>
      <c r="E15" s="314">
        <v>0</v>
      </c>
      <c r="F15" s="314">
        <v>0</v>
      </c>
      <c r="G15" s="314">
        <v>0</v>
      </c>
      <c r="H15" s="314">
        <v>0.29399670799107053</v>
      </c>
      <c r="I15" s="314">
        <v>0.83093998909093991</v>
      </c>
      <c r="J15" s="314">
        <v>1.1302948386995766</v>
      </c>
      <c r="K15" s="314">
        <v>1.4302273147135889</v>
      </c>
      <c r="L15" s="314">
        <v>1.4681678561821285</v>
      </c>
      <c r="M15" s="314">
        <v>1.5052531603390844</v>
      </c>
      <c r="O15" s="1" t="s">
        <v>383</v>
      </c>
    </row>
    <row r="16" spans="2:15" x14ac:dyDescent="0.2">
      <c r="B16" s="20" t="s">
        <v>349</v>
      </c>
      <c r="C16" s="314">
        <v>0</v>
      </c>
      <c r="D16" s="314">
        <v>0</v>
      </c>
      <c r="E16" s="314">
        <v>0</v>
      </c>
      <c r="F16" s="314">
        <v>0</v>
      </c>
      <c r="G16" s="314">
        <v>0</v>
      </c>
      <c r="H16" s="314">
        <v>0.50016560509554153</v>
      </c>
      <c r="I16" s="314">
        <v>1.4042771467514759</v>
      </c>
      <c r="J16" s="314">
        <v>1.9203762549105197</v>
      </c>
      <c r="K16" s="314">
        <v>2.4419109617807657</v>
      </c>
      <c r="L16" s="314">
        <v>2.5550547730829436</v>
      </c>
      <c r="M16" s="314">
        <v>2.6696765498652302</v>
      </c>
      <c r="O16" s="1" t="s">
        <v>357</v>
      </c>
    </row>
    <row r="17" spans="1:15" x14ac:dyDescent="0.2">
      <c r="B17" s="20" t="s">
        <v>353</v>
      </c>
      <c r="C17" s="314">
        <v>0</v>
      </c>
      <c r="D17" s="314">
        <v>0</v>
      </c>
      <c r="E17" s="314">
        <v>0</v>
      </c>
      <c r="F17" s="314">
        <v>0</v>
      </c>
      <c r="G17" s="314">
        <v>0</v>
      </c>
      <c r="H17" s="314">
        <v>0.92212738853503207</v>
      </c>
      <c r="I17" s="314">
        <v>2.4502435256701487</v>
      </c>
      <c r="J17" s="314">
        <v>3.3114657354866877</v>
      </c>
      <c r="K17" s="314">
        <v>4.1651868962620773</v>
      </c>
      <c r="L17" s="314">
        <v>4.2981533646322401</v>
      </c>
      <c r="M17" s="314">
        <v>4.4303234501347726</v>
      </c>
      <c r="O17" s="1" t="s">
        <v>357</v>
      </c>
    </row>
    <row r="18" spans="1:15" x14ac:dyDescent="0.2">
      <c r="B18" s="20" t="s">
        <v>354</v>
      </c>
      <c r="C18" s="314">
        <v>0</v>
      </c>
      <c r="D18" s="314">
        <v>0</v>
      </c>
      <c r="E18" s="314">
        <v>0</v>
      </c>
      <c r="F18" s="314">
        <v>0</v>
      </c>
      <c r="G18" s="314">
        <v>0</v>
      </c>
      <c r="H18" s="314">
        <v>4.7902749728134242E-2</v>
      </c>
      <c r="I18" s="314">
        <v>0.15395274875056786</v>
      </c>
      <c r="J18" s="314">
        <v>0.21793506795101708</v>
      </c>
      <c r="K18" s="314">
        <v>0.28675643560299546</v>
      </c>
      <c r="L18" s="314">
        <v>0.30928854968211966</v>
      </c>
      <c r="M18" s="314">
        <v>0.33280520675826708</v>
      </c>
      <c r="O18" s="1" t="s">
        <v>383</v>
      </c>
    </row>
    <row r="19" spans="1:15" x14ac:dyDescent="0.2">
      <c r="B19" s="20" t="s">
        <v>350</v>
      </c>
      <c r="C19" s="314">
        <v>0</v>
      </c>
      <c r="D19" s="314">
        <v>0</v>
      </c>
      <c r="E19" s="314">
        <v>0</v>
      </c>
      <c r="F19" s="314">
        <v>0</v>
      </c>
      <c r="G19" s="314">
        <v>0</v>
      </c>
      <c r="H19" s="314">
        <v>0.42911188296745068</v>
      </c>
      <c r="I19" s="314">
        <v>1.1525054514516055</v>
      </c>
      <c r="J19" s="314">
        <v>1.5606169513189549</v>
      </c>
      <c r="K19" s="314">
        <v>1.9655958176042545</v>
      </c>
      <c r="L19" s="314">
        <v>2.0364716660453488</v>
      </c>
      <c r="M19" s="314">
        <v>2.1072936807627509</v>
      </c>
      <c r="O19" s="1" t="s">
        <v>383</v>
      </c>
    </row>
    <row r="20" spans="1:15" s="2" customFormat="1" x14ac:dyDescent="0.2">
      <c r="B20" s="4" t="s">
        <v>27</v>
      </c>
      <c r="C20" s="315">
        <f>SUM(C16:C19)</f>
        <v>0</v>
      </c>
      <c r="D20" s="315">
        <f t="shared" ref="D20:M20" si="4">SUM(D16:D19)</f>
        <v>0</v>
      </c>
      <c r="E20" s="315">
        <f t="shared" si="4"/>
        <v>0</v>
      </c>
      <c r="F20" s="315">
        <f t="shared" si="4"/>
        <v>0</v>
      </c>
      <c r="G20" s="315">
        <f t="shared" si="4"/>
        <v>0</v>
      </c>
      <c r="H20" s="315">
        <f t="shared" si="4"/>
        <v>1.8993076263261586</v>
      </c>
      <c r="I20" s="315">
        <f t="shared" si="4"/>
        <v>5.1609788726237982</v>
      </c>
      <c r="J20" s="315">
        <f t="shared" si="4"/>
        <v>7.0103940096671788</v>
      </c>
      <c r="K20" s="315">
        <f t="shared" si="4"/>
        <v>8.8594501112500943</v>
      </c>
      <c r="L20" s="315">
        <f t="shared" si="4"/>
        <v>9.1989683534426518</v>
      </c>
      <c r="M20" s="315">
        <f t="shared" si="4"/>
        <v>9.5400988875210206</v>
      </c>
      <c r="O20" s="2" t="s">
        <v>384</v>
      </c>
    </row>
    <row r="23" spans="1:15" x14ac:dyDescent="0.2">
      <c r="B23" s="13" t="s">
        <v>28</v>
      </c>
      <c r="C23" s="14"/>
      <c r="D23" s="14"/>
      <c r="E23" s="14"/>
      <c r="F23" s="14"/>
      <c r="G23" s="14"/>
      <c r="H23" s="14"/>
      <c r="I23" s="15"/>
    </row>
    <row r="24" spans="1:15" ht="24" x14ac:dyDescent="0.2">
      <c r="B24" s="16" t="s">
        <v>29</v>
      </c>
      <c r="C24" s="17" t="s">
        <v>15</v>
      </c>
      <c r="D24" s="18" t="s">
        <v>16</v>
      </c>
      <c r="E24" s="25" t="s">
        <v>37</v>
      </c>
      <c r="F24" s="18" t="s">
        <v>30</v>
      </c>
      <c r="G24" s="201" t="s">
        <v>31</v>
      </c>
      <c r="H24" s="18" t="s">
        <v>21</v>
      </c>
      <c r="I24" s="201" t="s">
        <v>33</v>
      </c>
    </row>
    <row r="25" spans="1:15" x14ac:dyDescent="0.2">
      <c r="A25" s="200" t="s">
        <v>184</v>
      </c>
      <c r="B25" s="19"/>
      <c r="C25" s="6"/>
      <c r="D25" s="18"/>
      <c r="E25" s="6" t="s">
        <v>36</v>
      </c>
      <c r="F25" s="18" t="s">
        <v>19</v>
      </c>
      <c r="G25" s="202" t="s">
        <v>43</v>
      </c>
      <c r="H25" s="18" t="s">
        <v>32</v>
      </c>
      <c r="I25" s="202" t="s">
        <v>24</v>
      </c>
    </row>
    <row r="26" spans="1:15" x14ac:dyDescent="0.2">
      <c r="A26" s="199">
        <v>1</v>
      </c>
      <c r="B26" s="7" t="s">
        <v>347</v>
      </c>
      <c r="C26" s="7" t="s">
        <v>310</v>
      </c>
      <c r="D26" s="7" t="s">
        <v>143</v>
      </c>
      <c r="E26" s="7" t="s">
        <v>136</v>
      </c>
      <c r="F26" s="7" t="s">
        <v>232</v>
      </c>
      <c r="G26" s="7">
        <v>7.2</v>
      </c>
      <c r="H26" s="7">
        <v>0</v>
      </c>
      <c r="I26" s="7">
        <v>2015</v>
      </c>
    </row>
    <row r="27" spans="1:15" x14ac:dyDescent="0.2">
      <c r="A27" s="199">
        <v>2</v>
      </c>
      <c r="B27" s="7" t="s">
        <v>234</v>
      </c>
      <c r="C27" s="7" t="s">
        <v>310</v>
      </c>
      <c r="D27" s="7" t="s">
        <v>143</v>
      </c>
      <c r="E27" s="7" t="s">
        <v>136</v>
      </c>
      <c r="F27" s="7" t="s">
        <v>232</v>
      </c>
      <c r="G27" s="7">
        <v>2.2999999999999998</v>
      </c>
      <c r="H27" s="7">
        <v>5</v>
      </c>
      <c r="I27" s="7">
        <v>2050</v>
      </c>
    </row>
    <row r="28" spans="1:15" x14ac:dyDescent="0.2">
      <c r="A28" s="199"/>
      <c r="B28" s="7" t="s">
        <v>334</v>
      </c>
      <c r="C28" s="7" t="s">
        <v>310</v>
      </c>
      <c r="D28" s="7" t="s">
        <v>143</v>
      </c>
      <c r="E28" s="7" t="s">
        <v>136</v>
      </c>
      <c r="F28" s="7" t="s">
        <v>232</v>
      </c>
      <c r="G28" s="7">
        <v>9.5</v>
      </c>
      <c r="H28" s="7">
        <v>12</v>
      </c>
      <c r="I28" s="7">
        <v>2028</v>
      </c>
    </row>
    <row r="29" spans="1:15" x14ac:dyDescent="0.2">
      <c r="A29" s="199"/>
      <c r="B29" s="7" t="s">
        <v>335</v>
      </c>
      <c r="C29" s="7" t="s">
        <v>310</v>
      </c>
      <c r="D29" s="7" t="s">
        <v>143</v>
      </c>
      <c r="E29" s="7" t="s">
        <v>138</v>
      </c>
      <c r="F29" s="7" t="s">
        <v>339</v>
      </c>
      <c r="G29" s="7">
        <v>9.5</v>
      </c>
      <c r="H29" s="7">
        <v>15</v>
      </c>
      <c r="I29" s="7">
        <v>2031</v>
      </c>
    </row>
    <row r="30" spans="1:15" x14ac:dyDescent="0.2">
      <c r="A30" s="199"/>
      <c r="B30" s="7" t="s">
        <v>336</v>
      </c>
      <c r="C30" s="7" t="s">
        <v>310</v>
      </c>
      <c r="D30" s="7" t="s">
        <v>143</v>
      </c>
      <c r="E30" s="7" t="s">
        <v>139</v>
      </c>
      <c r="F30" s="7" t="s">
        <v>340</v>
      </c>
      <c r="G30" s="7">
        <v>9.5</v>
      </c>
      <c r="H30" s="7">
        <v>13</v>
      </c>
      <c r="I30" s="7">
        <v>2029</v>
      </c>
    </row>
    <row r="31" spans="1:15" x14ac:dyDescent="0.2">
      <c r="A31" s="199"/>
      <c r="B31" s="7" t="s">
        <v>337</v>
      </c>
      <c r="C31" s="7" t="s">
        <v>310</v>
      </c>
      <c r="D31" s="7" t="s">
        <v>143</v>
      </c>
      <c r="E31" s="7" t="s">
        <v>338</v>
      </c>
      <c r="F31" s="7" t="s">
        <v>341</v>
      </c>
      <c r="G31" s="7">
        <v>9.5</v>
      </c>
      <c r="H31" s="7">
        <v>20</v>
      </c>
      <c r="I31" s="7">
        <v>2036</v>
      </c>
    </row>
  </sheetData>
  <phoneticPr fontId="5" type="noConversion"/>
  <conditionalFormatting sqref="B26:I31">
    <cfRule type="expression" dxfId="15" priority="3">
      <formula>VALUE($A26)=0</formula>
    </cfRule>
  </conditionalFormatting>
  <conditionalFormatting sqref="C11:M11">
    <cfRule type="cellIs" dxfId="14" priority="1" operator="lessThan">
      <formula>0</formula>
    </cfRule>
    <cfRule type="cellIs" dxfId="13" priority="2" operator="greaterThan">
      <formula>0</formula>
    </cfRule>
  </conditionalFormatting>
  <pageMargins left="0.75" right="0.75" top="1" bottom="1" header="0.5" footer="0.5"/>
  <pageSetup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O31"/>
  <sheetViews>
    <sheetView workbookViewId="0">
      <selection activeCell="F37" sqref="F37"/>
    </sheetView>
  </sheetViews>
  <sheetFormatPr defaultRowHeight="12" x14ac:dyDescent="0.2"/>
  <cols>
    <col min="1" max="1" width="4.28515625" style="1" customWidth="1"/>
    <col min="2" max="2" width="56.28515625" style="1" customWidth="1"/>
    <col min="3" max="13" width="10.7109375" style="1" customWidth="1"/>
    <col min="14" max="16384" width="9.140625" style="1"/>
  </cols>
  <sheetData>
    <row r="1" spans="2:15" ht="12.75" thickBot="1" x14ac:dyDescent="0.25">
      <c r="B1" s="24" t="str">
        <f>'Population&amp;Demand Projections'!C3</f>
        <v>Cary / Apex</v>
      </c>
      <c r="C1" s="1" t="s">
        <v>34</v>
      </c>
    </row>
    <row r="2" spans="2:15" x14ac:dyDescent="0.2">
      <c r="B2" s="221">
        <f>'Population&amp;Demand Projections'!$C$4</f>
        <v>41759</v>
      </c>
      <c r="C2" s="8" t="s">
        <v>35</v>
      </c>
    </row>
    <row r="3" spans="2:15" x14ac:dyDescent="0.2">
      <c r="B3" s="222" t="s">
        <v>77</v>
      </c>
      <c r="C3" s="217"/>
      <c r="D3" s="217"/>
      <c r="E3" s="217"/>
      <c r="F3" s="217"/>
      <c r="G3" s="217"/>
      <c r="H3" s="217"/>
      <c r="I3" s="217"/>
      <c r="J3" s="217"/>
      <c r="K3" s="217"/>
      <c r="L3" s="217"/>
      <c r="M3" s="218"/>
    </row>
    <row r="4" spans="2:15" ht="12.75" thickBot="1" x14ac:dyDescent="0.25">
      <c r="B4" s="223" t="s">
        <v>72</v>
      </c>
      <c r="C4" s="219"/>
      <c r="D4" s="219"/>
      <c r="E4" s="219"/>
      <c r="F4" s="219"/>
      <c r="G4" s="219"/>
      <c r="H4" s="219"/>
      <c r="I4" s="219" t="s">
        <v>44</v>
      </c>
      <c r="J4" s="219"/>
      <c r="K4" s="219"/>
      <c r="L4" s="219"/>
      <c r="M4" s="220"/>
    </row>
    <row r="5" spans="2:15" ht="13.5" customHeight="1" x14ac:dyDescent="0.2">
      <c r="B5" s="234" t="s">
        <v>399</v>
      </c>
      <c r="C5" s="9" t="s">
        <v>26</v>
      </c>
      <c r="D5" s="9"/>
      <c r="E5" s="9"/>
      <c r="F5" s="9"/>
      <c r="G5" s="9"/>
      <c r="H5" s="9"/>
      <c r="I5" s="9"/>
      <c r="J5" s="9"/>
      <c r="K5" s="9"/>
      <c r="L5" s="9"/>
      <c r="M5" s="10"/>
    </row>
    <row r="6" spans="2:15" ht="12.75" thickBot="1" x14ac:dyDescent="0.25">
      <c r="B6" s="11"/>
      <c r="C6" s="23">
        <v>2010</v>
      </c>
      <c r="D6" s="12">
        <v>2015</v>
      </c>
      <c r="E6" s="12">
        <v>2020</v>
      </c>
      <c r="F6" s="12">
        <v>2025</v>
      </c>
      <c r="G6" s="12">
        <v>2030</v>
      </c>
      <c r="H6" s="12">
        <v>2035</v>
      </c>
      <c r="I6" s="12">
        <v>2040</v>
      </c>
      <c r="J6" s="12">
        <v>2045</v>
      </c>
      <c r="K6" s="12">
        <v>2050</v>
      </c>
      <c r="L6" s="5">
        <v>2055</v>
      </c>
      <c r="M6" s="12">
        <v>2060</v>
      </c>
    </row>
    <row r="7" spans="2:15" x14ac:dyDescent="0.2">
      <c r="B7" s="66" t="s">
        <v>71</v>
      </c>
      <c r="C7" s="262">
        <f>'Population&amp;Demand Projections'!C94</f>
        <v>-13.599999999999998</v>
      </c>
      <c r="D7" s="262">
        <f>'Population&amp;Demand Projections'!D94</f>
        <v>-11.100000000000001</v>
      </c>
      <c r="E7" s="262">
        <f>'Population&amp;Demand Projections'!E94</f>
        <v>-7.0000000000000036</v>
      </c>
      <c r="F7" s="262">
        <f>'Population&amp;Demand Projections'!F94</f>
        <v>-3.2000000000000028</v>
      </c>
      <c r="G7" s="262">
        <f>'Population&amp;Demand Projections'!G94</f>
        <v>-0.10000000000000142</v>
      </c>
      <c r="H7" s="262">
        <f>'Population&amp;Demand Projections'!H94</f>
        <v>2.8000000000000043</v>
      </c>
      <c r="I7" s="262">
        <f>'Population&amp;Demand Projections'!I94</f>
        <v>5.2999999999999972</v>
      </c>
      <c r="J7" s="262">
        <f>'Population&amp;Demand Projections'!J94</f>
        <v>7.1499999999999986</v>
      </c>
      <c r="K7" s="262">
        <f>'Population&amp;Demand Projections'!K94+'Population&amp;Demand Projections'!BA94</f>
        <v>8.8199999999999967</v>
      </c>
      <c r="L7" s="262">
        <f>'Population&amp;Demand Projections'!L94+'Population&amp;Demand Projections'!BB94</f>
        <v>9.1750000000000025</v>
      </c>
      <c r="M7" s="262">
        <f>'Population&amp;Demand Projections'!M94+'Population&amp;Demand Projections'!BC94</f>
        <v>9.5299999999999994</v>
      </c>
    </row>
    <row r="8" spans="2:15" x14ac:dyDescent="0.2">
      <c r="B8" s="20" t="str">
        <f>"(2)        Available supply from "&amp;IF(ISNA(VLOOKUP(1,$A$26:$I$31,2,FALSE))," project 1",VLOOKUP(1,$A$26:$I$31,2,FALSE))</f>
        <v>(2)        Available supply from Increased Jordan Lake Water Supply Pool</v>
      </c>
      <c r="C8" s="263">
        <f t="shared" ref="C8:M8" si="0">SUMIFS($G$26:$G$31,$A$26:$A$31,1,$I$26:$I$31,"&lt;="&amp;C$6,$I$26:$I$31,"&gt;0")</f>
        <v>0</v>
      </c>
      <c r="D8" s="263">
        <f t="shared" si="0"/>
        <v>0</v>
      </c>
      <c r="E8" s="263">
        <f t="shared" si="0"/>
        <v>0</v>
      </c>
      <c r="F8" s="263">
        <f t="shared" si="0"/>
        <v>0</v>
      </c>
      <c r="G8" s="263">
        <f t="shared" si="0"/>
        <v>9.5</v>
      </c>
      <c r="H8" s="263">
        <f t="shared" si="0"/>
        <v>9.5</v>
      </c>
      <c r="I8" s="263">
        <f t="shared" si="0"/>
        <v>9.5</v>
      </c>
      <c r="J8" s="263">
        <f t="shared" si="0"/>
        <v>9.5</v>
      </c>
      <c r="K8" s="263">
        <f t="shared" si="0"/>
        <v>9.5</v>
      </c>
      <c r="L8" s="263">
        <f t="shared" si="0"/>
        <v>9.5</v>
      </c>
      <c r="M8" s="263">
        <f t="shared" si="0"/>
        <v>9.5</v>
      </c>
    </row>
    <row r="9" spans="2:15" x14ac:dyDescent="0.2">
      <c r="B9" s="20" t="str">
        <f>"         Available supply from "&amp;IF(ISNA(VLOOKUP(2,$A$26:$I$31,2,FALSE)),"project 2",VLOOKUP(2,$A$26:$I$31,2,FALSE))</f>
        <v xml:space="preserve">         Available supply from project 2</v>
      </c>
      <c r="C9" s="263">
        <f t="shared" ref="C9:M9" si="1">SUMIFS($G$26:$G$31,$A$26:$A$31,2,$I$26:$I$31,"&lt;="&amp;C$6,$I$26:$I$31,"&gt;0")</f>
        <v>0</v>
      </c>
      <c r="D9" s="263">
        <f t="shared" si="1"/>
        <v>0</v>
      </c>
      <c r="E9" s="263">
        <f t="shared" si="1"/>
        <v>0</v>
      </c>
      <c r="F9" s="263">
        <f t="shared" si="1"/>
        <v>0</v>
      </c>
      <c r="G9" s="263">
        <f t="shared" si="1"/>
        <v>0</v>
      </c>
      <c r="H9" s="263">
        <f t="shared" si="1"/>
        <v>0</v>
      </c>
      <c r="I9" s="263">
        <f t="shared" si="1"/>
        <v>0</v>
      </c>
      <c r="J9" s="263">
        <f t="shared" si="1"/>
        <v>0</v>
      </c>
      <c r="K9" s="263">
        <f t="shared" si="1"/>
        <v>0</v>
      </c>
      <c r="L9" s="263">
        <f t="shared" si="1"/>
        <v>0</v>
      </c>
      <c r="M9" s="263">
        <f t="shared" si="1"/>
        <v>0</v>
      </c>
    </row>
    <row r="10" spans="2:15" x14ac:dyDescent="0.2">
      <c r="B10" s="20" t="str">
        <f>"           Available supply from "&amp;IF(ISNA(VLOOKUP(3,$A$26:$I$31,2,FALSE)),"project 3",VLOOKUP(3,$A$26:$I$31,2,FALSE))</f>
        <v xml:space="preserve">           Available supply from project 3</v>
      </c>
      <c r="C10" s="263">
        <f t="shared" ref="C10:M10" si="2">SUMIFS($G$26:$G$31,$A$26:$A$31,3,$I$26:$I$31,"&lt;="&amp;C$6,$I$26:$I$31,"&gt;0")</f>
        <v>0</v>
      </c>
      <c r="D10" s="263">
        <f t="shared" si="2"/>
        <v>0</v>
      </c>
      <c r="E10" s="263">
        <f t="shared" si="2"/>
        <v>0</v>
      </c>
      <c r="F10" s="263">
        <f t="shared" si="2"/>
        <v>0</v>
      </c>
      <c r="G10" s="263">
        <f t="shared" si="2"/>
        <v>0</v>
      </c>
      <c r="H10" s="263">
        <f t="shared" si="2"/>
        <v>0</v>
      </c>
      <c r="I10" s="263">
        <f t="shared" si="2"/>
        <v>0</v>
      </c>
      <c r="J10" s="263">
        <f t="shared" si="2"/>
        <v>0</v>
      </c>
      <c r="K10" s="263">
        <f t="shared" si="2"/>
        <v>0</v>
      </c>
      <c r="L10" s="263">
        <f t="shared" si="2"/>
        <v>0</v>
      </c>
      <c r="M10" s="263">
        <f t="shared" si="2"/>
        <v>0</v>
      </c>
    </row>
    <row r="11" spans="2:15" s="2" customFormat="1" x14ac:dyDescent="0.2">
      <c r="B11" s="4" t="s">
        <v>73</v>
      </c>
      <c r="C11" s="264">
        <f>SUM(C8:C10)-C7</f>
        <v>13.599999999999998</v>
      </c>
      <c r="D11" s="264">
        <f t="shared" ref="D11:M11" si="3">SUM(D8:D10)-D7</f>
        <v>11.100000000000001</v>
      </c>
      <c r="E11" s="264">
        <f t="shared" si="3"/>
        <v>7.0000000000000036</v>
      </c>
      <c r="F11" s="264">
        <f t="shared" si="3"/>
        <v>3.2000000000000028</v>
      </c>
      <c r="G11" s="264">
        <f t="shared" si="3"/>
        <v>9.6000000000000014</v>
      </c>
      <c r="H11" s="264">
        <f t="shared" si="3"/>
        <v>6.6999999999999957</v>
      </c>
      <c r="I11" s="264">
        <f t="shared" si="3"/>
        <v>4.2000000000000028</v>
      </c>
      <c r="J11" s="264">
        <f t="shared" si="3"/>
        <v>2.3500000000000014</v>
      </c>
      <c r="K11" s="264">
        <f t="shared" si="3"/>
        <v>0.68000000000000327</v>
      </c>
      <c r="L11" s="264">
        <f t="shared" si="3"/>
        <v>0.32499999999999751</v>
      </c>
      <c r="M11" s="264">
        <f t="shared" si="3"/>
        <v>-2.9999999999999361E-2</v>
      </c>
    </row>
    <row r="12" spans="2:15" x14ac:dyDescent="0.2">
      <c r="B12" s="3"/>
      <c r="C12" s="21"/>
      <c r="D12" s="21"/>
      <c r="E12" s="21"/>
      <c r="F12" s="21"/>
      <c r="G12" s="21"/>
      <c r="H12" s="21"/>
      <c r="I12" s="21"/>
      <c r="J12" s="21"/>
      <c r="K12" s="21"/>
      <c r="L12" s="21"/>
      <c r="M12" s="22"/>
    </row>
    <row r="13" spans="2:15" x14ac:dyDescent="0.2">
      <c r="B13" s="20" t="s">
        <v>382</v>
      </c>
      <c r="C13" s="314">
        <v>0</v>
      </c>
      <c r="D13" s="314">
        <v>0</v>
      </c>
      <c r="E13" s="314">
        <v>0</v>
      </c>
      <c r="F13" s="314">
        <v>0</v>
      </c>
      <c r="G13" s="314">
        <v>0</v>
      </c>
      <c r="H13" s="314">
        <v>2.0640049712599042</v>
      </c>
      <c r="I13" s="314">
        <v>5.6498016422690309</v>
      </c>
      <c r="J13" s="314">
        <v>7.686758099030139</v>
      </c>
      <c r="K13" s="314">
        <v>9.728526648979221</v>
      </c>
      <c r="L13" s="314">
        <v>10.089836444139094</v>
      </c>
      <c r="M13" s="314">
        <v>10.452090592334498</v>
      </c>
    </row>
    <row r="14" spans="2:15" x14ac:dyDescent="0.2">
      <c r="B14" s="20" t="s">
        <v>351</v>
      </c>
      <c r="C14" s="314">
        <v>0</v>
      </c>
      <c r="D14" s="314">
        <v>0</v>
      </c>
      <c r="E14" s="314">
        <v>0</v>
      </c>
      <c r="F14" s="314">
        <v>0</v>
      </c>
      <c r="G14" s="314">
        <v>0</v>
      </c>
      <c r="H14" s="314">
        <v>0.26751592356687898</v>
      </c>
      <c r="I14" s="314">
        <v>0.72985006815083964</v>
      </c>
      <c r="J14" s="314">
        <v>0.98980794412920137</v>
      </c>
      <c r="K14" s="314">
        <v>1.2490130197396065</v>
      </c>
      <c r="L14" s="314">
        <v>1.2942879499217539</v>
      </c>
      <c r="M14" s="314">
        <v>1.339622641509435</v>
      </c>
      <c r="O14" s="1" t="s">
        <v>357</v>
      </c>
    </row>
    <row r="15" spans="2:15" x14ac:dyDescent="0.2">
      <c r="B15" s="20" t="s">
        <v>352</v>
      </c>
      <c r="C15" s="314">
        <v>0</v>
      </c>
      <c r="D15" s="314">
        <v>0</v>
      </c>
      <c r="E15" s="314">
        <v>0</v>
      </c>
      <c r="F15" s="314">
        <v>0</v>
      </c>
      <c r="G15" s="314">
        <v>0</v>
      </c>
      <c r="H15" s="314">
        <v>0.29399670799107053</v>
      </c>
      <c r="I15" s="314">
        <v>0.83093998909093991</v>
      </c>
      <c r="J15" s="314">
        <v>1.1302948386995766</v>
      </c>
      <c r="K15" s="314">
        <v>1.4302273147135889</v>
      </c>
      <c r="L15" s="314">
        <v>1.4681678561821285</v>
      </c>
      <c r="M15" s="314">
        <v>1.5052531603390844</v>
      </c>
      <c r="O15" s="1" t="s">
        <v>383</v>
      </c>
    </row>
    <row r="16" spans="2:15" x14ac:dyDescent="0.2">
      <c r="B16" s="20" t="s">
        <v>349</v>
      </c>
      <c r="C16" s="314">
        <v>0</v>
      </c>
      <c r="D16" s="314">
        <v>0</v>
      </c>
      <c r="E16" s="314">
        <v>0</v>
      </c>
      <c r="F16" s="314">
        <v>0</v>
      </c>
      <c r="G16" s="314">
        <v>0</v>
      </c>
      <c r="H16" s="314">
        <v>0.50016560509554153</v>
      </c>
      <c r="I16" s="314">
        <v>1.4042771467514759</v>
      </c>
      <c r="J16" s="314">
        <v>1.9203762549105197</v>
      </c>
      <c r="K16" s="314">
        <v>2.4419109617807657</v>
      </c>
      <c r="L16" s="314">
        <v>2.5550547730829436</v>
      </c>
      <c r="M16" s="314">
        <v>2.6696765498652302</v>
      </c>
      <c r="O16" s="1" t="s">
        <v>357</v>
      </c>
    </row>
    <row r="17" spans="1:15" x14ac:dyDescent="0.2">
      <c r="B17" s="20" t="s">
        <v>353</v>
      </c>
      <c r="C17" s="314">
        <v>0</v>
      </c>
      <c r="D17" s="314">
        <v>0</v>
      </c>
      <c r="E17" s="314">
        <v>0</v>
      </c>
      <c r="F17" s="314">
        <v>0</v>
      </c>
      <c r="G17" s="314">
        <v>0</v>
      </c>
      <c r="H17" s="314">
        <v>0.92212738853503207</v>
      </c>
      <c r="I17" s="314">
        <v>2.4502435256701487</v>
      </c>
      <c r="J17" s="314">
        <v>3.3114657354866877</v>
      </c>
      <c r="K17" s="314">
        <v>4.1651868962620773</v>
      </c>
      <c r="L17" s="314">
        <v>4.2981533646322401</v>
      </c>
      <c r="M17" s="314">
        <v>4.4303234501347726</v>
      </c>
      <c r="O17" s="1" t="s">
        <v>357</v>
      </c>
    </row>
    <row r="18" spans="1:15" x14ac:dyDescent="0.2">
      <c r="B18" s="20" t="s">
        <v>354</v>
      </c>
      <c r="C18" s="314">
        <v>0</v>
      </c>
      <c r="D18" s="314">
        <v>0</v>
      </c>
      <c r="E18" s="314">
        <v>0</v>
      </c>
      <c r="F18" s="314">
        <v>0</v>
      </c>
      <c r="G18" s="314">
        <v>0</v>
      </c>
      <c r="H18" s="314">
        <v>4.7902749728134242E-2</v>
      </c>
      <c r="I18" s="314">
        <v>0.15395274875056786</v>
      </c>
      <c r="J18" s="314">
        <v>0.21793506795101708</v>
      </c>
      <c r="K18" s="314">
        <v>0.28675643560299546</v>
      </c>
      <c r="L18" s="314">
        <v>0.30928854968211966</v>
      </c>
      <c r="M18" s="314">
        <v>0.33280520675826708</v>
      </c>
      <c r="O18" s="1" t="s">
        <v>383</v>
      </c>
    </row>
    <row r="19" spans="1:15" x14ac:dyDescent="0.2">
      <c r="B19" s="20" t="s">
        <v>350</v>
      </c>
      <c r="C19" s="314">
        <v>0</v>
      </c>
      <c r="D19" s="314">
        <v>0</v>
      </c>
      <c r="E19" s="314">
        <v>0</v>
      </c>
      <c r="F19" s="314">
        <v>0</v>
      </c>
      <c r="G19" s="314">
        <v>0</v>
      </c>
      <c r="H19" s="314">
        <v>0.42911188296745068</v>
      </c>
      <c r="I19" s="314">
        <v>1.1525054514516055</v>
      </c>
      <c r="J19" s="314">
        <v>1.5606169513189549</v>
      </c>
      <c r="K19" s="314">
        <v>1.9655958176042545</v>
      </c>
      <c r="L19" s="314">
        <v>2.0364716660453488</v>
      </c>
      <c r="M19" s="314">
        <v>2.1072936807627509</v>
      </c>
      <c r="O19" s="1" t="s">
        <v>383</v>
      </c>
    </row>
    <row r="20" spans="1:15" s="2" customFormat="1" x14ac:dyDescent="0.2">
      <c r="B20" s="4" t="s">
        <v>27</v>
      </c>
      <c r="C20" s="315">
        <f>SUM(C16:C19)</f>
        <v>0</v>
      </c>
      <c r="D20" s="315">
        <f t="shared" ref="D20:M20" si="4">SUM(D16:D19)</f>
        <v>0</v>
      </c>
      <c r="E20" s="315">
        <f t="shared" si="4"/>
        <v>0</v>
      </c>
      <c r="F20" s="315">
        <f t="shared" si="4"/>
        <v>0</v>
      </c>
      <c r="G20" s="315">
        <f t="shared" si="4"/>
        <v>0</v>
      </c>
      <c r="H20" s="315">
        <f t="shared" si="4"/>
        <v>1.8993076263261586</v>
      </c>
      <c r="I20" s="315">
        <f t="shared" si="4"/>
        <v>5.1609788726237982</v>
      </c>
      <c r="J20" s="315">
        <f t="shared" si="4"/>
        <v>7.0103940096671788</v>
      </c>
      <c r="K20" s="315">
        <f t="shared" si="4"/>
        <v>8.8594501112500943</v>
      </c>
      <c r="L20" s="315">
        <f t="shared" si="4"/>
        <v>9.1989683534426518</v>
      </c>
      <c r="M20" s="315">
        <f t="shared" si="4"/>
        <v>9.5400988875210206</v>
      </c>
      <c r="O20" s="2" t="s">
        <v>384</v>
      </c>
    </row>
    <row r="23" spans="1:15" x14ac:dyDescent="0.2">
      <c r="B23" s="13" t="s">
        <v>28</v>
      </c>
      <c r="C23" s="14"/>
      <c r="D23" s="14"/>
      <c r="E23" s="14"/>
      <c r="F23" s="14"/>
      <c r="G23" s="14"/>
      <c r="H23" s="14"/>
      <c r="I23" s="15"/>
    </row>
    <row r="24" spans="1:15" ht="24" x14ac:dyDescent="0.2">
      <c r="B24" s="16" t="s">
        <v>29</v>
      </c>
      <c r="C24" s="17" t="s">
        <v>15</v>
      </c>
      <c r="D24" s="18" t="s">
        <v>16</v>
      </c>
      <c r="E24" s="25" t="s">
        <v>37</v>
      </c>
      <c r="F24" s="18" t="s">
        <v>30</v>
      </c>
      <c r="G24" s="17" t="s">
        <v>31</v>
      </c>
      <c r="H24" s="18" t="s">
        <v>21</v>
      </c>
      <c r="I24" s="17" t="s">
        <v>33</v>
      </c>
    </row>
    <row r="25" spans="1:15" x14ac:dyDescent="0.2">
      <c r="A25" s="200" t="s">
        <v>184</v>
      </c>
      <c r="B25" s="19"/>
      <c r="C25" s="6"/>
      <c r="D25" s="18"/>
      <c r="E25" s="6" t="s">
        <v>36</v>
      </c>
      <c r="F25" s="18" t="s">
        <v>19</v>
      </c>
      <c r="G25" s="6" t="s">
        <v>43</v>
      </c>
      <c r="H25" s="18" t="s">
        <v>32</v>
      </c>
      <c r="I25" s="6" t="s">
        <v>24</v>
      </c>
    </row>
    <row r="26" spans="1:15" x14ac:dyDescent="0.2">
      <c r="A26" s="199"/>
      <c r="B26" s="7" t="s">
        <v>347</v>
      </c>
      <c r="C26" s="7" t="s">
        <v>310</v>
      </c>
      <c r="D26" s="7" t="s">
        <v>143</v>
      </c>
      <c r="E26" s="7" t="s">
        <v>136</v>
      </c>
      <c r="F26" s="7" t="s">
        <v>232</v>
      </c>
      <c r="G26" s="7">
        <v>7.2</v>
      </c>
      <c r="H26" s="7">
        <v>0</v>
      </c>
      <c r="I26" s="7">
        <v>2015</v>
      </c>
    </row>
    <row r="27" spans="1:15" x14ac:dyDescent="0.2">
      <c r="A27" s="199"/>
      <c r="B27" s="7" t="s">
        <v>234</v>
      </c>
      <c r="C27" s="7" t="s">
        <v>310</v>
      </c>
      <c r="D27" s="7" t="s">
        <v>143</v>
      </c>
      <c r="E27" s="7" t="s">
        <v>136</v>
      </c>
      <c r="F27" s="7" t="s">
        <v>232</v>
      </c>
      <c r="G27" s="7">
        <v>2.2999999999999998</v>
      </c>
      <c r="H27" s="7">
        <v>5</v>
      </c>
      <c r="I27" s="7">
        <v>2050</v>
      </c>
    </row>
    <row r="28" spans="1:15" x14ac:dyDescent="0.2">
      <c r="A28" s="199">
        <v>1</v>
      </c>
      <c r="B28" s="7" t="s">
        <v>334</v>
      </c>
      <c r="C28" s="7" t="s">
        <v>310</v>
      </c>
      <c r="D28" s="7" t="s">
        <v>143</v>
      </c>
      <c r="E28" s="7" t="s">
        <v>136</v>
      </c>
      <c r="F28" s="7" t="s">
        <v>232</v>
      </c>
      <c r="G28" s="7">
        <v>9.5</v>
      </c>
      <c r="H28" s="7">
        <v>12</v>
      </c>
      <c r="I28" s="7">
        <v>2028</v>
      </c>
    </row>
    <row r="29" spans="1:15" x14ac:dyDescent="0.2">
      <c r="A29" s="199"/>
      <c r="B29" s="7" t="s">
        <v>335</v>
      </c>
      <c r="C29" s="7" t="s">
        <v>310</v>
      </c>
      <c r="D29" s="7" t="s">
        <v>143</v>
      </c>
      <c r="E29" s="7" t="s">
        <v>138</v>
      </c>
      <c r="F29" s="7" t="s">
        <v>339</v>
      </c>
      <c r="G29" s="7">
        <v>9.5</v>
      </c>
      <c r="H29" s="7">
        <v>15</v>
      </c>
      <c r="I29" s="7">
        <v>2031</v>
      </c>
    </row>
    <row r="30" spans="1:15" x14ac:dyDescent="0.2">
      <c r="A30" s="199"/>
      <c r="B30" s="7" t="s">
        <v>336</v>
      </c>
      <c r="C30" s="7" t="s">
        <v>310</v>
      </c>
      <c r="D30" s="7" t="s">
        <v>143</v>
      </c>
      <c r="E30" s="7" t="s">
        <v>139</v>
      </c>
      <c r="F30" s="7" t="s">
        <v>340</v>
      </c>
      <c r="G30" s="7">
        <v>9.5</v>
      </c>
      <c r="H30" s="7">
        <v>13</v>
      </c>
      <c r="I30" s="7">
        <v>2029</v>
      </c>
    </row>
    <row r="31" spans="1:15" x14ac:dyDescent="0.2">
      <c r="A31" s="199"/>
      <c r="B31" s="7" t="s">
        <v>337</v>
      </c>
      <c r="C31" s="7" t="s">
        <v>310</v>
      </c>
      <c r="D31" s="7" t="s">
        <v>143</v>
      </c>
      <c r="E31" s="7" t="s">
        <v>338</v>
      </c>
      <c r="F31" s="7" t="s">
        <v>341</v>
      </c>
      <c r="G31" s="7">
        <v>9.5</v>
      </c>
      <c r="H31" s="7">
        <v>20</v>
      </c>
      <c r="I31" s="7">
        <v>2036</v>
      </c>
    </row>
  </sheetData>
  <phoneticPr fontId="5" type="noConversion"/>
  <conditionalFormatting sqref="B26:I31">
    <cfRule type="expression" dxfId="12" priority="4">
      <formula>VALUE($A26)=0</formula>
    </cfRule>
  </conditionalFormatting>
  <conditionalFormatting sqref="C11:M11">
    <cfRule type="cellIs" dxfId="11" priority="2" operator="lessThan">
      <formula>0</formula>
    </cfRule>
    <cfRule type="cellIs" dxfId="10" priority="3" operator="greaterThan">
      <formula>0</formula>
    </cfRule>
  </conditionalFormatting>
  <conditionalFormatting sqref="B26:I31">
    <cfRule type="expression" dxfId="9" priority="1">
      <formula>VALUE($A26)=0</formula>
    </cfRule>
  </conditionalFormatting>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O31"/>
  <sheetViews>
    <sheetView workbookViewId="0">
      <selection activeCell="B37" sqref="B37"/>
    </sheetView>
  </sheetViews>
  <sheetFormatPr defaultRowHeight="12" x14ac:dyDescent="0.2"/>
  <cols>
    <col min="1" max="1" width="4.140625" style="1" customWidth="1"/>
    <col min="2" max="2" width="50.140625" style="1" customWidth="1"/>
    <col min="3" max="13" width="10.7109375" style="1" customWidth="1"/>
    <col min="14" max="16384" width="9.140625" style="1"/>
  </cols>
  <sheetData>
    <row r="1" spans="2:15" ht="12.75" thickBot="1" x14ac:dyDescent="0.25">
      <c r="B1" s="24" t="str">
        <f>'Population&amp;Demand Projections'!C3</f>
        <v>Cary / Apex</v>
      </c>
      <c r="C1" s="1" t="s">
        <v>34</v>
      </c>
    </row>
    <row r="2" spans="2:15" ht="12.75" thickBot="1" x14ac:dyDescent="0.25">
      <c r="B2" s="77">
        <f>'Population&amp;Demand Projections'!$C$4</f>
        <v>41759</v>
      </c>
      <c r="C2" s="8" t="s">
        <v>35</v>
      </c>
    </row>
    <row r="3" spans="2:15" x14ac:dyDescent="0.2">
      <c r="B3" s="211" t="s">
        <v>76</v>
      </c>
      <c r="C3" s="212"/>
      <c r="D3" s="212"/>
      <c r="E3" s="212"/>
      <c r="F3" s="212"/>
      <c r="G3" s="212"/>
      <c r="H3" s="212"/>
      <c r="I3" s="212"/>
      <c r="J3" s="212"/>
      <c r="K3" s="212"/>
      <c r="L3" s="212"/>
      <c r="M3" s="213"/>
    </row>
    <row r="4" spans="2:15" ht="12.75" thickBot="1" x14ac:dyDescent="0.25">
      <c r="B4" s="214" t="s">
        <v>72</v>
      </c>
      <c r="C4" s="215"/>
      <c r="D4" s="215"/>
      <c r="E4" s="215"/>
      <c r="F4" s="215"/>
      <c r="G4" s="215"/>
      <c r="H4" s="215"/>
      <c r="I4" s="215" t="s">
        <v>44</v>
      </c>
      <c r="J4" s="215"/>
      <c r="K4" s="215"/>
      <c r="L4" s="215"/>
      <c r="M4" s="216"/>
    </row>
    <row r="5" spans="2:15" ht="13.5" customHeight="1" x14ac:dyDescent="0.2">
      <c r="B5" s="234" t="s">
        <v>231</v>
      </c>
      <c r="C5" s="9" t="s">
        <v>26</v>
      </c>
      <c r="D5" s="9"/>
      <c r="E5" s="9"/>
      <c r="F5" s="9"/>
      <c r="G5" s="9"/>
      <c r="H5" s="9"/>
      <c r="I5" s="9"/>
      <c r="J5" s="9"/>
      <c r="K5" s="9"/>
      <c r="L5" s="9"/>
      <c r="M5" s="10"/>
    </row>
    <row r="6" spans="2:15" ht="12.75" thickBot="1" x14ac:dyDescent="0.25">
      <c r="B6" s="11"/>
      <c r="C6" s="23">
        <v>2010</v>
      </c>
      <c r="D6" s="12">
        <v>2015</v>
      </c>
      <c r="E6" s="12">
        <v>2020</v>
      </c>
      <c r="F6" s="12">
        <v>2025</v>
      </c>
      <c r="G6" s="12">
        <v>2030</v>
      </c>
      <c r="H6" s="12">
        <v>2035</v>
      </c>
      <c r="I6" s="12">
        <v>2040</v>
      </c>
      <c r="J6" s="12">
        <v>2045</v>
      </c>
      <c r="K6" s="12">
        <v>2050</v>
      </c>
      <c r="L6" s="5">
        <v>2055</v>
      </c>
      <c r="M6" s="12">
        <v>2060</v>
      </c>
    </row>
    <row r="7" spans="2:15" x14ac:dyDescent="0.2">
      <c r="B7" s="66" t="s">
        <v>71</v>
      </c>
      <c r="C7" s="262">
        <f>'Population&amp;Demand Projections'!C94</f>
        <v>-13.599999999999998</v>
      </c>
      <c r="D7" s="262">
        <f>'Population&amp;Demand Projections'!D94</f>
        <v>-11.100000000000001</v>
      </c>
      <c r="E7" s="262">
        <f>'Population&amp;Demand Projections'!E94</f>
        <v>-7.0000000000000036</v>
      </c>
      <c r="F7" s="262">
        <f>'Population&amp;Demand Projections'!F94</f>
        <v>-3.2000000000000028</v>
      </c>
      <c r="G7" s="262">
        <f>'Population&amp;Demand Projections'!G94</f>
        <v>-0.10000000000000142</v>
      </c>
      <c r="H7" s="262">
        <f>'Population&amp;Demand Projections'!H94</f>
        <v>2.8000000000000043</v>
      </c>
      <c r="I7" s="262">
        <f>'Population&amp;Demand Projections'!I94</f>
        <v>5.2999999999999972</v>
      </c>
      <c r="J7" s="262">
        <f>'Population&amp;Demand Projections'!J94</f>
        <v>7.1499999999999986</v>
      </c>
      <c r="K7" s="262">
        <f>'Population&amp;Demand Projections'!K94+'Population&amp;Demand Projections'!BA94</f>
        <v>8.8199999999999967</v>
      </c>
      <c r="L7" s="262">
        <f>'Population&amp;Demand Projections'!L94+'Population&amp;Demand Projections'!BB94</f>
        <v>9.1750000000000025</v>
      </c>
      <c r="M7" s="262">
        <f>'Population&amp;Demand Projections'!M94+'Population&amp;Demand Projections'!BC94</f>
        <v>9.5299999999999994</v>
      </c>
    </row>
    <row r="8" spans="2:15" x14ac:dyDescent="0.2">
      <c r="B8" s="20" t="str">
        <f>"(2)        Available supply from "&amp;IF(ISNA(VLOOKUP(1,$A$26:$I$31,2,FALSE))," project 1",VLOOKUP(1,$A$26:$I$31,2,FALSE))</f>
        <v>(2)        Available supply from Cape Fear River @ Harnett County</v>
      </c>
      <c r="C8" s="263">
        <f>SUMIFS($G$26:$G$31,$A$26:$A$31,1,$I$26:$I$31,"&lt;="&amp;C$6,$I$26:$I$31,"&gt;0")</f>
        <v>0</v>
      </c>
      <c r="D8" s="263">
        <f t="shared" ref="D8:M8" si="0">SUMIFS($G$26:$G$31,$A$26:$A$31,1,$I$26:$I$31,"&lt;="&amp;D6,$I$26:$I$31,"&gt;0")</f>
        <v>0</v>
      </c>
      <c r="E8" s="263">
        <f t="shared" si="0"/>
        <v>0</v>
      </c>
      <c r="F8" s="263">
        <f t="shared" si="0"/>
        <v>0</v>
      </c>
      <c r="G8" s="263">
        <f t="shared" si="0"/>
        <v>0</v>
      </c>
      <c r="H8" s="263">
        <f t="shared" si="0"/>
        <v>9.5</v>
      </c>
      <c r="I8" s="263">
        <f t="shared" si="0"/>
        <v>9.5</v>
      </c>
      <c r="J8" s="263">
        <f t="shared" si="0"/>
        <v>9.5</v>
      </c>
      <c r="K8" s="263">
        <f t="shared" si="0"/>
        <v>9.5</v>
      </c>
      <c r="L8" s="263">
        <f t="shared" si="0"/>
        <v>9.5</v>
      </c>
      <c r="M8" s="263">
        <f t="shared" si="0"/>
        <v>9.5</v>
      </c>
    </row>
    <row r="9" spans="2:15" x14ac:dyDescent="0.2">
      <c r="B9" s="20" t="str">
        <f>"           Available supply from "&amp;IF(ISNA(VLOOKUP(2,$A$26:$I$31,2,FALSE)),"project 2",VLOOKUP(2,$A$26:$I$31,2,FALSE))</f>
        <v xml:space="preserve">           Available supply from project 2</v>
      </c>
      <c r="C9" s="263">
        <f t="shared" ref="C9:M9" si="1">SUMIFS($G$26:$G$31,$A$26:$A$31,2,$I$26:$I$31,"&lt;="&amp;C$6,$I$26:$I$31,"&gt;0")</f>
        <v>0</v>
      </c>
      <c r="D9" s="263">
        <f t="shared" si="1"/>
        <v>0</v>
      </c>
      <c r="E9" s="263">
        <f t="shared" si="1"/>
        <v>0</v>
      </c>
      <c r="F9" s="263">
        <f t="shared" si="1"/>
        <v>0</v>
      </c>
      <c r="G9" s="263">
        <f t="shared" si="1"/>
        <v>0</v>
      </c>
      <c r="H9" s="263">
        <f t="shared" si="1"/>
        <v>0</v>
      </c>
      <c r="I9" s="263">
        <f t="shared" si="1"/>
        <v>0</v>
      </c>
      <c r="J9" s="263">
        <f t="shared" si="1"/>
        <v>0</v>
      </c>
      <c r="K9" s="263">
        <f t="shared" si="1"/>
        <v>0</v>
      </c>
      <c r="L9" s="263">
        <f t="shared" si="1"/>
        <v>0</v>
      </c>
      <c r="M9" s="263">
        <f t="shared" si="1"/>
        <v>0</v>
      </c>
    </row>
    <row r="10" spans="2:15" x14ac:dyDescent="0.2">
      <c r="B10" s="20" t="str">
        <f>"           Available supply from "&amp;IF(ISNA(VLOOKUP(3,$A$26:$I$31,2,FALSE)),"project 3",VLOOKUP(3,$A$26:$I$31,2,FALSE))</f>
        <v xml:space="preserve">           Available supply from project 3</v>
      </c>
      <c r="C10" s="263">
        <f t="shared" ref="C10:M10" si="2">SUMIFS($G$26:$G$31,$A$26:$A$31,3,$I$26:$I$31,"&lt;="&amp;C$6,$I$26:$I$31,"&gt;0")</f>
        <v>0</v>
      </c>
      <c r="D10" s="263">
        <f t="shared" si="2"/>
        <v>0</v>
      </c>
      <c r="E10" s="263">
        <f t="shared" si="2"/>
        <v>0</v>
      </c>
      <c r="F10" s="263">
        <f t="shared" si="2"/>
        <v>0</v>
      </c>
      <c r="G10" s="263">
        <f t="shared" si="2"/>
        <v>0</v>
      </c>
      <c r="H10" s="263">
        <f t="shared" si="2"/>
        <v>0</v>
      </c>
      <c r="I10" s="263">
        <f t="shared" si="2"/>
        <v>0</v>
      </c>
      <c r="J10" s="263">
        <f t="shared" si="2"/>
        <v>0</v>
      </c>
      <c r="K10" s="263">
        <f t="shared" si="2"/>
        <v>0</v>
      </c>
      <c r="L10" s="263">
        <f t="shared" si="2"/>
        <v>0</v>
      </c>
      <c r="M10" s="263">
        <f t="shared" si="2"/>
        <v>0</v>
      </c>
    </row>
    <row r="11" spans="2:15" s="2" customFormat="1" x14ac:dyDescent="0.2">
      <c r="B11" s="4" t="s">
        <v>73</v>
      </c>
      <c r="C11" s="264">
        <f>SUM(C8:C10)-C7</f>
        <v>13.599999999999998</v>
      </c>
      <c r="D11" s="264">
        <f t="shared" ref="D11:M11" si="3">SUM(D8:D10)-D7</f>
        <v>11.100000000000001</v>
      </c>
      <c r="E11" s="264">
        <f t="shared" si="3"/>
        <v>7.0000000000000036</v>
      </c>
      <c r="F11" s="264">
        <f t="shared" si="3"/>
        <v>3.2000000000000028</v>
      </c>
      <c r="G11" s="264">
        <f t="shared" si="3"/>
        <v>0.10000000000000142</v>
      </c>
      <c r="H11" s="264">
        <f t="shared" si="3"/>
        <v>6.6999999999999957</v>
      </c>
      <c r="I11" s="264">
        <f t="shared" si="3"/>
        <v>4.2000000000000028</v>
      </c>
      <c r="J11" s="264">
        <f t="shared" si="3"/>
        <v>2.3500000000000014</v>
      </c>
      <c r="K11" s="264">
        <f t="shared" si="3"/>
        <v>0.68000000000000327</v>
      </c>
      <c r="L11" s="264">
        <f t="shared" si="3"/>
        <v>0.32499999999999751</v>
      </c>
      <c r="M11" s="264">
        <f t="shared" si="3"/>
        <v>-2.9999999999999361E-2</v>
      </c>
    </row>
    <row r="12" spans="2:15" x14ac:dyDescent="0.2">
      <c r="B12" s="3"/>
      <c r="C12" s="21"/>
      <c r="D12" s="21"/>
      <c r="E12" s="21"/>
      <c r="F12" s="21"/>
      <c r="G12" s="21"/>
      <c r="H12" s="21"/>
      <c r="I12" s="21"/>
      <c r="J12" s="21"/>
      <c r="K12" s="21"/>
      <c r="L12" s="21"/>
      <c r="M12" s="22"/>
    </row>
    <row r="13" spans="2:15" x14ac:dyDescent="0.2">
      <c r="B13" s="20" t="s">
        <v>382</v>
      </c>
      <c r="C13" s="314">
        <v>0</v>
      </c>
      <c r="D13" s="314">
        <v>0</v>
      </c>
      <c r="E13" s="314">
        <v>0</v>
      </c>
      <c r="F13" s="314">
        <v>0</v>
      </c>
      <c r="G13" s="314">
        <v>0</v>
      </c>
      <c r="H13" s="314">
        <v>2.0640049712599042</v>
      </c>
      <c r="I13" s="314">
        <v>5.6498016422690309</v>
      </c>
      <c r="J13" s="314">
        <v>7.686758099030139</v>
      </c>
      <c r="K13" s="314">
        <v>9.728526648979221</v>
      </c>
      <c r="L13" s="314">
        <v>10.089836444139094</v>
      </c>
      <c r="M13" s="314">
        <v>10.452090592334498</v>
      </c>
    </row>
    <row r="14" spans="2:15" x14ac:dyDescent="0.2">
      <c r="B14" s="20" t="s">
        <v>358</v>
      </c>
      <c r="C14" s="314">
        <v>0</v>
      </c>
      <c r="D14" s="314">
        <v>0</v>
      </c>
      <c r="E14" s="314">
        <v>0</v>
      </c>
      <c r="F14" s="314">
        <v>0</v>
      </c>
      <c r="G14" s="314">
        <v>0</v>
      </c>
      <c r="H14" s="314">
        <v>0.76768152866242056</v>
      </c>
      <c r="I14" s="314">
        <v>2.1341272149023154</v>
      </c>
      <c r="J14" s="314">
        <v>2.9101841990397208</v>
      </c>
      <c r="K14" s="314">
        <v>3.6909239815203723</v>
      </c>
      <c r="L14" s="314">
        <v>3.8493427230046975</v>
      </c>
      <c r="M14" s="314">
        <v>4.009299191374665</v>
      </c>
      <c r="O14" s="1" t="s">
        <v>357</v>
      </c>
    </row>
    <row r="15" spans="2:15" x14ac:dyDescent="0.2">
      <c r="B15" s="20" t="s">
        <v>359</v>
      </c>
      <c r="C15" s="314">
        <v>0</v>
      </c>
      <c r="D15" s="314">
        <v>0</v>
      </c>
      <c r="E15" s="314">
        <v>0</v>
      </c>
      <c r="F15" s="314">
        <v>0</v>
      </c>
      <c r="G15" s="314">
        <v>0</v>
      </c>
      <c r="H15" s="314">
        <v>4.7902749728134242E-2</v>
      </c>
      <c r="I15" s="314">
        <v>0.15395274875056786</v>
      </c>
      <c r="J15" s="314">
        <v>0.21793506795101708</v>
      </c>
      <c r="K15" s="314">
        <v>0.28675643560299546</v>
      </c>
      <c r="L15" s="314">
        <v>0.30928854968211966</v>
      </c>
      <c r="M15" s="314">
        <v>0.33280520675826708</v>
      </c>
      <c r="O15" s="1" t="s">
        <v>383</v>
      </c>
    </row>
    <row r="16" spans="2:15" x14ac:dyDescent="0.2">
      <c r="B16" s="20" t="s">
        <v>360</v>
      </c>
      <c r="C16" s="314">
        <v>0</v>
      </c>
      <c r="D16" s="314">
        <v>0</v>
      </c>
      <c r="E16" s="314">
        <v>0</v>
      </c>
      <c r="F16" s="314">
        <v>0</v>
      </c>
      <c r="G16" s="314">
        <v>0</v>
      </c>
      <c r="H16" s="314">
        <v>0</v>
      </c>
      <c r="I16" s="314">
        <v>0</v>
      </c>
      <c r="J16" s="314">
        <v>0</v>
      </c>
      <c r="K16" s="314">
        <v>0</v>
      </c>
      <c r="L16" s="314">
        <v>0</v>
      </c>
      <c r="M16" s="314">
        <v>0</v>
      </c>
      <c r="O16" s="1" t="s">
        <v>357</v>
      </c>
    </row>
    <row r="17" spans="1:15" x14ac:dyDescent="0.2">
      <c r="B17" s="20" t="s">
        <v>353</v>
      </c>
      <c r="C17" s="314">
        <v>0</v>
      </c>
      <c r="D17" s="314">
        <v>0</v>
      </c>
      <c r="E17" s="314">
        <v>0</v>
      </c>
      <c r="F17" s="314">
        <v>0</v>
      </c>
      <c r="G17" s="314">
        <v>0</v>
      </c>
      <c r="H17" s="314">
        <v>0.92212738853503207</v>
      </c>
      <c r="I17" s="314">
        <v>2.4502435256701487</v>
      </c>
      <c r="J17" s="314">
        <v>3.3114657354866877</v>
      </c>
      <c r="K17" s="314">
        <v>4.1651868962620773</v>
      </c>
      <c r="L17" s="314">
        <v>4.2981533646322401</v>
      </c>
      <c r="M17" s="314">
        <v>4.4303234501347726</v>
      </c>
      <c r="O17" s="1" t="s">
        <v>357</v>
      </c>
    </row>
    <row r="18" spans="1:15" x14ac:dyDescent="0.2">
      <c r="B18" s="20" t="s">
        <v>361</v>
      </c>
      <c r="C18" s="314">
        <v>0</v>
      </c>
      <c r="D18" s="314">
        <v>0</v>
      </c>
      <c r="E18" s="314">
        <v>0</v>
      </c>
      <c r="F18" s="314">
        <v>0</v>
      </c>
      <c r="G18" s="314">
        <v>0</v>
      </c>
      <c r="H18" s="314">
        <v>0.29399670799107053</v>
      </c>
      <c r="I18" s="314">
        <v>0.83093998909093991</v>
      </c>
      <c r="J18" s="314">
        <v>1.1302948386995766</v>
      </c>
      <c r="K18" s="314">
        <v>1.4302273147135889</v>
      </c>
      <c r="L18" s="314">
        <v>1.4681678561821285</v>
      </c>
      <c r="M18" s="314">
        <v>1.5052531603390844</v>
      </c>
      <c r="O18" s="1" t="s">
        <v>383</v>
      </c>
    </row>
    <row r="19" spans="1:15" x14ac:dyDescent="0.2">
      <c r="B19" s="20" t="s">
        <v>350</v>
      </c>
      <c r="C19" s="314">
        <v>0</v>
      </c>
      <c r="D19" s="314">
        <v>0</v>
      </c>
      <c r="E19" s="314">
        <v>0</v>
      </c>
      <c r="F19" s="314">
        <v>0</v>
      </c>
      <c r="G19" s="314">
        <v>0</v>
      </c>
      <c r="H19" s="314">
        <v>0.42911188296745068</v>
      </c>
      <c r="I19" s="314">
        <v>1.1525054514516055</v>
      </c>
      <c r="J19" s="314">
        <v>1.5606169513189549</v>
      </c>
      <c r="K19" s="314">
        <v>1.9655958176042545</v>
      </c>
      <c r="L19" s="314">
        <v>2.0364716660453488</v>
      </c>
      <c r="M19" s="314">
        <v>2.1072936807627509</v>
      </c>
      <c r="O19" s="1" t="s">
        <v>383</v>
      </c>
    </row>
    <row r="20" spans="1:15" s="2" customFormat="1" x14ac:dyDescent="0.2">
      <c r="B20" s="4" t="s">
        <v>27</v>
      </c>
      <c r="C20" s="315">
        <f>SUM(C16:C19)</f>
        <v>0</v>
      </c>
      <c r="D20" s="315">
        <f t="shared" ref="D20:M20" si="4">SUM(D16:D19)</f>
        <v>0</v>
      </c>
      <c r="E20" s="315">
        <f t="shared" si="4"/>
        <v>0</v>
      </c>
      <c r="F20" s="315">
        <f t="shared" si="4"/>
        <v>0</v>
      </c>
      <c r="G20" s="315">
        <f t="shared" si="4"/>
        <v>0</v>
      </c>
      <c r="H20" s="315">
        <f t="shared" si="4"/>
        <v>1.6452359794935534</v>
      </c>
      <c r="I20" s="315">
        <f t="shared" si="4"/>
        <v>4.4336889662126939</v>
      </c>
      <c r="J20" s="315">
        <f t="shared" si="4"/>
        <v>6.002377525505219</v>
      </c>
      <c r="K20" s="315">
        <f t="shared" si="4"/>
        <v>7.5610100285799202</v>
      </c>
      <c r="L20" s="315">
        <f t="shared" si="4"/>
        <v>7.8027928868597183</v>
      </c>
      <c r="M20" s="315">
        <f t="shared" si="4"/>
        <v>8.0428702912366088</v>
      </c>
      <c r="O20" s="2" t="s">
        <v>384</v>
      </c>
    </row>
    <row r="23" spans="1:15" x14ac:dyDescent="0.2">
      <c r="B23" s="13" t="s">
        <v>28</v>
      </c>
      <c r="C23" s="14"/>
      <c r="D23" s="14"/>
      <c r="E23" s="14"/>
      <c r="F23" s="14"/>
      <c r="G23" s="14"/>
      <c r="H23" s="14"/>
      <c r="I23" s="15"/>
    </row>
    <row r="24" spans="1:15" ht="24" x14ac:dyDescent="0.2">
      <c r="B24" s="16" t="s">
        <v>29</v>
      </c>
      <c r="C24" s="17" t="s">
        <v>15</v>
      </c>
      <c r="D24" s="18" t="s">
        <v>16</v>
      </c>
      <c r="E24" s="25" t="s">
        <v>37</v>
      </c>
      <c r="F24" s="18" t="s">
        <v>30</v>
      </c>
      <c r="G24" s="17" t="s">
        <v>31</v>
      </c>
      <c r="H24" s="18" t="s">
        <v>21</v>
      </c>
      <c r="I24" s="17" t="s">
        <v>33</v>
      </c>
    </row>
    <row r="25" spans="1:15" x14ac:dyDescent="0.2">
      <c r="A25" s="200" t="s">
        <v>184</v>
      </c>
      <c r="B25" s="19"/>
      <c r="C25" s="6"/>
      <c r="D25" s="18"/>
      <c r="E25" s="6" t="s">
        <v>36</v>
      </c>
      <c r="F25" s="18" t="s">
        <v>19</v>
      </c>
      <c r="G25" s="6" t="s">
        <v>43</v>
      </c>
      <c r="H25" s="18" t="s">
        <v>32</v>
      </c>
      <c r="I25" s="6" t="s">
        <v>24</v>
      </c>
    </row>
    <row r="26" spans="1:15" x14ac:dyDescent="0.2">
      <c r="A26" s="199"/>
      <c r="B26" s="7" t="s">
        <v>347</v>
      </c>
      <c r="C26" s="7" t="s">
        <v>310</v>
      </c>
      <c r="D26" s="7" t="s">
        <v>143</v>
      </c>
      <c r="E26" s="7" t="s">
        <v>136</v>
      </c>
      <c r="F26" s="7" t="s">
        <v>232</v>
      </c>
      <c r="G26" s="7">
        <v>7.2</v>
      </c>
      <c r="H26" s="7">
        <v>0</v>
      </c>
      <c r="I26" s="7">
        <v>2015</v>
      </c>
    </row>
    <row r="27" spans="1:15" x14ac:dyDescent="0.2">
      <c r="A27" s="199"/>
      <c r="B27" s="7" t="s">
        <v>234</v>
      </c>
      <c r="C27" s="7" t="s">
        <v>310</v>
      </c>
      <c r="D27" s="7" t="s">
        <v>143</v>
      </c>
      <c r="E27" s="7" t="s">
        <v>136</v>
      </c>
      <c r="F27" s="7" t="s">
        <v>232</v>
      </c>
      <c r="G27" s="7">
        <v>2.2999999999999998</v>
      </c>
      <c r="H27" s="7">
        <v>5</v>
      </c>
      <c r="I27" s="7">
        <v>2050</v>
      </c>
    </row>
    <row r="28" spans="1:15" x14ac:dyDescent="0.2">
      <c r="A28" s="199"/>
      <c r="B28" s="7" t="s">
        <v>334</v>
      </c>
      <c r="C28" s="7" t="s">
        <v>310</v>
      </c>
      <c r="D28" s="7" t="s">
        <v>143</v>
      </c>
      <c r="E28" s="7" t="s">
        <v>136</v>
      </c>
      <c r="F28" s="7" t="s">
        <v>232</v>
      </c>
      <c r="G28" s="7">
        <v>9.5</v>
      </c>
      <c r="H28" s="7">
        <v>12</v>
      </c>
      <c r="I28" s="7">
        <v>2028</v>
      </c>
    </row>
    <row r="29" spans="1:15" x14ac:dyDescent="0.2">
      <c r="A29" s="199">
        <v>1</v>
      </c>
      <c r="B29" s="7" t="s">
        <v>335</v>
      </c>
      <c r="C29" s="7" t="s">
        <v>310</v>
      </c>
      <c r="D29" s="7" t="s">
        <v>143</v>
      </c>
      <c r="E29" s="7" t="s">
        <v>138</v>
      </c>
      <c r="F29" s="7" t="s">
        <v>339</v>
      </c>
      <c r="G29" s="7">
        <v>9.5</v>
      </c>
      <c r="H29" s="7">
        <v>15</v>
      </c>
      <c r="I29" s="7">
        <v>2031</v>
      </c>
    </row>
    <row r="30" spans="1:15" x14ac:dyDescent="0.2">
      <c r="A30" s="199"/>
      <c r="B30" s="7" t="s">
        <v>336</v>
      </c>
      <c r="C30" s="7" t="s">
        <v>310</v>
      </c>
      <c r="D30" s="7" t="s">
        <v>143</v>
      </c>
      <c r="E30" s="7" t="s">
        <v>139</v>
      </c>
      <c r="F30" s="7" t="s">
        <v>340</v>
      </c>
      <c r="G30" s="7">
        <v>9.5</v>
      </c>
      <c r="H30" s="7">
        <v>13</v>
      </c>
      <c r="I30" s="7">
        <v>2029</v>
      </c>
    </row>
    <row r="31" spans="1:15" x14ac:dyDescent="0.2">
      <c r="A31" s="199"/>
      <c r="B31" s="7" t="s">
        <v>337</v>
      </c>
      <c r="C31" s="7" t="s">
        <v>310</v>
      </c>
      <c r="D31" s="7" t="s">
        <v>143</v>
      </c>
      <c r="E31" s="7" t="s">
        <v>338</v>
      </c>
      <c r="F31" s="7" t="s">
        <v>341</v>
      </c>
      <c r="G31" s="7">
        <v>9.5</v>
      </c>
      <c r="H31" s="7">
        <v>20</v>
      </c>
      <c r="I31" s="7">
        <v>2036</v>
      </c>
    </row>
  </sheetData>
  <phoneticPr fontId="5" type="noConversion"/>
  <conditionalFormatting sqref="B26:I31">
    <cfRule type="expression" dxfId="8" priority="3">
      <formula>VALUE($A26)=0</formula>
    </cfRule>
  </conditionalFormatting>
  <conditionalFormatting sqref="C11:M11">
    <cfRule type="cellIs" dxfId="7" priority="1" operator="lessThan">
      <formula>0</formula>
    </cfRule>
    <cfRule type="cellIs" dxfId="6" priority="2" operator="greaterThan">
      <formula>0</formula>
    </cfRule>
  </conditionalFormatting>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ReportTables</vt:lpstr>
      <vt:lpstr>ReportFigures</vt:lpstr>
      <vt:lpstr>DemandTables</vt:lpstr>
      <vt:lpstr>ContactInfo_Use Sector Desc</vt:lpstr>
      <vt:lpstr>Population&amp;Demand Projections</vt:lpstr>
      <vt:lpstr>Supply Alternative 1</vt:lpstr>
      <vt:lpstr>Supply Alternative 2</vt:lpstr>
      <vt:lpstr>Supply Alternative 3</vt:lpstr>
      <vt:lpstr>Supply Alternative 4</vt:lpstr>
      <vt:lpstr>Supply Alternative 5</vt:lpstr>
      <vt:lpstr>Supply Alternatives Summary</vt:lpstr>
    </vt:vector>
  </TitlesOfParts>
  <Company>NC Division of Water Resources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J. Rayno</dc:creator>
  <cp:lastModifiedBy>Sydney Paul Miller</cp:lastModifiedBy>
  <cp:lastPrinted>2012-08-22T18:45:58Z</cp:lastPrinted>
  <dcterms:created xsi:type="dcterms:W3CDTF">2000-10-23T21:54:55Z</dcterms:created>
  <dcterms:modified xsi:type="dcterms:W3CDTF">2014-10-23T18:49:20Z</dcterms:modified>
</cp:coreProperties>
</file>