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pivotTables/pivotTable1.xml" ContentType="application/vnd.openxmlformats-officedocument.spreadsheetml.pivotTable+xml"/>
  <Override PartName="/xl/drawings/drawing4.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165" windowWidth="18870" windowHeight="10680" tabRatio="707" firstSheet="8" activeTab="14"/>
  </bookViews>
  <sheets>
    <sheet name="Instructions" sheetId="14" r:id="rId1"/>
    <sheet name="JLPData" sheetId="13" r:id="rId2"/>
    <sheet name="DataIn" sheetId="9" r:id="rId3"/>
    <sheet name="ReportTables" sheetId="10" r:id="rId4"/>
    <sheet name="ReportFigures" sheetId="12" r:id="rId5"/>
    <sheet name="DemandTables" sheetId="11" r:id="rId6"/>
    <sheet name="ContactInfo_Use Sector Desc" sheetId="8" r:id="rId7"/>
    <sheet name="Population&amp;Demand Projections" sheetId="1" r:id="rId8"/>
    <sheet name="Supply Alternative 1" sheetId="2" r:id="rId9"/>
    <sheet name="Supply Alternative 2" sheetId="3" r:id="rId10"/>
    <sheet name="Supply Alternative 3" sheetId="4" r:id="rId11"/>
    <sheet name="Supply Alternative 4" sheetId="6" r:id="rId12"/>
    <sheet name="Supply Alternative 5" sheetId="5" r:id="rId13"/>
    <sheet name="Supply Alternative 6" sheetId="16" r:id="rId14"/>
    <sheet name="Supply Alternatives Summary" sheetId="7" r:id="rId15"/>
    <sheet name="Example Data" sheetId="15" r:id="rId16"/>
  </sheets>
  <calcPr calcId="145621"/>
  <pivotCaches>
    <pivotCache cacheId="0" r:id="rId17"/>
  </pivotCaches>
</workbook>
</file>

<file path=xl/calcChain.xml><?xml version="1.0" encoding="utf-8"?>
<calcChain xmlns="http://schemas.openxmlformats.org/spreadsheetml/2006/main">
  <c r="C124" i="10" l="1"/>
  <c r="G125" i="10" l="1"/>
  <c r="G124" i="10"/>
  <c r="G123" i="10"/>
  <c r="G122" i="10"/>
  <c r="G120" i="10"/>
  <c r="G119" i="10"/>
  <c r="G118" i="10"/>
  <c r="G117" i="10"/>
  <c r="G116" i="10"/>
  <c r="G115" i="10"/>
  <c r="G113" i="10"/>
  <c r="G121" i="10"/>
  <c r="G114" i="10"/>
  <c r="G112" i="10"/>
  <c r="C11" i="11" l="1"/>
  <c r="C112" i="10" l="1"/>
  <c r="I28" i="16"/>
  <c r="H28" i="16"/>
  <c r="G28" i="16"/>
  <c r="F28" i="16"/>
  <c r="E28" i="16"/>
  <c r="D28" i="16"/>
  <c r="C28" i="16"/>
  <c r="B28" i="16"/>
  <c r="I27" i="16"/>
  <c r="H27" i="16"/>
  <c r="G27" i="16"/>
  <c r="F27" i="16"/>
  <c r="E27" i="16"/>
  <c r="D27" i="16"/>
  <c r="C27" i="16"/>
  <c r="B27" i="16"/>
  <c r="I26" i="16"/>
  <c r="H26" i="16"/>
  <c r="G26" i="16"/>
  <c r="E26" i="16"/>
  <c r="D26" i="16"/>
  <c r="C26" i="16"/>
  <c r="B26" i="16"/>
  <c r="I25" i="16"/>
  <c r="H25" i="16"/>
  <c r="G25" i="16"/>
  <c r="E25" i="16"/>
  <c r="D25" i="16"/>
  <c r="C25" i="16"/>
  <c r="B25" i="16"/>
  <c r="I24" i="16"/>
  <c r="H24" i="16"/>
  <c r="G24" i="16"/>
  <c r="F24" i="16"/>
  <c r="E24" i="16"/>
  <c r="D24" i="16"/>
  <c r="C24" i="16"/>
  <c r="B24" i="16"/>
  <c r="I23" i="16"/>
  <c r="H23" i="16"/>
  <c r="G23" i="16"/>
  <c r="F23" i="16"/>
  <c r="E23" i="16"/>
  <c r="D23" i="16"/>
  <c r="C23" i="16"/>
  <c r="B23" i="16"/>
  <c r="M17" i="16"/>
  <c r="L17" i="16"/>
  <c r="K17" i="16"/>
  <c r="J17" i="16"/>
  <c r="I17" i="16"/>
  <c r="H17" i="16"/>
  <c r="G17" i="16"/>
  <c r="F17" i="16"/>
  <c r="E17" i="16"/>
  <c r="D17" i="16"/>
  <c r="C17" i="16"/>
  <c r="M10" i="16"/>
  <c r="L10" i="16"/>
  <c r="K10" i="16"/>
  <c r="J10" i="16"/>
  <c r="I10" i="16"/>
  <c r="H10" i="16"/>
  <c r="G10" i="16"/>
  <c r="F10" i="16"/>
  <c r="E10" i="16"/>
  <c r="D10" i="16"/>
  <c r="C10" i="16"/>
  <c r="B10" i="16"/>
  <c r="M9" i="16"/>
  <c r="L9" i="16"/>
  <c r="K9" i="16"/>
  <c r="J9" i="16"/>
  <c r="I9" i="16"/>
  <c r="H9" i="16"/>
  <c r="G9" i="16"/>
  <c r="F9" i="16"/>
  <c r="E9" i="16"/>
  <c r="D9" i="16"/>
  <c r="C9" i="16"/>
  <c r="B9" i="16"/>
  <c r="M8" i="16"/>
  <c r="L8" i="16"/>
  <c r="K8" i="16"/>
  <c r="J8" i="16"/>
  <c r="I8" i="16"/>
  <c r="H8" i="16"/>
  <c r="G8" i="16"/>
  <c r="F8" i="16"/>
  <c r="E8" i="16"/>
  <c r="D8" i="16"/>
  <c r="C8" i="16"/>
  <c r="B8" i="16"/>
  <c r="D87" i="10" l="1"/>
  <c r="G92" i="10"/>
  <c r="G89" i="10"/>
  <c r="G90" i="10"/>
  <c r="G91" i="10"/>
  <c r="G88" i="10"/>
  <c r="G63" i="10"/>
  <c r="F64" i="10"/>
  <c r="F65" i="10"/>
  <c r="E65" i="10"/>
  <c r="D65" i="10"/>
  <c r="C65" i="10"/>
  <c r="B65" i="10"/>
  <c r="G65" i="10"/>
  <c r="B38" i="10"/>
  <c r="C38" i="10"/>
  <c r="F38" i="10"/>
  <c r="G38" i="10"/>
  <c r="H38" i="10"/>
  <c r="B35" i="10"/>
  <c r="C35" i="10"/>
  <c r="F35" i="10"/>
  <c r="G35" i="10"/>
  <c r="H35" i="10"/>
  <c r="B36" i="10"/>
  <c r="C36" i="10"/>
  <c r="F36" i="10"/>
  <c r="G36" i="10"/>
  <c r="H36" i="10"/>
  <c r="B37" i="10"/>
  <c r="C37" i="10"/>
  <c r="F37" i="10"/>
  <c r="G37" i="10"/>
  <c r="H37" i="10"/>
  <c r="C34" i="10"/>
  <c r="F34" i="10"/>
  <c r="G34" i="10"/>
  <c r="H34" i="10"/>
  <c r="B34" i="10"/>
  <c r="O75" i="10" l="1"/>
  <c r="G103" i="1" s="1"/>
  <c r="L75" i="10"/>
  <c r="D103" i="1" s="1"/>
  <c r="U75" i="10"/>
  <c r="M103" i="1" s="1"/>
  <c r="Q75" i="10"/>
  <c r="I103" i="1" s="1"/>
  <c r="M75" i="10"/>
  <c r="E103" i="1" s="1"/>
  <c r="S75" i="10"/>
  <c r="K103" i="1" s="1"/>
  <c r="K75" i="10"/>
  <c r="C103" i="1" s="1"/>
  <c r="T75" i="10"/>
  <c r="L103" i="1" s="1"/>
  <c r="R75" i="10"/>
  <c r="J103" i="1" s="1"/>
  <c r="P75" i="10"/>
  <c r="H103" i="1" s="1"/>
  <c r="N75" i="10"/>
  <c r="F103" i="1" s="1"/>
  <c r="F75" i="9"/>
  <c r="F25" i="16" s="1"/>
  <c r="F76" i="9" l="1"/>
  <c r="F26" i="16" s="1"/>
  <c r="L27" i="13"/>
  <c r="K56" i="10" l="1"/>
  <c r="K55" i="10"/>
  <c r="D9" i="5"/>
  <c r="E9" i="5"/>
  <c r="F9" i="5"/>
  <c r="G9" i="5"/>
  <c r="H9" i="5"/>
  <c r="I9" i="5"/>
  <c r="J9" i="5"/>
  <c r="K9" i="5"/>
  <c r="L9" i="5"/>
  <c r="M9" i="5"/>
  <c r="D10" i="5"/>
  <c r="E10" i="5"/>
  <c r="F10" i="5"/>
  <c r="G10" i="5"/>
  <c r="H10" i="5"/>
  <c r="I10" i="5"/>
  <c r="J10" i="5"/>
  <c r="K10" i="5"/>
  <c r="L10" i="5"/>
  <c r="M10" i="5"/>
  <c r="C10" i="5"/>
  <c r="C9" i="5"/>
  <c r="D9" i="6"/>
  <c r="E9" i="6"/>
  <c r="F9" i="6"/>
  <c r="G9" i="6"/>
  <c r="H9" i="6"/>
  <c r="I9" i="6"/>
  <c r="J9" i="6"/>
  <c r="K9" i="6"/>
  <c r="L9" i="6"/>
  <c r="M9" i="6"/>
  <c r="D10" i="6"/>
  <c r="E10" i="6"/>
  <c r="F10" i="6"/>
  <c r="G10" i="6"/>
  <c r="H10" i="6"/>
  <c r="I10" i="6"/>
  <c r="J10" i="6"/>
  <c r="K10" i="6"/>
  <c r="L10" i="6"/>
  <c r="M10" i="6"/>
  <c r="C10" i="6"/>
  <c r="C9" i="6"/>
  <c r="D10" i="3"/>
  <c r="E10" i="3"/>
  <c r="F10" i="3"/>
  <c r="G10" i="3"/>
  <c r="H10" i="3"/>
  <c r="I10" i="3"/>
  <c r="J10" i="3"/>
  <c r="K10" i="3"/>
  <c r="L10" i="3"/>
  <c r="M10" i="3"/>
  <c r="C10" i="3"/>
  <c r="J144" i="10"/>
  <c r="I144" i="10"/>
  <c r="C3" i="8" l="1"/>
  <c r="C4" i="8"/>
  <c r="H22" i="15"/>
  <c r="G22" i="15"/>
  <c r="F22" i="15"/>
  <c r="E22" i="15"/>
  <c r="D22" i="15"/>
  <c r="C22" i="15"/>
  <c r="C15" i="15"/>
  <c r="D15" i="15"/>
  <c r="D17" i="15" s="1"/>
  <c r="D16" i="15" s="1"/>
  <c r="E15" i="15"/>
  <c r="F15" i="15"/>
  <c r="F17" i="15" s="1"/>
  <c r="G15" i="15"/>
  <c r="G17" i="15" s="1"/>
  <c r="H15" i="15"/>
  <c r="H17" i="15" s="1"/>
  <c r="H16" i="15" s="1"/>
  <c r="B3" i="7"/>
  <c r="C116" i="10"/>
  <c r="D116" i="10"/>
  <c r="E116" i="10"/>
  <c r="F116" i="10"/>
  <c r="D10" i="4"/>
  <c r="E10" i="4"/>
  <c r="F10" i="4"/>
  <c r="G10" i="4"/>
  <c r="H10" i="4"/>
  <c r="I10" i="4"/>
  <c r="J10" i="4"/>
  <c r="K10" i="4"/>
  <c r="L10" i="4"/>
  <c r="M10" i="4"/>
  <c r="C10" i="4"/>
  <c r="D9" i="4"/>
  <c r="E9" i="4"/>
  <c r="F9" i="4"/>
  <c r="G9" i="4"/>
  <c r="H9" i="4"/>
  <c r="I9" i="4"/>
  <c r="J9" i="4"/>
  <c r="K9" i="4"/>
  <c r="L9" i="4"/>
  <c r="M9" i="4"/>
  <c r="C9" i="4"/>
  <c r="D24" i="2"/>
  <c r="D25" i="2"/>
  <c r="D26" i="2"/>
  <c r="D27" i="2"/>
  <c r="D28" i="2"/>
  <c r="D23" i="2"/>
  <c r="E16" i="15" l="1"/>
  <c r="E17" i="15"/>
  <c r="C17" i="15"/>
  <c r="C16" i="15" s="1"/>
  <c r="G16" i="15"/>
  <c r="F16" i="15"/>
  <c r="C109" i="1"/>
  <c r="G19" i="13"/>
  <c r="F19" i="13"/>
  <c r="E19" i="13"/>
  <c r="D19" i="13"/>
  <c r="C19" i="13"/>
  <c r="B19" i="13"/>
  <c r="E102" i="10"/>
  <c r="F102" i="10"/>
  <c r="G102" i="10"/>
  <c r="F103" i="10"/>
  <c r="G103" i="10"/>
  <c r="E104" i="10"/>
  <c r="E105" i="10"/>
  <c r="F105" i="10"/>
  <c r="D106" i="10"/>
  <c r="E106" i="10"/>
  <c r="F106" i="10"/>
  <c r="G101" i="10"/>
  <c r="F101" i="10" l="1"/>
  <c r="E101" i="10"/>
  <c r="D101" i="10"/>
  <c r="C102" i="10"/>
  <c r="C105" i="10"/>
  <c r="C106" i="10"/>
  <c r="B10" i="5"/>
  <c r="B9" i="5"/>
  <c r="B10" i="6"/>
  <c r="B9" i="6"/>
  <c r="B10" i="4"/>
  <c r="B9" i="4"/>
  <c r="B10" i="3"/>
  <c r="C17" i="3"/>
  <c r="D17" i="3"/>
  <c r="B45" i="1"/>
  <c r="I28" i="5" l="1"/>
  <c r="H28" i="5"/>
  <c r="G28" i="5"/>
  <c r="G106" i="10" s="1"/>
  <c r="F28" i="5"/>
  <c r="E28" i="5"/>
  <c r="D28" i="5"/>
  <c r="C28" i="5"/>
  <c r="B28" i="5"/>
  <c r="I27" i="5"/>
  <c r="H27" i="5"/>
  <c r="G27" i="5"/>
  <c r="G105" i="10" s="1"/>
  <c r="F27" i="5"/>
  <c r="E27" i="5"/>
  <c r="D27" i="5"/>
  <c r="C27" i="5"/>
  <c r="B27" i="5"/>
  <c r="B8" i="5" s="1"/>
  <c r="I26" i="5"/>
  <c r="H26" i="5"/>
  <c r="G26" i="5"/>
  <c r="G104" i="10" s="1"/>
  <c r="F26" i="5"/>
  <c r="E26" i="5"/>
  <c r="D26" i="5"/>
  <c r="C26" i="5"/>
  <c r="B26" i="5"/>
  <c r="I25" i="5"/>
  <c r="H25" i="5"/>
  <c r="G25" i="5"/>
  <c r="F25" i="5"/>
  <c r="E25" i="5"/>
  <c r="D25" i="5"/>
  <c r="C25" i="5"/>
  <c r="B25" i="5"/>
  <c r="I24" i="5"/>
  <c r="H24" i="5"/>
  <c r="G24" i="5"/>
  <c r="F24" i="5"/>
  <c r="E24" i="5"/>
  <c r="D24" i="5"/>
  <c r="C24" i="5"/>
  <c r="B24" i="5"/>
  <c r="I23" i="5"/>
  <c r="H23" i="5"/>
  <c r="G23" i="5"/>
  <c r="F23" i="5"/>
  <c r="E23" i="5"/>
  <c r="D23" i="5"/>
  <c r="C23" i="5"/>
  <c r="B23" i="5"/>
  <c r="I28" i="6"/>
  <c r="H28" i="6"/>
  <c r="G28" i="6"/>
  <c r="F28" i="6"/>
  <c r="E28" i="6"/>
  <c r="D28" i="6"/>
  <c r="C28" i="6"/>
  <c r="B28" i="6"/>
  <c r="I27" i="6"/>
  <c r="H27" i="6"/>
  <c r="G27" i="6"/>
  <c r="F27" i="6"/>
  <c r="E27" i="6"/>
  <c r="D27" i="6"/>
  <c r="C27" i="6"/>
  <c r="B27" i="6"/>
  <c r="I26" i="6"/>
  <c r="H26" i="6"/>
  <c r="G26" i="6"/>
  <c r="F104" i="10" s="1"/>
  <c r="F107" i="10" s="1"/>
  <c r="F26" i="6"/>
  <c r="E26" i="6"/>
  <c r="D26" i="6"/>
  <c r="C26" i="6"/>
  <c r="B26" i="6"/>
  <c r="B8" i="6" s="1"/>
  <c r="I25" i="6"/>
  <c r="H25" i="6"/>
  <c r="G25" i="6"/>
  <c r="F25" i="6"/>
  <c r="E25" i="6"/>
  <c r="D25" i="6"/>
  <c r="C25" i="6"/>
  <c r="B25" i="6"/>
  <c r="I24" i="6"/>
  <c r="H24" i="6"/>
  <c r="G24" i="6"/>
  <c r="F24" i="6"/>
  <c r="E24" i="6"/>
  <c r="D24" i="6"/>
  <c r="C24" i="6"/>
  <c r="B24" i="6"/>
  <c r="I23" i="6"/>
  <c r="H23" i="6"/>
  <c r="G23" i="6"/>
  <c r="F23" i="6"/>
  <c r="E23" i="6"/>
  <c r="D23" i="6"/>
  <c r="C23" i="6"/>
  <c r="B23" i="6"/>
  <c r="I28" i="4"/>
  <c r="H28" i="4"/>
  <c r="G28" i="4"/>
  <c r="F28" i="4"/>
  <c r="E28" i="4"/>
  <c r="D28" i="4"/>
  <c r="C28" i="4"/>
  <c r="B28" i="4"/>
  <c r="I27" i="4"/>
  <c r="H27" i="4"/>
  <c r="G27" i="4"/>
  <c r="F27" i="4"/>
  <c r="E27" i="4"/>
  <c r="D27" i="4"/>
  <c r="C27" i="4"/>
  <c r="B27" i="4"/>
  <c r="I26" i="4"/>
  <c r="H26" i="4"/>
  <c r="G26" i="4"/>
  <c r="F26" i="4"/>
  <c r="E26" i="4"/>
  <c r="D26" i="4"/>
  <c r="C26" i="4"/>
  <c r="B26" i="4"/>
  <c r="I25" i="4"/>
  <c r="H25" i="4"/>
  <c r="G25" i="4"/>
  <c r="E103" i="10" s="1"/>
  <c r="E107" i="10" s="1"/>
  <c r="F25" i="4"/>
  <c r="E25" i="4"/>
  <c r="D25" i="4"/>
  <c r="C25" i="4"/>
  <c r="B25" i="4"/>
  <c r="B8" i="4" s="1"/>
  <c r="I24" i="4"/>
  <c r="H24" i="4"/>
  <c r="G24" i="4"/>
  <c r="F24" i="4"/>
  <c r="E24" i="4"/>
  <c r="D24" i="4"/>
  <c r="C24" i="4"/>
  <c r="B24" i="4"/>
  <c r="I23" i="4"/>
  <c r="H23" i="4"/>
  <c r="G23" i="4"/>
  <c r="F23" i="4"/>
  <c r="E23" i="4"/>
  <c r="D23" i="4"/>
  <c r="C23" i="4"/>
  <c r="B23" i="4"/>
  <c r="I23" i="2"/>
  <c r="J141" i="10" s="1"/>
  <c r="C116" i="1"/>
  <c r="C115" i="1"/>
  <c r="D110" i="1"/>
  <c r="E110" i="1"/>
  <c r="F110" i="1"/>
  <c r="G110" i="1"/>
  <c r="H110" i="1"/>
  <c r="I110" i="1"/>
  <c r="J110" i="1"/>
  <c r="K110" i="1"/>
  <c r="L110" i="1"/>
  <c r="M110" i="1"/>
  <c r="C110" i="1"/>
  <c r="D109" i="1"/>
  <c r="D115" i="1" s="1"/>
  <c r="E109" i="1"/>
  <c r="E116" i="1" s="1"/>
  <c r="F109" i="1"/>
  <c r="F115" i="1" s="1"/>
  <c r="G109" i="1"/>
  <c r="G115" i="1" s="1"/>
  <c r="H109" i="1"/>
  <c r="H115" i="1" s="1"/>
  <c r="I109" i="1"/>
  <c r="I115" i="1" s="1"/>
  <c r="J109" i="1"/>
  <c r="J115" i="1" s="1"/>
  <c r="K109" i="1"/>
  <c r="K115" i="1" s="1"/>
  <c r="L109" i="1"/>
  <c r="L115" i="1" s="1"/>
  <c r="M109" i="1"/>
  <c r="M116" i="1" s="1"/>
  <c r="I28" i="3"/>
  <c r="H28" i="3"/>
  <c r="G28" i="3"/>
  <c r="F28" i="3"/>
  <c r="E28" i="3"/>
  <c r="D28" i="3"/>
  <c r="C28" i="3"/>
  <c r="B28" i="3"/>
  <c r="I27" i="3"/>
  <c r="H27" i="3"/>
  <c r="G27" i="3"/>
  <c r="D105" i="10" s="1"/>
  <c r="F27" i="3"/>
  <c r="E27" i="3"/>
  <c r="D27" i="3"/>
  <c r="C27" i="3"/>
  <c r="B27" i="3"/>
  <c r="I26" i="3"/>
  <c r="H26" i="3"/>
  <c r="G26" i="3"/>
  <c r="D104" i="10" s="1"/>
  <c r="F26" i="3"/>
  <c r="E26" i="3"/>
  <c r="D26" i="3"/>
  <c r="C26" i="3"/>
  <c r="B26" i="3"/>
  <c r="I25" i="3"/>
  <c r="H25" i="3"/>
  <c r="G25" i="3"/>
  <c r="D103" i="10" s="1"/>
  <c r="F25" i="3"/>
  <c r="E25" i="3"/>
  <c r="D25" i="3"/>
  <c r="C25" i="3"/>
  <c r="B25" i="3"/>
  <c r="I24" i="3"/>
  <c r="H24" i="3"/>
  <c r="G24" i="3"/>
  <c r="D102" i="10" s="1"/>
  <c r="F24" i="3"/>
  <c r="E24" i="3"/>
  <c r="D24" i="3"/>
  <c r="C24" i="3"/>
  <c r="B24" i="3"/>
  <c r="I23" i="3"/>
  <c r="H23" i="3"/>
  <c r="G23" i="3"/>
  <c r="F23" i="3"/>
  <c r="E23" i="3"/>
  <c r="D23" i="3"/>
  <c r="C23" i="3"/>
  <c r="B23" i="3"/>
  <c r="C24" i="2"/>
  <c r="C25" i="2"/>
  <c r="C26" i="2"/>
  <c r="C27" i="2"/>
  <c r="C28" i="2"/>
  <c r="C23" i="2"/>
  <c r="G107" i="10" l="1"/>
  <c r="K116" i="1"/>
  <c r="I116" i="1"/>
  <c r="F116" i="1"/>
  <c r="M115" i="1"/>
  <c r="E115" i="1"/>
  <c r="B8" i="3"/>
  <c r="J116" i="1"/>
  <c r="G116" i="1"/>
  <c r="C8" i="4"/>
  <c r="J100" i="12" s="1"/>
  <c r="M8" i="4"/>
  <c r="T100" i="12" s="1"/>
  <c r="K8" i="4"/>
  <c r="R100" i="12" s="1"/>
  <c r="I8" i="4"/>
  <c r="P100" i="12" s="1"/>
  <c r="G8" i="4"/>
  <c r="N100" i="12" s="1"/>
  <c r="E8" i="4"/>
  <c r="L100" i="12" s="1"/>
  <c r="L8" i="4"/>
  <c r="S100" i="12" s="1"/>
  <c r="J8" i="4"/>
  <c r="Q100" i="12" s="1"/>
  <c r="H8" i="4"/>
  <c r="O100" i="12" s="1"/>
  <c r="F8" i="4"/>
  <c r="M100" i="12" s="1"/>
  <c r="D8" i="4"/>
  <c r="K100" i="12" s="1"/>
  <c r="D8" i="6"/>
  <c r="F8" i="6"/>
  <c r="H8" i="6"/>
  <c r="J8" i="6"/>
  <c r="L8" i="6"/>
  <c r="C8" i="6"/>
  <c r="E8" i="6"/>
  <c r="G8" i="6"/>
  <c r="I8" i="6"/>
  <c r="K8" i="6"/>
  <c r="M8" i="6"/>
  <c r="M8" i="5"/>
  <c r="K8" i="5"/>
  <c r="I8" i="5"/>
  <c r="G8" i="5"/>
  <c r="E8" i="5"/>
  <c r="C8" i="5"/>
  <c r="L8" i="5"/>
  <c r="J8" i="5"/>
  <c r="H8" i="5"/>
  <c r="F8" i="5"/>
  <c r="D8" i="5"/>
  <c r="B9" i="3"/>
  <c r="D107" i="10"/>
  <c r="E8" i="3"/>
  <c r="I8" i="3"/>
  <c r="M8" i="3"/>
  <c r="C8" i="3"/>
  <c r="F8" i="3"/>
  <c r="J8" i="3"/>
  <c r="G8" i="3"/>
  <c r="K8" i="3"/>
  <c r="D8" i="3"/>
  <c r="H8" i="3"/>
  <c r="L8" i="3"/>
  <c r="G9" i="3"/>
  <c r="K9" i="3"/>
  <c r="D9" i="3"/>
  <c r="H9" i="3"/>
  <c r="L9" i="3"/>
  <c r="E9" i="3"/>
  <c r="I9" i="3"/>
  <c r="M9" i="3"/>
  <c r="F9" i="3"/>
  <c r="J9" i="3"/>
  <c r="C9" i="3"/>
  <c r="L116" i="1"/>
  <c r="H116" i="1"/>
  <c r="D116" i="1"/>
  <c r="C8" i="2"/>
  <c r="K141" i="10" s="1"/>
  <c r="B24" i="2" l="1"/>
  <c r="E24" i="2"/>
  <c r="F24" i="2"/>
  <c r="G24" i="2"/>
  <c r="H24" i="2"/>
  <c r="I24" i="2"/>
  <c r="B25" i="2"/>
  <c r="E25" i="2"/>
  <c r="F25" i="2"/>
  <c r="G25" i="2"/>
  <c r="C103" i="10" s="1"/>
  <c r="H25" i="2"/>
  <c r="I25" i="2"/>
  <c r="J142" i="10" s="1"/>
  <c r="B26" i="2"/>
  <c r="E26" i="2"/>
  <c r="F26" i="2"/>
  <c r="G26" i="2"/>
  <c r="C104" i="10" s="1"/>
  <c r="H26" i="2"/>
  <c r="I26" i="2"/>
  <c r="J143" i="10" s="1"/>
  <c r="B27" i="2"/>
  <c r="E27" i="2"/>
  <c r="F27" i="2"/>
  <c r="G27" i="2"/>
  <c r="H27" i="2"/>
  <c r="I27" i="2"/>
  <c r="B28" i="2"/>
  <c r="E28" i="2"/>
  <c r="F28" i="2"/>
  <c r="G28" i="2"/>
  <c r="H28" i="2"/>
  <c r="I28" i="2"/>
  <c r="H23" i="2"/>
  <c r="G23" i="2"/>
  <c r="F23" i="2"/>
  <c r="E23" i="2"/>
  <c r="B23" i="2"/>
  <c r="I143" i="10" l="1"/>
  <c r="B9" i="2"/>
  <c r="I142" i="10"/>
  <c r="B8" i="2"/>
  <c r="I141" i="10"/>
  <c r="C101" i="10"/>
  <c r="C107" i="10" s="1"/>
  <c r="G8" i="2"/>
  <c r="I8" i="2"/>
  <c r="Q141" i="10" s="1"/>
  <c r="H8" i="2"/>
  <c r="P141" i="10" s="1"/>
  <c r="F8" i="2"/>
  <c r="N141" i="10" s="1"/>
  <c r="L8" i="2"/>
  <c r="T141" i="10" s="1"/>
  <c r="J8" i="2"/>
  <c r="R141" i="10" s="1"/>
  <c r="K8" i="2"/>
  <c r="S141" i="10" s="1"/>
  <c r="M8" i="2"/>
  <c r="U141" i="10" s="1"/>
  <c r="D8" i="2"/>
  <c r="L141" i="10" s="1"/>
  <c r="E8" i="2"/>
  <c r="M141" i="10" s="1"/>
  <c r="G10" i="2"/>
  <c r="O143" i="10" s="1"/>
  <c r="K10" i="2"/>
  <c r="S143" i="10" s="1"/>
  <c r="I10" i="2"/>
  <c r="Q143" i="10" s="1"/>
  <c r="D10" i="2"/>
  <c r="L143" i="10" s="1"/>
  <c r="H10" i="2"/>
  <c r="P143" i="10" s="1"/>
  <c r="L10" i="2"/>
  <c r="T143" i="10" s="1"/>
  <c r="F10" i="2"/>
  <c r="N143" i="10" s="1"/>
  <c r="J10" i="2"/>
  <c r="R143" i="10" s="1"/>
  <c r="C10" i="2"/>
  <c r="K143" i="10" s="1"/>
  <c r="E10" i="2"/>
  <c r="M143" i="10" s="1"/>
  <c r="M10" i="2"/>
  <c r="U143" i="10" s="1"/>
  <c r="B10" i="2"/>
  <c r="G9" i="2"/>
  <c r="O142" i="10" s="1"/>
  <c r="K9" i="2"/>
  <c r="S142" i="10" s="1"/>
  <c r="E9" i="2"/>
  <c r="M142" i="10" s="1"/>
  <c r="C9" i="2"/>
  <c r="D9" i="2"/>
  <c r="L142" i="10" s="1"/>
  <c r="H9" i="2"/>
  <c r="P142" i="10" s="1"/>
  <c r="L9" i="2"/>
  <c r="T142" i="10" s="1"/>
  <c r="I9" i="2"/>
  <c r="Q142" i="10" s="1"/>
  <c r="M9" i="2"/>
  <c r="U142" i="10" s="1"/>
  <c r="F9" i="2"/>
  <c r="N142" i="10" s="1"/>
  <c r="J9" i="2"/>
  <c r="R142" i="10" s="1"/>
  <c r="C122" i="10"/>
  <c r="D122" i="10"/>
  <c r="E122" i="10"/>
  <c r="F122" i="10"/>
  <c r="C123" i="10"/>
  <c r="D123" i="10"/>
  <c r="E123" i="10"/>
  <c r="F123" i="10"/>
  <c r="C121" i="10"/>
  <c r="D121" i="10"/>
  <c r="E121" i="10"/>
  <c r="F121" i="10"/>
  <c r="B88" i="10"/>
  <c r="B102" i="10" s="1"/>
  <c r="B89" i="10"/>
  <c r="B103" i="10" s="1"/>
  <c r="B90" i="10"/>
  <c r="B104" i="10" s="1"/>
  <c r="B91" i="10"/>
  <c r="B105" i="10" s="1"/>
  <c r="B92" i="10"/>
  <c r="B106" i="10" s="1"/>
  <c r="B87" i="10"/>
  <c r="C88" i="10"/>
  <c r="C89" i="10"/>
  <c r="C90" i="10"/>
  <c r="C91" i="10"/>
  <c r="C92" i="10"/>
  <c r="C87" i="10"/>
  <c r="E87" i="10"/>
  <c r="D88" i="10"/>
  <c r="E88" i="10"/>
  <c r="D89" i="10"/>
  <c r="E89" i="10"/>
  <c r="D90" i="10"/>
  <c r="E90" i="10"/>
  <c r="D91" i="10"/>
  <c r="E91" i="10"/>
  <c r="D92" i="10"/>
  <c r="E92" i="10"/>
  <c r="F88" i="10"/>
  <c r="F89" i="10"/>
  <c r="F90" i="10"/>
  <c r="F91" i="10"/>
  <c r="F92" i="10"/>
  <c r="F87" i="10"/>
  <c r="G87" i="10"/>
  <c r="U145" i="10" l="1"/>
  <c r="N145" i="10"/>
  <c r="S145" i="10"/>
  <c r="P145" i="10"/>
  <c r="J98" i="12"/>
  <c r="K142" i="10"/>
  <c r="K145" i="10" s="1"/>
  <c r="M145" i="10"/>
  <c r="Q145" i="10"/>
  <c r="R145" i="10"/>
  <c r="L145" i="10"/>
  <c r="T145" i="10"/>
  <c r="N98" i="12"/>
  <c r="O141" i="10"/>
  <c r="O145" i="10" s="1"/>
  <c r="K98" i="12"/>
  <c r="L98" i="12"/>
  <c r="P98" i="12"/>
  <c r="T98" i="12"/>
  <c r="M98" i="12"/>
  <c r="S98" i="12"/>
  <c r="Q98" i="12"/>
  <c r="R98" i="12"/>
  <c r="O98" i="12"/>
  <c r="D26" i="9"/>
  <c r="F26" i="9"/>
  <c r="H26" i="9"/>
  <c r="J26" i="9"/>
  <c r="L26" i="9"/>
  <c r="N26" i="9"/>
  <c r="D106" i="1"/>
  <c r="E106" i="1"/>
  <c r="F106" i="1"/>
  <c r="G106" i="1"/>
  <c r="H106" i="1"/>
  <c r="I106" i="1"/>
  <c r="J106" i="1"/>
  <c r="K106" i="1"/>
  <c r="L106" i="1"/>
  <c r="M106" i="1"/>
  <c r="C106" i="1"/>
  <c r="C4" i="1"/>
  <c r="C3" i="1"/>
  <c r="B1" i="16" s="1"/>
  <c r="F112" i="10"/>
  <c r="F113" i="10"/>
  <c r="F120" i="10"/>
  <c r="E120" i="10"/>
  <c r="D120" i="10"/>
  <c r="C120" i="10"/>
  <c r="F119" i="10"/>
  <c r="E119" i="10"/>
  <c r="D119" i="10"/>
  <c r="C119" i="10"/>
  <c r="F118" i="10"/>
  <c r="E118" i="10"/>
  <c r="D118" i="10"/>
  <c r="C118" i="10"/>
  <c r="F117" i="10"/>
  <c r="E117" i="10"/>
  <c r="D117" i="10"/>
  <c r="C117" i="10"/>
  <c r="F115" i="10"/>
  <c r="E115" i="10"/>
  <c r="D115" i="10"/>
  <c r="C115" i="10"/>
  <c r="F114" i="10"/>
  <c r="E114" i="10"/>
  <c r="D114" i="10"/>
  <c r="E113" i="10"/>
  <c r="D113" i="10"/>
  <c r="C113" i="10"/>
  <c r="E112" i="10"/>
  <c r="D112" i="10"/>
  <c r="C125" i="10"/>
  <c r="D125" i="10"/>
  <c r="E125" i="10"/>
  <c r="F125" i="10"/>
  <c r="D124" i="10"/>
  <c r="E124" i="10"/>
  <c r="F124" i="10"/>
  <c r="B4" i="7" l="1"/>
  <c r="B2" i="16"/>
  <c r="M26" i="9"/>
  <c r="G26" i="9"/>
  <c r="K26" i="9"/>
  <c r="E26" i="9"/>
  <c r="I26" i="9"/>
  <c r="C36" i="13"/>
  <c r="D36" i="13"/>
  <c r="E36" i="13"/>
  <c r="F36" i="13"/>
  <c r="G36" i="13"/>
  <c r="B36" i="13"/>
  <c r="F63" i="10" l="1"/>
  <c r="B64" i="10"/>
  <c r="C64" i="10"/>
  <c r="D64" i="10"/>
  <c r="E64" i="10"/>
  <c r="E63" i="10"/>
  <c r="D63" i="10"/>
  <c r="B63" i="10"/>
  <c r="C63" i="10"/>
  <c r="G105" i="1" l="1"/>
  <c r="K105" i="1"/>
  <c r="D105" i="1"/>
  <c r="H105" i="1"/>
  <c r="L105" i="1"/>
  <c r="F105" i="1"/>
  <c r="J105" i="1"/>
  <c r="C105" i="1"/>
  <c r="E105" i="1"/>
  <c r="I105" i="1"/>
  <c r="M105" i="1"/>
  <c r="K71" i="10"/>
  <c r="N36" i="9"/>
  <c r="U26" i="10" s="1"/>
  <c r="L36" i="9"/>
  <c r="L9" i="1" s="1"/>
  <c r="J36" i="9"/>
  <c r="Q26" i="10" s="1"/>
  <c r="H36" i="9"/>
  <c r="H9" i="1" s="1"/>
  <c r="F36" i="9"/>
  <c r="M26" i="10" s="1"/>
  <c r="D36" i="9"/>
  <c r="K26" i="10" s="1"/>
  <c r="B20" i="9"/>
  <c r="B21" i="9"/>
  <c r="B22" i="9"/>
  <c r="B23" i="9"/>
  <c r="B24" i="9"/>
  <c r="B25" i="9"/>
  <c r="B26" i="9"/>
  <c r="B27" i="9"/>
  <c r="C20" i="9"/>
  <c r="C8" i="11" s="1"/>
  <c r="C21" i="9"/>
  <c r="C9" i="11" s="1"/>
  <c r="C22" i="9"/>
  <c r="C10" i="11" s="1"/>
  <c r="C24" i="9"/>
  <c r="C12" i="11" s="1"/>
  <c r="C25" i="9"/>
  <c r="C13" i="11" s="1"/>
  <c r="C26" i="9"/>
  <c r="C19" i="9"/>
  <c r="C7" i="11" s="1"/>
  <c r="B19" i="9"/>
  <c r="D20" i="9"/>
  <c r="F20" i="9"/>
  <c r="H20" i="9"/>
  <c r="J20" i="9"/>
  <c r="L20" i="9"/>
  <c r="N20" i="9"/>
  <c r="D21" i="9"/>
  <c r="F21" i="9"/>
  <c r="H21" i="9"/>
  <c r="J21" i="9"/>
  <c r="L21" i="9"/>
  <c r="N21" i="9"/>
  <c r="D22" i="9"/>
  <c r="F22" i="9"/>
  <c r="H22" i="9"/>
  <c r="J22" i="9"/>
  <c r="L22" i="9"/>
  <c r="N22" i="9"/>
  <c r="D23" i="9"/>
  <c r="D24" i="9"/>
  <c r="F24" i="9"/>
  <c r="H24" i="9"/>
  <c r="J24" i="9"/>
  <c r="L24" i="9"/>
  <c r="N24" i="9"/>
  <c r="D25" i="9"/>
  <c r="F25" i="9"/>
  <c r="H25" i="9"/>
  <c r="J25" i="9"/>
  <c r="L25" i="9"/>
  <c r="N25" i="9"/>
  <c r="N19" i="9"/>
  <c r="L19" i="9"/>
  <c r="J19" i="9"/>
  <c r="H19" i="9"/>
  <c r="F19" i="9"/>
  <c r="D19" i="9"/>
  <c r="M17" i="5"/>
  <c r="L17" i="5"/>
  <c r="K17" i="5"/>
  <c r="J17" i="5"/>
  <c r="I17" i="5"/>
  <c r="H17" i="5"/>
  <c r="G17" i="5"/>
  <c r="F17" i="5"/>
  <c r="E17" i="5"/>
  <c r="D17" i="5"/>
  <c r="C17" i="5"/>
  <c r="B2" i="5"/>
  <c r="B1" i="5"/>
  <c r="M17" i="6"/>
  <c r="L17" i="6"/>
  <c r="K17" i="6"/>
  <c r="J17" i="6"/>
  <c r="I17" i="6"/>
  <c r="H17" i="6"/>
  <c r="G17" i="6"/>
  <c r="F17" i="6"/>
  <c r="E17" i="6"/>
  <c r="D17" i="6"/>
  <c r="C17" i="6"/>
  <c r="B2" i="6"/>
  <c r="B1" i="6"/>
  <c r="M17" i="4"/>
  <c r="L17" i="4"/>
  <c r="K17" i="4"/>
  <c r="J17" i="4"/>
  <c r="I17" i="4"/>
  <c r="H17" i="4"/>
  <c r="G17" i="4"/>
  <c r="F17" i="4"/>
  <c r="E17" i="4"/>
  <c r="D17" i="4"/>
  <c r="C17" i="4"/>
  <c r="B2" i="4"/>
  <c r="B1" i="4"/>
  <c r="M17" i="3"/>
  <c r="L17" i="3"/>
  <c r="K17" i="3"/>
  <c r="J17" i="3"/>
  <c r="I17" i="3"/>
  <c r="H17" i="3"/>
  <c r="G17" i="3"/>
  <c r="F17" i="3"/>
  <c r="E17" i="3"/>
  <c r="B2" i="3"/>
  <c r="B1" i="3"/>
  <c r="B2" i="2"/>
  <c r="B1" i="2"/>
  <c r="C17" i="2"/>
  <c r="D17" i="2"/>
  <c r="E17" i="2"/>
  <c r="F17" i="2"/>
  <c r="G17" i="2"/>
  <c r="H17" i="2"/>
  <c r="I17" i="2"/>
  <c r="J17" i="2"/>
  <c r="K17" i="2"/>
  <c r="L17" i="2"/>
  <c r="M17" i="2"/>
  <c r="D54" i="1"/>
  <c r="E54" i="1"/>
  <c r="F54" i="1"/>
  <c r="G54" i="1"/>
  <c r="H54" i="1"/>
  <c r="I54" i="1"/>
  <c r="J54" i="1"/>
  <c r="K54" i="1"/>
  <c r="L54" i="1"/>
  <c r="M54" i="1"/>
  <c r="N54" i="1"/>
  <c r="I22" i="9" l="1"/>
  <c r="I10" i="11" s="1"/>
  <c r="K37" i="1"/>
  <c r="G25" i="9"/>
  <c r="G13" i="11" s="1"/>
  <c r="K22" i="9"/>
  <c r="K31" i="1" s="1"/>
  <c r="D9" i="1"/>
  <c r="I19" i="9"/>
  <c r="I16" i="1" s="1"/>
  <c r="I24" i="9"/>
  <c r="I38" i="1" s="1"/>
  <c r="M21" i="9"/>
  <c r="M9" i="11" s="1"/>
  <c r="E107" i="1"/>
  <c r="L72" i="12" s="1"/>
  <c r="G21" i="9"/>
  <c r="G9" i="11" s="1"/>
  <c r="I37" i="1"/>
  <c r="E20" i="9"/>
  <c r="E8" i="11" s="1"/>
  <c r="E24" i="9"/>
  <c r="E38" i="1" s="1"/>
  <c r="I25" i="9"/>
  <c r="I13" i="11" s="1"/>
  <c r="K10" i="11"/>
  <c r="L16" i="1"/>
  <c r="L7" i="11"/>
  <c r="N12" i="11"/>
  <c r="N38" i="1"/>
  <c r="J37" i="1"/>
  <c r="F10" i="11"/>
  <c r="F31" i="1"/>
  <c r="J8" i="11"/>
  <c r="J21" i="1"/>
  <c r="G37" i="1"/>
  <c r="N27" i="9"/>
  <c r="N7" i="11"/>
  <c r="N16" i="1"/>
  <c r="H37" i="1"/>
  <c r="G36" i="9"/>
  <c r="G22" i="9"/>
  <c r="H27" i="9"/>
  <c r="H7" i="11"/>
  <c r="H16" i="1"/>
  <c r="M25" i="9"/>
  <c r="N39" i="1"/>
  <c r="N13" i="11"/>
  <c r="F39" i="1"/>
  <c r="F13" i="11"/>
  <c r="K24" i="9"/>
  <c r="J38" i="1"/>
  <c r="J12" i="11"/>
  <c r="N37" i="1"/>
  <c r="F37" i="1"/>
  <c r="J10" i="11"/>
  <c r="J31" i="1"/>
  <c r="D31" i="1"/>
  <c r="D10" i="11"/>
  <c r="H9" i="11"/>
  <c r="H26" i="1"/>
  <c r="L21" i="1"/>
  <c r="L8" i="11"/>
  <c r="G20" i="9"/>
  <c r="F8" i="11"/>
  <c r="F21" i="1"/>
  <c r="E36" i="9"/>
  <c r="E9" i="1" s="1"/>
  <c r="K36" i="9"/>
  <c r="R26" i="10" s="1"/>
  <c r="S26" i="10"/>
  <c r="F9" i="1"/>
  <c r="M26" i="1"/>
  <c r="D16" i="1"/>
  <c r="D7" i="11"/>
  <c r="J13" i="11"/>
  <c r="J39" i="1"/>
  <c r="F12" i="11"/>
  <c r="F38" i="1"/>
  <c r="N10" i="11"/>
  <c r="N31" i="1"/>
  <c r="L9" i="11"/>
  <c r="L26" i="1"/>
  <c r="D9" i="11"/>
  <c r="D26" i="1"/>
  <c r="K19" i="9"/>
  <c r="K25" i="9"/>
  <c r="M24" i="9"/>
  <c r="M37" i="1"/>
  <c r="E19" i="9"/>
  <c r="F7" i="11"/>
  <c r="F16" i="1"/>
  <c r="H13" i="11"/>
  <c r="H39" i="1"/>
  <c r="L38" i="1"/>
  <c r="L12" i="11"/>
  <c r="D38" i="1"/>
  <c r="D12" i="11"/>
  <c r="L27" i="9"/>
  <c r="L31" i="1"/>
  <c r="L10" i="11"/>
  <c r="E22" i="9"/>
  <c r="I21" i="9"/>
  <c r="J26" i="1"/>
  <c r="J9" i="11"/>
  <c r="M20" i="9"/>
  <c r="N8" i="11"/>
  <c r="N21" i="1"/>
  <c r="H8" i="11"/>
  <c r="H21" i="1"/>
  <c r="M19" i="9"/>
  <c r="K21" i="9"/>
  <c r="I20" i="9"/>
  <c r="E21" i="9"/>
  <c r="G24" i="9"/>
  <c r="J27" i="9"/>
  <c r="J7" i="11"/>
  <c r="J16" i="1"/>
  <c r="L13" i="11"/>
  <c r="L39" i="1"/>
  <c r="E25" i="9"/>
  <c r="D13" i="11"/>
  <c r="D39" i="1"/>
  <c r="H38" i="1"/>
  <c r="H12" i="11"/>
  <c r="L37" i="1"/>
  <c r="D11" i="11"/>
  <c r="D37" i="1"/>
  <c r="H31" i="1"/>
  <c r="H10" i="11"/>
  <c r="N26" i="1"/>
  <c r="N9" i="11"/>
  <c r="F26" i="1"/>
  <c r="F9" i="11"/>
  <c r="K20" i="9"/>
  <c r="D27" i="9"/>
  <c r="D21" i="1"/>
  <c r="D8" i="11"/>
  <c r="O26" i="10"/>
  <c r="C107" i="1"/>
  <c r="J72" i="12" s="1"/>
  <c r="G19" i="9"/>
  <c r="M22" i="9"/>
  <c r="F27" i="9"/>
  <c r="I36" i="9"/>
  <c r="N9" i="1"/>
  <c r="J9" i="1"/>
  <c r="M36" i="9"/>
  <c r="E12" i="11" l="1"/>
  <c r="K9" i="1"/>
  <c r="E37" i="1"/>
  <c r="I12" i="11"/>
  <c r="I31" i="1"/>
  <c r="I27" i="9"/>
  <c r="G39" i="1"/>
  <c r="G26" i="1"/>
  <c r="I7" i="11"/>
  <c r="E21" i="1"/>
  <c r="I39" i="1"/>
  <c r="L26" i="10"/>
  <c r="J14" i="11"/>
  <c r="J36" i="1"/>
  <c r="J41" i="1" s="1"/>
  <c r="I108" i="1" s="1"/>
  <c r="H14" i="11"/>
  <c r="M8" i="11"/>
  <c r="M21" i="1"/>
  <c r="E10" i="11"/>
  <c r="E31" i="1"/>
  <c r="E27" i="9"/>
  <c r="E7" i="11"/>
  <c r="E16" i="1"/>
  <c r="K39" i="1"/>
  <c r="K13" i="11"/>
  <c r="D14" i="11"/>
  <c r="G10" i="11"/>
  <c r="G31" i="1"/>
  <c r="E39" i="1"/>
  <c r="E13" i="11"/>
  <c r="K27" i="9"/>
  <c r="K16" i="1"/>
  <c r="K7" i="11"/>
  <c r="D36" i="1"/>
  <c r="D41" i="1" s="1"/>
  <c r="K12" i="11"/>
  <c r="K38" i="1"/>
  <c r="L14" i="11"/>
  <c r="M27" i="9"/>
  <c r="M10" i="11"/>
  <c r="M31" i="1"/>
  <c r="K8" i="11"/>
  <c r="K21" i="1"/>
  <c r="E26" i="1"/>
  <c r="E9" i="11"/>
  <c r="K9" i="11"/>
  <c r="K26" i="1"/>
  <c r="F36" i="1"/>
  <c r="F41" i="1" s="1"/>
  <c r="E108" i="1" s="1"/>
  <c r="G8" i="11"/>
  <c r="G21" i="1"/>
  <c r="M39" i="1"/>
  <c r="M13" i="11"/>
  <c r="N36" i="1"/>
  <c r="N41" i="1" s="1"/>
  <c r="M108" i="1" s="1"/>
  <c r="L36" i="1"/>
  <c r="G27" i="9"/>
  <c r="G7" i="11"/>
  <c r="G16" i="1"/>
  <c r="G12" i="11"/>
  <c r="G38" i="1"/>
  <c r="I21" i="1"/>
  <c r="I8" i="11"/>
  <c r="M7" i="11"/>
  <c r="M16" i="1"/>
  <c r="I9" i="11"/>
  <c r="I26" i="1"/>
  <c r="F14" i="11"/>
  <c r="M38" i="1"/>
  <c r="M12" i="11"/>
  <c r="H36" i="1"/>
  <c r="H41" i="1" s="1"/>
  <c r="G108" i="1" s="1"/>
  <c r="N26" i="10"/>
  <c r="G9" i="1"/>
  <c r="N14" i="11"/>
  <c r="F107" i="1"/>
  <c r="M72" i="12" s="1"/>
  <c r="L107" i="1"/>
  <c r="S72" i="12" s="1"/>
  <c r="I107" i="1"/>
  <c r="P72" i="12" s="1"/>
  <c r="J107" i="1"/>
  <c r="Q72" i="12" s="1"/>
  <c r="G107" i="1"/>
  <c r="N72" i="12" s="1"/>
  <c r="M107" i="1"/>
  <c r="T72" i="12" s="1"/>
  <c r="D107" i="1"/>
  <c r="K72" i="12" s="1"/>
  <c r="K107" i="1"/>
  <c r="R72" i="12" s="1"/>
  <c r="H107" i="1"/>
  <c r="O72" i="12" s="1"/>
  <c r="L41" i="1"/>
  <c r="K108" i="1" s="1"/>
  <c r="I9" i="1"/>
  <c r="P26" i="10"/>
  <c r="M9" i="1"/>
  <c r="T26" i="10"/>
  <c r="K36" i="1" l="1"/>
  <c r="K41" i="1" s="1"/>
  <c r="F55" i="1"/>
  <c r="J55" i="1"/>
  <c r="I14" i="11"/>
  <c r="I36" i="1"/>
  <c r="I41" i="1" s="1"/>
  <c r="H108" i="1" s="1"/>
  <c r="G14" i="11"/>
  <c r="H55" i="1"/>
  <c r="D55" i="1"/>
  <c r="C108" i="1"/>
  <c r="M36" i="1"/>
  <c r="M41" i="1" s="1"/>
  <c r="L108" i="1" s="1"/>
  <c r="E36" i="1"/>
  <c r="E41" i="1" s="1"/>
  <c r="M14" i="11"/>
  <c r="E14" i="11"/>
  <c r="G36" i="1"/>
  <c r="G41" i="1" s="1"/>
  <c r="K14" i="11"/>
  <c r="I117" i="1"/>
  <c r="I111" i="1"/>
  <c r="I112" i="1" s="1"/>
  <c r="N55" i="1"/>
  <c r="L55" i="1"/>
  <c r="E117" i="1"/>
  <c r="E111" i="1"/>
  <c r="E112" i="1" s="1"/>
  <c r="M55" i="1"/>
  <c r="G117" i="1"/>
  <c r="G111" i="1"/>
  <c r="G112" i="1" s="1"/>
  <c r="L75" i="12" l="1"/>
  <c r="Q74" i="10"/>
  <c r="Q77" i="10" s="1"/>
  <c r="P75" i="12"/>
  <c r="O74" i="10"/>
  <c r="O77" i="10" s="1"/>
  <c r="N75" i="12"/>
  <c r="I55" i="1"/>
  <c r="K55" i="1"/>
  <c r="J108" i="1"/>
  <c r="G55" i="1"/>
  <c r="F108" i="1"/>
  <c r="C111" i="1"/>
  <c r="C112" i="1" s="1"/>
  <c r="C117" i="1"/>
  <c r="E55" i="1"/>
  <c r="D108" i="1"/>
  <c r="G118" i="1"/>
  <c r="G7" i="16" s="1"/>
  <c r="G11" i="16" s="1"/>
  <c r="M74" i="10"/>
  <c r="E118" i="1"/>
  <c r="L117" i="1"/>
  <c r="L111" i="1"/>
  <c r="L112" i="1" s="1"/>
  <c r="M117" i="1"/>
  <c r="M111" i="1"/>
  <c r="M112" i="1" s="1"/>
  <c r="Q76" i="10"/>
  <c r="I118" i="1"/>
  <c r="O76" i="10"/>
  <c r="H117" i="1"/>
  <c r="H111" i="1"/>
  <c r="H112" i="1" s="1"/>
  <c r="K117" i="1"/>
  <c r="K111" i="1"/>
  <c r="K112" i="1" s="1"/>
  <c r="P97" i="12" l="1"/>
  <c r="I7" i="16"/>
  <c r="I11" i="16" s="1"/>
  <c r="L97" i="12"/>
  <c r="E7" i="16"/>
  <c r="E11" i="16" s="1"/>
  <c r="S75" i="12"/>
  <c r="K73" i="12"/>
  <c r="M73" i="12"/>
  <c r="O73" i="12"/>
  <c r="Q73" i="12"/>
  <c r="S73" i="12"/>
  <c r="S74" i="12" s="1"/>
  <c r="J73" i="12"/>
  <c r="J74" i="12" s="1"/>
  <c r="J75" i="12"/>
  <c r="L73" i="12"/>
  <c r="L74" i="12" s="1"/>
  <c r="N73" i="12"/>
  <c r="N74" i="12" s="1"/>
  <c r="P73" i="12"/>
  <c r="P74" i="12" s="1"/>
  <c r="R73" i="12"/>
  <c r="R74" i="12" s="1"/>
  <c r="T73" i="12"/>
  <c r="R75" i="12"/>
  <c r="O74" i="12"/>
  <c r="O75" i="12"/>
  <c r="T75" i="12"/>
  <c r="T74" i="12"/>
  <c r="G7" i="5"/>
  <c r="N97" i="12"/>
  <c r="J111" i="1"/>
  <c r="J112" i="1" s="1"/>
  <c r="J117" i="1"/>
  <c r="D117" i="1"/>
  <c r="D111" i="1"/>
  <c r="D112" i="1" s="1"/>
  <c r="F111" i="1"/>
  <c r="F112" i="1" s="1"/>
  <c r="F117" i="1"/>
  <c r="K74" i="10"/>
  <c r="C118" i="1"/>
  <c r="G7" i="3"/>
  <c r="G7" i="2"/>
  <c r="G11" i="2" s="1"/>
  <c r="G7" i="4"/>
  <c r="G11" i="4" s="1"/>
  <c r="G7" i="6"/>
  <c r="P74" i="10"/>
  <c r="H118" i="1"/>
  <c r="U74" i="10"/>
  <c r="M118" i="1"/>
  <c r="E7" i="5"/>
  <c r="E7" i="2"/>
  <c r="E11" i="2" s="1"/>
  <c r="E7" i="6"/>
  <c r="E7" i="4"/>
  <c r="E11" i="4" s="1"/>
  <c r="E7" i="3"/>
  <c r="M77" i="10"/>
  <c r="M76" i="10"/>
  <c r="S74" i="10"/>
  <c r="K118" i="1"/>
  <c r="T74" i="10"/>
  <c r="L118" i="1"/>
  <c r="I7" i="4"/>
  <c r="I11" i="4" s="1"/>
  <c r="I7" i="3"/>
  <c r="I7" i="6"/>
  <c r="I7" i="5"/>
  <c r="I7" i="2"/>
  <c r="I11" i="2" s="1"/>
  <c r="T97" i="12" l="1"/>
  <c r="M7" i="16"/>
  <c r="M11" i="16" s="1"/>
  <c r="O97" i="12"/>
  <c r="H7" i="16"/>
  <c r="H11" i="16" s="1"/>
  <c r="J97" i="12"/>
  <c r="C7" i="16"/>
  <c r="C11" i="16" s="1"/>
  <c r="S97" i="12"/>
  <c r="L7" i="16"/>
  <c r="L11" i="16" s="1"/>
  <c r="R97" i="12"/>
  <c r="K7" i="16"/>
  <c r="K11" i="16" s="1"/>
  <c r="K74" i="12"/>
  <c r="K75" i="12"/>
  <c r="M74" i="12"/>
  <c r="M75" i="12"/>
  <c r="Q74" i="12"/>
  <c r="Q75" i="12"/>
  <c r="N102" i="12"/>
  <c r="C99" i="10"/>
  <c r="G99" i="10"/>
  <c r="D99" i="10"/>
  <c r="E99" i="10"/>
  <c r="F99" i="10"/>
  <c r="I11" i="3"/>
  <c r="E11" i="3"/>
  <c r="E11" i="5"/>
  <c r="I11" i="6"/>
  <c r="G11" i="3"/>
  <c r="G11" i="6"/>
  <c r="I11" i="5"/>
  <c r="E11" i="6"/>
  <c r="K77" i="10"/>
  <c r="K76" i="10"/>
  <c r="C7" i="6"/>
  <c r="C7" i="4"/>
  <c r="C11" i="4" s="1"/>
  <c r="C7" i="3"/>
  <c r="C7" i="2"/>
  <c r="C11" i="2" s="1"/>
  <c r="C7" i="5"/>
  <c r="F118" i="1"/>
  <c r="N74" i="10"/>
  <c r="R74" i="10"/>
  <c r="J118" i="1"/>
  <c r="L74" i="10"/>
  <c r="D118" i="1"/>
  <c r="S77" i="10"/>
  <c r="S76" i="10"/>
  <c r="M7" i="2"/>
  <c r="M11" i="2" s="1"/>
  <c r="M7" i="6"/>
  <c r="M7" i="5"/>
  <c r="M7" i="4"/>
  <c r="M11" i="4" s="1"/>
  <c r="M7" i="3"/>
  <c r="L7" i="2"/>
  <c r="L11" i="2" s="1"/>
  <c r="L7" i="6"/>
  <c r="L7" i="5"/>
  <c r="L7" i="4"/>
  <c r="L11" i="4" s="1"/>
  <c r="L7" i="3"/>
  <c r="U76" i="10"/>
  <c r="U77" i="10"/>
  <c r="T77" i="10"/>
  <c r="T76" i="10"/>
  <c r="H7" i="2"/>
  <c r="H11" i="2" s="1"/>
  <c r="H7" i="4"/>
  <c r="H11" i="4" s="1"/>
  <c r="H7" i="5"/>
  <c r="H7" i="6"/>
  <c r="H7" i="3"/>
  <c r="K7" i="2"/>
  <c r="K11" i="2" s="1"/>
  <c r="K7" i="5"/>
  <c r="K7" i="3"/>
  <c r="K7" i="4"/>
  <c r="K11" i="4" s="1"/>
  <c r="K7" i="6"/>
  <c r="P76" i="10"/>
  <c r="P77" i="10"/>
  <c r="Q97" i="12" l="1"/>
  <c r="J7" i="16"/>
  <c r="J11" i="16" s="1"/>
  <c r="M97" i="12"/>
  <c r="F7" i="16"/>
  <c r="F11" i="16" s="1"/>
  <c r="K97" i="12"/>
  <c r="D7" i="16"/>
  <c r="D11" i="16" s="1"/>
  <c r="G11" i="5"/>
  <c r="P102" i="12"/>
  <c r="N99" i="12"/>
  <c r="P99" i="12"/>
  <c r="N101" i="12"/>
  <c r="P101" i="12"/>
  <c r="L102" i="12"/>
  <c r="L101" i="12"/>
  <c r="L99" i="12"/>
  <c r="D98" i="10"/>
  <c r="E98" i="10"/>
  <c r="F98" i="10"/>
  <c r="C98" i="10"/>
  <c r="G98" i="10"/>
  <c r="M11" i="6"/>
  <c r="H11" i="5"/>
  <c r="H11" i="3"/>
  <c r="L11" i="6"/>
  <c r="M11" i="5"/>
  <c r="K11" i="3"/>
  <c r="H11" i="6"/>
  <c r="L11" i="3"/>
  <c r="C11" i="3"/>
  <c r="K11" i="5"/>
  <c r="M11" i="3"/>
  <c r="K11" i="6"/>
  <c r="L11" i="5"/>
  <c r="C11" i="5"/>
  <c r="C11" i="6"/>
  <c r="F7" i="5"/>
  <c r="F7" i="6"/>
  <c r="F7" i="3"/>
  <c r="F7" i="4"/>
  <c r="F11" i="4" s="1"/>
  <c r="F7" i="2"/>
  <c r="F11" i="2" s="1"/>
  <c r="J7" i="5"/>
  <c r="J7" i="4"/>
  <c r="J11" i="4" s="1"/>
  <c r="J7" i="6"/>
  <c r="J7" i="3"/>
  <c r="J7" i="2"/>
  <c r="J11" i="2" s="1"/>
  <c r="R77" i="10"/>
  <c r="R76" i="10"/>
  <c r="L77" i="10"/>
  <c r="L76" i="10"/>
  <c r="D7" i="4"/>
  <c r="D11" i="4" s="1"/>
  <c r="D7" i="2"/>
  <c r="D11" i="2" s="1"/>
  <c r="D7" i="3"/>
  <c r="D7" i="5"/>
  <c r="D7" i="6"/>
  <c r="N76" i="10"/>
  <c r="N77" i="10"/>
  <c r="J102" i="12" l="1"/>
  <c r="R101" i="12"/>
  <c r="J99" i="12"/>
  <c r="T102" i="12"/>
  <c r="T99" i="12"/>
  <c r="S99" i="12"/>
  <c r="S101" i="12"/>
  <c r="O102" i="12"/>
  <c r="S102" i="12"/>
  <c r="O101" i="12"/>
  <c r="O99" i="12"/>
  <c r="T101" i="12"/>
  <c r="J101" i="12"/>
  <c r="R102" i="12"/>
  <c r="R99" i="12"/>
  <c r="D11" i="6"/>
  <c r="F11" i="3"/>
  <c r="F11" i="6"/>
  <c r="J11" i="6"/>
  <c r="D11" i="5"/>
  <c r="J11" i="5"/>
  <c r="D11" i="3"/>
  <c r="J11" i="3"/>
  <c r="F11" i="5"/>
  <c r="Q99" i="12" l="1"/>
  <c r="M99" i="12"/>
  <c r="K99" i="12"/>
  <c r="Q102" i="12"/>
  <c r="Q101" i="12"/>
  <c r="K101" i="12"/>
  <c r="M102" i="12"/>
  <c r="K102" i="12"/>
  <c r="M101" i="12"/>
</calcChain>
</file>

<file path=xl/comments1.xml><?xml version="1.0" encoding="utf-8"?>
<comments xmlns="http://schemas.openxmlformats.org/spreadsheetml/2006/main">
  <authors>
    <author>lsh1</author>
  </authors>
  <commentList>
    <comment ref="C72" authorId="0">
      <text>
        <r>
          <rPr>
            <b/>
            <sz val="9"/>
            <color indexed="81"/>
            <rFont val="Tahoma"/>
            <family val="2"/>
          </rPr>
          <t>TJCOG:
Possible Responses.</t>
        </r>
        <r>
          <rPr>
            <sz val="9"/>
            <color indexed="81"/>
            <rFont val="Tahoma"/>
            <family val="2"/>
          </rPr>
          <t xml:space="preserve">
</t>
        </r>
      </text>
    </comment>
    <comment ref="D72" authorId="0">
      <text>
        <r>
          <rPr>
            <b/>
            <sz val="9"/>
            <color indexed="81"/>
            <rFont val="Tahoma"/>
            <family val="2"/>
          </rPr>
          <t>TJCOG:
All should be surface water.</t>
        </r>
        <r>
          <rPr>
            <sz val="9"/>
            <color indexed="81"/>
            <rFont val="Tahoma"/>
            <family val="2"/>
          </rPr>
          <t xml:space="preserve">
</t>
        </r>
      </text>
    </comment>
    <comment ref="I72" authorId="0">
      <text>
        <r>
          <rPr>
            <b/>
            <sz val="9"/>
            <color indexed="81"/>
            <rFont val="Tahoma"/>
            <family val="2"/>
          </rPr>
          <t>TJCOG:</t>
        </r>
        <r>
          <rPr>
            <sz val="9"/>
            <color indexed="81"/>
            <rFont val="Tahoma"/>
            <family val="2"/>
          </rPr>
          <t xml:space="preserve">
List the most appropriate supply for the default option for Alternative 1.</t>
        </r>
      </text>
    </comment>
    <comment ref="J72" authorId="0">
      <text>
        <r>
          <rPr>
            <b/>
            <sz val="9"/>
            <color indexed="81"/>
            <rFont val="Tahoma"/>
            <family val="2"/>
          </rPr>
          <t>TJCOG:</t>
        </r>
        <r>
          <rPr>
            <sz val="9"/>
            <color indexed="81"/>
            <rFont val="Tahoma"/>
            <family val="2"/>
          </rPr>
          <t xml:space="preserve">
Add a range if the source can be configured several ways.  </t>
        </r>
      </text>
    </comment>
  </commentList>
</comments>
</file>

<file path=xl/comments2.xml><?xml version="1.0" encoding="utf-8"?>
<comments xmlns="http://schemas.openxmlformats.org/spreadsheetml/2006/main">
  <authors>
    <author>lsh1</author>
  </authors>
  <commentList>
    <comment ref="J25" authorId="0">
      <text>
        <r>
          <rPr>
            <b/>
            <sz val="9"/>
            <color indexed="81"/>
            <rFont val="Tahoma"/>
            <family val="2"/>
          </rPr>
          <t xml:space="preserve">TJCOG:  Only need to include this portion if you have distinct service area populations you'd like to break out.
</t>
        </r>
        <r>
          <rPr>
            <sz val="9"/>
            <color indexed="81"/>
            <rFont val="Tahoma"/>
            <family val="2"/>
          </rPr>
          <t xml:space="preserve">
</t>
        </r>
      </text>
    </comment>
  </commentList>
</comments>
</file>

<file path=xl/comments3.xml><?xml version="1.0" encoding="utf-8"?>
<comments xmlns="http://schemas.openxmlformats.org/spreadsheetml/2006/main">
  <authors>
    <author>Donald Rayno</author>
  </authors>
  <commentList>
    <comment ref="C37" author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C39" author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List>
</comments>
</file>

<file path=xl/comments4.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5.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6.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7.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8.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9.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sharedStrings.xml><?xml version="1.0" encoding="utf-8"?>
<sst xmlns="http://schemas.openxmlformats.org/spreadsheetml/2006/main" count="1325" uniqueCount="579">
  <si>
    <t>(1) Residential</t>
  </si>
  <si>
    <t>(2) Commercial</t>
  </si>
  <si>
    <t>(3) Industrial</t>
  </si>
  <si>
    <t>(4) Institutional</t>
  </si>
  <si>
    <t xml:space="preserve">(7) Total Service Area Demand </t>
  </si>
  <si>
    <t xml:space="preserve">(5) Total Available Supply </t>
  </si>
  <si>
    <t>Available Supply , MGD</t>
  </si>
  <si>
    <t>(6) Service Area Demand</t>
  </si>
  <si>
    <t>(9) Total Average Daily Demand</t>
  </si>
  <si>
    <t>(10) Demand as Percent of Supply</t>
  </si>
  <si>
    <t>Additional Information for J.L. Allocation</t>
  </si>
  <si>
    <t>(12) Sales Under Existing Contracts</t>
  </si>
  <si>
    <t>(13) Expected Sales Under Future Contracts</t>
  </si>
  <si>
    <t>(14) Demand in Each Planning Period</t>
  </si>
  <si>
    <t>Source or Facility Name</t>
  </si>
  <si>
    <t>PWSID</t>
  </si>
  <si>
    <t>SW or GW</t>
  </si>
  <si>
    <t>Sub-Basin</t>
  </si>
  <si>
    <t xml:space="preserve">Wat Qual </t>
  </si>
  <si>
    <t>Classification</t>
  </si>
  <si>
    <t>Supply</t>
  </si>
  <si>
    <t>Development</t>
  </si>
  <si>
    <t>Time</t>
  </si>
  <si>
    <t xml:space="preserve">Year </t>
  </si>
  <si>
    <t>Online</t>
  </si>
  <si>
    <t>MGD</t>
  </si>
  <si>
    <t>Water Supplied to:</t>
  </si>
  <si>
    <t>Contract Amount and Duration</t>
  </si>
  <si>
    <t>System Name</t>
  </si>
  <si>
    <t>Year Begin</t>
  </si>
  <si>
    <t>Year End</t>
  </si>
  <si>
    <t>Pipe Size</t>
  </si>
  <si>
    <t>(inches)</t>
  </si>
  <si>
    <t>Regular or</t>
  </si>
  <si>
    <t>Emergency</t>
  </si>
  <si>
    <t>(label the alternative presented in this table)</t>
  </si>
  <si>
    <t>(8)     Amount NOT returned to Source Basin</t>
  </si>
  <si>
    <t>List details of the future supply options included in this alternative scenario</t>
  </si>
  <si>
    <t>Future Source</t>
  </si>
  <si>
    <t>Wat. Qual</t>
  </si>
  <si>
    <t>Additional</t>
  </si>
  <si>
    <t>Time (years)</t>
  </si>
  <si>
    <t>Year</t>
  </si>
  <si>
    <t>Applicant</t>
  </si>
  <si>
    <t>Date</t>
  </si>
  <si>
    <t>Basin</t>
  </si>
  <si>
    <t>GS 143-215.22G</t>
  </si>
  <si>
    <t>Sub-total</t>
  </si>
  <si>
    <t>Total Sales Contracts</t>
  </si>
  <si>
    <t>Sales Commitments</t>
  </si>
  <si>
    <t>Total System Demand</t>
  </si>
  <si>
    <t>Existing commitments for additional Future Sales (list buyer)</t>
  </si>
  <si>
    <t>Supply mgd</t>
  </si>
  <si>
    <t>Show all water volumes in millions of gallons per day</t>
  </si>
  <si>
    <t>Indicate months of seasonal use</t>
  </si>
  <si>
    <t>Jan</t>
  </si>
  <si>
    <t>Feb</t>
  </si>
  <si>
    <t>Dec</t>
  </si>
  <si>
    <t>Nov</t>
  </si>
  <si>
    <t>Oct</t>
  </si>
  <si>
    <t>Sept</t>
  </si>
  <si>
    <t>Aug</t>
  </si>
  <si>
    <t>Jul</t>
  </si>
  <si>
    <t>June</t>
  </si>
  <si>
    <t>May</t>
  </si>
  <si>
    <t>Apr</t>
  </si>
  <si>
    <t>Mar</t>
  </si>
  <si>
    <r>
      <t xml:space="preserve">Existing Sales Contracts </t>
    </r>
    <r>
      <rPr>
        <b/>
        <sz val="10"/>
        <rFont val="Arial"/>
        <family val="2"/>
      </rPr>
      <t xml:space="preserve"> (list buyer and years covered by contract)</t>
    </r>
  </si>
  <si>
    <t>Projections</t>
  </si>
  <si>
    <t>Type of Population to be Served</t>
  </si>
  <si>
    <r>
      <t>Type of Use (</t>
    </r>
    <r>
      <rPr>
        <b/>
        <sz val="10"/>
        <rFont val="Arial"/>
        <family val="2"/>
      </rPr>
      <t>Average Daily Service Area Demand in Million Gallons per Day (MGD)  Do not include sales to other systems</t>
    </r>
    <r>
      <rPr>
        <b/>
        <sz val="12"/>
        <rFont val="Arial"/>
        <family val="2"/>
      </rPr>
      <t>)</t>
    </r>
  </si>
  <si>
    <t>Future Sales Contracts that have already been agreed to.</t>
  </si>
  <si>
    <t>Future Supplies  List all new supplies or facilities which were under development as of July 1, 2012</t>
  </si>
  <si>
    <t>Local Water Supply Plan  supplemental information  for Jordan Lake Allocation Application</t>
  </si>
  <si>
    <t xml:space="preserve"> Demand - Supply  Comparison  (Show all quantities in Million Gallons per Day )</t>
  </si>
  <si>
    <t>(1) Existing Surface Water Supply</t>
  </si>
  <si>
    <t>(2) Existing Ground Water Supply</t>
  </si>
  <si>
    <t xml:space="preserve">(3) Existing Purchase Contracts </t>
  </si>
  <si>
    <t xml:space="preserve">(4) Future Supplies                      </t>
  </si>
  <si>
    <t xml:space="preserve">(7) Existing Sales Contracts       </t>
  </si>
  <si>
    <t xml:space="preserve">(8) Contracts for Future Sales </t>
  </si>
  <si>
    <t>Expected</t>
  </si>
  <si>
    <t>(1) Line (15) From Demand - Supply Comparison Table</t>
  </si>
  <si>
    <t>List the Components of each alternative scenario including the expected period when each component will come online.</t>
  </si>
  <si>
    <t>(7)         Consumptive Use in Receiving Basin</t>
  </si>
  <si>
    <t>(6)              Total discharge to Receiving Basin</t>
  </si>
  <si>
    <t>(5)              Consumptive Use in Source Basin</t>
  </si>
  <si>
    <t>(4)                   Total discharge to Source Basin</t>
  </si>
  <si>
    <t>(3)               Supply Available for future needs</t>
  </si>
  <si>
    <t>Future Supply Alternative 5</t>
  </si>
  <si>
    <t>Future Supply Alternative 4</t>
  </si>
  <si>
    <t>Future Supply Alternative 3</t>
  </si>
  <si>
    <t>Future Supply Alternative 2</t>
  </si>
  <si>
    <t>(15) Supply Deficit    (Demand minus Supply)</t>
  </si>
  <si>
    <t>Alternatives</t>
  </si>
  <si>
    <t>Summary Description</t>
  </si>
  <si>
    <t>Alternative 1</t>
  </si>
  <si>
    <t>Alternative 2</t>
  </si>
  <si>
    <t>Alternative 3</t>
  </si>
  <si>
    <t>Alternative 4</t>
  </si>
  <si>
    <t>Alternative 5</t>
  </si>
  <si>
    <t>Environmental Impacts</t>
  </si>
  <si>
    <t>Water Quality Classification</t>
  </si>
  <si>
    <t>Regional Partnerships</t>
  </si>
  <si>
    <t>Technical Complexity</t>
  </si>
  <si>
    <t>Institutional Complexity</t>
  </si>
  <si>
    <t>Political Complexity</t>
  </si>
  <si>
    <t>Public Benefits</t>
  </si>
  <si>
    <t>Consistency with local plans</t>
  </si>
  <si>
    <t>Allocation Request (% of storage)</t>
  </si>
  <si>
    <t>Jordan Lake Allocation</t>
  </si>
  <si>
    <t>Use Sector</t>
  </si>
  <si>
    <t>Use Sub-sector</t>
  </si>
  <si>
    <t>Description</t>
  </si>
  <si>
    <t>Residential</t>
  </si>
  <si>
    <t>Commercial</t>
  </si>
  <si>
    <t>Industrial</t>
  </si>
  <si>
    <t>Institutional</t>
  </si>
  <si>
    <t>Insert more rows as needed</t>
  </si>
  <si>
    <t>Provide a description of the groups of customers included in each use sector or sub-sector</t>
  </si>
  <si>
    <t>Year-round population</t>
  </si>
  <si>
    <t>Seasonal Population (if applicable)</t>
  </si>
  <si>
    <t>Sector</t>
  </si>
  <si>
    <t>Subsector</t>
  </si>
  <si>
    <t>System Process</t>
  </si>
  <si>
    <t>Non-Revenue</t>
  </si>
  <si>
    <t>WTP Process</t>
  </si>
  <si>
    <t>Other Non-Revenue</t>
  </si>
  <si>
    <t xml:space="preserve">Section I </t>
  </si>
  <si>
    <t>Table I.1 - Title</t>
  </si>
  <si>
    <t>TOTAL</t>
  </si>
  <si>
    <t>Partner</t>
  </si>
  <si>
    <t>Source Name</t>
  </si>
  <si>
    <t>Demand Projections</t>
  </si>
  <si>
    <t>Population Table</t>
  </si>
  <si>
    <t>Data</t>
  </si>
  <si>
    <t xml:space="preserve">2010 </t>
  </si>
  <si>
    <t xml:space="preserve">2020 </t>
  </si>
  <si>
    <t xml:space="preserve">2030 </t>
  </si>
  <si>
    <t xml:space="preserve">2040 </t>
  </si>
  <si>
    <t xml:space="preserve">2045 </t>
  </si>
  <si>
    <t xml:space="preserve">2050 </t>
  </si>
  <si>
    <t xml:space="preserve">2060 </t>
  </si>
  <si>
    <t>General Tables Here</t>
  </si>
  <si>
    <t>Timeline Tables here</t>
  </si>
  <si>
    <t>Table I.1 - Use Sector Descriptions</t>
  </si>
  <si>
    <t>(See "Use Sector Descriptions" tab)</t>
  </si>
  <si>
    <t>See Table at right</t>
  </si>
  <si>
    <t>Table I.2 - Population Projections 2010 - 2060</t>
  </si>
  <si>
    <t xml:space="preserve">Section II </t>
  </si>
  <si>
    <t>Section III</t>
  </si>
  <si>
    <t xml:space="preserve">Figure III.1 - Map of Water Sources and Treatment Plants </t>
  </si>
  <si>
    <t xml:space="preserve">   (Recommended that partners add a map of water sources and treatment plants)</t>
  </si>
  <si>
    <t>Section II</t>
  </si>
  <si>
    <t>No tables are set for all partners.  Partners are encouraged to add tables as necessary to support their applications/</t>
  </si>
  <si>
    <t>Table III.1 - Source Summary of [Partner's] Existing Water Supply Sources</t>
  </si>
  <si>
    <t>Table IV.1 - Water Supply Needs</t>
  </si>
  <si>
    <t>See Timeline table at Right</t>
  </si>
  <si>
    <t>Source</t>
  </si>
  <si>
    <t>WQ Classification</t>
  </si>
  <si>
    <t>Sales</t>
  </si>
  <si>
    <t>Available Supply (MGD)</t>
  </si>
  <si>
    <t>http://www.ncwater.org/water_supply_planning/local_water_supply_plan/docs/river_basin_map.pdf</t>
  </si>
  <si>
    <t>Basins</t>
  </si>
  <si>
    <t>Haw (2-1)</t>
  </si>
  <si>
    <t>Deep (2-2)</t>
  </si>
  <si>
    <t>Cape Fear (2-3)</t>
  </si>
  <si>
    <t>Neuse (10-1)</t>
  </si>
  <si>
    <t>Contentnea (10-2)</t>
  </si>
  <si>
    <t>WQ Classifications:</t>
  </si>
  <si>
    <t>http://portal.ncdenr.org/web/wq/ps/csu/classifications</t>
  </si>
  <si>
    <t>SW</t>
  </si>
  <si>
    <t>Table III Notes, References</t>
  </si>
  <si>
    <t>(5) System Process   - Distribution Process</t>
  </si>
  <si>
    <t xml:space="preserve">   System Process - WTP Process</t>
  </si>
  <si>
    <t>(6) Other Non-revenue water (Unaccounted-for)</t>
  </si>
  <si>
    <t>Sources - Existing</t>
  </si>
  <si>
    <t>Supply (MGD)</t>
  </si>
  <si>
    <t>WS-II</t>
  </si>
  <si>
    <t>Demand</t>
  </si>
  <si>
    <t>Need</t>
  </si>
  <si>
    <t>Demand % of Supply</t>
  </si>
  <si>
    <t>Enter Population projection:</t>
  </si>
  <si>
    <t xml:space="preserve">Table I.3 - Demand Projections </t>
  </si>
  <si>
    <t>Option1 - Full Table</t>
  </si>
  <si>
    <t>Option 2 - Pivot Table Compact</t>
  </si>
  <si>
    <t>Demand Projection Percentages (Optional)</t>
  </si>
  <si>
    <t>Supplier</t>
  </si>
  <si>
    <t>Begin Year</t>
  </si>
  <si>
    <t>End Year</t>
  </si>
  <si>
    <t>Equiv. Supply (MGD)</t>
  </si>
  <si>
    <t>Regular or Emergency</t>
  </si>
  <si>
    <t>Pipe Size (in.)</t>
  </si>
  <si>
    <t>Table III.1X - Purchase Contracts  (use for regular purchases, or if no sources)</t>
  </si>
  <si>
    <t>Regular</t>
  </si>
  <si>
    <t>Note: Equivalent supply may be what you rate the purchase contract to be able to provide on an average day basis, if the contract amount is fixed.</t>
  </si>
  <si>
    <t>Contract Amount (MGD)</t>
  </si>
  <si>
    <t>Sum of Equiv. Supply shouild only include Regular contracts.</t>
  </si>
  <si>
    <t>Section V</t>
  </si>
  <si>
    <t>Figure I.X2  - Demand Projections by Sector</t>
  </si>
  <si>
    <t>Figure I.1 - Map of Service Area</t>
  </si>
  <si>
    <t>Figure I.X2b</t>
  </si>
  <si>
    <t>No set figures.  Partners may add figures as they wish to support this section.</t>
  </si>
  <si>
    <t>Jursidiction</t>
  </si>
  <si>
    <t>Apex</t>
  </si>
  <si>
    <t>Cary incl. Morrisville</t>
  </si>
  <si>
    <t>Chatham County N</t>
  </si>
  <si>
    <t>Durham</t>
  </si>
  <si>
    <t>Hillsborough</t>
  </si>
  <si>
    <t>Holly Springs</t>
  </si>
  <si>
    <t>Orange County</t>
  </si>
  <si>
    <t>OWASA</t>
  </si>
  <si>
    <t>Pittsboro</t>
  </si>
  <si>
    <t>Raleigh</t>
  </si>
  <si>
    <t>Sanford</t>
  </si>
  <si>
    <t>RTP South</t>
  </si>
  <si>
    <t>TOTALS</t>
  </si>
  <si>
    <t>Proposed 5-year projections</t>
  </si>
  <si>
    <t>PWSID (supplier)</t>
  </si>
  <si>
    <t>Table I.2 - Population Projections --&gt;</t>
  </si>
  <si>
    <t>Section IV  - Water Supply Need</t>
  </si>
  <si>
    <t>Source Options - Future</t>
  </si>
  <si>
    <t xml:space="preserve">Responses </t>
  </si>
  <si>
    <t>Use a single number</t>
  </si>
  <si>
    <t xml:space="preserve">More Than/The Same/Less than </t>
  </si>
  <si>
    <t xml:space="preserve"> (See Demand Tables Tab)</t>
  </si>
  <si>
    <t>Source Options</t>
  </si>
  <si>
    <t>Type</t>
  </si>
  <si>
    <t>Earliest Year Online</t>
  </si>
  <si>
    <t>MGD or None</t>
  </si>
  <si>
    <t>Use WQ Classification of the Source that provides the most yield</t>
  </si>
  <si>
    <t>Identify "Yes, JLP*" for alternative 1</t>
  </si>
  <si>
    <t>Not Complex/Complex/Very Complex</t>
  </si>
  <si>
    <t>None/Few/Many</t>
  </si>
  <si>
    <t>$ Millions (Capital+O&amp;M, NPV 2010 to 2060, 2010$)</t>
  </si>
  <si>
    <t>$/ 1000 gallon supply</t>
  </si>
  <si>
    <t>Year Online (earliest)</t>
  </si>
  <si>
    <t>Selected Alternative</t>
  </si>
  <si>
    <t>Very Complex</t>
  </si>
  <si>
    <t>More Than</t>
  </si>
  <si>
    <t>Supply Range</t>
  </si>
  <si>
    <t>Modify Reservoir</t>
  </si>
  <si>
    <t>Stream Withdrawal</t>
  </si>
  <si>
    <t>Purchase</t>
  </si>
  <si>
    <t>Jordan Lake</t>
  </si>
  <si>
    <t xml:space="preserve">&lt;-- Always include Jordan Lake first.  Don't differentiate LI, LII here.  </t>
  </si>
  <si>
    <t xml:space="preserve">Include all source options under consideration.  List Jordan Lake first.  </t>
  </si>
  <si>
    <t>#</t>
  </si>
  <si>
    <t>Development Time (yrs)</t>
  </si>
  <si>
    <t>Fill out Values in "Supply Alternatives Summary Table"</t>
  </si>
  <si>
    <t>None</t>
  </si>
  <si>
    <t>Tab</t>
  </si>
  <si>
    <t>Instructions</t>
  </si>
  <si>
    <t>JLPData</t>
  </si>
  <si>
    <t>This tab will contain a wealth of JLP Data related especially to population, demand projections, source information, and need. Find your system's information here if you don't have it handy.</t>
  </si>
  <si>
    <t>DataIn</t>
  </si>
  <si>
    <t>Put the appropriate data in the Green cells.  This data will be used by the rest of the work book.</t>
  </si>
  <si>
    <t>ReportTables</t>
  </si>
  <si>
    <t xml:space="preserve">These tables are organized by section of the report, and are mostly self populating from the DataIn tab or other tabs.  These tables are preformatted, and can be dropped into the report (some resizing of fonts, and rows and columns may be needed).  </t>
  </si>
  <si>
    <t>ReportFigures</t>
  </si>
  <si>
    <t>This section contain charts and graphs that are pre-generated (mostly from the DataIn tab).  Copy and paste (recommend pasting as image) into the allocation.</t>
  </si>
  <si>
    <t>Demand Tables</t>
  </si>
  <si>
    <t xml:space="preserve">These tables are a bit more complicated, so tables related to sector demand are here.  </t>
  </si>
  <si>
    <t>Existing Portions of Draft JLA4 Workbook</t>
  </si>
  <si>
    <t>Population and Demand Projections</t>
  </si>
  <si>
    <t>Supply Alternatives</t>
  </si>
  <si>
    <t>Supply Alternative 1</t>
  </si>
  <si>
    <t>Supply Alternative 2</t>
  </si>
  <si>
    <t>Supply Alternative 3</t>
  </si>
  <si>
    <t>Supply Alternative 4</t>
  </si>
  <si>
    <t>Supply Alternative 5</t>
  </si>
  <si>
    <t>Supply Alternatives Summary</t>
  </si>
  <si>
    <t>These sheets are where you fill in basic information about the Alternatives</t>
  </si>
  <si>
    <t>Other Alternative.</t>
  </si>
  <si>
    <t>This is the Jordan Lake RWSP Alternative.</t>
  </si>
  <si>
    <t>Support for your Allocation</t>
  </si>
  <si>
    <t xml:space="preserve">Table I.4 - Sales Contracts  </t>
  </si>
  <si>
    <t>Sources:</t>
  </si>
  <si>
    <t>Total New Supply (MGD)</t>
  </si>
  <si>
    <t>Other Notes:</t>
  </si>
  <si>
    <t xml:space="preserve">Purchase Contracts- Existing </t>
  </si>
  <si>
    <t>Sales Contracts</t>
  </si>
  <si>
    <t>Purchaser</t>
  </si>
  <si>
    <t>Residential/Commercial/Etc</t>
  </si>
  <si>
    <t>&lt;-- Sales can be included here if they are part of another sector's projection, but you must paste them on the line below the main Residential/Commercial/Etc line on the Population and Demand Projections tab.</t>
  </si>
  <si>
    <t>5-yr demand projections -</t>
  </si>
  <si>
    <t>&lt;-- Calculated from above, but feel free to replace as appropriate with more accurate 5-year projections.</t>
  </si>
  <si>
    <t>5-yr population projections</t>
  </si>
  <si>
    <t xml:space="preserve">  (or else, paste into the "Sales Commitments" of the Population and Demand Projections tab)</t>
  </si>
  <si>
    <t>Contact Information</t>
  </si>
  <si>
    <t>Local Government Entity</t>
  </si>
  <si>
    <t>Water System PWSID #</t>
  </si>
  <si>
    <t xml:space="preserve">Contact Person </t>
  </si>
  <si>
    <t>Title</t>
  </si>
  <si>
    <t>Email</t>
  </si>
  <si>
    <t>Phone 1</t>
  </si>
  <si>
    <t>Phone 2</t>
  </si>
  <si>
    <t>Section V - Alternatives</t>
  </si>
  <si>
    <t>CMR</t>
  </si>
  <si>
    <t>Chatham County</t>
  </si>
  <si>
    <t>River Withdrawal</t>
  </si>
  <si>
    <t>Haw River Withdrawal</t>
  </si>
  <si>
    <t>W. Fork Eno Reservoir Expansion</t>
  </si>
  <si>
    <t>Reservoir Expansion</t>
  </si>
  <si>
    <t>Stone Quarry Expansion</t>
  </si>
  <si>
    <t>Quarry Reservoir</t>
  </si>
  <si>
    <t>Teer Quarry Expansion</t>
  </si>
  <si>
    <t>Town of Mebane Purchase</t>
  </si>
  <si>
    <t>Total Projected Need (2045)</t>
  </si>
  <si>
    <t>Total Projected Need (2060)</t>
  </si>
  <si>
    <t>Need and Source Options</t>
  </si>
  <si>
    <t>Jordan Lake Allocation - Rd 4</t>
  </si>
  <si>
    <t>Rd. 4 Allocation Request (% of storage)</t>
  </si>
  <si>
    <t>Current Contract</t>
  </si>
  <si>
    <t>[MGD]</t>
  </si>
  <si>
    <t>Subdiv. A</t>
  </si>
  <si>
    <t>Demand in Year:</t>
  </si>
  <si>
    <t>Jurisdiction</t>
  </si>
  <si>
    <t>Cary</t>
  </si>
  <si>
    <t>Morrisville</t>
  </si>
  <si>
    <t>Total</t>
  </si>
  <si>
    <t>Supply Source</t>
  </si>
  <si>
    <t>Sub-basin</t>
  </si>
  <si>
    <t>Avg. day Supply (MGD)</t>
  </si>
  <si>
    <t>Jordan Lake Allocation - Level I</t>
  </si>
  <si>
    <t>L. Michie and Little River Reservoir</t>
  </si>
  <si>
    <t>Reservoir System</t>
  </si>
  <si>
    <t>L. Orange, Ben Johnston, &amp; W. Fk. Eno Res</t>
  </si>
  <si>
    <t>Jordan Lake Allocation - Level II</t>
  </si>
  <si>
    <t>Harnett County - Cape Fear River</t>
  </si>
  <si>
    <t>Town of Mebane - Graham-Mebane Res.</t>
  </si>
  <si>
    <t>Cane Cr. Reservoir and University L.</t>
  </si>
  <si>
    <t>Haw River</t>
  </si>
  <si>
    <t>Falls Lake</t>
  </si>
  <si>
    <t>Falls Lake Allocation</t>
  </si>
  <si>
    <t>Lake Benson and Lake Wheeler</t>
  </si>
  <si>
    <t>Cape Fear River</t>
  </si>
  <si>
    <t>Current Supply Sources</t>
  </si>
  <si>
    <t>WS IV B NSW CA</t>
  </si>
  <si>
    <t>WS-II/HQW/NSW</t>
  </si>
  <si>
    <t>WS-II HQW NSW</t>
  </si>
  <si>
    <t>WS IV NSW</t>
  </si>
  <si>
    <t>WS IV-NSW</t>
  </si>
  <si>
    <t>WS II-NSW</t>
  </si>
  <si>
    <t>WS III NSW CA</t>
  </si>
  <si>
    <t>???</t>
  </si>
  <si>
    <t>WS-IV NSW ?</t>
  </si>
  <si>
    <t>Name</t>
  </si>
  <si>
    <t>Additional Supply</t>
  </si>
  <si>
    <t>Year Online</t>
  </si>
  <si>
    <t>Jordan Lake Allocation Round 4</t>
  </si>
  <si>
    <t xml:space="preserve">Jordan Lake </t>
  </si>
  <si>
    <t>Jordan Lake Allocation - Future</t>
  </si>
  <si>
    <t>Jordan Lake Allocation- Future Rounds</t>
  </si>
  <si>
    <t xml:space="preserve">WS-IV NSW </t>
  </si>
  <si>
    <t>0-2.6</t>
  </si>
  <si>
    <t>Jordan Lake Allocation - Future Round</t>
  </si>
  <si>
    <t>WS II HQW NSW?</t>
  </si>
  <si>
    <t>Town of Mebane Purchase (2)</t>
  </si>
  <si>
    <t>Haw River Withdrawal (2)</t>
  </si>
  <si>
    <t>JLP Recommended Alternative Composition, by Partner</t>
  </si>
  <si>
    <t>&lt;-- Manually modify additional supply and Year online if the alternative differs from the default source option.</t>
  </si>
  <si>
    <t>^ PWSID is your system's unless otherwise noted.</t>
  </si>
  <si>
    <t>Future Supply Alternative 1 - JLP Recommended Alternative</t>
  </si>
  <si>
    <t>Timeliness</t>
  </si>
  <si>
    <t>Alt. 1</t>
  </si>
  <si>
    <t>Alt. 2</t>
  </si>
  <si>
    <t>Alt. 3</t>
  </si>
  <si>
    <t>Alt. 4</t>
  </si>
  <si>
    <t>Alt. 5</t>
  </si>
  <si>
    <t xml:space="preserve">Section V </t>
  </si>
  <si>
    <t>Section IV</t>
  </si>
  <si>
    <t>Figure V.2 – Timeline of need versus new water supply for the alternatives</t>
  </si>
  <si>
    <t>Figure V.1 –Map of Water Supply Source Options</t>
  </si>
  <si>
    <t>(optional map.  Re-number if you don't include)</t>
  </si>
  <si>
    <t>(This figure shows the timing of additional sources coming online.)</t>
  </si>
  <si>
    <t>Section VI</t>
  </si>
  <si>
    <t>Instructions:</t>
  </si>
  <si>
    <t>Fill out as much information as you can for the DataIn tab.  Use the JLPData tab to help.</t>
  </si>
  <si>
    <t>1. Fill Out DataIn</t>
  </si>
  <si>
    <t>2. Fill Out Contact Info_Use Sector Desc</t>
  </si>
  <si>
    <t>Fill out your contact info and sector descriptions in the Contact Info_Use Sector Desc tab</t>
  </si>
  <si>
    <t>3. Verify &amp; Complete Population &amp; Demand Projections</t>
  </si>
  <si>
    <t>Open the Population&amp;Demand Projections tab.  Verify that numbers are correct.  Complete the Existing and Future Sales sections, and Future Sources sections if applicable.  Double check all numbers and calculations.</t>
  </si>
  <si>
    <t>5. Construct other supply alternatives</t>
  </si>
  <si>
    <t>4. Construct Supply Alternative 1</t>
  </si>
  <si>
    <t>Go to Supply Alternative 1 tab.  Look to the green cells at bottom left and enter 1, 2, or 3 to activate the source next to the box.  If necessary, manually adjust the Supply or year online.  Use the JLPData tab to verify that Alternative 1 is correct for your system.</t>
  </si>
  <si>
    <t>6. Fill Out Supply Alternatives Summary</t>
  </si>
  <si>
    <t>Fill out Alternative Descriptions and the Alternative Ratings table for all of the Alternatives you are evaluating.</t>
  </si>
  <si>
    <t xml:space="preserve">Go to the ReportTables to find report tables formatted and organized by report section.  </t>
  </si>
  <si>
    <t>Go to the ReportFigures tab to find some of the figures needed for the application organized by section.</t>
  </si>
  <si>
    <t>This include Contact information and Use Sector Descriptions.</t>
  </si>
  <si>
    <t xml:space="preserve">This has the population and demand projections, including information on sources. </t>
  </si>
  <si>
    <t>Contact Info_Use Sector Desc</t>
  </si>
  <si>
    <t xml:space="preserve">If the data format is too confusing, manually enter data wherever you need to, and verify the totals, etc. where needed. </t>
  </si>
  <si>
    <t>These are your worksheets - Adjust as needed.</t>
  </si>
  <si>
    <t>Jurisidiction</t>
  </si>
  <si>
    <t xml:space="preserve">Orange County </t>
  </si>
  <si>
    <t>Projected Need</t>
  </si>
  <si>
    <t>ContactInfo_UseSector Desc</t>
  </si>
  <si>
    <t>Other Data Entry tasks</t>
  </si>
  <si>
    <t>Go to this tab to enter contact information and use sector descriptions.</t>
  </si>
  <si>
    <t>&lt;---Enter your demand data in these rows.  You must enter the correct data in the correct row.</t>
  </si>
  <si>
    <t xml:space="preserve">    for the Population &amp; Demand Projections sheet to work.</t>
  </si>
  <si>
    <t xml:space="preserve">    If you have more complecated projections, simply use the Population &amp; Demand Projections sheet instead.</t>
  </si>
  <si>
    <t>&lt;-- Enter data on your current sales contracts.</t>
  </si>
  <si>
    <t>Table V.1 Source options descriptions</t>
  </si>
  <si>
    <r>
      <t xml:space="preserve">Table V.2 - Alternatives description  -  </t>
    </r>
    <r>
      <rPr>
        <sz val="10"/>
        <rFont val="Arial"/>
        <family val="2"/>
      </rPr>
      <t>See the Supply Alternatives summary.  Copy and paste text into report's table V.2</t>
    </r>
  </si>
  <si>
    <t>Table V.3 - Source Composition of Supply Alternatives</t>
  </si>
  <si>
    <t>&lt;-- Note: The sources are presented in the same order you place them in the Source options table.</t>
  </si>
  <si>
    <t>Table V.4 - Water Supply Alternatives Ratings</t>
  </si>
  <si>
    <t>Table VI.1 - Implementation timeline</t>
  </si>
  <si>
    <t xml:space="preserve">   (work in progress)</t>
  </si>
  <si>
    <t>Table VI.2 - Jordan Lake Costs</t>
  </si>
  <si>
    <t xml:space="preserve">  (no template provided - see guidance in application guidance.)</t>
  </si>
  <si>
    <t>Table VI.3 - Overall costs for selected alternative</t>
  </si>
  <si>
    <t>(Create your own table to represent your cost data.)</t>
  </si>
  <si>
    <t xml:space="preserve">Sales timeline (optional) Use if desired in report.  </t>
  </si>
  <si>
    <t>Add drawings, maps, schematics, photos as necessary to provide more complete descriptions of the Alternatives.</t>
  </si>
  <si>
    <t>Figures V.X - XX - Source Alternative Figures</t>
  </si>
  <si>
    <t>&lt;--- Fill out discharge and Source basin information on your own.</t>
  </si>
  <si>
    <t>Repeat process of activating source by typing 1, 2, or 3 at lower left for the rest of the 'Supply Alternative _' tabs.  Fill out discharge/consumptive use section of upper table on your own.</t>
  </si>
  <si>
    <t xml:space="preserve">This is where you provide a brief description of and rate all of the alternatives.  </t>
  </si>
  <si>
    <t>This tab.  Start here and read below.</t>
  </si>
  <si>
    <t xml:space="preserve">Data entered into tables in DataIn tab </t>
  </si>
  <si>
    <t>Any data already entered into the DataIn tab, or the supply alternatives summary is just to illustrate the data format.  Please delete this data and replace with your own.</t>
  </si>
  <si>
    <t>8. Use ReportFigures for report.</t>
  </si>
  <si>
    <t>7.  Use the ReportTables to fill out report.</t>
  </si>
  <si>
    <t>Population</t>
  </si>
  <si>
    <t>Overall  Demand</t>
  </si>
  <si>
    <t>&lt;-- Enter the date you complete filling out this workbook.</t>
  </si>
  <si>
    <t>Population &amp; Demand Projections</t>
  </si>
  <si>
    <t>Enter data on contracts/sales, and future sources.</t>
  </si>
  <si>
    <t>Enter data on Alternatives: Descriptions and ratings.</t>
  </si>
  <si>
    <t>Supply Alternative _ tabs</t>
  </si>
  <si>
    <t>Enter the sources (type 1, 2, or 3 at lower left).  Adjust supply, year online if necessary.  Fill out return flow/consumption/basin information.</t>
  </si>
  <si>
    <t>Version 1.</t>
  </si>
  <si>
    <t>Last modified 11/11/13</t>
  </si>
  <si>
    <t>Example System</t>
  </si>
  <si>
    <t>03-45-678</t>
  </si>
  <si>
    <t>JorLaPolis</t>
  </si>
  <si>
    <t>Tinyville</t>
  </si>
  <si>
    <t>PWSID (purchaser)</t>
  </si>
  <si>
    <t>03-45-999</t>
  </si>
  <si>
    <t>Neighborville</t>
  </si>
  <si>
    <t>03-45-001</t>
  </si>
  <si>
    <t>Purchase Contracts</t>
  </si>
  <si>
    <t>Big City</t>
  </si>
  <si>
    <t>03-41-000</t>
  </si>
  <si>
    <t>Sources</t>
  </si>
  <si>
    <t>JLP Reservoir</t>
  </si>
  <si>
    <t>Raise JLP Reservoir</t>
  </si>
  <si>
    <t xml:space="preserve"> 1 - 3</t>
  </si>
  <si>
    <t xml:space="preserve"> 0 - 6</t>
  </si>
  <si>
    <t>JorLa Quarry Reservoir</t>
  </si>
  <si>
    <t>Purchase from Big City</t>
  </si>
  <si>
    <t>Muddy Creek Withdrawal</t>
  </si>
  <si>
    <t>Paste this table as a whole into a new blank row in the word document.  Don't try to paste values into existing table.</t>
  </si>
  <si>
    <t>&lt;-- Add lines as needed if more than 3 sources.</t>
  </si>
  <si>
    <t>&lt;-- It's clearer if you make the text after the first instance match the background formatting.</t>
  </si>
  <si>
    <t>TOTAL NEW SUPPLY</t>
  </si>
  <si>
    <t>Delete Data and Replace with your own.</t>
  </si>
  <si>
    <t>NOTE: ALL DATA ENTERED INTO THIS TAB IS SAMPLE DATA.  PLEASE DELETE IT BEFORE STARTING (EXCEPT 5-YR DEMAND PROJECTIONS)</t>
  </si>
  <si>
    <t>This is an example of data for a made up system.  Copy and paste (paste special&gt;values) the data into the relevant tabs on the "DataIn" tab to get an idea how the spreadsheet works.</t>
  </si>
  <si>
    <t>Note: In general, DWR wants to see the entire Contract amount available for supply for both sales and purchase contracts.</t>
  </si>
  <si>
    <t>If you use the equivalent supply column to claim a lower supply than the contract amount, explain why in Section III.</t>
  </si>
  <si>
    <t xml:space="preserve">   Leave off equivalent supply column if it is equivalent to the Contract Amount.</t>
  </si>
  <si>
    <t>Service Area</t>
  </si>
  <si>
    <t xml:space="preserve">&lt;-- Don't include any lines you don't need.  Most applicants can exclude the first column if there is only one set of population figures.  </t>
  </si>
  <si>
    <t>&lt;-- Only include TOTAL row if you have more than one row of population numbers.</t>
  </si>
  <si>
    <t>Distribution System Process</t>
  </si>
  <si>
    <t>Water Treatment Process</t>
  </si>
  <si>
    <t>Current Supply</t>
  </si>
  <si>
    <t>Existing Demand</t>
  </si>
  <si>
    <t>Currently Supportable Demand</t>
  </si>
  <si>
    <t>Optional</t>
  </si>
  <si>
    <t>Figure IV.1 - Projected Demand and Need relative to Current Supply.</t>
  </si>
  <si>
    <t>03-32-010</t>
  </si>
  <si>
    <t>(Included in Other Non-Revenue)</t>
  </si>
  <si>
    <t>03-19-126</t>
  </si>
  <si>
    <t>03-92-020</t>
  </si>
  <si>
    <t>Chatham Co</t>
  </si>
  <si>
    <t>03-68-015</t>
  </si>
  <si>
    <t>Orange-Alamance</t>
  </si>
  <si>
    <t>03-68-020</t>
  </si>
  <si>
    <t>03-68-010</t>
  </si>
  <si>
    <t>Lake Michie</t>
  </si>
  <si>
    <t>Little River Reservoir</t>
  </si>
  <si>
    <t xml:space="preserve">WS-III, NSW, CA </t>
  </si>
  <si>
    <t xml:space="preserve">WS-II, HQW, NSW, CA </t>
  </si>
  <si>
    <t xml:space="preserve">WS-IV, B, NSW, CA </t>
  </si>
  <si>
    <t>WQ Classifica-tion</t>
  </si>
  <si>
    <t>Develop-ment Time (yrs)</t>
  </si>
  <si>
    <t>SW or         GW</t>
  </si>
  <si>
    <t>Teer Quarry</t>
  </si>
  <si>
    <t>Offline Quarry Storage</t>
  </si>
  <si>
    <t>WS-IV, NSW, CA</t>
  </si>
  <si>
    <t>Modify Existing Reservoir</t>
  </si>
  <si>
    <t>Reclaimed Water (RCW) Initial Implementation</t>
  </si>
  <si>
    <t xml:space="preserve">Reclaimed Water (RCW) Initial + Assertive Implementation </t>
  </si>
  <si>
    <t>Non-Potable Reuse of WWTP Effluent</t>
  </si>
  <si>
    <t>N/A</t>
  </si>
  <si>
    <t>Vicki Westbrook</t>
  </si>
  <si>
    <t>Assistant Director, Department of Water Management</t>
  </si>
  <si>
    <t>919-560-4381 ext *35266</t>
  </si>
  <si>
    <t>vicki.westbrook@durhamnc.gov</t>
  </si>
  <si>
    <t>Calculated as 3.4% of total water demand for 2020 and beyond</t>
  </si>
  <si>
    <t>(Distribution system process water is included with Other Non-Revenue water)</t>
  </si>
  <si>
    <t>Calculated as 11.5% of total water demand for 2020; 9.5% of total demand for 2030 through 2050; and 7.5% of total demand for 2060 and beyond.  Includes unbilled water, line flushing, hydrant testing, construction, waterline breaks, street cleaning, and Fire Department use.</t>
  </si>
  <si>
    <t>Duke University &amp; Hospitals</t>
  </si>
  <si>
    <t>Other Insitutional Employers</t>
  </si>
  <si>
    <t>Large Users</t>
  </si>
  <si>
    <t>Non-RTP Commercial Users</t>
  </si>
  <si>
    <t>Top 20 Industrial Users</t>
  </si>
  <si>
    <t>Other Industrial Users</t>
  </si>
  <si>
    <t>Includes all single family, multi-family, and (residential) irrigation water use</t>
  </si>
  <si>
    <t>Existing Jordan Lake Allocation</t>
  </si>
  <si>
    <t>WQ Classi-fication</t>
  </si>
  <si>
    <t>Includes all single family, multi-family, and (residential) irrigation use</t>
  </si>
  <si>
    <t>Large (Non-Industrial) Commercial Users</t>
  </si>
  <si>
    <t>Top 20 Industrial Users (including RTP)</t>
  </si>
  <si>
    <t>(Included with Other Non-Revenue)</t>
  </si>
  <si>
    <t>Raise Lake Michie to 365 MSL</t>
  </si>
  <si>
    <t>Raise Lake Michie to 380 MSL</t>
  </si>
  <si>
    <t>Jordan Lake Allocation -- Western Intake &amp; WTP</t>
  </si>
  <si>
    <t>RCW Initial Implementation</t>
  </si>
  <si>
    <t>RCW Initial + Assertive Implementation</t>
  </si>
  <si>
    <t>WS-III, NSW, CA</t>
  </si>
  <si>
    <t>Yes</t>
  </si>
  <si>
    <t>Yes, JLP</t>
  </si>
  <si>
    <t>Potential with Raleigh</t>
  </si>
  <si>
    <t>Complex</t>
  </si>
  <si>
    <t>Few</t>
  </si>
  <si>
    <t>Total Capital Cost ($ Millions)</t>
  </si>
  <si>
    <t>Unit Cost ($M/mgd of yield)</t>
  </si>
  <si>
    <t xml:space="preserve">   Non-RTP Commercial Users</t>
  </si>
  <si>
    <t xml:space="preserve">   Other Insitutional Employers (schools, churches, etc.)</t>
  </si>
  <si>
    <t xml:space="preserve">   Sub-Sector/Description</t>
  </si>
  <si>
    <t>Other Non-Revenue Water</t>
  </si>
  <si>
    <t>Water Treatment Process Water</t>
  </si>
  <si>
    <t>Distribution System Process Water</t>
  </si>
  <si>
    <t>Teer Quarry (Emergency Only)</t>
  </si>
  <si>
    <t>(Natural Recharge Only)</t>
  </si>
  <si>
    <t>New Facilities at Jordan Lake</t>
  </si>
  <si>
    <t>Alternative 1. Jordan Lake Allocation</t>
  </si>
  <si>
    <t>Alternative 2. Teer Quarry + Initial RCW</t>
  </si>
  <si>
    <t>Alternative 3. Raise Lake Michie to 365 MSL</t>
  </si>
  <si>
    <t>Alternative 4. Raise Lake Michie to 380 MSL</t>
  </si>
  <si>
    <t>Alternative 5. Initial + Assertive RCW</t>
  </si>
  <si>
    <t>4.2 mgd in 2030, 8.1 in 2045</t>
  </si>
  <si>
    <t>1.9 mgd in 2020, 3.5 in 2045</t>
  </si>
  <si>
    <t>4.2 mgd in 2030, 7.0 in 2045</t>
  </si>
  <si>
    <r>
      <t>Interbasin Transfer (MGD)</t>
    </r>
    <r>
      <rPr>
        <b/>
        <vertAlign val="superscript"/>
        <sz val="12"/>
        <rFont val="Arial"/>
        <family val="2"/>
      </rPr>
      <t>A</t>
    </r>
  </si>
  <si>
    <r>
      <rPr>
        <vertAlign val="superscript"/>
        <sz val="12"/>
        <rFont val="Arial"/>
        <family val="2"/>
      </rPr>
      <t>A</t>
    </r>
    <r>
      <rPr>
        <sz val="12"/>
        <rFont val="Arial"/>
        <family val="2"/>
      </rPr>
      <t xml:space="preserve"> Durham's existing max month transfer out of the Nuese Basin is ~18.6 mgd</t>
    </r>
  </si>
  <si>
    <r>
      <rPr>
        <vertAlign val="superscript"/>
        <sz val="12"/>
        <rFont val="Arial"/>
        <family val="2"/>
      </rPr>
      <t>C</t>
    </r>
    <r>
      <rPr>
        <sz val="12"/>
        <rFont val="Arial"/>
        <family val="2"/>
      </rPr>
      <t xml:space="preserve"> Includes costs of WWTP upgrades to meet RCW treatment requirements, but does not include costs of additional WTP capacity</t>
    </r>
  </si>
  <si>
    <r>
      <rPr>
        <vertAlign val="superscript"/>
        <sz val="12"/>
        <rFont val="Arial"/>
        <family val="2"/>
      </rPr>
      <t>D</t>
    </r>
    <r>
      <rPr>
        <sz val="12"/>
        <rFont val="Arial"/>
        <family val="2"/>
      </rPr>
      <t xml:space="preserve"> Does not include costs of additional WTP capacity</t>
    </r>
  </si>
  <si>
    <r>
      <rPr>
        <vertAlign val="superscript"/>
        <sz val="12"/>
        <rFont val="Arial"/>
        <family val="2"/>
      </rPr>
      <t>B</t>
    </r>
    <r>
      <rPr>
        <sz val="12"/>
        <rFont val="Arial"/>
        <family val="2"/>
      </rPr>
      <t xml:space="preserve"> Includes costs of new water treatment plant (16 mgd share) and finished water transmission facilities</t>
    </r>
  </si>
  <si>
    <r>
      <t>$111.10</t>
    </r>
    <r>
      <rPr>
        <vertAlign val="superscript"/>
        <sz val="11"/>
        <rFont val="Arial"/>
        <family val="2"/>
      </rPr>
      <t>B</t>
    </r>
  </si>
  <si>
    <r>
      <t>$158.3</t>
    </r>
    <r>
      <rPr>
        <vertAlign val="superscript"/>
        <sz val="11"/>
        <rFont val="Arial"/>
        <family val="2"/>
      </rPr>
      <t>D</t>
    </r>
  </si>
  <si>
    <r>
      <t>$203.3</t>
    </r>
    <r>
      <rPr>
        <vertAlign val="superscript"/>
        <sz val="11"/>
        <rFont val="Arial"/>
        <family val="2"/>
      </rPr>
      <t>D</t>
    </r>
  </si>
  <si>
    <r>
      <t>$104.4</t>
    </r>
    <r>
      <rPr>
        <vertAlign val="superscript"/>
        <sz val="11"/>
        <rFont val="Arial"/>
        <family val="2"/>
      </rPr>
      <t>C</t>
    </r>
  </si>
  <si>
    <r>
      <t>$13.19</t>
    </r>
    <r>
      <rPr>
        <vertAlign val="superscript"/>
        <sz val="11"/>
        <rFont val="Arial"/>
        <family val="2"/>
      </rPr>
      <t>D</t>
    </r>
  </si>
  <si>
    <r>
      <t>$7.82</t>
    </r>
    <r>
      <rPr>
        <vertAlign val="superscript"/>
        <sz val="11"/>
        <rFont val="Arial"/>
        <family val="2"/>
      </rPr>
      <t>D</t>
    </r>
  </si>
  <si>
    <t>Jordan Lake Allocation, New Intake &amp; WTP</t>
  </si>
  <si>
    <t>Total Additional Supply (MGD)</t>
  </si>
  <si>
    <t>(Base Case)</t>
  </si>
  <si>
    <t>Teer Quarry + RCW Initial</t>
  </si>
  <si>
    <t>Jordan Lake Allocation, New Intake &amp; Treatment Facilities</t>
  </si>
  <si>
    <t>Teer Quarry + Initial Reclaimed Water Implementation</t>
  </si>
  <si>
    <t xml:space="preserve">Initital + Assertive RCW Implemenation </t>
  </si>
  <si>
    <r>
      <t>$50.1</t>
    </r>
    <r>
      <rPr>
        <vertAlign val="superscript"/>
        <sz val="11"/>
        <rFont val="Arial"/>
        <family val="2"/>
      </rPr>
      <t>C</t>
    </r>
  </si>
  <si>
    <r>
      <t>$6.77</t>
    </r>
    <r>
      <rPr>
        <vertAlign val="superscript"/>
        <sz val="11"/>
        <rFont val="Arial"/>
        <family val="2"/>
      </rPr>
      <t>C</t>
    </r>
  </si>
  <si>
    <r>
      <t>$9.24</t>
    </r>
    <r>
      <rPr>
        <vertAlign val="superscript"/>
        <sz val="11"/>
        <rFont val="Arial"/>
        <family val="2"/>
      </rPr>
      <t>C</t>
    </r>
  </si>
  <si>
    <r>
      <rPr>
        <vertAlign val="superscript"/>
        <sz val="10"/>
        <rFont val="Arial"/>
        <family val="2"/>
      </rPr>
      <t>A</t>
    </r>
    <r>
      <rPr>
        <sz val="10"/>
        <rFont val="Arial"/>
        <family val="2"/>
      </rPr>
      <t xml:space="preserve"> Durham's existing max month transfer out of the Nuese Basin is ~18.6 mgd</t>
    </r>
  </si>
  <si>
    <r>
      <rPr>
        <vertAlign val="superscript"/>
        <sz val="10"/>
        <rFont val="Arial"/>
        <family val="2"/>
      </rPr>
      <t>B</t>
    </r>
    <r>
      <rPr>
        <sz val="10"/>
        <rFont val="Arial"/>
        <family val="2"/>
      </rPr>
      <t xml:space="preserve"> Includes costs of new water treatment plant (16 mgd share) and finished water transmission facilities</t>
    </r>
  </si>
  <si>
    <r>
      <rPr>
        <vertAlign val="superscript"/>
        <sz val="10"/>
        <rFont val="Arial"/>
        <family val="2"/>
      </rPr>
      <t>C</t>
    </r>
    <r>
      <rPr>
        <sz val="10"/>
        <rFont val="Arial"/>
        <family val="2"/>
      </rPr>
      <t xml:space="preserve"> Includes costs of WWTP upgrades to meet RCW treatment requirements, but does not include costs of additional WTP capacity</t>
    </r>
  </si>
  <si>
    <r>
      <rPr>
        <vertAlign val="superscript"/>
        <sz val="10"/>
        <rFont val="Arial"/>
        <family val="2"/>
      </rPr>
      <t>D</t>
    </r>
    <r>
      <rPr>
        <sz val="10"/>
        <rFont val="Arial"/>
        <family val="2"/>
      </rPr>
      <t xml:space="preserve"> Does not include costs of additional WTP capacity</t>
    </r>
  </si>
  <si>
    <r>
      <t xml:space="preserve">Interbasin Transfer (MGD) </t>
    </r>
    <r>
      <rPr>
        <b/>
        <vertAlign val="superscript"/>
        <sz val="10"/>
        <color rgb="FFFFFFFF"/>
        <rFont val="Tw Cen MT Condensed"/>
        <family val="2"/>
      </rPr>
      <t>A</t>
    </r>
  </si>
  <si>
    <r>
      <t>$6.97</t>
    </r>
    <r>
      <rPr>
        <vertAlign val="superscript"/>
        <sz val="11"/>
        <rFont val="Arial"/>
        <family val="2"/>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</si>
</sst>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quot;$&quot;#,##0.00_);[Red]\(&quot;$&quot;#,##0.00\)"/>
    <numFmt numFmtId="164" formatCode="0.000_);[Red]\(0.000\)"/>
    <numFmt numFmtId="165" formatCode="0.000"/>
    <numFmt numFmtId="166" formatCode="[$-409]d\-mmm\-yy;@"/>
    <numFmt numFmtId="167" formatCode="0.0"/>
    <numFmt numFmtId="168" formatCode="#,##0.0"/>
    <numFmt numFmtId="169" formatCode="0.00_);[Red]\(0.00\)"/>
    <numFmt numFmtId="170" formatCode="&quot;$&quot;#,##0.00"/>
  </numFmts>
  <fonts count="81" x14ac:knownFonts="1">
    <font>
      <sz val="10"/>
      <name val="Arial"/>
    </font>
    <font>
      <sz val="10"/>
      <name val="Arial"/>
      <family val="2"/>
    </font>
    <font>
      <sz val="9"/>
      <name val="Arial"/>
      <family val="2"/>
    </font>
    <font>
      <b/>
      <sz val="9"/>
      <name val="Arial"/>
      <family val="2"/>
    </font>
    <font>
      <b/>
      <sz val="11"/>
      <name val="Arial"/>
      <family val="2"/>
    </font>
    <font>
      <sz val="8"/>
      <name val="Arial"/>
      <family val="2"/>
    </font>
    <font>
      <sz val="11"/>
      <name val="Arial"/>
      <family val="2"/>
    </font>
    <font>
      <b/>
      <sz val="12"/>
      <name val="Arial"/>
      <family val="2"/>
    </font>
    <font>
      <sz val="12"/>
      <name val="Arial"/>
      <family val="2"/>
    </font>
    <font>
      <sz val="10"/>
      <name val="Arial"/>
      <family val="2"/>
    </font>
    <font>
      <b/>
      <sz val="10"/>
      <name val="Arial"/>
      <family val="2"/>
    </font>
    <font>
      <b/>
      <sz val="14"/>
      <name val="Arial"/>
      <family val="2"/>
    </font>
    <font>
      <sz val="8"/>
      <color indexed="81"/>
      <name val="Tahoma"/>
      <family val="2"/>
    </font>
    <font>
      <b/>
      <sz val="8"/>
      <color indexed="81"/>
      <name val="Tahoma"/>
      <family val="2"/>
    </font>
    <font>
      <b/>
      <sz val="12"/>
      <name val="Tw Cen MT Condensed"/>
      <family val="2"/>
    </font>
    <font>
      <sz val="12"/>
      <name val="Arial Narrow"/>
      <family val="2"/>
    </font>
    <font>
      <b/>
      <u/>
      <sz val="10"/>
      <name val="Arial"/>
      <family val="2"/>
    </font>
    <font>
      <b/>
      <sz val="10"/>
      <name val="Arial Narrow"/>
      <family val="2"/>
    </font>
    <font>
      <b/>
      <sz val="12"/>
      <color rgb="FFFF0000"/>
      <name val="Arial"/>
      <family val="2"/>
    </font>
    <font>
      <b/>
      <sz val="12"/>
      <color rgb="FFFFFFFF"/>
      <name val="Tw Cen MT Condensed"/>
      <family val="2"/>
    </font>
    <font>
      <b/>
      <sz val="10"/>
      <color rgb="FF00421E"/>
      <name val="Arial"/>
      <family val="2"/>
    </font>
    <font>
      <b/>
      <sz val="11"/>
      <color theme="0"/>
      <name val="Tw Cen MT Condensed"/>
      <family val="2"/>
    </font>
    <font>
      <b/>
      <sz val="10"/>
      <color rgb="FF003300"/>
      <name val="Arial"/>
      <family val="2"/>
    </font>
    <font>
      <b/>
      <sz val="11"/>
      <name val="Tw Cen MT Condensed"/>
      <family val="2"/>
    </font>
    <font>
      <b/>
      <sz val="11"/>
      <color theme="1"/>
      <name val="Tw Cen MT Condensed"/>
      <family val="2"/>
    </font>
    <font>
      <b/>
      <sz val="11"/>
      <name val="Arial Narrow"/>
      <family val="2"/>
    </font>
    <font>
      <b/>
      <i/>
      <sz val="11"/>
      <name val="Arial Narrow"/>
      <family val="2"/>
    </font>
    <font>
      <b/>
      <sz val="12"/>
      <color theme="0"/>
      <name val="Tw Cen MT Condensed"/>
      <family val="2"/>
    </font>
    <font>
      <b/>
      <i/>
      <sz val="12"/>
      <color rgb="FFFFFF00"/>
      <name val="Tw Cen MT Condensed"/>
      <family val="2"/>
    </font>
    <font>
      <b/>
      <sz val="11"/>
      <color rgb="FFFFFFFF"/>
      <name val="Tw Cen MT Condensed"/>
      <family val="2"/>
    </font>
    <font>
      <u/>
      <sz val="10"/>
      <color theme="10"/>
      <name val="Arial"/>
      <family val="2"/>
    </font>
    <font>
      <b/>
      <sz val="12"/>
      <name val="Arial Narrow"/>
      <family val="2"/>
    </font>
    <font>
      <sz val="12"/>
      <name val="Tw Cen MT Condensed"/>
      <family val="2"/>
    </font>
    <font>
      <u/>
      <sz val="10"/>
      <name val="Arial"/>
      <family val="2"/>
    </font>
    <font>
      <i/>
      <sz val="12"/>
      <name val="Arial Narrow"/>
      <family val="2"/>
    </font>
    <font>
      <sz val="11"/>
      <color rgb="FFFF0000"/>
      <name val="Calibri"/>
      <family val="2"/>
      <scheme val="minor"/>
    </font>
    <font>
      <i/>
      <sz val="11"/>
      <color theme="5" tint="-0.249977111117893"/>
      <name val="Calibri"/>
      <family val="2"/>
      <scheme val="minor"/>
    </font>
    <font>
      <b/>
      <sz val="14"/>
      <name val="Tw Cen MT Condensed"/>
      <family val="2"/>
    </font>
    <font>
      <b/>
      <sz val="10"/>
      <color rgb="FF006600"/>
      <name val="Arial"/>
      <family val="2"/>
    </font>
    <font>
      <sz val="9"/>
      <color indexed="81"/>
      <name val="Tahoma"/>
      <family val="2"/>
    </font>
    <font>
      <b/>
      <sz val="9"/>
      <color indexed="81"/>
      <name val="Tahoma"/>
      <family val="2"/>
    </font>
    <font>
      <b/>
      <sz val="10"/>
      <color theme="0"/>
      <name val="Arial"/>
      <family val="2"/>
    </font>
    <font>
      <b/>
      <i/>
      <sz val="10"/>
      <color rgb="FF006600"/>
      <name val="Arial"/>
      <family val="2"/>
    </font>
    <font>
      <b/>
      <sz val="11"/>
      <color theme="1"/>
      <name val="Calibri"/>
      <family val="2"/>
      <scheme val="minor"/>
    </font>
    <font>
      <b/>
      <i/>
      <sz val="12"/>
      <color rgb="FFC00000"/>
      <name val="Arial Narrow"/>
      <family val="2"/>
    </font>
    <font>
      <b/>
      <u/>
      <sz val="12"/>
      <color rgb="FFFFFFFF"/>
      <name val="Tw Cen MT Condensed"/>
      <family val="2"/>
    </font>
    <font>
      <b/>
      <sz val="14"/>
      <name val="Arial Narrow"/>
      <family val="2"/>
    </font>
    <font>
      <b/>
      <i/>
      <sz val="12"/>
      <name val="Arial"/>
      <family val="2"/>
    </font>
    <font>
      <b/>
      <sz val="11"/>
      <color rgb="FF000000"/>
      <name val="Calibri"/>
      <family val="2"/>
    </font>
    <font>
      <i/>
      <sz val="11"/>
      <color rgb="FF000000"/>
      <name val="Calibri"/>
      <family val="2"/>
    </font>
    <font>
      <sz val="11"/>
      <color theme="1"/>
      <name val="Calibri"/>
      <family val="2"/>
    </font>
    <font>
      <sz val="11"/>
      <color rgb="FF000000"/>
      <name val="Calibri"/>
      <family val="2"/>
    </font>
    <font>
      <i/>
      <sz val="11"/>
      <color rgb="FF963634"/>
      <name val="Calibri"/>
      <family val="2"/>
    </font>
    <font>
      <b/>
      <i/>
      <sz val="11"/>
      <color rgb="FF963634"/>
      <name val="Calibri"/>
      <family val="2"/>
    </font>
    <font>
      <i/>
      <sz val="11"/>
      <name val="Calibri"/>
      <family val="2"/>
    </font>
    <font>
      <sz val="11"/>
      <name val="Calibri"/>
      <family val="2"/>
    </font>
    <font>
      <i/>
      <sz val="11"/>
      <color theme="1"/>
      <name val="Calibri"/>
      <family val="2"/>
      <scheme val="minor"/>
    </font>
    <font>
      <sz val="11"/>
      <color theme="4" tint="-0.499984740745262"/>
      <name val="Calibri"/>
      <family val="2"/>
      <scheme val="minor"/>
    </font>
    <font>
      <i/>
      <sz val="11"/>
      <color theme="4" tint="-0.499984740745262"/>
      <name val="Calibri"/>
      <family val="2"/>
      <scheme val="minor"/>
    </font>
    <font>
      <sz val="10"/>
      <color theme="0"/>
      <name val="Arial"/>
      <family val="2"/>
    </font>
    <font>
      <b/>
      <sz val="9"/>
      <color rgb="FF006600"/>
      <name val="Arial"/>
      <family val="2"/>
    </font>
    <font>
      <b/>
      <sz val="9"/>
      <color theme="0"/>
      <name val="Arial"/>
      <family val="2"/>
    </font>
    <font>
      <b/>
      <sz val="11"/>
      <color rgb="FF006600"/>
      <name val="Arial"/>
      <family val="2"/>
    </font>
    <font>
      <b/>
      <sz val="11"/>
      <name val="Calibri"/>
      <family val="2"/>
    </font>
    <font>
      <sz val="11"/>
      <name val="Arial Narrow"/>
      <family val="2"/>
    </font>
    <font>
      <sz val="11"/>
      <name val="Tw Cen MT Condensed"/>
      <family val="2"/>
    </font>
    <font>
      <b/>
      <sz val="10"/>
      <color rgb="FFFFFFFF"/>
      <name val="Tw Cen MT Condensed"/>
      <family val="2"/>
    </font>
    <font>
      <sz val="10"/>
      <name val="Tw Cen MT Condensed"/>
      <family val="2"/>
    </font>
    <font>
      <sz val="11"/>
      <color theme="1"/>
      <name val="Arial Narrow"/>
      <family val="2"/>
    </font>
    <font>
      <b/>
      <sz val="10"/>
      <color theme="1"/>
      <name val="Arial"/>
      <family val="2"/>
    </font>
    <font>
      <b/>
      <sz val="14"/>
      <color theme="0"/>
      <name val="Tw Cen MT Condensed"/>
      <family val="2"/>
    </font>
    <font>
      <b/>
      <sz val="10"/>
      <color rgb="FFFF0000"/>
      <name val="Arial"/>
      <family val="2"/>
    </font>
    <font>
      <b/>
      <i/>
      <sz val="11"/>
      <color rgb="FFFF0000"/>
      <name val="Calibri"/>
      <family val="2"/>
      <scheme val="minor"/>
    </font>
    <font>
      <b/>
      <i/>
      <sz val="10"/>
      <name val="Arial"/>
      <family val="2"/>
    </font>
    <font>
      <b/>
      <sz val="14"/>
      <color rgb="FFFFFFFF"/>
      <name val="Tw Cen MT Condensed"/>
      <family val="2"/>
    </font>
    <font>
      <sz val="10"/>
      <color indexed="8"/>
      <name val="Arial"/>
      <family val="2"/>
    </font>
    <font>
      <vertAlign val="superscript"/>
      <sz val="12"/>
      <name val="Arial"/>
      <family val="2"/>
    </font>
    <font>
      <b/>
      <vertAlign val="superscript"/>
      <sz val="12"/>
      <name val="Arial"/>
      <family val="2"/>
    </font>
    <font>
      <vertAlign val="superscript"/>
      <sz val="11"/>
      <name val="Arial"/>
      <family val="2"/>
    </font>
    <font>
      <vertAlign val="superscript"/>
      <sz val="10"/>
      <name val="Arial"/>
      <family val="2"/>
    </font>
    <font>
      <b/>
      <vertAlign val="superscript"/>
      <sz val="10"/>
      <color rgb="FFFFFFFF"/>
      <name val="Tw Cen MT Condensed"/>
      <family val="2"/>
    </font>
  </fonts>
  <fills count="68">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15"/>
        <bgColor indexed="64"/>
      </patternFill>
    </fill>
    <fill>
      <patternFill patternType="gray0625">
        <fgColor indexed="8"/>
        <bgColor indexed="41"/>
      </patternFill>
    </fill>
    <fill>
      <patternFill patternType="gray0625">
        <fgColor indexed="8"/>
        <bgColor indexed="43"/>
      </patternFill>
    </fill>
    <fill>
      <patternFill patternType="solid">
        <fgColor indexed="51"/>
        <bgColor indexed="64"/>
      </patternFill>
    </fill>
    <fill>
      <patternFill patternType="solid">
        <fgColor indexed="45"/>
        <bgColor indexed="64"/>
      </patternFill>
    </fill>
    <fill>
      <patternFill patternType="solid">
        <fgColor rgb="FF00FFFF"/>
        <bgColor indexed="64"/>
      </patternFill>
    </fill>
    <fill>
      <patternFill patternType="solid">
        <fgColor rgb="FFCCFFFF"/>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66FF"/>
        <bgColor indexed="64"/>
      </patternFill>
    </fill>
    <fill>
      <patternFill patternType="solid">
        <fgColor theme="7" tint="0.59999389629810485"/>
        <bgColor indexed="64"/>
      </patternFill>
    </fill>
    <fill>
      <patternFill patternType="solid">
        <fgColor rgb="FF66FF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C66"/>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66FF66"/>
        <bgColor indexed="64"/>
      </patternFill>
    </fill>
    <fill>
      <patternFill patternType="solid">
        <fgColor rgb="FF66FF99"/>
        <bgColor indexed="64"/>
      </patternFill>
    </fill>
    <fill>
      <patternFill patternType="solid">
        <fgColor theme="0" tint="-0.249977111117893"/>
        <bgColor indexed="64"/>
      </patternFill>
    </fill>
    <fill>
      <patternFill patternType="solid">
        <fgColor rgb="FF003399"/>
        <bgColor indexed="64"/>
      </patternFill>
    </fill>
    <fill>
      <patternFill patternType="solid">
        <fgColor rgb="FF003300"/>
        <bgColor indexed="64"/>
      </patternFill>
    </fill>
    <fill>
      <patternFill patternType="solid">
        <fgColor rgb="FF62BA56"/>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339933"/>
        <bgColor indexed="64"/>
      </patternFill>
    </fill>
    <fill>
      <patternFill patternType="solid">
        <fgColor rgb="FF000099"/>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00B0F0"/>
        <bgColor indexed="64"/>
      </patternFill>
    </fill>
    <fill>
      <patternFill patternType="solid">
        <fgColor rgb="FF21B2C9"/>
        <bgColor indexed="64"/>
      </patternFill>
    </fill>
    <fill>
      <patternFill patternType="gray0625">
        <fgColor indexed="8"/>
        <bgColor theme="4" tint="0.59999389629810485"/>
      </patternFill>
    </fill>
    <fill>
      <patternFill patternType="solid">
        <fgColor rgb="FFF2F2F2"/>
        <bgColor rgb="FF000000"/>
      </patternFill>
    </fill>
    <fill>
      <patternFill patternType="solid">
        <fgColor theme="0" tint="-0.14999847407452621"/>
        <bgColor theme="4" tint="0.79998168889431442"/>
      </patternFill>
    </fill>
    <fill>
      <patternFill patternType="solid">
        <fgColor theme="0"/>
        <bgColor indexed="64"/>
      </patternFill>
    </fill>
    <fill>
      <patternFill patternType="solid">
        <fgColor rgb="FFE6E17A"/>
        <bgColor indexed="64"/>
      </patternFill>
    </fill>
    <fill>
      <patternFill patternType="solid">
        <fgColor rgb="FF00660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2" tint="-0.89999084444715716"/>
        <bgColor indexed="64"/>
      </patternFill>
    </fill>
    <fill>
      <patternFill patternType="solid">
        <fgColor rgb="FFC000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3" tint="0.39997558519241921"/>
        <bgColor indexed="64"/>
      </patternFill>
    </fill>
    <fill>
      <patternFill patternType="solid">
        <fgColor rgb="FF0070C0"/>
        <bgColor indexed="64"/>
      </patternFill>
    </fill>
    <fill>
      <patternFill patternType="solid">
        <fgColor theme="5" tint="-0.249977111117893"/>
        <bgColor indexed="64"/>
      </patternFill>
    </fill>
    <fill>
      <patternFill patternType="solid">
        <fgColor rgb="FF9FA301"/>
        <bgColor indexed="64"/>
      </patternFill>
    </fill>
    <fill>
      <patternFill patternType="solid">
        <fgColor rgb="FF5535A5"/>
        <bgColor indexed="64"/>
      </patternFill>
    </fill>
    <fill>
      <patternFill patternType="solid">
        <fgColor rgb="FFBE6402"/>
        <bgColor indexed="64"/>
      </patternFill>
    </fill>
    <fill>
      <patternFill patternType="solid">
        <fgColor rgb="FFEF8585"/>
        <bgColor indexed="64"/>
      </patternFill>
    </fill>
    <fill>
      <patternFill patternType="solid">
        <fgColor rgb="FFB19BD1"/>
        <bgColor indexed="64"/>
      </patternFill>
    </fill>
    <fill>
      <patternFill patternType="solid">
        <fgColor rgb="FFFAAE62"/>
        <bgColor indexed="64"/>
      </patternFill>
    </fill>
    <fill>
      <patternFill patternType="solid">
        <fgColor rgb="FFFFFF33"/>
        <bgColor indexed="64"/>
      </patternFill>
    </fill>
    <fill>
      <patternFill patternType="solid">
        <fgColor rgb="FF4DB3F9"/>
        <bgColor indexed="64"/>
      </patternFill>
    </fill>
    <fill>
      <patternFill patternType="solid">
        <fgColor rgb="FFFFFF00"/>
        <bgColor rgb="FF000000"/>
      </patternFill>
    </fill>
    <fill>
      <patternFill patternType="solid">
        <fgColor theme="3" tint="0.59999389629810485"/>
        <bgColor indexed="64"/>
      </patternFill>
    </fill>
  </fills>
  <borders count="16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double">
        <color indexed="64"/>
      </bottom>
      <diagonal/>
    </border>
    <border>
      <left/>
      <right/>
      <top/>
      <bottom style="thick">
        <color indexed="64"/>
      </bottom>
      <diagonal/>
    </border>
    <border>
      <left/>
      <right/>
      <top style="double">
        <color indexed="64"/>
      </top>
      <bottom style="thick">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diagonal/>
    </border>
    <border>
      <left/>
      <right/>
      <top style="thin">
        <color indexed="8"/>
      </top>
      <bottom style="thin">
        <color indexed="8"/>
      </bottom>
      <diagonal/>
    </border>
    <border>
      <left style="medium">
        <color rgb="FFFFFFFF"/>
      </left>
      <right/>
      <top style="thick">
        <color rgb="FF000000"/>
      </top>
      <bottom style="double">
        <color indexed="64"/>
      </bottom>
      <diagonal/>
    </border>
    <border>
      <left/>
      <right/>
      <top style="thick">
        <color rgb="FF000000"/>
      </top>
      <bottom style="double">
        <color indexed="64"/>
      </bottom>
      <diagonal/>
    </border>
    <border>
      <left/>
      <right/>
      <top/>
      <bottom style="medium">
        <color rgb="FFFFFFFF"/>
      </bottom>
      <diagonal/>
    </border>
    <border>
      <left style="thin">
        <color indexed="8"/>
      </left>
      <right/>
      <top style="thin">
        <color indexed="8"/>
      </top>
      <bottom style="thin">
        <color theme="0"/>
      </bottom>
      <diagonal/>
    </border>
    <border>
      <left style="thin">
        <color indexed="8"/>
      </left>
      <right/>
      <top style="thin">
        <color theme="0"/>
      </top>
      <bottom style="thin">
        <color theme="0"/>
      </bottom>
      <diagonal/>
    </border>
    <border>
      <left style="thin">
        <color indexed="8"/>
      </left>
      <right/>
      <top style="thin">
        <color theme="0"/>
      </top>
      <bottom style="double">
        <color indexed="64"/>
      </bottom>
      <diagonal/>
    </border>
    <border>
      <left style="thin">
        <color indexed="8"/>
      </left>
      <right/>
      <top/>
      <bottom style="double">
        <color indexed="64"/>
      </bottom>
      <diagonal/>
    </border>
    <border>
      <left/>
      <right style="thin">
        <color indexed="8"/>
      </right>
      <top/>
      <bottom style="double">
        <color indexed="64"/>
      </bottom>
      <diagonal/>
    </border>
    <border>
      <left style="thin">
        <color indexed="8"/>
      </left>
      <right/>
      <top style="thin">
        <color theme="0"/>
      </top>
      <bottom/>
      <diagonal/>
    </border>
    <border>
      <left style="thin">
        <color indexed="8"/>
      </left>
      <right/>
      <top style="thin">
        <color indexed="8"/>
      </top>
      <bottom style="thin">
        <color indexed="64"/>
      </bottom>
      <diagonal/>
    </border>
    <border>
      <left/>
      <right/>
      <top style="medium">
        <color rgb="FFFFFFFF"/>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style="double">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double">
        <color indexed="64"/>
      </bottom>
      <diagonal/>
    </border>
    <border>
      <left/>
      <right/>
      <top/>
      <bottom style="medium">
        <color theme="0"/>
      </bottom>
      <diagonal/>
    </border>
    <border>
      <left/>
      <right/>
      <top/>
      <bottom style="thin">
        <color theme="0" tint="-0.499984740745262"/>
      </bottom>
      <diagonal/>
    </border>
    <border>
      <left style="medium">
        <color rgb="FFFFFFFF"/>
      </left>
      <right/>
      <top style="thick">
        <color rgb="FF000000"/>
      </top>
      <bottom/>
      <diagonal/>
    </border>
    <border>
      <left style="medium">
        <color rgb="FFFFFFFF"/>
      </left>
      <right/>
      <top/>
      <bottom style="double">
        <color indexed="64"/>
      </bottom>
      <diagonal/>
    </border>
    <border>
      <left/>
      <right/>
      <top style="thick">
        <color rgb="FF000000"/>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right/>
      <top style="double">
        <color indexed="64"/>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double">
        <color indexed="64"/>
      </bottom>
      <diagonal/>
    </border>
    <border>
      <left/>
      <right/>
      <top style="medium">
        <color theme="0"/>
      </top>
      <bottom/>
      <diagonal/>
    </border>
    <border>
      <left/>
      <right/>
      <top style="double">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op>
      <bottom style="thin">
        <color theme="0"/>
      </bottom>
      <diagonal/>
    </border>
    <border>
      <left/>
      <right/>
      <top style="thin">
        <color theme="0"/>
      </top>
      <bottom/>
      <diagonal/>
    </border>
    <border>
      <left/>
      <right/>
      <top style="medium">
        <color theme="0"/>
      </top>
      <bottom style="thin">
        <color theme="0"/>
      </bottom>
      <diagonal/>
    </border>
    <border>
      <left/>
      <right/>
      <top style="double">
        <color indexed="64"/>
      </top>
      <bottom/>
      <diagonal/>
    </border>
    <border>
      <left/>
      <right/>
      <top style="double">
        <color indexed="64"/>
      </top>
      <bottom style="thin">
        <color theme="0"/>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ouble">
        <color indexed="64"/>
      </top>
      <bottom style="double">
        <color auto="1"/>
      </bottom>
      <diagonal/>
    </border>
    <border>
      <left/>
      <right/>
      <top style="thin">
        <color theme="0" tint="-0.34998626667073579"/>
      </top>
      <bottom/>
      <diagonal/>
    </border>
    <border>
      <left style="thick">
        <color rgb="FF000000"/>
      </left>
      <right/>
      <top style="thick">
        <color rgb="FF000000"/>
      </top>
      <bottom style="double">
        <color indexed="64"/>
      </bottom>
      <diagonal/>
    </border>
    <border>
      <left/>
      <right style="thick">
        <color rgb="FF000000"/>
      </right>
      <top style="thick">
        <color rgb="FF000000"/>
      </top>
      <bottom style="double">
        <color indexed="64"/>
      </bottom>
      <diagonal/>
    </border>
    <border>
      <left style="thick">
        <color rgb="FF000000"/>
      </left>
      <right/>
      <top/>
      <bottom style="medium">
        <color rgb="FFFFFFFF"/>
      </bottom>
      <diagonal/>
    </border>
    <border>
      <left/>
      <right style="thick">
        <color rgb="FF000000"/>
      </right>
      <top style="double">
        <color indexed="64"/>
      </top>
      <bottom style="thin">
        <color theme="1" tint="0.499984740745262"/>
      </bottom>
      <diagonal/>
    </border>
    <border>
      <left/>
      <right style="thick">
        <color rgb="FF000000"/>
      </right>
      <top style="thin">
        <color theme="1" tint="0.499984740745262"/>
      </top>
      <bottom style="thin">
        <color theme="1" tint="0.499984740745262"/>
      </bottom>
      <diagonal/>
    </border>
    <border>
      <left style="thick">
        <color rgb="FF000000"/>
      </left>
      <right/>
      <top/>
      <bottom style="thick">
        <color rgb="FF000000"/>
      </bottom>
      <diagonal/>
    </border>
    <border>
      <left/>
      <right/>
      <top style="double">
        <color indexed="64"/>
      </top>
      <bottom style="thick">
        <color rgb="FF000000"/>
      </bottom>
      <diagonal/>
    </border>
    <border>
      <left/>
      <right style="thick">
        <color rgb="FF000000"/>
      </right>
      <top style="double">
        <color indexed="64"/>
      </top>
      <bottom style="thick">
        <color rgb="FF000000"/>
      </bottom>
      <diagonal/>
    </border>
    <border>
      <left/>
      <right/>
      <top/>
      <bottom style="thick">
        <color rgb="FF000000"/>
      </bottom>
      <diagonal/>
    </border>
    <border>
      <left style="thick">
        <color rgb="FF000000"/>
      </left>
      <right style="thin">
        <color indexed="8"/>
      </right>
      <top style="medium">
        <color rgb="FFFFFFFF"/>
      </top>
      <bottom style="double">
        <color rgb="FF000000"/>
      </bottom>
      <diagonal/>
    </border>
    <border>
      <left style="medium">
        <color rgb="FF000000"/>
      </left>
      <right/>
      <top style="medium">
        <color rgb="FF000000"/>
      </top>
      <bottom style="double">
        <color indexed="64"/>
      </bottom>
      <diagonal/>
    </border>
    <border>
      <left/>
      <right/>
      <top style="medium">
        <color rgb="FF000000"/>
      </top>
      <bottom style="double">
        <color indexed="64"/>
      </bottom>
      <diagonal/>
    </border>
    <border>
      <left/>
      <right style="medium">
        <color rgb="FF000000"/>
      </right>
      <top style="medium">
        <color rgb="FF000000"/>
      </top>
      <bottom style="double">
        <color indexed="64"/>
      </bottom>
      <diagonal/>
    </border>
    <border>
      <left/>
      <right/>
      <top style="medium">
        <color rgb="FF000000"/>
      </top>
      <bottom/>
      <diagonal/>
    </border>
    <border>
      <left/>
      <right/>
      <top style="double">
        <color indexed="64"/>
      </top>
      <bottom style="thin">
        <color indexed="64"/>
      </bottom>
      <diagonal/>
    </border>
    <border>
      <left style="thin">
        <color indexed="64"/>
      </left>
      <right style="medium">
        <color rgb="FF000000"/>
      </right>
      <top style="double">
        <color indexed="64"/>
      </top>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medium">
        <color rgb="FF000000"/>
      </bottom>
      <diagonal/>
    </border>
    <border>
      <left style="medium">
        <color rgb="FFFFFFFF"/>
      </left>
      <right/>
      <top style="thick">
        <color rgb="FF000000"/>
      </top>
      <bottom style="medium">
        <color rgb="FFFFFFFF"/>
      </bottom>
      <diagonal/>
    </border>
    <border>
      <left style="thick">
        <color rgb="FF000000"/>
      </left>
      <right/>
      <top style="thick">
        <color rgb="FF000000"/>
      </top>
      <bottom style="medium">
        <color rgb="FFFFFFFF"/>
      </bottom>
      <diagonal/>
    </border>
    <border>
      <left style="thick">
        <color rgb="FF000000"/>
      </left>
      <right style="medium">
        <color rgb="FFFFFFFF"/>
      </right>
      <top style="medium">
        <color rgb="FFFFFFFF"/>
      </top>
      <bottom/>
      <diagonal/>
    </border>
    <border>
      <left style="thick">
        <color rgb="FF000000"/>
      </left>
      <right style="medium">
        <color rgb="FFFFFFFF"/>
      </right>
      <top style="medium">
        <color theme="0"/>
      </top>
      <bottom/>
      <diagonal/>
    </border>
    <border>
      <left style="thick">
        <color rgb="FF000000"/>
      </left>
      <right style="medium">
        <color rgb="FFFFFFFF"/>
      </right>
      <top/>
      <bottom style="medium">
        <color theme="0"/>
      </bottom>
      <diagonal/>
    </border>
    <border>
      <left style="thick">
        <color rgb="FF000000"/>
      </left>
      <right style="medium">
        <color rgb="FFFFFFFF"/>
      </right>
      <top/>
      <bottom/>
      <diagonal/>
    </border>
    <border>
      <left/>
      <right style="thick">
        <color rgb="FF000000"/>
      </right>
      <top style="thin">
        <color indexed="64"/>
      </top>
      <bottom/>
      <diagonal/>
    </border>
    <border>
      <left/>
      <right style="thick">
        <color rgb="FF000000"/>
      </right>
      <top/>
      <bottom style="thin">
        <color indexed="64"/>
      </bottom>
      <diagonal/>
    </border>
    <border>
      <left/>
      <right style="thick">
        <color rgb="FF000000"/>
      </right>
      <top/>
      <bottom/>
      <diagonal/>
    </border>
    <border>
      <left/>
      <right style="thick">
        <color rgb="FF000000"/>
      </right>
      <top/>
      <bottom style="thick">
        <color rgb="FF000000"/>
      </bottom>
      <diagonal/>
    </border>
    <border>
      <left style="thick">
        <color rgb="FF000000"/>
      </left>
      <right style="thick">
        <color theme="0"/>
      </right>
      <top style="thick">
        <color rgb="FF000000"/>
      </top>
      <bottom style="medium">
        <color rgb="FFFFFFFF"/>
      </bottom>
      <diagonal/>
    </border>
    <border>
      <left/>
      <right/>
      <top style="thick">
        <color rgb="FF000000"/>
      </top>
      <bottom style="thick">
        <color theme="0"/>
      </bottom>
      <diagonal/>
    </border>
    <border>
      <left/>
      <right/>
      <top style="thick">
        <color rgb="FF000000"/>
      </top>
      <bottom style="medium">
        <color theme="0"/>
      </bottom>
      <diagonal/>
    </border>
    <border>
      <left/>
      <right style="thick">
        <color rgb="FF000000"/>
      </right>
      <top style="thick">
        <color rgb="FF000000"/>
      </top>
      <bottom style="medium">
        <color theme="0"/>
      </bottom>
      <diagonal/>
    </border>
    <border>
      <left/>
      <right style="thick">
        <color rgb="FF000000"/>
      </right>
      <top style="thin">
        <color indexed="64"/>
      </top>
      <bottom style="thin">
        <color indexed="64"/>
      </bottom>
      <diagonal/>
    </border>
    <border>
      <left style="thick">
        <color rgb="FF000000"/>
      </left>
      <right style="medium">
        <color theme="0"/>
      </right>
      <top style="thin">
        <color auto="1"/>
      </top>
      <bottom/>
      <diagonal/>
    </border>
    <border>
      <left style="thick">
        <color rgb="FF000000"/>
      </left>
      <right style="medium">
        <color theme="0"/>
      </right>
      <top/>
      <bottom/>
      <diagonal/>
    </border>
    <border>
      <left style="thick">
        <color rgb="FF000000"/>
      </left>
      <right style="medium">
        <color theme="0"/>
      </right>
      <top/>
      <bottom style="thick">
        <color rgb="FF000000"/>
      </bottom>
      <diagonal/>
    </border>
    <border>
      <left style="medium">
        <color theme="0"/>
      </left>
      <right style="thin">
        <color auto="1"/>
      </right>
      <top style="thin">
        <color indexed="64"/>
      </top>
      <bottom/>
      <diagonal/>
    </border>
    <border>
      <left style="medium">
        <color theme="0"/>
      </left>
      <right style="thin">
        <color auto="1"/>
      </right>
      <top/>
      <bottom/>
      <diagonal/>
    </border>
    <border>
      <left style="medium">
        <color theme="0"/>
      </left>
      <right style="thin">
        <color auto="1"/>
      </right>
      <top/>
      <bottom style="thick">
        <color rgb="FF000000"/>
      </bottom>
      <diagonal/>
    </border>
    <border>
      <left style="medium">
        <color rgb="FFFFFFFF"/>
      </left>
      <right/>
      <top style="medium">
        <color theme="0"/>
      </top>
      <bottom style="thin">
        <color indexed="64"/>
      </bottom>
      <diagonal/>
    </border>
    <border>
      <left/>
      <right/>
      <top style="medium">
        <color theme="0"/>
      </top>
      <bottom style="thin">
        <color indexed="64"/>
      </bottom>
      <diagonal/>
    </border>
    <border>
      <left/>
      <right style="thick">
        <color rgb="FF000000"/>
      </right>
      <top style="medium">
        <color theme="0"/>
      </top>
      <bottom style="thin">
        <color indexed="64"/>
      </bottom>
      <diagonal/>
    </border>
    <border>
      <left style="medium">
        <color rgb="FFFFFFFF"/>
      </left>
      <right/>
      <top style="thin">
        <color indexed="64"/>
      </top>
      <bottom/>
      <diagonal/>
    </border>
    <border>
      <left style="medium">
        <color rgb="FFFFFFFF"/>
      </left>
      <right/>
      <top/>
      <bottom style="thin">
        <color indexed="64"/>
      </bottom>
      <diagonal/>
    </border>
    <border>
      <left/>
      <right/>
      <top style="thick">
        <color rgb="FF000000"/>
      </top>
      <bottom style="medium">
        <color rgb="FFFFFFFF"/>
      </bottom>
      <diagonal/>
    </border>
    <border>
      <left/>
      <right style="thick">
        <color rgb="FF000000"/>
      </right>
      <top style="thick">
        <color rgb="FF000000"/>
      </top>
      <bottom style="medium">
        <color rgb="FFFFFFFF"/>
      </bottom>
      <diagonal/>
    </border>
    <border>
      <left/>
      <right style="thick">
        <color rgb="FF000000"/>
      </right>
      <top style="double">
        <color indexed="64"/>
      </top>
      <bottom style="thin">
        <color theme="0" tint="-0.499984740745262"/>
      </bottom>
      <diagonal/>
    </border>
    <border>
      <left/>
      <right style="thick">
        <color rgb="FF000000"/>
      </right>
      <top style="thin">
        <color theme="0" tint="-0.499984740745262"/>
      </top>
      <bottom style="thin">
        <color theme="0" tint="-0.499984740745262"/>
      </bottom>
      <diagonal/>
    </border>
    <border>
      <left/>
      <right/>
      <top style="thin">
        <color theme="0" tint="-0.499984740745262"/>
      </top>
      <bottom style="thick">
        <color rgb="FF000000"/>
      </bottom>
      <diagonal/>
    </border>
    <border>
      <left/>
      <right style="thick">
        <color rgb="FF000000"/>
      </right>
      <top style="thin">
        <color theme="0" tint="-0.499984740745262"/>
      </top>
      <bottom style="thick">
        <color rgb="FF000000"/>
      </bottom>
      <diagonal/>
    </border>
    <border>
      <left/>
      <right/>
      <top/>
      <bottom style="thin">
        <color theme="1" tint="0.499984740745262"/>
      </bottom>
      <diagonal/>
    </border>
    <border>
      <left/>
      <right/>
      <top style="thin">
        <color theme="1" tint="0.499984740745262"/>
      </top>
      <bottom style="thick">
        <color rgb="FF000000"/>
      </bottom>
      <diagonal/>
    </border>
    <border>
      <left style="thick">
        <color theme="0"/>
      </left>
      <right/>
      <top style="thick">
        <color rgb="FF000000"/>
      </top>
      <bottom style="medium">
        <color theme="0"/>
      </bottom>
      <diagonal/>
    </border>
    <border>
      <left/>
      <right style="thick">
        <color rgb="FF000000"/>
      </right>
      <top/>
      <bottom style="medium">
        <color rgb="FFFFFFFF"/>
      </bottom>
      <diagonal/>
    </border>
    <border>
      <left style="medium">
        <color rgb="FF000000"/>
      </left>
      <right/>
      <top style="double">
        <color indexed="64"/>
      </top>
      <bottom style="medium">
        <color theme="0"/>
      </bottom>
      <diagonal/>
    </border>
    <border>
      <left style="medium">
        <color rgb="FF000000"/>
      </left>
      <right/>
      <top style="medium">
        <color theme="0"/>
      </top>
      <bottom style="medium">
        <color theme="0"/>
      </bottom>
      <diagonal/>
    </border>
    <border>
      <left style="medium">
        <color rgb="FF000000"/>
      </left>
      <right/>
      <top style="medium">
        <color theme="0"/>
      </top>
      <bottom style="medium">
        <color rgb="FF000000"/>
      </bottom>
      <diagonal/>
    </border>
    <border>
      <left style="thin">
        <color indexed="64"/>
      </left>
      <right style="medium">
        <color rgb="FF000000"/>
      </right>
      <top style="thin">
        <color indexed="64"/>
      </top>
      <bottom style="thin">
        <color indexed="64"/>
      </bottom>
      <diagonal/>
    </border>
    <border>
      <left/>
      <right/>
      <top style="thin">
        <color indexed="64"/>
      </top>
      <bottom style="medium">
        <color rgb="FF000000"/>
      </bottom>
      <diagonal/>
    </border>
    <border>
      <left style="thick">
        <color rgb="FF000000"/>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rgb="FF000000"/>
      </left>
      <right/>
      <top style="double">
        <color indexed="64"/>
      </top>
      <bottom style="medium">
        <color theme="0"/>
      </bottom>
      <diagonal/>
    </border>
    <border>
      <left style="thick">
        <color rgb="FF000000"/>
      </left>
      <right/>
      <top/>
      <bottom style="medium">
        <color theme="0"/>
      </bottom>
      <diagonal/>
    </border>
    <border>
      <left/>
      <right style="thick">
        <color rgb="FF000000"/>
      </right>
      <top/>
      <bottom style="thin">
        <color theme="0" tint="-0.499984740745262"/>
      </bottom>
      <diagonal/>
    </border>
    <border>
      <left style="thick">
        <color rgb="FF000000"/>
      </left>
      <right/>
      <top style="medium">
        <color theme="0"/>
      </top>
      <bottom style="medium">
        <color theme="0"/>
      </bottom>
      <diagonal/>
    </border>
    <border>
      <left style="thick">
        <color rgb="FF000000"/>
      </left>
      <right/>
      <top style="medium">
        <color theme="0"/>
      </top>
      <bottom style="thick">
        <color rgb="FF000000"/>
      </bottom>
      <diagonal/>
    </border>
  </borders>
  <cellStyleXfs count="3">
    <xf numFmtId="0" fontId="0" fillId="0" borderId="0"/>
    <xf numFmtId="9" fontId="1" fillId="0" borderId="0" applyFont="0" applyFill="0" applyBorder="0" applyAlignment="0" applyProtection="0"/>
    <xf numFmtId="0" fontId="30" fillId="0" borderId="0" applyNumberFormat="0" applyFill="0" applyBorder="0" applyAlignment="0" applyProtection="0"/>
  </cellStyleXfs>
  <cellXfs count="680">
    <xf numFmtId="0" fontId="0" fillId="0" borderId="0" xfId="0"/>
    <xf numFmtId="0" fontId="2" fillId="0" borderId="0" xfId="0" applyFont="1"/>
    <xf numFmtId="0" fontId="3" fillId="0" borderId="0" xfId="0" applyFont="1"/>
    <xf numFmtId="0" fontId="2" fillId="2" borderId="1" xfId="0" applyFont="1" applyFill="1" applyBorder="1"/>
    <xf numFmtId="0" fontId="3" fillId="2" borderId="2" xfId="0" applyFont="1" applyFill="1" applyBorder="1" applyAlignment="1">
      <alignment horizontal="right"/>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2" borderId="2" xfId="0" applyFont="1" applyFill="1" applyBorder="1"/>
    <xf numFmtId="0" fontId="2" fillId="0" borderId="0" xfId="0" applyFont="1" applyBorder="1"/>
    <xf numFmtId="0" fontId="2" fillId="3" borderId="0" xfId="0" applyFont="1" applyFill="1" applyBorder="1"/>
    <xf numFmtId="0" fontId="2" fillId="3" borderId="7" xfId="0" applyFont="1" applyFill="1" applyBorder="1"/>
    <xf numFmtId="0" fontId="2" fillId="3" borderId="11" xfId="0" applyFont="1" applyFill="1" applyBorder="1"/>
    <xf numFmtId="0" fontId="2" fillId="3" borderId="3" xfId="0" quotePrefix="1" applyFont="1" applyFill="1" applyBorder="1" applyAlignment="1">
      <alignment horizontal="center"/>
    </xf>
    <xf numFmtId="0" fontId="3" fillId="3" borderId="12" xfId="0" applyFont="1" applyFill="1" applyBorder="1"/>
    <xf numFmtId="0" fontId="3" fillId="3" borderId="13" xfId="0" applyFont="1" applyFill="1" applyBorder="1"/>
    <xf numFmtId="0" fontId="3" fillId="3" borderId="14" xfId="0" applyFont="1" applyFill="1" applyBorder="1"/>
    <xf numFmtId="0" fontId="2" fillId="3" borderId="15" xfId="0" applyFont="1" applyFill="1" applyBorder="1"/>
    <xf numFmtId="0" fontId="2" fillId="3" borderId="15" xfId="0" applyFont="1" applyFill="1" applyBorder="1" applyAlignment="1">
      <alignment horizontal="center"/>
    </xf>
    <xf numFmtId="0" fontId="2" fillId="3" borderId="0" xfId="0" applyFont="1" applyFill="1" applyAlignment="1">
      <alignment horizontal="center"/>
    </xf>
    <xf numFmtId="0" fontId="2" fillId="3" borderId="4" xfId="0" applyFont="1" applyFill="1" applyBorder="1"/>
    <xf numFmtId="0" fontId="2" fillId="2" borderId="2" xfId="0" applyFont="1" applyFill="1" applyBorder="1" applyAlignment="1">
      <alignment horizontal="right"/>
    </xf>
    <xf numFmtId="0" fontId="3" fillId="2" borderId="2" xfId="0" applyFont="1" applyFill="1" applyBorder="1"/>
    <xf numFmtId="0" fontId="2" fillId="2" borderId="0" xfId="0" applyFont="1" applyFill="1" applyBorder="1"/>
    <xf numFmtId="0" fontId="2" fillId="2" borderId="7" xfId="0" applyFont="1" applyFill="1" applyBorder="1"/>
    <xf numFmtId="0" fontId="2" fillId="3" borderId="6" xfId="0" quotePrefix="1" applyFont="1" applyFill="1" applyBorder="1" applyAlignment="1">
      <alignment horizontal="center"/>
    </xf>
    <xf numFmtId="0" fontId="2" fillId="0" borderId="10" xfId="0" applyFont="1" applyBorder="1"/>
    <xf numFmtId="0" fontId="2" fillId="3" borderId="15" xfId="0" applyFont="1" applyFill="1" applyBorder="1" applyAlignment="1">
      <alignment horizontal="center" wrapText="1"/>
    </xf>
    <xf numFmtId="0" fontId="6" fillId="0" borderId="0" xfId="0" applyFont="1"/>
    <xf numFmtId="0" fontId="4" fillId="0" borderId="0" xfId="0" applyFont="1"/>
    <xf numFmtId="0" fontId="6" fillId="2" borderId="2" xfId="0" applyFont="1" applyFill="1" applyBorder="1"/>
    <xf numFmtId="0" fontId="6" fillId="2" borderId="2" xfId="0" applyFont="1" applyFill="1" applyBorder="1" applyAlignment="1">
      <alignment horizontal="center"/>
    </xf>
    <xf numFmtId="0" fontId="6" fillId="0" borderId="0" xfId="0" applyFont="1" applyAlignment="1">
      <alignment horizontal="center"/>
    </xf>
    <xf numFmtId="0" fontId="6" fillId="0" borderId="0" xfId="0" applyFont="1" applyBorder="1" applyAlignment="1">
      <alignment horizontal="center"/>
    </xf>
    <xf numFmtId="0" fontId="6" fillId="0" borderId="16" xfId="0" applyFont="1" applyBorder="1" applyAlignment="1">
      <alignment horizontal="center"/>
    </xf>
    <xf numFmtId="0" fontId="7" fillId="4" borderId="4" xfId="0" applyFont="1" applyFill="1" applyBorder="1"/>
    <xf numFmtId="0" fontId="7" fillId="5" borderId="2" xfId="0" applyFont="1" applyFill="1" applyBorder="1"/>
    <xf numFmtId="0" fontId="8" fillId="5" borderId="5" xfId="0" applyFont="1" applyFill="1" applyBorder="1" applyAlignment="1">
      <alignment horizontal="center"/>
    </xf>
    <xf numFmtId="0" fontId="7" fillId="4" borderId="2" xfId="0" applyFont="1" applyFill="1" applyBorder="1"/>
    <xf numFmtId="0" fontId="7" fillId="5" borderId="6" xfId="0" quotePrefix="1" applyFont="1" applyFill="1" applyBorder="1" applyAlignment="1">
      <alignment horizontal="center"/>
    </xf>
    <xf numFmtId="0" fontId="7" fillId="6" borderId="2" xfId="0" applyFont="1" applyFill="1" applyBorder="1" applyAlignment="1">
      <alignment horizontal="center"/>
    </xf>
    <xf numFmtId="0" fontId="7" fillId="4" borderId="2" xfId="0" applyFont="1" applyFill="1" applyBorder="1" applyAlignment="1">
      <alignment horizontal="center"/>
    </xf>
    <xf numFmtId="0" fontId="7" fillId="3" borderId="12" xfId="0" applyFont="1" applyFill="1" applyBorder="1"/>
    <xf numFmtId="0" fontId="7" fillId="3" borderId="13" xfId="0" applyFont="1" applyFill="1" applyBorder="1" applyAlignment="1">
      <alignment horizontal="center"/>
    </xf>
    <xf numFmtId="0" fontId="7" fillId="2" borderId="2" xfId="0" applyFont="1" applyFill="1" applyBorder="1"/>
    <xf numFmtId="0" fontId="7" fillId="7" borderId="2" xfId="0" applyFont="1" applyFill="1" applyBorder="1" applyAlignment="1">
      <alignment horizontal="center"/>
    </xf>
    <xf numFmtId="0" fontId="7" fillId="2" borderId="2" xfId="0" applyFont="1" applyFill="1" applyBorder="1" applyAlignment="1">
      <alignment horizontal="center"/>
    </xf>
    <xf numFmtId="0" fontId="7" fillId="7" borderId="2" xfId="0" applyFont="1" applyFill="1" applyBorder="1" applyAlignment="1">
      <alignment horizontal="left"/>
    </xf>
    <xf numFmtId="0" fontId="7" fillId="0" borderId="0" xfId="0" applyFont="1"/>
    <xf numFmtId="0" fontId="7" fillId="3" borderId="2" xfId="0" applyFont="1" applyFill="1" applyBorder="1" applyAlignment="1">
      <alignment horizontal="center"/>
    </xf>
    <xf numFmtId="0" fontId="7" fillId="3" borderId="2" xfId="0" quotePrefix="1" applyFont="1" applyFill="1" applyBorder="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right"/>
    </xf>
    <xf numFmtId="0" fontId="7" fillId="8" borderId="12" xfId="0" applyFont="1" applyFill="1" applyBorder="1"/>
    <xf numFmtId="0" fontId="7" fillId="3" borderId="14" xfId="0" applyFont="1" applyFill="1" applyBorder="1" applyAlignment="1">
      <alignment horizontal="center"/>
    </xf>
    <xf numFmtId="0" fontId="7" fillId="3" borderId="6" xfId="0" quotePrefix="1" applyFont="1" applyFill="1" applyBorder="1" applyAlignment="1">
      <alignment horizontal="center"/>
    </xf>
    <xf numFmtId="0" fontId="7" fillId="3" borderId="3" xfId="0" quotePrefix="1" applyFont="1" applyFill="1" applyBorder="1" applyAlignment="1">
      <alignment horizontal="center"/>
    </xf>
    <xf numFmtId="0" fontId="7" fillId="2" borderId="1" xfId="0" applyFont="1" applyFill="1" applyBorder="1"/>
    <xf numFmtId="0" fontId="7" fillId="2" borderId="3" xfId="0" applyFont="1" applyFill="1" applyBorder="1" applyAlignment="1">
      <alignment horizontal="center"/>
    </xf>
    <xf numFmtId="0" fontId="7" fillId="8" borderId="14" xfId="0" applyFont="1" applyFill="1" applyBorder="1" applyAlignment="1">
      <alignment horizontal="center"/>
    </xf>
    <xf numFmtId="0" fontId="7" fillId="8" borderId="13" xfId="0" applyFont="1" applyFill="1" applyBorder="1" applyAlignment="1">
      <alignment horizontal="center"/>
    </xf>
    <xf numFmtId="0" fontId="7" fillId="9" borderId="3" xfId="0" applyFont="1" applyFill="1" applyBorder="1"/>
    <xf numFmtId="0" fontId="7" fillId="9" borderId="15" xfId="0" applyFont="1" applyFill="1" applyBorder="1"/>
    <xf numFmtId="0" fontId="7" fillId="3" borderId="17" xfId="0" quotePrefix="1" applyFont="1" applyFill="1" applyBorder="1" applyAlignment="1">
      <alignment horizontal="center"/>
    </xf>
    <xf numFmtId="0" fontId="7" fillId="4" borderId="2" xfId="0" applyFont="1" applyFill="1" applyBorder="1" applyAlignment="1">
      <alignment horizontal="right"/>
    </xf>
    <xf numFmtId="0" fontId="8" fillId="10" borderId="5" xfId="0" applyFont="1" applyFill="1" applyBorder="1" applyAlignment="1">
      <alignment horizontal="center"/>
    </xf>
    <xf numFmtId="0" fontId="7" fillId="10" borderId="6" xfId="0" applyFont="1" applyFill="1" applyBorder="1" applyAlignment="1">
      <alignment horizontal="center"/>
    </xf>
    <xf numFmtId="0" fontId="7" fillId="10" borderId="6" xfId="0" quotePrefix="1" applyFont="1" applyFill="1" applyBorder="1" applyAlignment="1">
      <alignment horizontal="center"/>
    </xf>
    <xf numFmtId="0" fontId="7" fillId="10" borderId="3" xfId="0" quotePrefix="1" applyFont="1" applyFill="1" applyBorder="1" applyAlignment="1">
      <alignment horizontal="center"/>
    </xf>
    <xf numFmtId="0" fontId="7" fillId="11" borderId="2" xfId="0" applyFont="1" applyFill="1" applyBorder="1" applyAlignment="1">
      <alignment horizontal="center"/>
    </xf>
    <xf numFmtId="0" fontId="7" fillId="12" borderId="2"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applyAlignment="1">
      <alignment horizontal="center"/>
    </xf>
    <xf numFmtId="0" fontId="7" fillId="0" borderId="0" xfId="0" applyFont="1" applyFill="1" applyBorder="1" applyAlignment="1">
      <alignment horizontal="center"/>
    </xf>
    <xf numFmtId="164" fontId="7" fillId="0" borderId="0" xfId="0" applyNumberFormat="1" applyFont="1" applyFill="1" applyBorder="1" applyAlignment="1">
      <alignment horizontal="center"/>
    </xf>
    <xf numFmtId="9" fontId="7" fillId="0" borderId="0" xfId="1" applyFont="1" applyFill="1" applyBorder="1" applyAlignment="1">
      <alignment horizontal="center"/>
    </xf>
    <xf numFmtId="0" fontId="7" fillId="8" borderId="2" xfId="0" applyFont="1" applyFill="1" applyBorder="1" applyAlignment="1">
      <alignment horizontal="center"/>
    </xf>
    <xf numFmtId="165" fontId="7" fillId="4" borderId="2" xfId="0" applyNumberFormat="1" applyFont="1" applyFill="1" applyBorder="1" applyAlignment="1">
      <alignment horizontal="center"/>
    </xf>
    <xf numFmtId="165" fontId="7" fillId="11" borderId="2" xfId="0" applyNumberFormat="1" applyFont="1" applyFill="1" applyBorder="1" applyAlignment="1">
      <alignment horizontal="center"/>
    </xf>
    <xf numFmtId="165" fontId="7" fillId="13" borderId="2" xfId="0" applyNumberFormat="1" applyFont="1" applyFill="1" applyBorder="1" applyAlignment="1">
      <alignment horizontal="center"/>
    </xf>
    <xf numFmtId="0" fontId="2" fillId="14" borderId="4" xfId="0" applyFont="1" applyFill="1" applyBorder="1"/>
    <xf numFmtId="164" fontId="7" fillId="14" borderId="2" xfId="0" applyNumberFormat="1" applyFont="1" applyFill="1" applyBorder="1" applyAlignment="1">
      <alignment horizontal="center"/>
    </xf>
    <xf numFmtId="2" fontId="7" fillId="4" borderId="2" xfId="0" applyNumberFormat="1" applyFont="1" applyFill="1" applyBorder="1" applyAlignment="1">
      <alignment horizontal="center"/>
    </xf>
    <xf numFmtId="165" fontId="7" fillId="15" borderId="2" xfId="0" applyNumberFormat="1" applyFont="1" applyFill="1" applyBorder="1" applyAlignment="1">
      <alignment horizontal="center"/>
    </xf>
    <xf numFmtId="0" fontId="7" fillId="16" borderId="2" xfId="0" applyFont="1" applyFill="1" applyBorder="1" applyAlignment="1">
      <alignment horizontal="center"/>
    </xf>
    <xf numFmtId="165" fontId="7" fillId="16" borderId="2" xfId="0" applyNumberFormat="1" applyFont="1" applyFill="1" applyBorder="1" applyAlignment="1">
      <alignment horizontal="center"/>
    </xf>
    <xf numFmtId="0" fontId="4" fillId="0" borderId="0" xfId="0" applyFont="1" applyBorder="1" applyAlignment="1">
      <alignment horizontal="left"/>
    </xf>
    <xf numFmtId="0" fontId="7" fillId="0" borderId="0" xfId="0" applyFont="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166" fontId="6" fillId="0" borderId="12" xfId="0" applyNumberFormat="1" applyFont="1" applyBorder="1" applyAlignment="1">
      <alignment horizontal="center"/>
    </xf>
    <xf numFmtId="166" fontId="2" fillId="0" borderId="16" xfId="0" applyNumberFormat="1" applyFont="1" applyBorder="1"/>
    <xf numFmtId="0" fontId="7" fillId="0" borderId="0" xfId="0" applyFont="1" applyBorder="1" applyAlignment="1">
      <alignment horizontal="right"/>
    </xf>
    <xf numFmtId="0" fontId="7" fillId="17" borderId="12" xfId="0" applyFont="1" applyFill="1" applyBorder="1"/>
    <xf numFmtId="0" fontId="7" fillId="17" borderId="13" xfId="0" applyFont="1" applyFill="1" applyBorder="1" applyAlignment="1">
      <alignment horizontal="center"/>
    </xf>
    <xf numFmtId="0" fontId="7" fillId="17" borderId="14" xfId="0" applyFont="1" applyFill="1" applyBorder="1" applyAlignment="1">
      <alignment horizontal="center"/>
    </xf>
    <xf numFmtId="0" fontId="7" fillId="17" borderId="15" xfId="0" applyFont="1" applyFill="1" applyBorder="1"/>
    <xf numFmtId="0" fontId="7" fillId="17" borderId="15" xfId="0" applyFont="1" applyFill="1" applyBorder="1" applyAlignment="1">
      <alignment horizontal="center"/>
    </xf>
    <xf numFmtId="0" fontId="7" fillId="17" borderId="0" xfId="0" applyFont="1" applyFill="1" applyAlignment="1">
      <alignment horizontal="center"/>
    </xf>
    <xf numFmtId="0" fontId="7" fillId="17" borderId="4" xfId="0" applyFont="1" applyFill="1" applyBorder="1"/>
    <xf numFmtId="0" fontId="7" fillId="17" borderId="4" xfId="0" applyFont="1" applyFill="1" applyBorder="1" applyAlignment="1">
      <alignment horizontal="center"/>
    </xf>
    <xf numFmtId="0" fontId="6" fillId="18" borderId="2" xfId="0" applyFont="1" applyFill="1" applyBorder="1"/>
    <xf numFmtId="0" fontId="6" fillId="18" borderId="2" xfId="0" applyFont="1" applyFill="1" applyBorder="1" applyAlignment="1">
      <alignment horizontal="center"/>
    </xf>
    <xf numFmtId="0" fontId="6" fillId="0" borderId="0" xfId="0" applyFont="1" applyFill="1" applyBorder="1"/>
    <xf numFmtId="166" fontId="6" fillId="0" borderId="0" xfId="0" applyNumberFormat="1" applyFont="1" applyBorder="1" applyAlignment="1">
      <alignment horizontal="center"/>
    </xf>
    <xf numFmtId="0" fontId="8" fillId="0" borderId="0" xfId="0" applyFont="1"/>
    <xf numFmtId="0" fontId="11" fillId="19" borderId="0" xfId="0" applyFont="1" applyFill="1" applyAlignment="1">
      <alignment vertical="center"/>
    </xf>
    <xf numFmtId="0" fontId="8" fillId="19" borderId="0" xfId="0" applyFont="1" applyFill="1" applyAlignment="1">
      <alignment horizontal="center"/>
    </xf>
    <xf numFmtId="0" fontId="7" fillId="0" borderId="12" xfId="0" applyFont="1" applyFill="1" applyBorder="1"/>
    <xf numFmtId="0" fontId="7" fillId="0" borderId="13" xfId="0" applyFont="1" applyFill="1" applyBorder="1" applyAlignment="1">
      <alignment horizontal="center"/>
    </xf>
    <xf numFmtId="165" fontId="7" fillId="0" borderId="0" xfId="0" applyNumberFormat="1" applyFont="1" applyFill="1" applyBorder="1" applyAlignment="1">
      <alignment horizontal="center"/>
    </xf>
    <xf numFmtId="0" fontId="7" fillId="3" borderId="12" xfId="0" applyFont="1" applyFill="1" applyBorder="1" applyAlignment="1">
      <alignment vertical="center"/>
    </xf>
    <xf numFmtId="0" fontId="7" fillId="14" borderId="4" xfId="0" applyFont="1" applyFill="1" applyBorder="1" applyAlignment="1">
      <alignment horizontal="left"/>
    </xf>
    <xf numFmtId="0" fontId="7" fillId="0" borderId="0" xfId="0" applyFont="1" applyBorder="1"/>
    <xf numFmtId="0" fontId="7" fillId="0" borderId="2" xfId="0" applyFont="1" applyBorder="1" applyAlignment="1">
      <alignment horizontal="right"/>
    </xf>
    <xf numFmtId="0" fontId="8" fillId="0" borderId="12"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0" xfId="0" applyFont="1" applyBorder="1" applyAlignment="1">
      <alignment horizontal="center"/>
    </xf>
    <xf numFmtId="0" fontId="8" fillId="0" borderId="0" xfId="0" applyFont="1" applyBorder="1"/>
    <xf numFmtId="0" fontId="8" fillId="0" borderId="0" xfId="0" applyFont="1" applyBorder="1" applyAlignment="1">
      <alignment horizontal="right"/>
    </xf>
    <xf numFmtId="0" fontId="7" fillId="0" borderId="2" xfId="0" applyFont="1" applyBorder="1"/>
    <xf numFmtId="0" fontId="7" fillId="0" borderId="2" xfId="0" applyFont="1" applyFill="1" applyBorder="1"/>
    <xf numFmtId="0" fontId="7" fillId="20" borderId="2" xfId="0" applyFont="1" applyFill="1" applyBorder="1" applyAlignment="1">
      <alignment horizontal="right"/>
    </xf>
    <xf numFmtId="0" fontId="7" fillId="20" borderId="12" xfId="0" applyFont="1" applyFill="1" applyBorder="1"/>
    <xf numFmtId="0" fontId="7" fillId="20" borderId="13" xfId="0" applyFont="1" applyFill="1" applyBorder="1"/>
    <xf numFmtId="0" fontId="7" fillId="20" borderId="13" xfId="0" applyFont="1" applyFill="1" applyBorder="1" applyAlignment="1">
      <alignment horizontal="center"/>
    </xf>
    <xf numFmtId="0" fontId="7" fillId="20" borderId="14" xfId="0" applyFont="1" applyFill="1" applyBorder="1"/>
    <xf numFmtId="0" fontId="8" fillId="0" borderId="2" xfId="0" applyFont="1" applyBorder="1" applyAlignment="1">
      <alignment wrapText="1"/>
    </xf>
    <xf numFmtId="0" fontId="0" fillId="0" borderId="0" xfId="0" applyAlignment="1">
      <alignment wrapText="1"/>
    </xf>
    <xf numFmtId="0" fontId="7" fillId="0" borderId="0" xfId="0" applyFont="1" applyAlignment="1">
      <alignment horizontal="left"/>
    </xf>
    <xf numFmtId="0" fontId="18" fillId="0" borderId="0" xfId="0" applyFont="1" applyAlignment="1"/>
    <xf numFmtId="0" fontId="4" fillId="22" borderId="2" xfId="0" applyFont="1" applyFill="1" applyBorder="1"/>
    <xf numFmtId="0" fontId="4" fillId="22" borderId="2" xfId="0" applyFont="1" applyFill="1" applyBorder="1" applyAlignment="1">
      <alignment horizontal="center"/>
    </xf>
    <xf numFmtId="0" fontId="7" fillId="23" borderId="2" xfId="0" applyFont="1" applyFill="1" applyBorder="1" applyAlignment="1">
      <alignment horizontal="right"/>
    </xf>
    <xf numFmtId="0" fontId="6" fillId="23" borderId="2" xfId="0" applyFont="1" applyFill="1" applyBorder="1" applyAlignment="1">
      <alignment horizontal="center"/>
    </xf>
    <xf numFmtId="0" fontId="7" fillId="23" borderId="1" xfId="0" applyFont="1" applyFill="1" applyBorder="1" applyAlignment="1">
      <alignment horizontal="right"/>
    </xf>
    <xf numFmtId="0" fontId="7" fillId="22" borderId="2" xfId="0" applyFont="1" applyFill="1" applyBorder="1" applyAlignment="1">
      <alignment horizontal="right"/>
    </xf>
    <xf numFmtId="0" fontId="6" fillId="22" borderId="2" xfId="0" applyFont="1" applyFill="1" applyBorder="1" applyAlignment="1">
      <alignment horizontal="center"/>
    </xf>
    <xf numFmtId="0" fontId="7" fillId="23" borderId="12" xfId="0" applyFont="1" applyFill="1" applyBorder="1"/>
    <xf numFmtId="0" fontId="6" fillId="23" borderId="13" xfId="0" applyFont="1" applyFill="1" applyBorder="1" applyAlignment="1">
      <alignment horizontal="center"/>
    </xf>
    <xf numFmtId="0" fontId="6" fillId="23" borderId="14" xfId="0" applyFont="1" applyFill="1" applyBorder="1" applyAlignment="1">
      <alignment horizontal="center"/>
    </xf>
    <xf numFmtId="0" fontId="4" fillId="23" borderId="1" xfId="0" applyFont="1" applyFill="1" applyBorder="1"/>
    <xf numFmtId="0" fontId="6" fillId="23" borderId="6" xfId="0" quotePrefix="1" applyFont="1" applyFill="1" applyBorder="1" applyAlignment="1">
      <alignment horizontal="center"/>
    </xf>
    <xf numFmtId="0" fontId="7" fillId="23" borderId="6" xfId="0" quotePrefix="1" applyFont="1" applyFill="1" applyBorder="1" applyAlignment="1">
      <alignment horizontal="center"/>
    </xf>
    <xf numFmtId="0" fontId="7" fillId="23" borderId="3" xfId="0" quotePrefix="1" applyFont="1" applyFill="1" applyBorder="1" applyAlignment="1">
      <alignment horizontal="center"/>
    </xf>
    <xf numFmtId="0" fontId="9" fillId="0" borderId="0" xfId="0" applyFont="1"/>
    <xf numFmtId="0" fontId="19" fillId="25" borderId="35" xfId="0" applyFont="1" applyFill="1" applyBorder="1" applyAlignment="1">
      <alignment horizontal="center" vertical="center" wrapText="1"/>
    </xf>
    <xf numFmtId="0" fontId="19" fillId="25" borderId="36" xfId="0" applyFont="1" applyFill="1" applyBorder="1" applyAlignment="1">
      <alignment horizontal="center" vertical="center" wrapText="1"/>
    </xf>
    <xf numFmtId="0" fontId="19" fillId="26" borderId="37" xfId="0" applyFont="1" applyFill="1" applyBorder="1" applyAlignment="1">
      <alignment vertical="center" wrapText="1"/>
    </xf>
    <xf numFmtId="0" fontId="20" fillId="21" borderId="2" xfId="0" applyFont="1" applyFill="1" applyBorder="1"/>
    <xf numFmtId="0" fontId="10" fillId="0" borderId="0" xfId="0" applyFont="1"/>
    <xf numFmtId="0" fontId="16" fillId="0" borderId="0" xfId="0" applyFont="1"/>
    <xf numFmtId="0" fontId="23" fillId="0" borderId="0" xfId="0" applyFont="1"/>
    <xf numFmtId="0" fontId="23" fillId="0" borderId="26" xfId="0" applyFont="1" applyBorder="1"/>
    <xf numFmtId="0" fontId="23" fillId="0" borderId="27" xfId="0" applyFont="1" applyBorder="1"/>
    <xf numFmtId="0" fontId="23" fillId="0" borderId="29" xfId="0" applyFont="1" applyBorder="1"/>
    <xf numFmtId="0" fontId="23" fillId="0" borderId="30" xfId="0" applyFont="1" applyBorder="1"/>
    <xf numFmtId="0" fontId="21" fillId="26" borderId="38" xfId="0" applyFont="1" applyFill="1" applyBorder="1"/>
    <xf numFmtId="0" fontId="21" fillId="26" borderId="39" xfId="0" applyFont="1" applyFill="1" applyBorder="1"/>
    <xf numFmtId="0" fontId="21" fillId="26" borderId="43" xfId="0" applyFont="1" applyFill="1" applyBorder="1"/>
    <xf numFmtId="0" fontId="24" fillId="31" borderId="26" xfId="0" applyFont="1" applyFill="1" applyBorder="1"/>
    <xf numFmtId="0" fontId="24" fillId="31" borderId="40" xfId="0" applyFont="1" applyFill="1" applyBorder="1"/>
    <xf numFmtId="0" fontId="21" fillId="26" borderId="41" xfId="0" applyFont="1" applyFill="1" applyBorder="1"/>
    <xf numFmtId="0" fontId="21" fillId="32" borderId="26" xfId="0" applyFont="1" applyFill="1" applyBorder="1"/>
    <xf numFmtId="2" fontId="25" fillId="0" borderId="26" xfId="0" applyNumberFormat="1" applyFont="1" applyBorder="1"/>
    <xf numFmtId="2" fontId="25" fillId="0" borderId="33" xfId="0" applyNumberFormat="1" applyFont="1" applyBorder="1"/>
    <xf numFmtId="2" fontId="25" fillId="0" borderId="41" xfId="0" applyNumberFormat="1" applyFont="1" applyBorder="1"/>
    <xf numFmtId="2" fontId="25" fillId="0" borderId="23" xfId="0" applyNumberFormat="1" applyFont="1" applyBorder="1"/>
    <xf numFmtId="2" fontId="25" fillId="0" borderId="29" xfId="0" applyNumberFormat="1" applyFont="1" applyBorder="1"/>
    <xf numFmtId="2" fontId="25" fillId="0" borderId="34" xfId="0" applyNumberFormat="1" applyFont="1" applyBorder="1"/>
    <xf numFmtId="2" fontId="25" fillId="29" borderId="31" xfId="0" applyNumberFormat="1" applyFont="1" applyFill="1" applyBorder="1"/>
    <xf numFmtId="2" fontId="25" fillId="29" borderId="42" xfId="0" applyNumberFormat="1" applyFont="1" applyFill="1" applyBorder="1"/>
    <xf numFmtId="2" fontId="25" fillId="29" borderId="32" xfId="0" applyNumberFormat="1" applyFont="1" applyFill="1" applyBorder="1"/>
    <xf numFmtId="2" fontId="26" fillId="29" borderId="33" xfId="0" applyNumberFormat="1" applyFont="1" applyFill="1" applyBorder="1"/>
    <xf numFmtId="2" fontId="26" fillId="29" borderId="23" xfId="0" applyNumberFormat="1" applyFont="1" applyFill="1" applyBorder="1"/>
    <xf numFmtId="2" fontId="26" fillId="29" borderId="34" xfId="0" applyNumberFormat="1" applyFont="1" applyFill="1" applyBorder="1"/>
    <xf numFmtId="0" fontId="27" fillId="32" borderId="26" xfId="0" applyFont="1" applyFill="1" applyBorder="1" applyAlignment="1">
      <alignment horizontal="center"/>
    </xf>
    <xf numFmtId="0" fontId="27" fillId="32" borderId="33" xfId="0" applyFont="1" applyFill="1" applyBorder="1" applyAlignment="1">
      <alignment horizontal="center"/>
    </xf>
    <xf numFmtId="0" fontId="28" fillId="32" borderId="33" xfId="0" applyFont="1" applyFill="1" applyBorder="1" applyAlignment="1">
      <alignment horizontal="center"/>
    </xf>
    <xf numFmtId="0" fontId="27" fillId="32" borderId="31" xfId="0" applyFont="1" applyFill="1" applyBorder="1" applyAlignment="1">
      <alignment horizontal="center"/>
    </xf>
    <xf numFmtId="0" fontId="14" fillId="0" borderId="26" xfId="0" pivotButton="1" applyFont="1" applyBorder="1"/>
    <xf numFmtId="0" fontId="0" fillId="0" borderId="27" xfId="0" applyFill="1" applyBorder="1"/>
    <xf numFmtId="0" fontId="0" fillId="0" borderId="28" xfId="0" applyFill="1" applyBorder="1"/>
    <xf numFmtId="0" fontId="24" fillId="31" borderId="44" xfId="0" applyFont="1" applyFill="1" applyBorder="1"/>
    <xf numFmtId="0" fontId="10" fillId="20" borderId="0" xfId="0" applyFont="1" applyFill="1"/>
    <xf numFmtId="0" fontId="0" fillId="20" borderId="0" xfId="0" applyFill="1"/>
    <xf numFmtId="0" fontId="9" fillId="20" borderId="0" xfId="0" applyFont="1" applyFill="1"/>
    <xf numFmtId="0" fontId="14" fillId="27" borderId="37" xfId="0" applyFont="1" applyFill="1" applyBorder="1" applyAlignment="1">
      <alignment horizontal="center" vertical="center" wrapText="1"/>
    </xf>
    <xf numFmtId="0" fontId="30" fillId="0" borderId="0" xfId="2"/>
    <xf numFmtId="0" fontId="19" fillId="26" borderId="45" xfId="0" applyFont="1" applyFill="1" applyBorder="1" applyAlignment="1">
      <alignment vertical="center" wrapText="1"/>
    </xf>
    <xf numFmtId="0" fontId="14" fillId="27" borderId="45" xfId="0" applyFont="1" applyFill="1" applyBorder="1" applyAlignment="1">
      <alignment vertical="center" wrapText="1"/>
    </xf>
    <xf numFmtId="0" fontId="14" fillId="28" borderId="24" xfId="0" applyFont="1" applyFill="1" applyBorder="1" applyAlignment="1">
      <alignment horizontal="right" vertical="center" wrapText="1"/>
    </xf>
    <xf numFmtId="0" fontId="33" fillId="0" borderId="0" xfId="0" applyFont="1" applyAlignment="1">
      <alignment horizontal="right"/>
    </xf>
    <xf numFmtId="0" fontId="22" fillId="30" borderId="2" xfId="0" applyFont="1" applyFill="1" applyBorder="1"/>
    <xf numFmtId="0" fontId="10" fillId="33" borderId="0" xfId="0" applyFont="1" applyFill="1" applyAlignment="1">
      <alignment wrapText="1"/>
    </xf>
    <xf numFmtId="0" fontId="31" fillId="28" borderId="24" xfId="0" applyFont="1" applyFill="1" applyBorder="1" applyAlignment="1">
      <alignment horizontal="center" vertical="center" wrapText="1"/>
    </xf>
    <xf numFmtId="0" fontId="31" fillId="28" borderId="25" xfId="0" applyFont="1" applyFill="1" applyBorder="1" applyAlignment="1">
      <alignment horizontal="center" vertical="center" wrapText="1"/>
    </xf>
    <xf numFmtId="167" fontId="31" fillId="28" borderId="25" xfId="0" applyNumberFormat="1" applyFont="1" applyFill="1" applyBorder="1" applyAlignment="1">
      <alignment horizontal="center" vertical="center" wrapText="1"/>
    </xf>
    <xf numFmtId="0" fontId="0" fillId="0" borderId="46" xfId="0" applyBorder="1"/>
    <xf numFmtId="0" fontId="0" fillId="0" borderId="18" xfId="0" applyBorder="1"/>
    <xf numFmtId="0" fontId="0" fillId="0" borderId="19" xfId="0" applyBorder="1"/>
    <xf numFmtId="0" fontId="0" fillId="0" borderId="20" xfId="0" applyBorder="1"/>
    <xf numFmtId="0" fontId="36" fillId="29" borderId="0" xfId="0" applyFont="1" applyFill="1"/>
    <xf numFmtId="0" fontId="0" fillId="0" borderId="0" xfId="0" applyBorder="1"/>
    <xf numFmtId="0" fontId="36" fillId="29" borderId="0" xfId="0" applyFont="1" applyFill="1" applyBorder="1"/>
    <xf numFmtId="0" fontId="0" fillId="0" borderId="47" xfId="0" applyBorder="1"/>
    <xf numFmtId="3" fontId="0" fillId="0" borderId="48" xfId="0" applyNumberFormat="1" applyBorder="1"/>
    <xf numFmtId="3" fontId="0" fillId="0" borderId="4" xfId="0" applyNumberFormat="1" applyBorder="1"/>
    <xf numFmtId="3" fontId="0" fillId="0" borderId="21" xfId="0" applyNumberFormat="1" applyBorder="1"/>
    <xf numFmtId="3" fontId="0" fillId="0" borderId="0" xfId="0" applyNumberFormat="1"/>
    <xf numFmtId="0" fontId="0" fillId="21" borderId="0" xfId="0" applyFill="1" applyBorder="1"/>
    <xf numFmtId="3" fontId="0" fillId="0" borderId="0" xfId="0" applyNumberFormat="1" applyBorder="1"/>
    <xf numFmtId="0" fontId="0" fillId="0" borderId="49" xfId="0" applyBorder="1"/>
    <xf numFmtId="3" fontId="0" fillId="0" borderId="50" xfId="0" applyNumberFormat="1" applyBorder="1"/>
    <xf numFmtId="3" fontId="0" fillId="0" borderId="2" xfId="0" applyNumberFormat="1" applyBorder="1"/>
    <xf numFmtId="3" fontId="0" fillId="0" borderId="22" xfId="0" applyNumberFormat="1" applyBorder="1"/>
    <xf numFmtId="3" fontId="35" fillId="0" borderId="50" xfId="0" applyNumberFormat="1" applyFont="1" applyBorder="1"/>
    <xf numFmtId="3" fontId="35" fillId="0" borderId="2" xfId="0" applyNumberFormat="1" applyFont="1" applyBorder="1"/>
    <xf numFmtId="3" fontId="35" fillId="0" borderId="22" xfId="0" applyNumberFormat="1" applyFont="1" applyBorder="1"/>
    <xf numFmtId="0" fontId="0" fillId="0" borderId="51" xfId="0" applyBorder="1"/>
    <xf numFmtId="3" fontId="0" fillId="0" borderId="52" xfId="0" applyNumberFormat="1" applyBorder="1"/>
    <xf numFmtId="3" fontId="0" fillId="0" borderId="53" xfId="0" applyNumberFormat="1" applyBorder="1"/>
    <xf numFmtId="3" fontId="0" fillId="0" borderId="54" xfId="0" applyNumberFormat="1" applyBorder="1"/>
    <xf numFmtId="0" fontId="0" fillId="0" borderId="11" xfId="0" applyBorder="1"/>
    <xf numFmtId="3" fontId="0" fillId="0" borderId="55" xfId="0" applyNumberFormat="1" applyBorder="1"/>
    <xf numFmtId="0" fontId="1" fillId="0" borderId="0" xfId="0" applyFont="1"/>
    <xf numFmtId="0" fontId="1" fillId="0" borderId="0" xfId="0" applyFont="1" applyAlignment="1">
      <alignment wrapText="1"/>
    </xf>
    <xf numFmtId="0" fontId="16" fillId="0" borderId="0" xfId="0" applyFont="1" applyFill="1" applyBorder="1"/>
    <xf numFmtId="0" fontId="10" fillId="21" borderId="2" xfId="0" applyFont="1" applyFill="1" applyBorder="1"/>
    <xf numFmtId="0" fontId="0" fillId="21" borderId="0" xfId="0" applyFill="1"/>
    <xf numFmtId="0" fontId="9" fillId="21" borderId="0" xfId="0" applyFont="1" applyFill="1"/>
    <xf numFmtId="0" fontId="9" fillId="33" borderId="0" xfId="0" applyFont="1" applyFill="1"/>
    <xf numFmtId="0" fontId="0" fillId="33" borderId="0" xfId="0" applyFill="1"/>
    <xf numFmtId="0" fontId="1" fillId="20" borderId="0" xfId="0" applyFont="1" applyFill="1"/>
    <xf numFmtId="0" fontId="37" fillId="28" borderId="24" xfId="0" applyFont="1" applyFill="1" applyBorder="1" applyAlignment="1">
      <alignment horizontal="right" vertical="center" wrapText="1"/>
    </xf>
    <xf numFmtId="166" fontId="38" fillId="21" borderId="2" xfId="0" applyNumberFormat="1" applyFont="1" applyFill="1" applyBorder="1" applyAlignment="1">
      <alignment horizontal="center"/>
    </xf>
    <xf numFmtId="0" fontId="41" fillId="34" borderId="0" xfId="0" applyFont="1" applyFill="1"/>
    <xf numFmtId="0" fontId="1" fillId="35" borderId="0" xfId="0" applyFont="1" applyFill="1"/>
    <xf numFmtId="0" fontId="1" fillId="36" borderId="0" xfId="0" applyFont="1" applyFill="1"/>
    <xf numFmtId="0" fontId="1" fillId="37" borderId="0" xfId="0" applyFont="1" applyFill="1"/>
    <xf numFmtId="0" fontId="1" fillId="38" borderId="0" xfId="0" applyFont="1" applyFill="1"/>
    <xf numFmtId="0" fontId="1" fillId="30" borderId="0" xfId="0" applyFont="1" applyFill="1"/>
    <xf numFmtId="0" fontId="1" fillId="15" borderId="0" xfId="0" applyFont="1" applyFill="1"/>
    <xf numFmtId="0" fontId="16" fillId="0" borderId="0" xfId="0" applyFont="1" applyFill="1"/>
    <xf numFmtId="0" fontId="1" fillId="39" borderId="0" xfId="0" applyFont="1" applyFill="1"/>
    <xf numFmtId="167" fontId="31" fillId="0" borderId="56" xfId="0" applyNumberFormat="1" applyFont="1" applyBorder="1" applyAlignment="1">
      <alignment horizontal="center" vertical="center" wrapText="1"/>
    </xf>
    <xf numFmtId="0" fontId="31" fillId="0" borderId="56" xfId="0" applyFont="1" applyBorder="1" applyAlignment="1">
      <alignment horizontal="center" vertical="center" wrapText="1"/>
    </xf>
    <xf numFmtId="0" fontId="32" fillId="0" borderId="56" xfId="0" applyFont="1" applyBorder="1" applyAlignment="1">
      <alignment horizontal="center" vertical="center" wrapText="1"/>
    </xf>
    <xf numFmtId="167" fontId="31" fillId="0" borderId="57" xfId="0" applyNumberFormat="1" applyFont="1" applyBorder="1" applyAlignment="1">
      <alignment horizontal="center" vertical="center" wrapText="1"/>
    </xf>
    <xf numFmtId="0" fontId="31" fillId="0" borderId="57" xfId="0" applyFont="1" applyBorder="1" applyAlignment="1">
      <alignment horizontal="center" vertical="center" wrapText="1"/>
    </xf>
    <xf numFmtId="0" fontId="32" fillId="0" borderId="57" xfId="0" applyFont="1" applyBorder="1" applyAlignment="1">
      <alignment horizontal="center" vertical="center" wrapText="1"/>
    </xf>
    <xf numFmtId="167" fontId="31" fillId="0" borderId="58" xfId="0" applyNumberFormat="1" applyFont="1" applyBorder="1" applyAlignment="1">
      <alignment horizontal="center" vertical="center" wrapText="1"/>
    </xf>
    <xf numFmtId="0" fontId="31" fillId="0" borderId="58" xfId="0" applyFont="1" applyBorder="1" applyAlignment="1">
      <alignment horizontal="center" vertical="center" wrapText="1"/>
    </xf>
    <xf numFmtId="0" fontId="32" fillId="0" borderId="58" xfId="0" applyFont="1" applyBorder="1" applyAlignment="1">
      <alignment horizontal="center" vertical="center" wrapText="1"/>
    </xf>
    <xf numFmtId="167" fontId="15" fillId="0" borderId="56" xfId="0" applyNumberFormat="1" applyFont="1" applyBorder="1" applyAlignment="1">
      <alignment horizontal="center" vertical="center" wrapText="1"/>
    </xf>
    <xf numFmtId="9" fontId="34" fillId="33" borderId="57" xfId="1" applyNumberFormat="1" applyFont="1" applyFill="1" applyBorder="1" applyAlignment="1">
      <alignment horizontal="center" vertical="center"/>
    </xf>
    <xf numFmtId="0" fontId="31" fillId="40" borderId="57" xfId="0" applyFont="1" applyFill="1" applyBorder="1" applyAlignment="1">
      <alignment horizontal="center" vertical="center" wrapText="1"/>
    </xf>
    <xf numFmtId="9" fontId="11" fillId="2" borderId="2" xfId="1" applyFont="1" applyFill="1" applyBorder="1" applyAlignment="1">
      <alignment horizontal="center"/>
    </xf>
    <xf numFmtId="0" fontId="47" fillId="37" borderId="2" xfId="0" applyFont="1" applyFill="1" applyBorder="1"/>
    <xf numFmtId="0" fontId="47" fillId="41" borderId="2" xfId="0" applyFont="1" applyFill="1" applyBorder="1" applyAlignment="1">
      <alignment horizontal="center"/>
    </xf>
    <xf numFmtId="165" fontId="47" fillId="37" borderId="2" xfId="0" applyNumberFormat="1" applyFont="1" applyFill="1" applyBorder="1" applyAlignment="1">
      <alignment horizontal="center"/>
    </xf>
    <xf numFmtId="0" fontId="10" fillId="24" borderId="0" xfId="0" applyFont="1" applyFill="1"/>
    <xf numFmtId="0" fontId="0" fillId="29" borderId="0" xfId="0" applyFill="1"/>
    <xf numFmtId="0" fontId="10" fillId="0" borderId="0" xfId="0" applyFont="1" applyAlignment="1">
      <alignment horizontal="right"/>
    </xf>
    <xf numFmtId="0" fontId="10" fillId="0" borderId="2" xfId="0" applyFont="1" applyBorder="1"/>
    <xf numFmtId="0" fontId="0" fillId="37" borderId="0" xfId="0" applyFill="1"/>
    <xf numFmtId="0" fontId="38" fillId="0" borderId="0" xfId="0" applyFont="1"/>
    <xf numFmtId="0" fontId="23" fillId="27" borderId="37" xfId="0" applyFont="1" applyFill="1" applyBorder="1" applyAlignment="1">
      <alignment horizontal="center" vertical="center" wrapText="1"/>
    </xf>
    <xf numFmtId="0" fontId="48" fillId="0" borderId="64" xfId="0" applyFont="1" applyFill="1" applyBorder="1"/>
    <xf numFmtId="0" fontId="48" fillId="0" borderId="65" xfId="0" applyFont="1" applyFill="1" applyBorder="1"/>
    <xf numFmtId="0" fontId="49" fillId="0" borderId="65" xfId="0" applyFont="1" applyFill="1" applyBorder="1"/>
    <xf numFmtId="0" fontId="48" fillId="0" borderId="66" xfId="0" applyFont="1" applyFill="1" applyBorder="1"/>
    <xf numFmtId="0" fontId="48" fillId="0" borderId="67" xfId="0" applyFont="1" applyFill="1" applyBorder="1"/>
    <xf numFmtId="0" fontId="48" fillId="0" borderId="53" xfId="0" applyFont="1" applyFill="1" applyBorder="1" applyAlignment="1">
      <alignment horizontal="center"/>
    </xf>
    <xf numFmtId="0" fontId="48" fillId="0" borderId="54" xfId="0" applyFont="1" applyFill="1" applyBorder="1" applyAlignment="1">
      <alignment horizontal="center"/>
    </xf>
    <xf numFmtId="2" fontId="50" fillId="0" borderId="48" xfId="0" applyNumberFormat="1" applyFont="1" applyFill="1" applyBorder="1"/>
    <xf numFmtId="167" fontId="50" fillId="0" borderId="4" xfId="0" applyNumberFormat="1" applyFont="1" applyFill="1" applyBorder="1" applyAlignment="1">
      <alignment horizontal="right" indent="2"/>
    </xf>
    <xf numFmtId="167" fontId="50" fillId="0" borderId="21" xfId="0" applyNumberFormat="1" applyFont="1" applyFill="1" applyBorder="1" applyAlignment="1">
      <alignment horizontal="right" indent="2"/>
    </xf>
    <xf numFmtId="2" fontId="50" fillId="0" borderId="50" xfId="0" applyNumberFormat="1" applyFont="1" applyFill="1" applyBorder="1"/>
    <xf numFmtId="167" fontId="50" fillId="0" borderId="2" xfId="0" applyNumberFormat="1" applyFont="1" applyFill="1" applyBorder="1" applyAlignment="1">
      <alignment horizontal="right" indent="2"/>
    </xf>
    <xf numFmtId="167" fontId="50" fillId="0" borderId="22" xfId="0" applyNumberFormat="1" applyFont="1" applyFill="1" applyBorder="1" applyAlignment="1">
      <alignment horizontal="right" indent="2"/>
    </xf>
    <xf numFmtId="2" fontId="50" fillId="0" borderId="52" xfId="0" applyNumberFormat="1" applyFont="1" applyFill="1" applyBorder="1"/>
    <xf numFmtId="167" fontId="50" fillId="0" borderId="53" xfId="0" applyNumberFormat="1" applyFont="1" applyFill="1" applyBorder="1" applyAlignment="1">
      <alignment horizontal="right" indent="2"/>
    </xf>
    <xf numFmtId="167" fontId="50" fillId="0" borderId="54" xfId="0" applyNumberFormat="1" applyFont="1" applyFill="1" applyBorder="1" applyAlignment="1">
      <alignment horizontal="right" indent="2"/>
    </xf>
    <xf numFmtId="0" fontId="48" fillId="0" borderId="55" xfId="0" applyFont="1" applyFill="1" applyBorder="1"/>
    <xf numFmtId="167" fontId="48" fillId="0" borderId="68" xfId="0" applyNumberFormat="1" applyFont="1" applyFill="1" applyBorder="1" applyAlignment="1">
      <alignment horizontal="center"/>
    </xf>
    <xf numFmtId="0" fontId="51" fillId="0" borderId="0" xfId="0" applyFont="1" applyFill="1" applyBorder="1"/>
    <xf numFmtId="0" fontId="52" fillId="42" borderId="0" xfId="0" applyFont="1" applyFill="1" applyBorder="1"/>
    <xf numFmtId="0" fontId="53" fillId="42" borderId="10" xfId="0" applyFont="1" applyFill="1" applyBorder="1"/>
    <xf numFmtId="2" fontId="51" fillId="0" borderId="0" xfId="0" applyNumberFormat="1" applyFont="1" applyFill="1" applyBorder="1"/>
    <xf numFmtId="168" fontId="51" fillId="0" borderId="0" xfId="0" applyNumberFormat="1" applyFont="1" applyFill="1" applyBorder="1"/>
    <xf numFmtId="168" fontId="54" fillId="42" borderId="0" xfId="0" applyNumberFormat="1" applyFont="1" applyFill="1" applyBorder="1"/>
    <xf numFmtId="168" fontId="55" fillId="0" borderId="0" xfId="0" applyNumberFormat="1" applyFont="1" applyFill="1" applyBorder="1"/>
    <xf numFmtId="168" fontId="53" fillId="42" borderId="69" xfId="0" applyNumberFormat="1" applyFont="1" applyFill="1" applyBorder="1"/>
    <xf numFmtId="168" fontId="52" fillId="42" borderId="0" xfId="0" applyNumberFormat="1" applyFont="1" applyFill="1" applyBorder="1"/>
    <xf numFmtId="168" fontId="48" fillId="0" borderId="11" xfId="0" applyNumberFormat="1" applyFont="1" applyFill="1" applyBorder="1"/>
    <xf numFmtId="0" fontId="43" fillId="43" borderId="12" xfId="0" applyFont="1" applyFill="1" applyBorder="1"/>
    <xf numFmtId="0" fontId="43" fillId="43" borderId="2" xfId="0" applyFont="1" applyFill="1" applyBorder="1"/>
    <xf numFmtId="0" fontId="43" fillId="43" borderId="2" xfId="0" applyFont="1" applyFill="1" applyBorder="1" applyAlignment="1">
      <alignment wrapText="1"/>
    </xf>
    <xf numFmtId="0" fontId="43" fillId="0" borderId="12" xfId="0" applyFont="1" applyBorder="1" applyAlignment="1"/>
    <xf numFmtId="0" fontId="0" fillId="0" borderId="2" xfId="0" applyFont="1" applyBorder="1" applyAlignment="1">
      <alignment wrapText="1"/>
    </xf>
    <xf numFmtId="0" fontId="0" fillId="0" borderId="2" xfId="0" applyBorder="1" applyAlignment="1">
      <alignment wrapText="1"/>
    </xf>
    <xf numFmtId="0" fontId="0" fillId="0" borderId="2" xfId="0" applyBorder="1"/>
    <xf numFmtId="2" fontId="0" fillId="0" borderId="2" xfId="0" applyNumberFormat="1" applyBorder="1" applyAlignment="1">
      <alignment horizontal="center"/>
    </xf>
    <xf numFmtId="167" fontId="0" fillId="0" borderId="2" xfId="0" applyNumberFormat="1" applyBorder="1" applyAlignment="1">
      <alignment horizontal="center"/>
    </xf>
    <xf numFmtId="0" fontId="43" fillId="0" borderId="12" xfId="0" applyFont="1" applyBorder="1" applyAlignment="1">
      <alignment wrapText="1"/>
    </xf>
    <xf numFmtId="0" fontId="43" fillId="0" borderId="1" xfId="0" applyFont="1" applyBorder="1" applyAlignment="1"/>
    <xf numFmtId="0" fontId="43" fillId="0" borderId="70" xfId="0" applyFont="1" applyBorder="1" applyAlignment="1"/>
    <xf numFmtId="0" fontId="56" fillId="0" borderId="2" xfId="0" applyFont="1" applyBorder="1" applyAlignment="1">
      <alignment wrapText="1"/>
    </xf>
    <xf numFmtId="0" fontId="43" fillId="0" borderId="3" xfId="0" applyFont="1" applyBorder="1" applyAlignment="1"/>
    <xf numFmtId="0" fontId="0" fillId="0" borderId="14" xfId="0" applyFont="1" applyFill="1" applyBorder="1" applyAlignment="1">
      <alignment wrapText="1"/>
    </xf>
    <xf numFmtId="0" fontId="0" fillId="0" borderId="2" xfId="0" applyFill="1" applyBorder="1" applyAlignment="1">
      <alignment wrapText="1"/>
    </xf>
    <xf numFmtId="2" fontId="0" fillId="0" borderId="2" xfId="0" applyNumberFormat="1" applyFill="1" applyBorder="1" applyAlignment="1">
      <alignment horizontal="center"/>
    </xf>
    <xf numFmtId="0" fontId="43" fillId="0" borderId="4" xfId="0" applyFont="1" applyBorder="1" applyAlignment="1"/>
    <xf numFmtId="0" fontId="56" fillId="0" borderId="14" xfId="0" applyFont="1" applyBorder="1" applyAlignment="1">
      <alignment wrapText="1"/>
    </xf>
    <xf numFmtId="0" fontId="1" fillId="0" borderId="2" xfId="0" applyFont="1" applyBorder="1"/>
    <xf numFmtId="0" fontId="57" fillId="44" borderId="2" xfId="0" applyFont="1" applyFill="1" applyBorder="1" applyAlignment="1">
      <alignment horizontal="left"/>
    </xf>
    <xf numFmtId="0" fontId="58" fillId="44" borderId="2" xfId="0" applyFont="1" applyFill="1" applyBorder="1" applyAlignment="1">
      <alignment horizontal="left"/>
    </xf>
    <xf numFmtId="0" fontId="41" fillId="46" borderId="0" xfId="0" applyFont="1" applyFill="1"/>
    <xf numFmtId="0" fontId="41" fillId="48" borderId="0" xfId="0" applyFont="1" applyFill="1"/>
    <xf numFmtId="0" fontId="59" fillId="47" borderId="0" xfId="0" applyFont="1" applyFill="1"/>
    <xf numFmtId="0" fontId="59" fillId="49" borderId="0" xfId="0" applyFont="1" applyFill="1"/>
    <xf numFmtId="0" fontId="59" fillId="50" borderId="0" xfId="0" applyFont="1" applyFill="1"/>
    <xf numFmtId="0" fontId="60" fillId="30" borderId="2" xfId="0" applyFont="1" applyFill="1" applyBorder="1"/>
    <xf numFmtId="0" fontId="61" fillId="46" borderId="0" xfId="0" applyFont="1" applyFill="1"/>
    <xf numFmtId="0" fontId="3" fillId="3" borderId="15" xfId="0" applyFont="1" applyFill="1" applyBorder="1" applyAlignment="1">
      <alignment horizontal="center"/>
    </xf>
    <xf numFmtId="0" fontId="3" fillId="3" borderId="4" xfId="0" applyFont="1" applyFill="1" applyBorder="1" applyAlignment="1">
      <alignment horizontal="center"/>
    </xf>
    <xf numFmtId="0" fontId="2" fillId="0" borderId="71" xfId="0" applyFont="1" applyBorder="1"/>
    <xf numFmtId="0" fontId="3" fillId="37" borderId="1" xfId="0" applyFont="1" applyFill="1" applyBorder="1"/>
    <xf numFmtId="0" fontId="2" fillId="37" borderId="0" xfId="0" applyFont="1" applyFill="1" applyBorder="1"/>
    <xf numFmtId="0" fontId="2" fillId="37" borderId="5" xfId="0" applyFont="1" applyFill="1" applyBorder="1"/>
    <xf numFmtId="0" fontId="2" fillId="37" borderId="6" xfId="0" applyFont="1" applyFill="1" applyBorder="1"/>
    <xf numFmtId="0" fontId="2" fillId="37" borderId="1" xfId="0" applyFont="1" applyFill="1" applyBorder="1"/>
    <xf numFmtId="0" fontId="2" fillId="37" borderId="8" xfId="0" applyFont="1" applyFill="1" applyBorder="1"/>
    <xf numFmtId="0" fontId="2" fillId="37" borderId="9" xfId="0" applyFont="1" applyFill="1" applyBorder="1"/>
    <xf numFmtId="0" fontId="3" fillId="13" borderId="1" xfId="0" applyFont="1" applyFill="1" applyBorder="1"/>
    <xf numFmtId="0" fontId="2" fillId="13" borderId="5" xfId="0" applyFont="1" applyFill="1" applyBorder="1"/>
    <xf numFmtId="0" fontId="2" fillId="13" borderId="6" xfId="0" applyFont="1" applyFill="1" applyBorder="1"/>
    <xf numFmtId="0" fontId="2" fillId="13" borderId="1" xfId="0" applyFont="1" applyFill="1" applyBorder="1"/>
    <xf numFmtId="0" fontId="2" fillId="13" borderId="8" xfId="0" applyFont="1" applyFill="1" applyBorder="1"/>
    <xf numFmtId="0" fontId="2" fillId="13" borderId="9" xfId="0" applyFont="1" applyFill="1" applyBorder="1"/>
    <xf numFmtId="0" fontId="2" fillId="30" borderId="5" xfId="0" applyFont="1" applyFill="1" applyBorder="1"/>
    <xf numFmtId="0" fontId="2" fillId="30" borderId="6" xfId="0" applyFont="1" applyFill="1" applyBorder="1"/>
    <xf numFmtId="0" fontId="2" fillId="30" borderId="8" xfId="0" applyFont="1" applyFill="1" applyBorder="1"/>
    <xf numFmtId="0" fontId="2" fillId="30" borderId="9" xfId="0" applyFont="1" applyFill="1" applyBorder="1"/>
    <xf numFmtId="166" fontId="2" fillId="0" borderId="10" xfId="0" applyNumberFormat="1" applyFont="1" applyBorder="1"/>
    <xf numFmtId="0" fontId="3" fillId="30" borderId="17" xfId="0" applyFont="1" applyFill="1" applyBorder="1"/>
    <xf numFmtId="0" fontId="2" fillId="30" borderId="70" xfId="0" applyFont="1" applyFill="1" applyBorder="1"/>
    <xf numFmtId="0" fontId="3" fillId="51" borderId="1" xfId="0" applyFont="1" applyFill="1" applyBorder="1"/>
    <xf numFmtId="0" fontId="2" fillId="51" borderId="5" xfId="0" applyFont="1" applyFill="1" applyBorder="1"/>
    <xf numFmtId="0" fontId="2" fillId="51" borderId="6" xfId="0" applyFont="1" applyFill="1" applyBorder="1"/>
    <xf numFmtId="0" fontId="2" fillId="51" borderId="1" xfId="0" applyFont="1" applyFill="1" applyBorder="1"/>
    <xf numFmtId="0" fontId="2" fillId="51" borderId="8" xfId="0" applyFont="1" applyFill="1" applyBorder="1"/>
    <xf numFmtId="0" fontId="2" fillId="51" borderId="9" xfId="0" applyFont="1" applyFill="1" applyBorder="1"/>
    <xf numFmtId="0" fontId="62" fillId="30" borderId="2" xfId="0" applyFont="1" applyFill="1" applyBorder="1" applyAlignment="1">
      <alignment horizontal="center"/>
    </xf>
    <xf numFmtId="0" fontId="63" fillId="0" borderId="0" xfId="0" applyFont="1" applyAlignment="1">
      <alignment vertical="center"/>
    </xf>
    <xf numFmtId="0" fontId="10" fillId="52" borderId="0" xfId="0" applyFont="1" applyFill="1"/>
    <xf numFmtId="0" fontId="1" fillId="0" borderId="2" xfId="0" applyFont="1" applyBorder="1" applyAlignment="1">
      <alignment wrapText="1"/>
    </xf>
    <xf numFmtId="0" fontId="43" fillId="37" borderId="0" xfId="0" applyFont="1" applyFill="1" applyBorder="1" applyAlignment="1"/>
    <xf numFmtId="0" fontId="3" fillId="3" borderId="10" xfId="0" applyFont="1" applyFill="1" applyBorder="1"/>
    <xf numFmtId="0" fontId="3" fillId="53" borderId="1" xfId="0" applyFont="1" applyFill="1" applyBorder="1"/>
    <xf numFmtId="0" fontId="2" fillId="53" borderId="0" xfId="0" applyFont="1" applyFill="1" applyBorder="1"/>
    <xf numFmtId="0" fontId="2" fillId="53" borderId="5" xfId="0" applyFont="1" applyFill="1" applyBorder="1"/>
    <xf numFmtId="0" fontId="2" fillId="53" borderId="6" xfId="0" applyFont="1" applyFill="1" applyBorder="1"/>
    <xf numFmtId="0" fontId="2" fillId="53" borderId="1" xfId="0" applyFont="1" applyFill="1" applyBorder="1"/>
    <xf numFmtId="0" fontId="2" fillId="53" borderId="8" xfId="0" applyFont="1" applyFill="1" applyBorder="1"/>
    <xf numFmtId="0" fontId="2" fillId="53" borderId="9" xfId="0" applyFont="1" applyFill="1" applyBorder="1"/>
    <xf numFmtId="0" fontId="59" fillId="54" borderId="0" xfId="0" applyFont="1" applyFill="1"/>
    <xf numFmtId="2" fontId="42" fillId="21" borderId="0" xfId="0" applyNumberFormat="1" applyFont="1" applyFill="1"/>
    <xf numFmtId="2" fontId="25" fillId="0" borderId="72" xfId="0" applyNumberFormat="1" applyFont="1" applyBorder="1" applyAlignment="1">
      <alignment horizontal="center" vertical="center" wrapText="1"/>
    </xf>
    <xf numFmtId="2" fontId="25" fillId="0" borderId="73" xfId="0" applyNumberFormat="1" applyFont="1" applyBorder="1" applyAlignment="1">
      <alignment horizontal="center" vertical="center" wrapText="1"/>
    </xf>
    <xf numFmtId="1" fontId="0" fillId="0" borderId="0" xfId="0" applyNumberFormat="1"/>
    <xf numFmtId="16" fontId="1" fillId="0" borderId="0" xfId="0" applyNumberFormat="1" applyFont="1"/>
    <xf numFmtId="0" fontId="10" fillId="0" borderId="0" xfId="0" applyFont="1" applyAlignment="1">
      <alignment wrapText="1"/>
    </xf>
    <xf numFmtId="167" fontId="44" fillId="0" borderId="56" xfId="0" applyNumberFormat="1" applyFont="1" applyBorder="1" applyAlignment="1">
      <alignment horizontal="center" vertical="center" wrapText="1"/>
    </xf>
    <xf numFmtId="167" fontId="44" fillId="0" borderId="60" xfId="0" applyNumberFormat="1" applyFont="1" applyBorder="1" applyAlignment="1">
      <alignment horizontal="center" vertical="center" wrapText="1"/>
    </xf>
    <xf numFmtId="0" fontId="64" fillId="0" borderId="0" xfId="0" applyFont="1" applyAlignment="1">
      <alignment horizontal="center" vertical="center" wrapText="1"/>
    </xf>
    <xf numFmtId="0" fontId="32" fillId="0" borderId="73" xfId="0" applyFont="1" applyBorder="1" applyAlignment="1">
      <alignment horizontal="center" vertical="center" wrapText="1"/>
    </xf>
    <xf numFmtId="0" fontId="23" fillId="27" borderId="23" xfId="0" applyFont="1" applyFill="1" applyBorder="1" applyAlignment="1">
      <alignment horizontal="center" vertical="center" wrapText="1"/>
    </xf>
    <xf numFmtId="0" fontId="64" fillId="0" borderId="74" xfId="0" applyFont="1" applyBorder="1" applyAlignment="1">
      <alignment horizontal="center" vertical="center" wrapText="1"/>
    </xf>
    <xf numFmtId="0" fontId="66" fillId="26" borderId="37" xfId="0" applyFont="1" applyFill="1" applyBorder="1" applyAlignment="1">
      <alignment vertical="center" wrapText="1"/>
    </xf>
    <xf numFmtId="167" fontId="17" fillId="0" borderId="56" xfId="0" applyNumberFormat="1" applyFont="1" applyBorder="1" applyAlignment="1">
      <alignment horizontal="center" vertical="center" wrapText="1"/>
    </xf>
    <xf numFmtId="167" fontId="17" fillId="0" borderId="57" xfId="0" applyNumberFormat="1" applyFont="1" applyBorder="1" applyAlignment="1">
      <alignment horizontal="center" vertical="center" wrapText="1"/>
    </xf>
    <xf numFmtId="0" fontId="67" fillId="0" borderId="57" xfId="0" applyFont="1" applyBorder="1" applyAlignment="1">
      <alignment horizontal="center" vertical="center" wrapText="1"/>
    </xf>
    <xf numFmtId="0" fontId="67" fillId="0" borderId="57" xfId="0" applyFont="1" applyBorder="1" applyAlignment="1">
      <alignment horizontal="center"/>
    </xf>
    <xf numFmtId="2" fontId="17" fillId="0" borderId="57" xfId="0" applyNumberFormat="1" applyFont="1" applyBorder="1" applyAlignment="1">
      <alignment horizontal="center" vertical="center" wrapText="1"/>
    </xf>
    <xf numFmtId="0" fontId="64" fillId="20" borderId="72" xfId="0" applyFont="1" applyFill="1" applyBorder="1" applyAlignment="1">
      <alignment horizontal="center" vertical="center" wrapText="1"/>
    </xf>
    <xf numFmtId="0" fontId="68" fillId="37" borderId="73" xfId="0" applyFont="1" applyFill="1" applyBorder="1" applyAlignment="1">
      <alignment horizontal="center" vertical="center" wrapText="1"/>
    </xf>
    <xf numFmtId="0" fontId="25" fillId="55" borderId="73" xfId="0" applyFont="1" applyFill="1" applyBorder="1" applyAlignment="1">
      <alignment horizontal="center" vertical="center" wrapText="1"/>
    </xf>
    <xf numFmtId="0" fontId="14" fillId="28" borderId="25" xfId="0" applyFont="1" applyFill="1" applyBorder="1" applyAlignment="1">
      <alignment horizontal="right" vertical="center" wrapText="1"/>
    </xf>
    <xf numFmtId="167" fontId="2" fillId="14" borderId="2" xfId="0" applyNumberFormat="1" applyFont="1" applyFill="1" applyBorder="1"/>
    <xf numFmtId="167" fontId="2" fillId="2" borderId="2" xfId="0" applyNumberFormat="1" applyFont="1" applyFill="1" applyBorder="1"/>
    <xf numFmtId="167" fontId="3" fillId="2" borderId="2" xfId="0" applyNumberFormat="1" applyFont="1" applyFill="1" applyBorder="1"/>
    <xf numFmtId="169" fontId="7" fillId="9" borderId="2" xfId="0" applyNumberFormat="1" applyFont="1" applyFill="1" applyBorder="1" applyAlignment="1">
      <alignment horizontal="center"/>
    </xf>
    <xf numFmtId="169" fontId="7" fillId="2" borderId="2" xfId="0" applyNumberFormat="1" applyFont="1" applyFill="1" applyBorder="1" applyAlignment="1">
      <alignment horizontal="center"/>
    </xf>
    <xf numFmtId="169" fontId="7" fillId="2" borderId="12" xfId="0" applyNumberFormat="1" applyFont="1" applyFill="1" applyBorder="1" applyAlignment="1">
      <alignment horizontal="center"/>
    </xf>
    <xf numFmtId="169" fontId="47" fillId="45" borderId="2" xfId="0" applyNumberFormat="1" applyFont="1" applyFill="1" applyBorder="1" applyAlignment="1">
      <alignment horizontal="center"/>
    </xf>
    <xf numFmtId="2" fontId="7" fillId="16" borderId="2" xfId="0" applyNumberFormat="1" applyFont="1" applyFill="1" applyBorder="1" applyAlignment="1">
      <alignment horizontal="center"/>
    </xf>
    <xf numFmtId="2" fontId="7" fillId="11" borderId="2" xfId="0" applyNumberFormat="1" applyFont="1" applyFill="1" applyBorder="1" applyAlignment="1">
      <alignment horizontal="center"/>
    </xf>
    <xf numFmtId="2" fontId="7" fillId="13" borderId="2" xfId="0" applyNumberFormat="1" applyFont="1" applyFill="1" applyBorder="1" applyAlignment="1">
      <alignment horizontal="center"/>
    </xf>
    <xf numFmtId="0" fontId="69" fillId="0" borderId="0" xfId="0" applyFont="1" applyFill="1" applyBorder="1"/>
    <xf numFmtId="0" fontId="21" fillId="26" borderId="37" xfId="0" applyFont="1" applyFill="1" applyBorder="1" applyAlignment="1">
      <alignment vertical="center" wrapText="1"/>
    </xf>
    <xf numFmtId="0" fontId="21" fillId="26" borderId="23" xfId="0" applyFont="1" applyFill="1" applyBorder="1" applyAlignment="1">
      <alignment vertical="center" wrapText="1"/>
    </xf>
    <xf numFmtId="0" fontId="65" fillId="0" borderId="73" xfId="0" applyFont="1" applyBorder="1" applyAlignment="1">
      <alignment horizontal="center" vertical="center" wrapText="1"/>
    </xf>
    <xf numFmtId="0" fontId="29" fillId="26" borderId="45" xfId="0" applyFont="1" applyFill="1" applyBorder="1" applyAlignment="1">
      <alignment vertical="center" wrapText="1"/>
    </xf>
    <xf numFmtId="0" fontId="23" fillId="27" borderId="45" xfId="0" applyFont="1" applyFill="1" applyBorder="1" applyAlignment="1">
      <alignment vertical="center" wrapText="1"/>
    </xf>
    <xf numFmtId="167" fontId="25" fillId="0" borderId="58" xfId="0" applyNumberFormat="1" applyFont="1" applyBorder="1" applyAlignment="1">
      <alignment horizontal="center" vertical="center" wrapText="1"/>
    </xf>
    <xf numFmtId="0" fontId="25" fillId="0" borderId="58" xfId="0" applyFont="1" applyBorder="1" applyAlignment="1">
      <alignment horizontal="center" vertical="center" wrapText="1"/>
    </xf>
    <xf numFmtId="0" fontId="65" fillId="0" borderId="58" xfId="0" applyFont="1" applyBorder="1" applyAlignment="1">
      <alignment horizontal="center" vertical="center" wrapText="1"/>
    </xf>
    <xf numFmtId="0" fontId="29" fillId="25" borderId="63" xfId="0" applyFont="1" applyFill="1" applyBorder="1" applyAlignment="1">
      <alignment horizontal="center" vertical="center" wrapText="1"/>
    </xf>
    <xf numFmtId="0" fontId="29" fillId="25" borderId="23" xfId="0" applyFont="1" applyFill="1" applyBorder="1" applyAlignment="1">
      <alignment horizontal="center" vertical="center" wrapText="1"/>
    </xf>
    <xf numFmtId="0" fontId="32" fillId="44" borderId="76" xfId="0" applyFont="1" applyFill="1" applyBorder="1" applyAlignment="1">
      <alignment vertical="top" wrapText="1"/>
    </xf>
    <xf numFmtId="0" fontId="32" fillId="44" borderId="77" xfId="0" applyFont="1" applyFill="1" applyBorder="1" applyAlignment="1">
      <alignment vertical="top" wrapText="1"/>
    </xf>
    <xf numFmtId="0" fontId="32" fillId="33" borderId="77" xfId="0" applyFont="1" applyFill="1" applyBorder="1" applyAlignment="1">
      <alignment vertical="top" wrapText="1"/>
    </xf>
    <xf numFmtId="0" fontId="14" fillId="61" borderId="80" xfId="0" applyFont="1" applyFill="1" applyBorder="1" applyAlignment="1">
      <alignment vertical="top" wrapText="1"/>
    </xf>
    <xf numFmtId="0" fontId="14" fillId="61" borderId="78" xfId="0" applyFont="1" applyFill="1" applyBorder="1" applyAlignment="1">
      <alignment vertical="top" wrapText="1"/>
    </xf>
    <xf numFmtId="0" fontId="14" fillId="62" borderId="80" xfId="0" applyFont="1" applyFill="1" applyBorder="1" applyAlignment="1">
      <alignment vertical="top" wrapText="1"/>
    </xf>
    <xf numFmtId="0" fontId="14" fillId="62" borderId="79" xfId="0" applyFont="1" applyFill="1" applyBorder="1" applyAlignment="1">
      <alignment vertical="top" wrapText="1"/>
    </xf>
    <xf numFmtId="0" fontId="14" fillId="64" borderId="80" xfId="0" applyFont="1" applyFill="1" applyBorder="1" applyAlignment="1">
      <alignment vertical="top" wrapText="1"/>
    </xf>
    <xf numFmtId="0" fontId="14" fillId="64" borderId="78" xfId="0" applyFont="1" applyFill="1" applyBorder="1" applyAlignment="1">
      <alignment vertical="top" wrapText="1"/>
    </xf>
    <xf numFmtId="0" fontId="14" fillId="65" borderId="82" xfId="0" applyFont="1" applyFill="1" applyBorder="1" applyAlignment="1">
      <alignment vertical="top" wrapText="1"/>
    </xf>
    <xf numFmtId="167" fontId="0" fillId="0" borderId="0" xfId="0" applyNumberFormat="1"/>
    <xf numFmtId="2" fontId="50" fillId="35" borderId="50" xfId="0" applyNumberFormat="1" applyFont="1" applyFill="1" applyBorder="1"/>
    <xf numFmtId="167" fontId="50" fillId="35" borderId="2" xfId="0" applyNumberFormat="1" applyFont="1" applyFill="1" applyBorder="1" applyAlignment="1">
      <alignment horizontal="right" indent="2"/>
    </xf>
    <xf numFmtId="167" fontId="50" fillId="35" borderId="22" xfId="0" applyNumberFormat="1" applyFont="1" applyFill="1" applyBorder="1" applyAlignment="1">
      <alignment horizontal="right" indent="2"/>
    </xf>
    <xf numFmtId="2" fontId="51" fillId="35" borderId="0" xfId="0" applyNumberFormat="1" applyFont="1" applyFill="1" applyBorder="1"/>
    <xf numFmtId="168" fontId="51" fillId="35" borderId="0" xfId="0" applyNumberFormat="1" applyFont="1" applyFill="1" applyBorder="1"/>
    <xf numFmtId="168" fontId="52" fillId="66" borderId="0" xfId="0" applyNumberFormat="1" applyFont="1" applyFill="1" applyBorder="1"/>
    <xf numFmtId="168" fontId="53" fillId="66" borderId="69" xfId="0" applyNumberFormat="1" applyFont="1" applyFill="1" applyBorder="1"/>
    <xf numFmtId="0" fontId="0" fillId="35" borderId="49" xfId="0" applyFill="1" applyBorder="1"/>
    <xf numFmtId="3" fontId="0" fillId="35" borderId="2" xfId="0" applyNumberFormat="1" applyFill="1" applyBorder="1"/>
    <xf numFmtId="3" fontId="0" fillId="35" borderId="22" xfId="0" applyNumberFormat="1" applyFill="1" applyBorder="1"/>
    <xf numFmtId="3" fontId="71" fillId="35" borderId="50" xfId="0" applyNumberFormat="1" applyFont="1" applyFill="1" applyBorder="1"/>
    <xf numFmtId="0" fontId="36" fillId="35" borderId="0" xfId="0" applyFont="1" applyFill="1"/>
    <xf numFmtId="3" fontId="0" fillId="35" borderId="0" xfId="0" applyNumberFormat="1" applyFill="1" applyBorder="1"/>
    <xf numFmtId="0" fontId="36" fillId="35" borderId="0" xfId="0" applyFont="1" applyFill="1" applyBorder="1"/>
    <xf numFmtId="3" fontId="0" fillId="35" borderId="0" xfId="0" applyNumberFormat="1" applyFill="1"/>
    <xf numFmtId="3" fontId="71" fillId="35" borderId="18" xfId="0" applyNumberFormat="1" applyFont="1" applyFill="1" applyBorder="1"/>
    <xf numFmtId="3" fontId="72" fillId="35" borderId="83" xfId="0" applyNumberFormat="1" applyFont="1" applyFill="1" applyBorder="1"/>
    <xf numFmtId="0" fontId="0" fillId="35" borderId="0" xfId="0" applyFill="1"/>
    <xf numFmtId="0" fontId="71" fillId="35" borderId="16" xfId="0" applyFont="1" applyFill="1" applyBorder="1"/>
    <xf numFmtId="2" fontId="73" fillId="0" borderId="0" xfId="0" applyNumberFormat="1" applyFont="1"/>
    <xf numFmtId="3" fontId="42" fillId="21" borderId="0" xfId="0" applyNumberFormat="1" applyFont="1" applyFill="1"/>
    <xf numFmtId="0" fontId="22" fillId="30" borderId="2" xfId="0" applyFont="1" applyFill="1" applyBorder="1" applyAlignment="1">
      <alignment horizontal="center"/>
    </xf>
    <xf numFmtId="0" fontId="10" fillId="33" borderId="0" xfId="0" applyFont="1" applyFill="1" applyAlignment="1">
      <alignment vertical="center" wrapText="1"/>
    </xf>
    <xf numFmtId="0" fontId="10" fillId="33" borderId="0" xfId="0" applyFont="1" applyFill="1" applyAlignment="1">
      <alignment horizontal="center" vertical="center" wrapText="1"/>
    </xf>
    <xf numFmtId="0" fontId="22" fillId="30" borderId="2" xfId="0" applyFont="1" applyFill="1" applyBorder="1" applyAlignment="1">
      <alignment horizontal="center" vertical="center"/>
    </xf>
    <xf numFmtId="0" fontId="22" fillId="30" borderId="2" xfId="0" applyFont="1" applyFill="1" applyBorder="1" applyAlignment="1">
      <alignment horizontal="center" vertical="center" wrapText="1"/>
    </xf>
    <xf numFmtId="0" fontId="30" fillId="0" borderId="2" xfId="2" applyBorder="1"/>
    <xf numFmtId="0" fontId="70" fillId="56" borderId="81" xfId="0" applyFont="1" applyFill="1" applyBorder="1" applyAlignment="1">
      <alignment horizontal="center" vertical="center" wrapText="1"/>
    </xf>
    <xf numFmtId="0" fontId="32" fillId="44" borderId="88" xfId="0" applyFont="1" applyFill="1" applyBorder="1" applyAlignment="1">
      <alignment vertical="top" wrapText="1"/>
    </xf>
    <xf numFmtId="0" fontId="32" fillId="33" borderId="89" xfId="0" applyFont="1" applyFill="1" applyBorder="1" applyAlignment="1">
      <alignment vertical="top" wrapText="1"/>
    </xf>
    <xf numFmtId="0" fontId="14" fillId="63" borderId="23" xfId="0" applyFont="1" applyFill="1" applyBorder="1" applyAlignment="1">
      <alignment horizontal="center" wrapText="1"/>
    </xf>
    <xf numFmtId="0" fontId="32" fillId="44" borderId="23" xfId="0" applyFont="1" applyFill="1" applyBorder="1" applyAlignment="1">
      <alignment vertical="top" wrapText="1"/>
    </xf>
    <xf numFmtId="0" fontId="14" fillId="63" borderId="88" xfId="0" applyFont="1" applyFill="1" applyBorder="1" applyAlignment="1">
      <alignment horizontal="center" wrapText="1"/>
    </xf>
    <xf numFmtId="0" fontId="9" fillId="0" borderId="0" xfId="0" applyFont="1" applyAlignment="1">
      <alignment wrapText="1"/>
    </xf>
    <xf numFmtId="0" fontId="19" fillId="25" borderId="90" xfId="0" applyFont="1" applyFill="1" applyBorder="1" applyAlignment="1">
      <alignment horizontal="center" vertical="center" wrapText="1"/>
    </xf>
    <xf numFmtId="0" fontId="19" fillId="25" borderId="91" xfId="0" applyFont="1" applyFill="1" applyBorder="1" applyAlignment="1">
      <alignment horizontal="center" vertical="center" wrapText="1"/>
    </xf>
    <xf numFmtId="2" fontId="25" fillId="0" borderId="93" xfId="0" applyNumberFormat="1" applyFont="1" applyBorder="1" applyAlignment="1">
      <alignment horizontal="center" vertical="center" wrapText="1"/>
    </xf>
    <xf numFmtId="2" fontId="25" fillId="0" borderId="94" xfId="0" applyNumberFormat="1" applyFont="1" applyBorder="1" applyAlignment="1">
      <alignment horizontal="center" vertical="center" wrapText="1"/>
    </xf>
    <xf numFmtId="0" fontId="14" fillId="28" borderId="95" xfId="0" applyFont="1" applyFill="1" applyBorder="1" applyAlignment="1">
      <alignment horizontal="center" vertical="center" wrapText="1"/>
    </xf>
    <xf numFmtId="0" fontId="1" fillId="29" borderId="0" xfId="0" applyFont="1" applyFill="1"/>
    <xf numFmtId="0" fontId="19" fillId="26" borderId="37" xfId="0" applyFont="1" applyFill="1" applyBorder="1" applyAlignment="1">
      <alignment horizontal="center" vertical="center" wrapText="1"/>
    </xf>
    <xf numFmtId="0" fontId="14" fillId="28" borderId="0" xfId="0" applyFont="1" applyFill="1" applyBorder="1" applyAlignment="1">
      <alignment horizontal="right" vertical="center" wrapText="1"/>
    </xf>
    <xf numFmtId="0" fontId="31" fillId="28" borderId="0" xfId="0" applyFont="1" applyFill="1" applyBorder="1" applyAlignment="1">
      <alignment horizontal="center" vertical="center" wrapText="1"/>
    </xf>
    <xf numFmtId="0" fontId="19" fillId="25" borderId="100" xfId="0" applyFont="1" applyFill="1" applyBorder="1" applyAlignment="1">
      <alignment horizontal="center" vertical="center" wrapText="1"/>
    </xf>
    <xf numFmtId="0" fontId="19" fillId="25" borderId="101" xfId="0" applyFont="1" applyFill="1" applyBorder="1" applyAlignment="1">
      <alignment horizontal="center" vertical="center" wrapText="1"/>
    </xf>
    <xf numFmtId="0" fontId="19" fillId="25" borderId="102" xfId="0" applyFont="1" applyFill="1" applyBorder="1" applyAlignment="1">
      <alignment horizontal="center" vertical="center" wrapText="1"/>
    </xf>
    <xf numFmtId="167" fontId="15" fillId="0" borderId="57" xfId="0" applyNumberFormat="1" applyFont="1" applyBorder="1" applyAlignment="1">
      <alignment horizontal="center" vertical="center" wrapText="1"/>
    </xf>
    <xf numFmtId="0" fontId="19" fillId="25" borderId="103" xfId="0" applyFont="1" applyFill="1" applyBorder="1" applyAlignment="1">
      <alignment horizontal="center" vertical="center" wrapText="1"/>
    </xf>
    <xf numFmtId="0" fontId="14" fillId="27" borderId="65" xfId="0" applyFont="1" applyFill="1" applyBorder="1" applyAlignment="1">
      <alignment horizontal="center" vertical="center" wrapText="1"/>
    </xf>
    <xf numFmtId="0" fontId="15" fillId="0" borderId="104" xfId="0" applyFont="1" applyBorder="1" applyAlignment="1">
      <alignment horizontal="center" vertical="center" wrapText="1"/>
    </xf>
    <xf numFmtId="0" fontId="32" fillId="0" borderId="104" xfId="0" applyFont="1" applyBorder="1" applyAlignment="1">
      <alignment horizontal="center" vertical="center" wrapText="1"/>
    </xf>
    <xf numFmtId="0" fontId="14" fillId="27" borderId="85" xfId="0" applyFont="1" applyFill="1" applyBorder="1" applyAlignment="1">
      <alignment horizontal="center" vertical="center" wrapText="1"/>
    </xf>
    <xf numFmtId="0" fontId="15" fillId="0" borderId="85" xfId="0" applyFont="1" applyBorder="1" applyAlignment="1">
      <alignment horizontal="center" vertical="center" wrapText="1"/>
    </xf>
    <xf numFmtId="0" fontId="32" fillId="0" borderId="85" xfId="0" applyFont="1" applyBorder="1" applyAlignment="1">
      <alignment horizontal="center" vertical="center" wrapText="1"/>
    </xf>
    <xf numFmtId="0" fontId="0" fillId="35" borderId="5" xfId="0" applyFill="1" applyBorder="1" applyAlignment="1">
      <alignment vertical="top"/>
    </xf>
    <xf numFmtId="0" fontId="0" fillId="35" borderId="8" xfId="0" applyFill="1" applyBorder="1" applyAlignment="1">
      <alignment vertical="top"/>
    </xf>
    <xf numFmtId="0" fontId="0" fillId="62" borderId="5" xfId="0" applyFill="1" applyBorder="1" applyAlignment="1">
      <alignment vertical="top"/>
    </xf>
    <xf numFmtId="0" fontId="19" fillId="25" borderId="109" xfId="0" applyFont="1" applyFill="1" applyBorder="1" applyAlignment="1">
      <alignment horizontal="center" vertical="center" wrapText="1"/>
    </xf>
    <xf numFmtId="0" fontId="0" fillId="35" borderId="114" xfId="0" applyFill="1" applyBorder="1" applyAlignment="1">
      <alignment vertical="top"/>
    </xf>
    <xf numFmtId="0" fontId="0" fillId="35" borderId="115" xfId="0" applyFill="1" applyBorder="1" applyAlignment="1">
      <alignment vertical="top"/>
    </xf>
    <xf numFmtId="0" fontId="0" fillId="62" borderId="114" xfId="0" applyFill="1" applyBorder="1" applyAlignment="1">
      <alignment vertical="top"/>
    </xf>
    <xf numFmtId="0" fontId="14" fillId="64" borderId="5" xfId="0" applyFont="1" applyFill="1" applyBorder="1" applyAlignment="1">
      <alignment horizontal="left" vertical="top" indent="1"/>
    </xf>
    <xf numFmtId="0" fontId="14" fillId="64" borderId="8" xfId="0" applyFont="1" applyFill="1" applyBorder="1" applyAlignment="1">
      <alignment horizontal="left" vertical="top" indent="1"/>
    </xf>
    <xf numFmtId="0" fontId="14" fillId="62" borderId="5" xfId="0" applyFont="1" applyFill="1" applyBorder="1" applyAlignment="1">
      <alignment horizontal="left" vertical="top" indent="1"/>
    </xf>
    <xf numFmtId="0" fontId="70" fillId="56" borderId="110" xfId="0" applyFont="1" applyFill="1" applyBorder="1" applyAlignment="1">
      <alignment horizontal="left" vertical="center" wrapText="1" indent="4"/>
    </xf>
    <xf numFmtId="0" fontId="74" fillId="25" borderId="118" xfId="0" applyFont="1" applyFill="1" applyBorder="1" applyAlignment="1">
      <alignment horizontal="left" vertical="center" wrapText="1" indent="4"/>
    </xf>
    <xf numFmtId="0" fontId="14" fillId="63" borderId="86" xfId="0" applyFont="1" applyFill="1" applyBorder="1" applyAlignment="1">
      <alignment horizontal="left" vertical="center" indent="1"/>
    </xf>
    <xf numFmtId="0" fontId="29" fillId="25" borderId="90" xfId="0" applyFont="1" applyFill="1" applyBorder="1" applyAlignment="1">
      <alignment horizontal="center" vertical="center" wrapText="1"/>
    </xf>
    <xf numFmtId="0" fontId="21" fillId="26" borderId="95" xfId="0" applyFont="1" applyFill="1" applyBorder="1" applyAlignment="1">
      <alignment horizontal="center" vertical="center" wrapText="1"/>
    </xf>
    <xf numFmtId="0" fontId="29" fillId="25" borderId="108" xfId="0" applyFont="1" applyFill="1" applyBorder="1" applyAlignment="1">
      <alignment horizontal="center" vertical="center" wrapText="1"/>
    </xf>
    <xf numFmtId="0" fontId="29" fillId="25" borderId="134" xfId="0" applyFont="1" applyFill="1" applyBorder="1" applyAlignment="1">
      <alignment horizontal="center" vertical="center" wrapText="1"/>
    </xf>
    <xf numFmtId="0" fontId="29" fillId="25" borderId="135" xfId="0" applyFont="1" applyFill="1" applyBorder="1" applyAlignment="1">
      <alignment horizontal="center" vertical="center" wrapText="1"/>
    </xf>
    <xf numFmtId="3" fontId="17" fillId="29" borderId="98" xfId="0" applyNumberFormat="1" applyFont="1" applyFill="1" applyBorder="1" applyAlignment="1">
      <alignment horizontal="center" vertical="center"/>
    </xf>
    <xf numFmtId="3" fontId="17" fillId="29" borderId="117" xfId="0" applyNumberFormat="1" applyFont="1" applyFill="1" applyBorder="1" applyAlignment="1">
      <alignment horizontal="center" vertical="center"/>
    </xf>
    <xf numFmtId="0" fontId="19" fillId="26" borderId="92" xfId="0" applyFont="1" applyFill="1" applyBorder="1" applyAlignment="1">
      <alignment vertical="center" wrapText="1"/>
    </xf>
    <xf numFmtId="167" fontId="15" fillId="0" borderId="136" xfId="0" applyNumberFormat="1" applyFont="1" applyBorder="1" applyAlignment="1">
      <alignment horizontal="center" vertical="center" wrapText="1"/>
    </xf>
    <xf numFmtId="167" fontId="15" fillId="0" borderId="137" xfId="0" applyNumberFormat="1" applyFont="1" applyBorder="1" applyAlignment="1">
      <alignment horizontal="center" vertical="center" wrapText="1"/>
    </xf>
    <xf numFmtId="9" fontId="34" fillId="33" borderId="137" xfId="1" applyNumberFormat="1" applyFont="1" applyFill="1" applyBorder="1" applyAlignment="1">
      <alignment horizontal="center" vertical="center"/>
    </xf>
    <xf numFmtId="0" fontId="19" fillId="26" borderId="95" xfId="0" applyFont="1" applyFill="1" applyBorder="1" applyAlignment="1">
      <alignment vertical="center" wrapText="1"/>
    </xf>
    <xf numFmtId="167" fontId="31" fillId="0" borderId="138" xfId="0" applyNumberFormat="1" applyFont="1" applyBorder="1" applyAlignment="1">
      <alignment horizontal="center" vertical="center"/>
    </xf>
    <xf numFmtId="167" fontId="31" fillId="0" borderId="139" xfId="0" applyNumberFormat="1" applyFont="1" applyBorder="1" applyAlignment="1">
      <alignment horizontal="center" vertical="center"/>
    </xf>
    <xf numFmtId="0" fontId="19" fillId="25" borderId="134" xfId="0" applyFont="1" applyFill="1" applyBorder="1" applyAlignment="1">
      <alignment horizontal="center" vertical="center" wrapText="1"/>
    </xf>
    <xf numFmtId="0" fontId="32" fillId="0" borderId="140" xfId="0" applyFont="1" applyBorder="1" applyAlignment="1">
      <alignment horizontal="center" vertical="center" wrapText="1"/>
    </xf>
    <xf numFmtId="167" fontId="31" fillId="0" borderId="60" xfId="0" applyNumberFormat="1" applyFont="1" applyBorder="1" applyAlignment="1">
      <alignment horizontal="center" vertical="center" wrapText="1"/>
    </xf>
    <xf numFmtId="0" fontId="19" fillId="25" borderId="119" xfId="0" applyFont="1" applyFill="1" applyBorder="1" applyAlignment="1">
      <alignment horizontal="center" vertical="center" wrapText="1"/>
    </xf>
    <xf numFmtId="0" fontId="65" fillId="0" borderId="141" xfId="0" applyFont="1" applyBorder="1" applyAlignment="1">
      <alignment horizontal="center" vertical="center" wrapText="1"/>
    </xf>
    <xf numFmtId="0" fontId="32" fillId="0" borderId="141" xfId="0" applyFont="1" applyBorder="1" applyAlignment="1">
      <alignment horizontal="center" vertical="center" wrapText="1"/>
    </xf>
    <xf numFmtId="167" fontId="31" fillId="0" borderId="138" xfId="0" applyNumberFormat="1" applyFont="1" applyBorder="1" applyAlignment="1">
      <alignment horizontal="center" vertical="center" wrapText="1"/>
    </xf>
    <xf numFmtId="0" fontId="29" fillId="26" borderId="92" xfId="0" applyFont="1" applyFill="1" applyBorder="1" applyAlignment="1">
      <alignment horizontal="left" vertical="center" wrapText="1" indent="1"/>
    </xf>
    <xf numFmtId="0" fontId="29" fillId="26" borderId="95" xfId="0" applyFont="1" applyFill="1" applyBorder="1" applyAlignment="1">
      <alignment horizontal="left" vertical="center" wrapText="1" indent="1"/>
    </xf>
    <xf numFmtId="0" fontId="23" fillId="27" borderId="37" xfId="0" applyFont="1" applyFill="1" applyBorder="1" applyAlignment="1">
      <alignment horizontal="left" vertical="center" wrapText="1" indent="1"/>
    </xf>
    <xf numFmtId="0" fontId="23" fillId="27" borderId="98" xfId="0" applyFont="1" applyFill="1" applyBorder="1" applyAlignment="1">
      <alignment horizontal="left" vertical="center" wrapText="1" indent="1"/>
    </xf>
    <xf numFmtId="0" fontId="65" fillId="0" borderId="140" xfId="0" applyFont="1" applyBorder="1" applyAlignment="1">
      <alignment horizontal="left" vertical="center" wrapText="1" indent="2"/>
    </xf>
    <xf numFmtId="0" fontId="65" fillId="0" borderId="73" xfId="0" applyFont="1" applyBorder="1" applyAlignment="1">
      <alignment horizontal="left" vertical="center" wrapText="1" indent="2"/>
    </xf>
    <xf numFmtId="0" fontId="7" fillId="20" borderId="85" xfId="0" applyFont="1" applyFill="1" applyBorder="1"/>
    <xf numFmtId="0" fontId="7" fillId="20" borderId="2" xfId="0" applyFont="1" applyFill="1" applyBorder="1" applyAlignment="1">
      <alignment horizontal="center" vertical="center" wrapText="1"/>
    </xf>
    <xf numFmtId="0" fontId="75" fillId="0" borderId="7" xfId="0" applyFont="1" applyFill="1" applyBorder="1" applyAlignment="1">
      <alignment horizontal="left" vertical="center" wrapText="1"/>
    </xf>
    <xf numFmtId="0" fontId="75" fillId="0" borderId="15" xfId="0" applyFont="1" applyFill="1" applyBorder="1" applyAlignment="1">
      <alignment horizontal="left" vertical="center" wrapText="1"/>
    </xf>
    <xf numFmtId="0" fontId="8" fillId="0" borderId="2" xfId="0" applyFont="1" applyBorder="1" applyAlignment="1">
      <alignment horizontal="left" wrapText="1"/>
    </xf>
    <xf numFmtId="167" fontId="75" fillId="0" borderId="7" xfId="0" applyNumberFormat="1" applyFont="1" applyFill="1" applyBorder="1" applyAlignment="1">
      <alignment horizontal="left" vertical="center" wrapText="1"/>
    </xf>
    <xf numFmtId="170" fontId="17" fillId="0" borderId="57" xfId="0" applyNumberFormat="1" applyFont="1" applyBorder="1" applyAlignment="1">
      <alignment horizontal="center" vertical="center" wrapText="1"/>
    </xf>
    <xf numFmtId="0" fontId="19" fillId="25" borderId="90" xfId="0" applyFont="1" applyFill="1" applyBorder="1" applyAlignment="1">
      <alignment horizontal="center" vertical="top" wrapText="1"/>
    </xf>
    <xf numFmtId="0" fontId="29" fillId="26" borderId="92" xfId="0" applyFont="1" applyFill="1" applyBorder="1" applyAlignment="1">
      <alignment vertical="top" wrapText="1"/>
    </xf>
    <xf numFmtId="0" fontId="29" fillId="26" borderId="99" xfId="0" applyFont="1" applyFill="1" applyBorder="1" applyAlignment="1">
      <alignment vertical="top" wrapText="1"/>
    </xf>
    <xf numFmtId="167" fontId="25" fillId="28" borderId="96" xfId="0" applyNumberFormat="1" applyFont="1" applyFill="1" applyBorder="1" applyAlignment="1">
      <alignment horizontal="center" vertical="center" wrapText="1"/>
    </xf>
    <xf numFmtId="167" fontId="25" fillId="28" borderId="97" xfId="0" applyNumberFormat="1" applyFont="1" applyFill="1" applyBorder="1" applyAlignment="1">
      <alignment horizontal="center" vertical="center" wrapText="1"/>
    </xf>
    <xf numFmtId="0" fontId="29" fillId="26" borderId="99" xfId="0" applyFont="1" applyFill="1" applyBorder="1" applyAlignment="1">
      <alignment horizontal="left" vertical="center" wrapText="1" indent="1"/>
    </xf>
    <xf numFmtId="0" fontId="19" fillId="26" borderId="92" xfId="0" applyFont="1" applyFill="1" applyBorder="1" applyAlignment="1">
      <alignment horizontal="left" vertical="center" wrapText="1" indent="1"/>
    </xf>
    <xf numFmtId="2" fontId="17" fillId="0" borderId="72" xfId="0" applyNumberFormat="1" applyFont="1" applyBorder="1" applyAlignment="1">
      <alignment horizontal="center" vertical="center" wrapText="1"/>
    </xf>
    <xf numFmtId="2" fontId="17" fillId="0" borderId="93" xfId="0" applyNumberFormat="1" applyFont="1" applyBorder="1" applyAlignment="1">
      <alignment horizontal="center" vertical="center" wrapText="1"/>
    </xf>
    <xf numFmtId="2" fontId="17" fillId="0" borderId="73" xfId="0" applyNumberFormat="1" applyFont="1" applyBorder="1" applyAlignment="1">
      <alignment horizontal="center" vertical="center" wrapText="1"/>
    </xf>
    <xf numFmtId="2" fontId="17" fillId="0" borderId="94" xfId="0" applyNumberFormat="1" applyFont="1" applyBorder="1" applyAlignment="1">
      <alignment horizontal="center" vertical="center" wrapText="1"/>
    </xf>
    <xf numFmtId="167" fontId="17" fillId="28" borderId="96" xfId="0" applyNumberFormat="1" applyFont="1" applyFill="1" applyBorder="1" applyAlignment="1">
      <alignment horizontal="center" vertical="center" wrapText="1"/>
    </xf>
    <xf numFmtId="167" fontId="17" fillId="28" borderId="97" xfId="0" applyNumberFormat="1" applyFont="1" applyFill="1" applyBorder="1" applyAlignment="1">
      <alignment horizontal="center" vertical="center" wrapText="1"/>
    </xf>
    <xf numFmtId="0" fontId="19" fillId="25" borderId="90" xfId="0" applyFont="1" applyFill="1" applyBorder="1" applyAlignment="1">
      <alignment horizontal="left" vertical="center" wrapText="1" indent="1"/>
    </xf>
    <xf numFmtId="0" fontId="0" fillId="0" borderId="0" xfId="0" applyAlignment="1">
      <alignment vertical="center"/>
    </xf>
    <xf numFmtId="0" fontId="0" fillId="0" borderId="0" xfId="0" applyAlignment="1">
      <alignment vertical="center" wrapText="1"/>
    </xf>
    <xf numFmtId="0" fontId="0" fillId="37" borderId="0" xfId="0" applyFill="1" applyAlignment="1">
      <alignment vertical="center"/>
    </xf>
    <xf numFmtId="0" fontId="19" fillId="26" borderId="143" xfId="0" applyFont="1" applyFill="1" applyBorder="1" applyAlignment="1">
      <alignment horizontal="center" vertical="center" wrapText="1"/>
    </xf>
    <xf numFmtId="0" fontId="19" fillId="26" borderId="95" xfId="0" applyFont="1" applyFill="1" applyBorder="1" applyAlignment="1">
      <alignment horizontal="left" vertical="center" wrapText="1" indent="1"/>
    </xf>
    <xf numFmtId="0" fontId="19" fillId="26" borderId="98" xfId="0" applyFont="1" applyFill="1" applyBorder="1" applyAlignment="1">
      <alignment horizontal="center" vertical="center" wrapText="1"/>
    </xf>
    <xf numFmtId="0" fontId="19" fillId="26" borderId="117" xfId="0" applyFont="1" applyFill="1" applyBorder="1" applyAlignment="1">
      <alignment horizontal="center" vertical="center" wrapText="1"/>
    </xf>
    <xf numFmtId="0" fontId="19" fillId="26" borderId="144" xfId="0" applyFont="1" applyFill="1" applyBorder="1" applyAlignment="1">
      <alignment vertical="center" wrapText="1"/>
    </xf>
    <xf numFmtId="0" fontId="19" fillId="26" borderId="145" xfId="0" applyFont="1" applyFill="1" applyBorder="1" applyAlignment="1">
      <alignment vertical="center" wrapText="1"/>
    </xf>
    <xf numFmtId="0" fontId="19" fillId="26" borderId="146" xfId="0" applyFont="1" applyFill="1" applyBorder="1" applyAlignment="1">
      <alignment vertical="center" wrapText="1"/>
    </xf>
    <xf numFmtId="0" fontId="31" fillId="0" borderId="147" xfId="0" applyFont="1" applyBorder="1" applyAlignment="1">
      <alignment horizontal="center" vertical="center" wrapText="1"/>
    </xf>
    <xf numFmtId="0" fontId="14" fillId="27" borderId="148" xfId="0" applyFont="1" applyFill="1" applyBorder="1" applyAlignment="1">
      <alignment horizontal="center" vertical="center" wrapText="1"/>
    </xf>
    <xf numFmtId="0" fontId="15" fillId="0" borderId="148" xfId="0" applyFont="1" applyBorder="1" applyAlignment="1">
      <alignment horizontal="center" vertical="center" wrapText="1"/>
    </xf>
    <xf numFmtId="0" fontId="32" fillId="0" borderId="148" xfId="0" applyFont="1" applyBorder="1" applyAlignment="1">
      <alignment horizontal="center" vertical="center" wrapText="1"/>
    </xf>
    <xf numFmtId="0" fontId="17" fillId="0" borderId="107" xfId="0" applyFont="1" applyBorder="1" applyAlignment="1">
      <alignment horizontal="center" vertical="center" wrapText="1"/>
    </xf>
    <xf numFmtId="0" fontId="19" fillId="0" borderId="149" xfId="0" applyFont="1" applyFill="1" applyBorder="1" applyAlignment="1">
      <alignment horizontal="center" vertical="center" wrapText="1"/>
    </xf>
    <xf numFmtId="167" fontId="31" fillId="0" borderId="149" xfId="0" applyNumberFormat="1" applyFont="1" applyFill="1" applyBorder="1" applyAlignment="1">
      <alignment horizontal="center" vertical="center" wrapText="1"/>
    </xf>
    <xf numFmtId="0" fontId="65" fillId="0" borderId="140" xfId="0" applyFont="1" applyBorder="1" applyAlignment="1">
      <alignment horizontal="center" vertical="center" wrapText="1"/>
    </xf>
    <xf numFmtId="0" fontId="22" fillId="30" borderId="2" xfId="0" applyFont="1" applyFill="1" applyBorder="1" applyAlignment="1">
      <alignment horizontal="left" vertical="center" wrapText="1"/>
    </xf>
    <xf numFmtId="0" fontId="10" fillId="33" borderId="150" xfId="0" applyFont="1" applyFill="1" applyBorder="1" applyAlignment="1">
      <alignment horizontal="center" vertical="center" wrapText="1"/>
    </xf>
    <xf numFmtId="0" fontId="10" fillId="33" borderId="151" xfId="0" applyFont="1" applyFill="1" applyBorder="1" applyAlignment="1">
      <alignment horizontal="center" vertical="center" wrapText="1"/>
    </xf>
    <xf numFmtId="0" fontId="10" fillId="33" borderId="152" xfId="0" applyFont="1" applyFill="1" applyBorder="1" applyAlignment="1">
      <alignment horizontal="center" vertical="center" wrapText="1"/>
    </xf>
    <xf numFmtId="167" fontId="22" fillId="30" borderId="154" xfId="0" applyNumberFormat="1" applyFont="1" applyFill="1" applyBorder="1" applyAlignment="1">
      <alignment horizontal="center" vertical="center"/>
    </xf>
    <xf numFmtId="0" fontId="22" fillId="30" borderId="156" xfId="0" applyFont="1" applyFill="1" applyBorder="1" applyAlignment="1">
      <alignment horizontal="center" vertical="center"/>
    </xf>
    <xf numFmtId="0" fontId="22" fillId="30" borderId="156" xfId="0" applyFont="1" applyFill="1" applyBorder="1" applyAlignment="1">
      <alignment horizontal="center" vertical="center" wrapText="1"/>
    </xf>
    <xf numFmtId="167" fontId="22" fillId="30" borderId="157" xfId="0" applyNumberFormat="1" applyFont="1" applyFill="1" applyBorder="1" applyAlignment="1">
      <alignment horizontal="center" vertical="center"/>
    </xf>
    <xf numFmtId="0" fontId="22" fillId="30" borderId="153" xfId="0" applyFont="1" applyFill="1" applyBorder="1" applyAlignment="1">
      <alignment horizontal="left" vertical="center"/>
    </xf>
    <xf numFmtId="0" fontId="22" fillId="30" borderId="153" xfId="0" applyFont="1" applyFill="1" applyBorder="1" applyAlignment="1">
      <alignment horizontal="left" vertical="center" wrapText="1"/>
    </xf>
    <xf numFmtId="0" fontId="22" fillId="30" borderId="155" xfId="0" applyFont="1" applyFill="1" applyBorder="1" applyAlignment="1">
      <alignment horizontal="left" vertical="center" wrapText="1"/>
    </xf>
    <xf numFmtId="0" fontId="22" fillId="30" borderId="156" xfId="0" applyFont="1" applyFill="1" applyBorder="1" applyAlignment="1">
      <alignment horizontal="left" vertical="center" wrapText="1"/>
    </xf>
    <xf numFmtId="0" fontId="46" fillId="28" borderId="24" xfId="0" applyFont="1" applyFill="1" applyBorder="1" applyAlignment="1">
      <alignment horizontal="center" vertical="center" wrapText="1"/>
    </xf>
    <xf numFmtId="0" fontId="29" fillId="26" borderId="158" xfId="0" applyFont="1" applyFill="1" applyBorder="1" applyAlignment="1">
      <alignment vertical="center" wrapText="1"/>
    </xf>
    <xf numFmtId="167" fontId="44" fillId="0" borderId="136" xfId="0" applyNumberFormat="1" applyFont="1" applyBorder="1" applyAlignment="1">
      <alignment horizontal="center" vertical="center" wrapText="1"/>
    </xf>
    <xf numFmtId="0" fontId="29" fillId="26" borderId="159" xfId="0" applyFont="1" applyFill="1" applyBorder="1" applyAlignment="1">
      <alignment vertical="center" wrapText="1"/>
    </xf>
    <xf numFmtId="167" fontId="44" fillId="0" borderId="160" xfId="0" applyNumberFormat="1" applyFont="1" applyBorder="1" applyAlignment="1">
      <alignment horizontal="center" vertical="center" wrapText="1"/>
    </xf>
    <xf numFmtId="0" fontId="45" fillId="40" borderId="161" xfId="0" applyFont="1" applyFill="1" applyBorder="1" applyAlignment="1">
      <alignment vertical="center" wrapText="1"/>
    </xf>
    <xf numFmtId="0" fontId="31" fillId="40" borderId="137" xfId="0" applyFont="1" applyFill="1" applyBorder="1" applyAlignment="1">
      <alignment horizontal="center" vertical="center" wrapText="1"/>
    </xf>
    <xf numFmtId="0" fontId="29" fillId="26" borderId="161" xfId="0" applyFont="1" applyFill="1" applyBorder="1" applyAlignment="1">
      <alignment vertical="center" wrapText="1"/>
    </xf>
    <xf numFmtId="167" fontId="31" fillId="0" borderId="137" xfId="0" applyNumberFormat="1" applyFont="1" applyBorder="1" applyAlignment="1">
      <alignment horizontal="center" vertical="center" wrapText="1"/>
    </xf>
    <xf numFmtId="0" fontId="29" fillId="26" borderId="162" xfId="0" applyFont="1" applyFill="1" applyBorder="1" applyAlignment="1">
      <alignment vertical="center" wrapText="1"/>
    </xf>
    <xf numFmtId="167" fontId="31" fillId="0" borderId="139" xfId="0" applyNumberFormat="1" applyFont="1" applyBorder="1" applyAlignment="1">
      <alignment horizontal="center" vertical="center" wrapText="1"/>
    </xf>
    <xf numFmtId="0" fontId="37" fillId="28" borderId="95" xfId="0" applyFont="1" applyFill="1" applyBorder="1" applyAlignment="1">
      <alignment horizontal="right" vertical="center" wrapText="1"/>
    </xf>
    <xf numFmtId="0" fontId="46" fillId="28" borderId="98" xfId="0" applyFont="1" applyFill="1" applyBorder="1" applyAlignment="1">
      <alignment horizontal="center" vertical="center" wrapText="1"/>
    </xf>
    <xf numFmtId="0" fontId="46" fillId="28" borderId="117" xfId="0" applyFont="1" applyFill="1" applyBorder="1" applyAlignment="1">
      <alignment horizontal="center" vertical="center" wrapText="1"/>
    </xf>
    <xf numFmtId="0" fontId="8" fillId="0" borderId="2" xfId="0" applyFont="1" applyBorder="1" applyAlignment="1">
      <alignment horizontal="center" wrapText="1"/>
    </xf>
    <xf numFmtId="8" fontId="6" fillId="0" borderId="2" xfId="0" quotePrefix="1" applyNumberFormat="1" applyFont="1" applyBorder="1" applyAlignment="1">
      <alignment horizontal="center" wrapText="1"/>
    </xf>
    <xf numFmtId="8" fontId="6" fillId="0" borderId="2" xfId="0" applyNumberFormat="1" applyFont="1" applyBorder="1" applyAlignment="1">
      <alignment horizontal="center" wrapText="1"/>
    </xf>
    <xf numFmtId="0" fontId="1" fillId="0" borderId="0" xfId="0" applyFont="1" applyBorder="1"/>
    <xf numFmtId="0" fontId="20" fillId="21" borderId="84" xfId="0" applyFont="1" applyFill="1" applyBorder="1" applyAlignment="1">
      <alignment horizontal="center"/>
    </xf>
    <xf numFmtId="0" fontId="0" fillId="0" borderId="85" xfId="0" applyBorder="1" applyAlignment="1">
      <alignment horizontal="center"/>
    </xf>
    <xf numFmtId="0" fontId="0" fillId="0" borderId="86" xfId="0" applyBorder="1" applyAlignment="1">
      <alignment horizontal="center"/>
    </xf>
    <xf numFmtId="2" fontId="42" fillId="21" borderId="0" xfId="0" applyNumberFormat="1" applyFont="1" applyFill="1" applyAlignment="1">
      <alignment horizontal="center"/>
    </xf>
    <xf numFmtId="0" fontId="0" fillId="0" borderId="0" xfId="0" applyAlignment="1">
      <alignment horizontal="center"/>
    </xf>
    <xf numFmtId="0" fontId="22" fillId="30" borderId="87" xfId="0" applyFont="1" applyFill="1" applyBorder="1" applyAlignment="1">
      <alignment horizontal="center" vertical="center"/>
    </xf>
    <xf numFmtId="0" fontId="0" fillId="0" borderId="4" xfId="0" applyBorder="1" applyAlignment="1">
      <alignment horizontal="center" vertical="center"/>
    </xf>
    <xf numFmtId="0" fontId="19" fillId="25" borderId="63" xfId="0" applyFont="1" applyFill="1" applyBorder="1" applyAlignment="1">
      <alignment horizontal="center" vertical="center" wrapText="1"/>
    </xf>
    <xf numFmtId="0" fontId="19" fillId="25" borderId="23" xfId="0" applyFont="1" applyFill="1" applyBorder="1" applyAlignment="1">
      <alignment horizontal="center" vertical="center" wrapText="1"/>
    </xf>
    <xf numFmtId="0" fontId="19" fillId="25" borderId="61" xfId="0" applyFont="1" applyFill="1" applyBorder="1" applyAlignment="1">
      <alignment horizontal="center" vertical="center" wrapText="1"/>
    </xf>
    <xf numFmtId="0" fontId="19" fillId="25" borderId="62" xfId="0" applyFont="1" applyFill="1" applyBorder="1" applyAlignment="1">
      <alignment horizontal="center" vertical="center" wrapText="1"/>
    </xf>
    <xf numFmtId="0" fontId="29" fillId="25" borderId="63" xfId="0" applyFont="1" applyFill="1" applyBorder="1" applyAlignment="1">
      <alignment horizontal="center" vertical="center" wrapText="1"/>
    </xf>
    <xf numFmtId="0" fontId="29" fillId="25" borderId="23" xfId="0" applyFont="1" applyFill="1" applyBorder="1" applyAlignment="1">
      <alignment horizontal="center" vertical="center" wrapText="1"/>
    </xf>
    <xf numFmtId="0" fontId="29" fillId="25" borderId="61" xfId="0" applyFont="1" applyFill="1" applyBorder="1" applyAlignment="1">
      <alignment horizontal="center" vertical="center" wrapText="1"/>
    </xf>
    <xf numFmtId="0" fontId="29" fillId="25" borderId="62" xfId="0" applyFont="1" applyFill="1" applyBorder="1" applyAlignment="1">
      <alignment horizontal="center" vertical="center" wrapText="1"/>
    </xf>
    <xf numFmtId="167" fontId="31" fillId="0" borderId="105" xfId="0" applyNumberFormat="1" applyFont="1" applyBorder="1" applyAlignment="1">
      <alignment horizontal="center" vertical="center" wrapText="1"/>
    </xf>
    <xf numFmtId="0" fontId="0" fillId="0" borderId="106" xfId="0" applyBorder="1" applyAlignment="1">
      <alignment horizontal="center" vertical="center" wrapText="1"/>
    </xf>
    <xf numFmtId="0" fontId="14" fillId="63" borderId="85" xfId="0" applyFont="1" applyFill="1" applyBorder="1" applyAlignment="1">
      <alignment horizontal="left" vertical="top" indent="1"/>
    </xf>
    <xf numFmtId="0" fontId="0" fillId="0" borderId="85" xfId="0" applyBorder="1" applyAlignment="1">
      <alignment horizontal="left" vertical="top" indent="1"/>
    </xf>
    <xf numFmtId="0" fontId="0" fillId="0" borderId="122" xfId="0" applyBorder="1" applyAlignment="1">
      <alignment horizontal="left" vertical="top" indent="1"/>
    </xf>
    <xf numFmtId="0" fontId="70" fillId="59" borderId="111" xfId="0" applyFont="1" applyFill="1" applyBorder="1" applyAlignment="1">
      <alignment horizontal="left" vertical="center" wrapText="1" indent="4"/>
    </xf>
    <xf numFmtId="0" fontId="0" fillId="0" borderId="113" xfId="0" applyBorder="1" applyAlignment="1">
      <alignment horizontal="left" vertical="center" wrapText="1" indent="4"/>
    </xf>
    <xf numFmtId="0" fontId="70" fillId="57" borderId="111" xfId="0" applyFont="1" applyFill="1" applyBorder="1" applyAlignment="1">
      <alignment horizontal="left" vertical="center" wrapText="1" indent="4"/>
    </xf>
    <xf numFmtId="0" fontId="0" fillId="0" borderId="112" xfId="0" applyBorder="1" applyAlignment="1">
      <alignment horizontal="left" vertical="center" wrapText="1" indent="4"/>
    </xf>
    <xf numFmtId="0" fontId="70" fillId="58" borderId="111" xfId="0" applyFont="1" applyFill="1" applyBorder="1" applyAlignment="1">
      <alignment horizontal="left" vertical="center" wrapText="1" indent="4"/>
    </xf>
    <xf numFmtId="0" fontId="14" fillId="61" borderId="133" xfId="0" applyFont="1" applyFill="1" applyBorder="1" applyAlignment="1">
      <alignment horizontal="left" vertical="top" wrapText="1"/>
    </xf>
    <xf numFmtId="0" fontId="0" fillId="0" borderId="8" xfId="0" applyBorder="1" applyAlignment="1">
      <alignment vertical="top" wrapText="1"/>
    </xf>
    <xf numFmtId="0" fontId="0" fillId="0" borderId="115" xfId="0" applyBorder="1" applyAlignment="1">
      <alignment vertical="top" wrapText="1"/>
    </xf>
    <xf numFmtId="0" fontId="14" fillId="62" borderId="133" xfId="0" applyFont="1" applyFill="1" applyBorder="1" applyAlignment="1">
      <alignment horizontal="left" vertical="top"/>
    </xf>
    <xf numFmtId="0" fontId="0" fillId="0" borderId="8" xfId="0" applyBorder="1" applyAlignment="1">
      <alignment horizontal="left" vertical="top"/>
    </xf>
    <xf numFmtId="0" fontId="0" fillId="0" borderId="8" xfId="0" applyBorder="1" applyAlignment="1">
      <alignment vertical="top"/>
    </xf>
    <xf numFmtId="0" fontId="0" fillId="0" borderId="115" xfId="0" applyBorder="1" applyAlignment="1">
      <alignment vertical="top"/>
    </xf>
    <xf numFmtId="0" fontId="74" fillId="25" borderId="142" xfId="0" applyFont="1" applyFill="1" applyBorder="1" applyAlignment="1">
      <alignment horizontal="left" vertical="center"/>
    </xf>
    <xf numFmtId="0" fontId="0" fillId="0" borderId="120" xfId="0" applyBorder="1" applyAlignment="1">
      <alignment vertical="center"/>
    </xf>
    <xf numFmtId="0" fontId="0" fillId="0" borderId="121" xfId="0" applyBorder="1" applyAlignment="1">
      <alignment vertical="center"/>
    </xf>
    <xf numFmtId="0" fontId="14" fillId="67" borderId="129" xfId="0" applyFont="1" applyFill="1" applyBorder="1" applyAlignment="1">
      <alignment horizontal="left" vertical="center" wrapText="1" indent="1"/>
    </xf>
    <xf numFmtId="0" fontId="0" fillId="0" borderId="130" xfId="0" applyBorder="1" applyAlignment="1">
      <alignment horizontal="left" indent="1"/>
    </xf>
    <xf numFmtId="0" fontId="0" fillId="0" borderId="131" xfId="0" applyBorder="1" applyAlignment="1">
      <alignment horizontal="left" indent="1"/>
    </xf>
    <xf numFmtId="0" fontId="70" fillId="60" borderId="123" xfId="0" applyFont="1" applyFill="1" applyBorder="1" applyAlignment="1">
      <alignment horizontal="left" vertical="center" wrapText="1" indent="4"/>
    </xf>
    <xf numFmtId="0" fontId="0" fillId="0" borderId="124" xfId="0" applyBorder="1" applyAlignment="1">
      <alignment horizontal="left" vertical="center" indent="4"/>
    </xf>
    <xf numFmtId="0" fontId="0" fillId="0" borderId="124" xfId="0" applyBorder="1" applyAlignment="1">
      <alignment horizontal="left" indent="4"/>
    </xf>
    <xf numFmtId="0" fontId="0" fillId="0" borderId="125" xfId="0" applyBorder="1" applyAlignment="1">
      <alignment horizontal="left" indent="4"/>
    </xf>
    <xf numFmtId="0" fontId="14" fillId="63" borderId="126" xfId="0" applyFont="1" applyFill="1" applyBorder="1" applyAlignment="1">
      <alignment horizontal="left" vertical="center" wrapText="1" indent="1"/>
    </xf>
    <xf numFmtId="0" fontId="0" fillId="0" borderId="127" xfId="0" applyBorder="1" applyAlignment="1">
      <alignment horizontal="left" vertical="center" wrapText="1" indent="1"/>
    </xf>
    <xf numFmtId="0" fontId="0" fillId="0" borderId="127" xfId="0" applyBorder="1" applyAlignment="1">
      <alignment horizontal="left" vertical="center" indent="1"/>
    </xf>
    <xf numFmtId="0" fontId="0" fillId="0" borderId="128" xfId="0" applyBorder="1" applyAlignment="1">
      <alignment horizontal="left" vertical="center" indent="1"/>
    </xf>
    <xf numFmtId="0" fontId="14" fillId="63" borderId="5" xfId="0" applyFont="1" applyFill="1" applyBorder="1" applyAlignment="1">
      <alignment horizontal="left" vertical="center" wrapText="1" indent="1"/>
    </xf>
    <xf numFmtId="0" fontId="10" fillId="63" borderId="5" xfId="0" applyFont="1" applyFill="1" applyBorder="1" applyAlignment="1">
      <alignment horizontal="left" vertical="center" wrapText="1" indent="1"/>
    </xf>
    <xf numFmtId="0" fontId="10" fillId="63" borderId="114" xfId="0" applyFont="1" applyFill="1" applyBorder="1" applyAlignment="1">
      <alignment horizontal="left" vertical="center" wrapText="1" indent="1"/>
    </xf>
    <xf numFmtId="0" fontId="14" fillId="63" borderId="0" xfId="0" applyFont="1" applyFill="1" applyBorder="1" applyAlignment="1">
      <alignment horizontal="left" vertical="center" wrapText="1" indent="1"/>
    </xf>
    <xf numFmtId="0" fontId="10" fillId="63" borderId="0" xfId="0" applyFont="1" applyFill="1" applyBorder="1" applyAlignment="1">
      <alignment horizontal="left" vertical="center" wrapText="1" indent="1"/>
    </xf>
    <xf numFmtId="0" fontId="10" fillId="63" borderId="116" xfId="0" applyFont="1" applyFill="1" applyBorder="1" applyAlignment="1">
      <alignment horizontal="left" vertical="center" wrapText="1" indent="1"/>
    </xf>
    <xf numFmtId="0" fontId="10" fillId="63" borderId="0" xfId="0" applyFont="1" applyFill="1" applyBorder="1" applyAlignment="1">
      <alignment horizontal="left" indent="1"/>
    </xf>
    <xf numFmtId="0" fontId="10" fillId="63" borderId="116" xfId="0" applyFont="1" applyFill="1" applyBorder="1" applyAlignment="1">
      <alignment horizontal="left" indent="1"/>
    </xf>
    <xf numFmtId="0" fontId="0" fillId="0" borderId="98" xfId="0" applyBorder="1" applyAlignment="1">
      <alignment horizontal="left" indent="1"/>
    </xf>
    <xf numFmtId="0" fontId="0" fillId="0" borderId="117" xfId="0" applyBorder="1" applyAlignment="1">
      <alignment horizontal="left" indent="1"/>
    </xf>
    <xf numFmtId="0" fontId="14" fillId="61" borderId="132" xfId="0" applyFont="1" applyFill="1" applyBorder="1" applyAlignment="1">
      <alignment horizontal="left" vertical="top" wrapText="1" indent="1"/>
    </xf>
    <xf numFmtId="0" fontId="0" fillId="0" borderId="5" xfId="0" applyBorder="1" applyAlignment="1">
      <alignment horizontal="left" vertical="top" wrapText="1" indent="1"/>
    </xf>
    <xf numFmtId="0" fontId="0" fillId="0" borderId="114" xfId="0" applyBorder="1" applyAlignment="1">
      <alignment horizontal="left" vertical="top" wrapText="1" indent="1"/>
    </xf>
    <xf numFmtId="2" fontId="25" fillId="0" borderId="73" xfId="0" applyNumberFormat="1" applyFont="1" applyBorder="1" applyAlignment="1">
      <alignment horizontal="center" vertical="center"/>
    </xf>
    <xf numFmtId="0" fontId="0" fillId="0" borderId="73" xfId="0" applyBorder="1" applyAlignment="1">
      <alignment horizontal="center" vertical="center"/>
    </xf>
    <xf numFmtId="0" fontId="0" fillId="0" borderId="94" xfId="0" applyBorder="1" applyAlignment="1">
      <alignment horizontal="center" vertical="center"/>
    </xf>
    <xf numFmtId="2" fontId="17" fillId="0" borderId="73" xfId="0" applyNumberFormat="1" applyFont="1" applyBorder="1" applyAlignment="1">
      <alignment horizontal="center" vertical="center"/>
    </xf>
    <xf numFmtId="0" fontId="1" fillId="0" borderId="73" xfId="0" applyFont="1" applyBorder="1" applyAlignment="1">
      <alignment horizontal="center" vertical="center"/>
    </xf>
    <xf numFmtId="0" fontId="1" fillId="0" borderId="94" xfId="0" applyFont="1" applyBorder="1" applyAlignment="1">
      <alignment horizontal="center" vertical="center"/>
    </xf>
    <xf numFmtId="0" fontId="32" fillId="44" borderId="81" xfId="0" applyFont="1" applyFill="1" applyBorder="1" applyAlignment="1">
      <alignment vertical="center" wrapText="1"/>
    </xf>
    <xf numFmtId="0" fontId="0" fillId="0" borderId="0" xfId="0" applyBorder="1" applyAlignment="1">
      <alignment vertical="center" wrapText="1"/>
    </xf>
    <xf numFmtId="0" fontId="0" fillId="0" borderId="23" xfId="0" applyBorder="1" applyAlignment="1">
      <alignment vertical="center" wrapText="1"/>
    </xf>
    <xf numFmtId="0" fontId="14" fillId="63" borderId="81" xfId="0" applyFont="1" applyFill="1" applyBorder="1" applyAlignment="1">
      <alignment horizontal="center" vertical="center" wrapText="1"/>
    </xf>
    <xf numFmtId="0" fontId="0" fillId="0" borderId="0" xfId="0" applyBorder="1" applyAlignment="1">
      <alignment horizontal="center" vertical="center" wrapText="1"/>
    </xf>
    <xf numFmtId="0" fontId="0" fillId="0" borderId="23" xfId="0" applyBorder="1" applyAlignment="1">
      <alignment horizontal="center" vertical="center" wrapText="1"/>
    </xf>
    <xf numFmtId="0" fontId="70" fillId="60" borderId="75" xfId="0" applyFont="1" applyFill="1" applyBorder="1" applyAlignment="1">
      <alignment horizontal="center" vertical="center" wrapText="1"/>
    </xf>
    <xf numFmtId="0" fontId="0" fillId="0" borderId="0" xfId="0" applyAlignment="1">
      <alignment horizontal="center" vertical="center"/>
    </xf>
    <xf numFmtId="0" fontId="70" fillId="57" borderId="75" xfId="0" applyFont="1" applyFill="1" applyBorder="1" applyAlignment="1">
      <alignment horizontal="center" vertical="center" wrapText="1"/>
    </xf>
    <xf numFmtId="0" fontId="0" fillId="0" borderId="59" xfId="0" applyBorder="1" applyAlignment="1">
      <alignment horizontal="center" vertical="center" wrapText="1"/>
    </xf>
    <xf numFmtId="0" fontId="70" fillId="58" borderId="75" xfId="0" applyFont="1" applyFill="1" applyBorder="1" applyAlignment="1">
      <alignment horizontal="center" vertical="center" wrapText="1"/>
    </xf>
    <xf numFmtId="0" fontId="70" fillId="59" borderId="75" xfId="0" applyFont="1" applyFill="1" applyBorder="1" applyAlignment="1">
      <alignment horizontal="center" vertical="center" wrapText="1"/>
    </xf>
    <xf numFmtId="0" fontId="7" fillId="3" borderId="12" xfId="0" applyFont="1" applyFill="1" applyBorder="1" applyAlignment="1">
      <alignment horizontal="center"/>
    </xf>
    <xf numFmtId="0" fontId="7" fillId="3" borderId="14" xfId="0" applyFont="1" applyFill="1" applyBorder="1" applyAlignment="1">
      <alignment horizontal="center"/>
    </xf>
    <xf numFmtId="0" fontId="7" fillId="3" borderId="13" xfId="0" applyFont="1" applyFill="1" applyBorder="1" applyAlignment="1">
      <alignment horizontal="center"/>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85" xfId="0" applyFont="1" applyBorder="1" applyAlignment="1">
      <alignment horizontal="left" wrapText="1"/>
    </xf>
    <xf numFmtId="0" fontId="8" fillId="0" borderId="14" xfId="0" applyFont="1" applyBorder="1" applyAlignment="1">
      <alignment horizontal="left" wrapText="1"/>
    </xf>
    <xf numFmtId="8" fontId="6" fillId="0" borderId="87" xfId="0" quotePrefix="1" applyNumberFormat="1" applyFont="1" applyBorder="1" applyAlignment="1">
      <alignment horizontal="center" vertical="center" wrapText="1"/>
    </xf>
    <xf numFmtId="8" fontId="6" fillId="0" borderId="4" xfId="0" quotePrefix="1" applyNumberFormat="1" applyFont="1" applyBorder="1" applyAlignment="1">
      <alignment horizontal="center" vertical="center" wrapText="1"/>
    </xf>
    <xf numFmtId="0" fontId="6" fillId="0" borderId="4" xfId="0" applyFont="1" applyBorder="1" applyAlignment="1">
      <alignment horizontal="center" vertical="center"/>
    </xf>
    <xf numFmtId="0" fontId="7" fillId="0" borderId="87" xfId="0" applyFont="1" applyFill="1" applyBorder="1" applyAlignment="1">
      <alignment horizontal="left" vertical="center"/>
    </xf>
    <xf numFmtId="0" fontId="0" fillId="0" borderId="4" xfId="0" applyBorder="1" applyAlignment="1">
      <alignment horizontal="left" vertical="center"/>
    </xf>
    <xf numFmtId="170" fontId="6" fillId="0" borderId="87" xfId="0" quotePrefix="1" applyNumberFormat="1" applyFont="1" applyBorder="1" applyAlignment="1">
      <alignment horizontal="center" vertical="center" wrapText="1"/>
    </xf>
    <xf numFmtId="170" fontId="6" fillId="0" borderId="4" xfId="0" quotePrefix="1" applyNumberFormat="1" applyFont="1" applyBorder="1" applyAlignment="1">
      <alignment horizontal="center" vertical="center" wrapText="1"/>
    </xf>
    <xf numFmtId="0" fontId="6" fillId="0" borderId="4" xfId="0" applyFont="1" applyBorder="1" applyAlignment="1">
      <alignment horizontal="center" vertical="center" wrapText="1"/>
    </xf>
  </cellXfs>
  <cellStyles count="3">
    <cellStyle name="Hyperlink" xfId="2" builtinId="8"/>
    <cellStyle name="Normal" xfId="0" builtinId="0"/>
    <cellStyle name="Percent" xfId="1" builtinId="5"/>
  </cellStyles>
  <dxfs count="143">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dxf>
    <dxf>
      <font>
        <color theme="1" tint="0.499984740745262"/>
      </font>
    </dxf>
    <dxf>
      <fill>
        <patternFill>
          <bgColor auto="1"/>
        </patternFill>
      </fill>
    </dxf>
    <dxf>
      <font>
        <b/>
      </font>
    </dxf>
    <dxf>
      <font>
        <sz val="12"/>
      </font>
    </dxf>
    <dxf>
      <font>
        <sz val="12"/>
      </font>
    </dxf>
    <dxf>
      <font>
        <name val="Tw Cen MT Condensed"/>
        <scheme val="none"/>
      </font>
    </dxf>
    <dxf>
      <font>
        <color rgb="FFFFFF00"/>
      </font>
    </dxf>
    <dxf>
      <font>
        <i/>
      </font>
    </dxf>
    <dxf>
      <font>
        <i/>
      </font>
    </dxf>
    <dxf>
      <fill>
        <patternFill patternType="solid">
          <bgColor theme="0" tint="-4.9989318521683403E-2"/>
        </patternFill>
      </fill>
    </dxf>
    <dxf>
      <fill>
        <patternFill patternType="solid">
          <bgColor theme="0" tint="-4.9989318521683403E-2"/>
        </patternFill>
      </fill>
    </dxf>
    <dxf>
      <font>
        <sz val="11"/>
      </font>
    </dxf>
    <dxf>
      <font>
        <b/>
      </font>
    </dxf>
    <dxf>
      <font>
        <name val="Arial Narrow"/>
        <scheme val="none"/>
      </font>
    </dxf>
    <dxf>
      <font>
        <color theme="0"/>
      </font>
    </dxf>
    <dxf>
      <font>
        <color theme="0"/>
      </font>
    </dxf>
    <dxf>
      <font>
        <color theme="0"/>
      </font>
    </dxf>
    <dxf>
      <fill>
        <patternFill patternType="solid">
          <bgColor rgb="FF000099"/>
        </patternFill>
      </fill>
    </dxf>
    <dxf>
      <fill>
        <patternFill patternType="solid">
          <bgColor rgb="FF000099"/>
        </patternFill>
      </fill>
    </dxf>
    <dxf>
      <fill>
        <patternFill patternType="solid">
          <bgColor rgb="FF000099"/>
        </patternFill>
      </fill>
    </dxf>
    <dxf>
      <alignment horizontal="center" readingOrder="0"/>
    </dxf>
    <dxf>
      <numFmt numFmtId="2" formatCode="0.00"/>
    </dxf>
    <dxf>
      <border>
        <bottom style="thin">
          <color indexed="64"/>
        </bottom>
      </border>
    </dxf>
    <dxf>
      <border>
        <horizontal/>
      </border>
    </dxf>
    <dxf>
      <font>
        <name val="Tw Cen MT Condensed"/>
        <scheme val="none"/>
      </font>
    </dxf>
    <dxf>
      <font>
        <sz val="11"/>
      </font>
    </dxf>
    <dxf>
      <font>
        <sz val="11"/>
      </font>
    </dxf>
    <dxf>
      <font>
        <sz val="11"/>
      </font>
    </dxf>
    <dxf>
      <font>
        <b/>
      </font>
    </dxf>
    <dxf>
      <font>
        <b/>
      </font>
    </dxf>
    <dxf>
      <font>
        <b/>
      </font>
    </dxf>
    <dxf>
      <border>
        <bottom style="double">
          <color indexed="64"/>
        </bottom>
      </border>
    </dxf>
    <dxf>
      <border>
        <bottom style="double">
          <color indexed="64"/>
        </bottom>
      </border>
    </dxf>
    <dxf>
      <border>
        <bottom style="double">
          <color indexed="64"/>
        </bottom>
      </border>
    </dxf>
    <dxf>
      <font>
        <color theme="1"/>
      </font>
    </dxf>
    <dxf>
      <font>
        <color theme="1"/>
      </font>
    </dxf>
    <dxf>
      <font>
        <color theme="1"/>
      </font>
    </dxf>
    <dxf>
      <font>
        <color theme="1"/>
      </font>
    </dxf>
    <dxf>
      <font>
        <color theme="1"/>
      </font>
    </dxf>
    <dxf>
      <font>
        <color theme="1"/>
      </font>
    </dxf>
    <dxf>
      <font>
        <color theme="0"/>
      </font>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003300"/>
        </patternFill>
      </fill>
    </dxf>
    <dxf>
      <font>
        <sz val="11"/>
      </font>
    </dxf>
    <dxf>
      <font>
        <sz val="11"/>
      </font>
    </dxf>
    <dxf>
      <font>
        <sz val="11"/>
      </font>
    </dxf>
    <dxf>
      <font>
        <sz val="11"/>
      </font>
    </dxf>
    <dxf>
      <font>
        <sz val="11"/>
      </font>
    </dxf>
    <dxf>
      <font>
        <sz val="11"/>
      </font>
    </dxf>
    <dxf>
      <font>
        <sz val="11"/>
      </font>
    </dxf>
    <dxf>
      <font>
        <sz val="11"/>
      </font>
    </dxf>
    <dxf>
      <font>
        <sz val="11"/>
      </font>
    </dxf>
    <dxf>
      <font>
        <b/>
      </font>
    </dxf>
    <dxf>
      <font>
        <b/>
      </font>
    </dxf>
    <dxf>
      <font>
        <b/>
      </font>
    </dxf>
    <dxf>
      <font>
        <b/>
      </font>
    </dxf>
    <dxf>
      <font>
        <b/>
      </font>
    </dxf>
    <dxf>
      <font>
        <b/>
      </font>
    </dxf>
    <dxf>
      <font>
        <b/>
      </font>
    </dxf>
    <dxf>
      <font>
        <b/>
      </font>
    </dxf>
    <dxf>
      <font>
        <b/>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ill>
        <patternFill>
          <bgColor theme="5" tint="0.59996337778862885"/>
        </patternFill>
      </fill>
    </dxf>
    <dxf>
      <font>
        <color auto="1"/>
      </font>
      <fill>
        <patternFill>
          <bgColor rgb="FFFFEB9C"/>
        </patternFill>
      </fill>
    </dxf>
    <dxf>
      <fill>
        <patternFill>
          <bgColor rgb="FFAEF09E"/>
        </patternFill>
      </fill>
    </dxf>
    <dxf>
      <fill>
        <patternFill>
          <bgColor theme="5" tint="0.59996337778862885"/>
        </patternFill>
      </fill>
    </dxf>
    <dxf>
      <font>
        <color auto="1"/>
      </font>
      <fill>
        <patternFill>
          <bgColor rgb="FFFFEB9C"/>
        </patternFill>
      </fill>
    </dxf>
    <dxf>
      <fill>
        <patternFill>
          <bgColor rgb="FFAEF09E"/>
        </patternFill>
      </fill>
    </dxf>
    <dxf>
      <font>
        <color theme="4" tint="0.59996337778862885"/>
      </font>
    </dxf>
    <dxf>
      <font>
        <b/>
        <i val="0"/>
        <color theme="1"/>
      </font>
    </dxf>
    <dxf>
      <font>
        <color theme="3" tint="0.39994506668294322"/>
      </font>
    </dxf>
    <dxf>
      <font>
        <b/>
        <i val="0"/>
        <color theme="1"/>
      </font>
    </dxf>
    <dxf>
      <font>
        <color theme="4" tint="0.79998168889431442"/>
      </font>
    </dxf>
    <dxf>
      <font>
        <b/>
        <i val="0"/>
      </font>
    </dxf>
    <dxf>
      <font>
        <b val="0"/>
        <i/>
        <color theme="0" tint="-0.24994659260841701"/>
      </font>
      <fill>
        <patternFill>
          <bgColor theme="0"/>
        </patternFill>
      </fill>
    </dxf>
    <dxf>
      <font>
        <color theme="1" tint="0.499984740745262"/>
      </font>
      <fill>
        <patternFill>
          <bgColor theme="0" tint="-0.14996795556505021"/>
        </patternFill>
      </fill>
    </dxf>
    <dxf>
      <fill>
        <patternFill>
          <bgColor theme="9" tint="0.59996337778862885"/>
        </patternFill>
      </fill>
    </dxf>
    <dxf>
      <font>
        <b/>
        <i/>
        <color rgb="FF7E0000"/>
      </font>
      <fill>
        <patternFill>
          <bgColor theme="5" tint="0.39994506668294322"/>
        </patternFill>
      </fill>
    </dxf>
    <dxf>
      <fill>
        <patternFill>
          <bgColor theme="5" tint="0.59996337778862885"/>
        </patternFill>
      </fill>
    </dxf>
    <dxf>
      <font>
        <color auto="1"/>
      </font>
      <fill>
        <patternFill>
          <bgColor rgb="FFFFEB9C"/>
        </patternFill>
      </fill>
    </dxf>
    <dxf>
      <fill>
        <patternFill>
          <bgColor rgb="FFAEF09E"/>
        </patternFill>
      </fill>
    </dxf>
    <dxf>
      <fill>
        <patternFill>
          <bgColor theme="5" tint="0.59996337778862885"/>
        </patternFill>
      </fill>
    </dxf>
    <dxf>
      <font>
        <color auto="1"/>
      </font>
      <fill>
        <patternFill>
          <bgColor rgb="FFFFEB9C"/>
        </patternFill>
      </fill>
    </dxf>
    <dxf>
      <fill>
        <patternFill>
          <bgColor rgb="FFAEF09E"/>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B19BD1"/>
      <color rgb="FFEF8585"/>
      <color rgb="FFFAAE62"/>
      <color rgb="FF4DB3F9"/>
      <color rgb="FF7FA8F9"/>
      <color rgb="FFFFFF33"/>
      <color rgb="FFBE6402"/>
      <color rgb="FF5535A5"/>
      <color rgb="FF9FA301"/>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283E-2"/>
          <c:w val="0.6886777739739055"/>
          <c:h val="0.76842258991328583"/>
        </c:manualLayout>
      </c:layout>
      <c:barChart>
        <c:barDir val="col"/>
        <c:grouping val="stacked"/>
        <c:varyColors val="0"/>
        <c:ser>
          <c:idx val="0"/>
          <c:order val="0"/>
          <c:tx>
            <c:strRef>
              <c:f>DataIn!$C$19</c:f>
              <c:strCache>
                <c:ptCount val="1"/>
                <c:pt idx="0">
                  <c:v>Residential</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DataIn!$D$19:$N$19</c:f>
              <c:numCache>
                <c:formatCode>0.00</c:formatCode>
                <c:ptCount val="11"/>
                <c:pt idx="0">
                  <c:v>13.24</c:v>
                </c:pt>
                <c:pt idx="1">
                  <c:v>14.355</c:v>
                </c:pt>
                <c:pt idx="2">
                  <c:v>15.47</c:v>
                </c:pt>
                <c:pt idx="3">
                  <c:v>16.465</c:v>
                </c:pt>
                <c:pt idx="4">
                  <c:v>17.46</c:v>
                </c:pt>
                <c:pt idx="5">
                  <c:v>18.414999999999999</c:v>
                </c:pt>
                <c:pt idx="6">
                  <c:v>19.37</c:v>
                </c:pt>
                <c:pt idx="7">
                  <c:v>20.28</c:v>
                </c:pt>
                <c:pt idx="8">
                  <c:v>21.19</c:v>
                </c:pt>
                <c:pt idx="9">
                  <c:v>22.055</c:v>
                </c:pt>
                <c:pt idx="10">
                  <c:v>22.92</c:v>
                </c:pt>
              </c:numCache>
            </c:numRef>
          </c:val>
        </c:ser>
        <c:ser>
          <c:idx val="1"/>
          <c:order val="1"/>
          <c:tx>
            <c:strRef>
              <c:f>DataIn!$C$20</c:f>
              <c:strCache>
                <c:ptCount val="1"/>
                <c:pt idx="0">
                  <c:v>Commercial</c:v>
                </c:pt>
              </c:strCache>
            </c:strRef>
          </c:tx>
          <c:spPr>
            <a:ln>
              <a:noFill/>
            </a:ln>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DataIn!$D$20:$N$20</c:f>
              <c:numCache>
                <c:formatCode>0.00</c:formatCode>
                <c:ptCount val="11"/>
                <c:pt idx="0">
                  <c:v>6.62</c:v>
                </c:pt>
                <c:pt idx="1">
                  <c:v>6.9050000000000002</c:v>
                </c:pt>
                <c:pt idx="2">
                  <c:v>7.19</c:v>
                </c:pt>
                <c:pt idx="3">
                  <c:v>7.7949999999999999</c:v>
                </c:pt>
                <c:pt idx="4">
                  <c:v>8.4</c:v>
                </c:pt>
                <c:pt idx="5">
                  <c:v>8.9499999999999993</c:v>
                </c:pt>
                <c:pt idx="6">
                  <c:v>9.5</c:v>
                </c:pt>
                <c:pt idx="7">
                  <c:v>10.015000000000001</c:v>
                </c:pt>
                <c:pt idx="8">
                  <c:v>10.53</c:v>
                </c:pt>
                <c:pt idx="9">
                  <c:v>11.01</c:v>
                </c:pt>
                <c:pt idx="10">
                  <c:v>11.49</c:v>
                </c:pt>
              </c:numCache>
            </c:numRef>
          </c:val>
        </c:ser>
        <c:ser>
          <c:idx val="2"/>
          <c:order val="2"/>
          <c:tx>
            <c:strRef>
              <c:f>DataIn!$C$21</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DataIn!$D$21:$N$21</c:f>
              <c:numCache>
                <c:formatCode>0.00</c:formatCode>
                <c:ptCount val="11"/>
                <c:pt idx="0">
                  <c:v>1.31</c:v>
                </c:pt>
                <c:pt idx="1">
                  <c:v>1.2749999999999999</c:v>
                </c:pt>
                <c:pt idx="2">
                  <c:v>1.24</c:v>
                </c:pt>
                <c:pt idx="3">
                  <c:v>1.355</c:v>
                </c:pt>
                <c:pt idx="4">
                  <c:v>1.47</c:v>
                </c:pt>
                <c:pt idx="5">
                  <c:v>1.575</c:v>
                </c:pt>
                <c:pt idx="6">
                  <c:v>1.68</c:v>
                </c:pt>
                <c:pt idx="7">
                  <c:v>1.7849999999999999</c:v>
                </c:pt>
                <c:pt idx="8">
                  <c:v>1.89</c:v>
                </c:pt>
                <c:pt idx="9">
                  <c:v>1.98</c:v>
                </c:pt>
                <c:pt idx="10">
                  <c:v>2.0699999999999998</c:v>
                </c:pt>
              </c:numCache>
            </c:numRef>
          </c:val>
        </c:ser>
        <c:ser>
          <c:idx val="3"/>
          <c:order val="3"/>
          <c:tx>
            <c:strRef>
              <c:f>DataIn!$C$22</c:f>
              <c:strCache>
                <c:ptCount val="1"/>
                <c:pt idx="0">
                  <c:v>Institutional</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DataIn!$D$22:$N$22</c:f>
              <c:numCache>
                <c:formatCode>0.00</c:formatCode>
                <c:ptCount val="11"/>
                <c:pt idx="0">
                  <c:v>2.73</c:v>
                </c:pt>
                <c:pt idx="1">
                  <c:v>2.46</c:v>
                </c:pt>
                <c:pt idx="2">
                  <c:v>2.19</c:v>
                </c:pt>
                <c:pt idx="3">
                  <c:v>2.2999999999999998</c:v>
                </c:pt>
                <c:pt idx="4">
                  <c:v>2.41</c:v>
                </c:pt>
                <c:pt idx="5">
                  <c:v>2.52</c:v>
                </c:pt>
                <c:pt idx="6">
                  <c:v>2.63</c:v>
                </c:pt>
                <c:pt idx="7">
                  <c:v>2.7349999999999999</c:v>
                </c:pt>
                <c:pt idx="8">
                  <c:v>2.84</c:v>
                </c:pt>
                <c:pt idx="9">
                  <c:v>2.9449999999999998</c:v>
                </c:pt>
                <c:pt idx="10">
                  <c:v>3.05</c:v>
                </c:pt>
              </c:numCache>
            </c:numRef>
          </c:val>
        </c:ser>
        <c:ser>
          <c:idx val="4"/>
          <c:order val="4"/>
          <c:tx>
            <c:strRef>
              <c:f>DataIn!$C$23</c:f>
              <c:strCache>
                <c:ptCount val="1"/>
                <c:pt idx="0">
                  <c:v>Distribution System Process</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DataIn!$D$23:$N$23</c:f>
              <c:numCache>
                <c:formatCode>General</c:formatCode>
                <c:ptCount val="11"/>
                <c:pt idx="0" formatCode="0.00">
                  <c:v>0</c:v>
                </c:pt>
              </c:numCache>
            </c:numRef>
          </c:val>
        </c:ser>
        <c:ser>
          <c:idx val="5"/>
          <c:order val="5"/>
          <c:tx>
            <c:strRef>
              <c:f>DataIn!$C$24</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DataIn!$D$24:$N$24</c:f>
              <c:numCache>
                <c:formatCode>0.00</c:formatCode>
                <c:ptCount val="11"/>
                <c:pt idx="0">
                  <c:v>0.86</c:v>
                </c:pt>
                <c:pt idx="1">
                  <c:v>0.95</c:v>
                </c:pt>
                <c:pt idx="2">
                  <c:v>1.04</c:v>
                </c:pt>
                <c:pt idx="3">
                  <c:v>1.1000000000000001</c:v>
                </c:pt>
                <c:pt idx="4">
                  <c:v>1.1599999999999999</c:v>
                </c:pt>
                <c:pt idx="5">
                  <c:v>1.23</c:v>
                </c:pt>
                <c:pt idx="6">
                  <c:v>1.3</c:v>
                </c:pt>
                <c:pt idx="7">
                  <c:v>1.3599999999999999</c:v>
                </c:pt>
                <c:pt idx="8">
                  <c:v>1.42</c:v>
                </c:pt>
                <c:pt idx="9">
                  <c:v>1.4649999999999999</c:v>
                </c:pt>
                <c:pt idx="10">
                  <c:v>1.51</c:v>
                </c:pt>
              </c:numCache>
            </c:numRef>
          </c:val>
        </c:ser>
        <c:ser>
          <c:idx val="6"/>
          <c:order val="6"/>
          <c:tx>
            <c:strRef>
              <c:f>DataIn!$C$25</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DataIn!$D$25:$N$25</c:f>
              <c:numCache>
                <c:formatCode>0.00</c:formatCode>
                <c:ptCount val="11"/>
                <c:pt idx="0">
                  <c:v>0.51</c:v>
                </c:pt>
                <c:pt idx="1">
                  <c:v>2.02</c:v>
                </c:pt>
                <c:pt idx="2">
                  <c:v>3.53</c:v>
                </c:pt>
                <c:pt idx="3">
                  <c:v>3.3849999999999998</c:v>
                </c:pt>
                <c:pt idx="4">
                  <c:v>3.24</c:v>
                </c:pt>
                <c:pt idx="5">
                  <c:v>3.43</c:v>
                </c:pt>
                <c:pt idx="6">
                  <c:v>3.62</c:v>
                </c:pt>
                <c:pt idx="7">
                  <c:v>3.8</c:v>
                </c:pt>
                <c:pt idx="8">
                  <c:v>3.98</c:v>
                </c:pt>
                <c:pt idx="9">
                  <c:v>3.6550000000000002</c:v>
                </c:pt>
                <c:pt idx="10">
                  <c:v>3.33</c:v>
                </c:pt>
              </c:numCache>
            </c:numRef>
          </c:val>
        </c:ser>
        <c:dLbls>
          <c:showLegendKey val="0"/>
          <c:showVal val="0"/>
          <c:showCatName val="0"/>
          <c:showSerName val="0"/>
          <c:showPercent val="0"/>
          <c:showBubbleSize val="0"/>
        </c:dLbls>
        <c:gapWidth val="49"/>
        <c:overlap val="100"/>
        <c:axId val="145631872"/>
        <c:axId val="145637760"/>
      </c:barChart>
      <c:lineChart>
        <c:grouping val="standard"/>
        <c:varyColors val="0"/>
        <c:ser>
          <c:idx val="7"/>
          <c:order val="7"/>
          <c:tx>
            <c:strRef>
              <c:f>DataIn!$C$27</c:f>
              <c:strCache>
                <c:ptCount val="1"/>
                <c:pt idx="0">
                  <c:v>TOTAL</c:v>
                </c:pt>
              </c:strCache>
            </c:strRef>
          </c:tx>
          <c:spPr>
            <a:ln>
              <a:solidFill>
                <a:schemeClr val="accent1">
                  <a:alpha val="0"/>
                </a:schemeClr>
              </a:solidFill>
            </a:ln>
          </c:spPr>
          <c:marker>
            <c:symbol val="none"/>
          </c:marker>
          <c:dLbls>
            <c:dLbl>
              <c:idx val="7"/>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t"/>
              <c:showLegendKey val="0"/>
              <c:showVal val="1"/>
              <c:showCatName val="0"/>
              <c:showSerName val="0"/>
              <c:showPercent val="0"/>
              <c:showBubbleSize val="0"/>
            </c:dLbl>
            <c:dLbl>
              <c:idx val="10"/>
              <c:layout>
                <c:manualLayout>
                  <c:x val="-2.4505135324864629E-2"/>
                  <c:y val="-4.472472284248051E-2"/>
                </c:manualLayout>
              </c:layout>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effectLst/>
              <a:scene3d>
                <a:camera prst="orthographicFront"/>
                <a:lightRig rig="threePt" dir="t"/>
              </a:scene3d>
              <a:sp3d>
                <a:bevelT h="6350"/>
              </a:sp3d>
            </c:spPr>
            <c:txPr>
              <a:bodyPr/>
              <a:lstStyle/>
              <a:p>
                <a:pPr>
                  <a:defRPr sz="1100" b="1">
                    <a:latin typeface="Tw Cen MT Condensed" panose="020B0606020104020203"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DataIn!$D$27:$N$27</c:f>
              <c:numCache>
                <c:formatCode>0.00</c:formatCode>
                <c:ptCount val="11"/>
                <c:pt idx="0">
                  <c:v>25.3</c:v>
                </c:pt>
                <c:pt idx="1">
                  <c:v>28</c:v>
                </c:pt>
                <c:pt idx="2">
                  <c:v>30.7</c:v>
                </c:pt>
                <c:pt idx="3">
                  <c:v>32.4</c:v>
                </c:pt>
                <c:pt idx="4">
                  <c:v>34.1</c:v>
                </c:pt>
                <c:pt idx="5">
                  <c:v>36.1</c:v>
                </c:pt>
                <c:pt idx="6">
                  <c:v>38.1</c:v>
                </c:pt>
                <c:pt idx="7">
                  <c:v>40</c:v>
                </c:pt>
                <c:pt idx="8">
                  <c:v>41.9</c:v>
                </c:pt>
                <c:pt idx="9">
                  <c:v>43.1</c:v>
                </c:pt>
                <c:pt idx="10">
                  <c:v>44.4</c:v>
                </c:pt>
              </c:numCache>
            </c:numRef>
          </c:val>
          <c:smooth val="0"/>
        </c:ser>
        <c:dLbls>
          <c:showLegendKey val="0"/>
          <c:showVal val="0"/>
          <c:showCatName val="0"/>
          <c:showSerName val="0"/>
          <c:showPercent val="0"/>
          <c:showBubbleSize val="0"/>
        </c:dLbls>
        <c:marker val="1"/>
        <c:smooth val="0"/>
        <c:axId val="145639680"/>
        <c:axId val="145649664"/>
      </c:lineChart>
      <c:catAx>
        <c:axId val="145631872"/>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145637760"/>
        <c:crosses val="autoZero"/>
        <c:auto val="1"/>
        <c:lblAlgn val="ctr"/>
        <c:lblOffset val="100"/>
        <c:noMultiLvlLbl val="0"/>
      </c:catAx>
      <c:valAx>
        <c:axId val="145637760"/>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681"/>
            </c:manualLayout>
          </c:layout>
          <c:overlay val="0"/>
        </c:title>
        <c:numFmt formatCode="#,##0.0" sourceLinked="0"/>
        <c:majorTickMark val="out"/>
        <c:minorTickMark val="none"/>
        <c:tickLblPos val="nextTo"/>
        <c:txPr>
          <a:bodyPr/>
          <a:lstStyle/>
          <a:p>
            <a:pPr>
              <a:defRPr sz="1100" b="1">
                <a:latin typeface="Tw Cen MT Condensed" panose="020B0606020104020203" pitchFamily="34" charset="0"/>
              </a:defRPr>
            </a:pPr>
            <a:endParaRPr lang="en-US"/>
          </a:p>
        </c:txPr>
        <c:crossAx val="145631872"/>
        <c:crosses val="autoZero"/>
        <c:crossBetween val="between"/>
      </c:valAx>
      <c:catAx>
        <c:axId val="145639680"/>
        <c:scaling>
          <c:orientation val="minMax"/>
        </c:scaling>
        <c:delete val="1"/>
        <c:axPos val="b"/>
        <c:majorTickMark val="out"/>
        <c:minorTickMark val="none"/>
        <c:tickLblPos val="none"/>
        <c:crossAx val="145649664"/>
        <c:crosses val="autoZero"/>
        <c:auto val="1"/>
        <c:lblAlgn val="ctr"/>
        <c:lblOffset val="100"/>
        <c:noMultiLvlLbl val="0"/>
      </c:catAx>
      <c:valAx>
        <c:axId val="145649664"/>
        <c:scaling>
          <c:orientation val="minMax"/>
        </c:scaling>
        <c:delete val="1"/>
        <c:axPos val="r"/>
        <c:numFmt formatCode="0.00" sourceLinked="1"/>
        <c:majorTickMark val="out"/>
        <c:minorTickMark val="none"/>
        <c:tickLblPos val="none"/>
        <c:crossAx val="145639680"/>
        <c:crosses val="max"/>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7"/>
        <c:delete val="1"/>
      </c:legendEntry>
      <c:layout>
        <c:manualLayout>
          <c:xMode val="edge"/>
          <c:yMode val="edge"/>
          <c:x val="0.77888371908056953"/>
          <c:y val="0.174376896581621"/>
          <c:w val="0.20863209580686476"/>
          <c:h val="0.6838904900106233"/>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283E-2"/>
          <c:w val="0.6886777739739055"/>
          <c:h val="0.76842258991328583"/>
        </c:manualLayout>
      </c:layout>
      <c:barChart>
        <c:barDir val="col"/>
        <c:grouping val="percentStacked"/>
        <c:varyColors val="0"/>
        <c:ser>
          <c:idx val="0"/>
          <c:order val="0"/>
          <c:tx>
            <c:strRef>
              <c:f>DataIn!$C$19</c:f>
              <c:strCache>
                <c:ptCount val="1"/>
                <c:pt idx="0">
                  <c:v>Residential</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DataIn!$D$19:$N$19</c:f>
              <c:numCache>
                <c:formatCode>0.00</c:formatCode>
                <c:ptCount val="11"/>
                <c:pt idx="0">
                  <c:v>13.24</c:v>
                </c:pt>
                <c:pt idx="1">
                  <c:v>14.355</c:v>
                </c:pt>
                <c:pt idx="2">
                  <c:v>15.47</c:v>
                </c:pt>
                <c:pt idx="3">
                  <c:v>16.465</c:v>
                </c:pt>
                <c:pt idx="4">
                  <c:v>17.46</c:v>
                </c:pt>
                <c:pt idx="5">
                  <c:v>18.414999999999999</c:v>
                </c:pt>
                <c:pt idx="6">
                  <c:v>19.37</c:v>
                </c:pt>
                <c:pt idx="7">
                  <c:v>20.28</c:v>
                </c:pt>
                <c:pt idx="8">
                  <c:v>21.19</c:v>
                </c:pt>
                <c:pt idx="9">
                  <c:v>22.055</c:v>
                </c:pt>
                <c:pt idx="10">
                  <c:v>22.92</c:v>
                </c:pt>
              </c:numCache>
            </c:numRef>
          </c:val>
        </c:ser>
        <c:ser>
          <c:idx val="1"/>
          <c:order val="1"/>
          <c:tx>
            <c:strRef>
              <c:f>DataIn!$C$20</c:f>
              <c:strCache>
                <c:ptCount val="1"/>
                <c:pt idx="0">
                  <c:v>Commercial</c:v>
                </c:pt>
              </c:strCache>
            </c:strRef>
          </c:tx>
          <c:spPr>
            <a:ln>
              <a:noFill/>
            </a:ln>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DataIn!$D$20:$N$20</c:f>
              <c:numCache>
                <c:formatCode>0.00</c:formatCode>
                <c:ptCount val="11"/>
                <c:pt idx="0">
                  <c:v>6.62</c:v>
                </c:pt>
                <c:pt idx="1">
                  <c:v>6.9050000000000002</c:v>
                </c:pt>
                <c:pt idx="2">
                  <c:v>7.19</c:v>
                </c:pt>
                <c:pt idx="3">
                  <c:v>7.7949999999999999</c:v>
                </c:pt>
                <c:pt idx="4">
                  <c:v>8.4</c:v>
                </c:pt>
                <c:pt idx="5">
                  <c:v>8.9499999999999993</c:v>
                </c:pt>
                <c:pt idx="6">
                  <c:v>9.5</c:v>
                </c:pt>
                <c:pt idx="7">
                  <c:v>10.015000000000001</c:v>
                </c:pt>
                <c:pt idx="8">
                  <c:v>10.53</c:v>
                </c:pt>
                <c:pt idx="9">
                  <c:v>11.01</c:v>
                </c:pt>
                <c:pt idx="10">
                  <c:v>11.49</c:v>
                </c:pt>
              </c:numCache>
            </c:numRef>
          </c:val>
        </c:ser>
        <c:ser>
          <c:idx val="2"/>
          <c:order val="2"/>
          <c:tx>
            <c:strRef>
              <c:f>DataIn!$C$21</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DataIn!$D$21:$N$21</c:f>
              <c:numCache>
                <c:formatCode>0.00</c:formatCode>
                <c:ptCount val="11"/>
                <c:pt idx="0">
                  <c:v>1.31</c:v>
                </c:pt>
                <c:pt idx="1">
                  <c:v>1.2749999999999999</c:v>
                </c:pt>
                <c:pt idx="2">
                  <c:v>1.24</c:v>
                </c:pt>
                <c:pt idx="3">
                  <c:v>1.355</c:v>
                </c:pt>
                <c:pt idx="4">
                  <c:v>1.47</c:v>
                </c:pt>
                <c:pt idx="5">
                  <c:v>1.575</c:v>
                </c:pt>
                <c:pt idx="6">
                  <c:v>1.68</c:v>
                </c:pt>
                <c:pt idx="7">
                  <c:v>1.7849999999999999</c:v>
                </c:pt>
                <c:pt idx="8">
                  <c:v>1.89</c:v>
                </c:pt>
                <c:pt idx="9">
                  <c:v>1.98</c:v>
                </c:pt>
                <c:pt idx="10">
                  <c:v>2.0699999999999998</c:v>
                </c:pt>
              </c:numCache>
            </c:numRef>
          </c:val>
        </c:ser>
        <c:ser>
          <c:idx val="3"/>
          <c:order val="3"/>
          <c:tx>
            <c:strRef>
              <c:f>DataIn!$C$22</c:f>
              <c:strCache>
                <c:ptCount val="1"/>
                <c:pt idx="0">
                  <c:v>Institutional</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DataIn!$D$22:$N$22</c:f>
              <c:numCache>
                <c:formatCode>0.00</c:formatCode>
                <c:ptCount val="11"/>
                <c:pt idx="0">
                  <c:v>2.73</c:v>
                </c:pt>
                <c:pt idx="1">
                  <c:v>2.46</c:v>
                </c:pt>
                <c:pt idx="2">
                  <c:v>2.19</c:v>
                </c:pt>
                <c:pt idx="3">
                  <c:v>2.2999999999999998</c:v>
                </c:pt>
                <c:pt idx="4">
                  <c:v>2.41</c:v>
                </c:pt>
                <c:pt idx="5">
                  <c:v>2.52</c:v>
                </c:pt>
                <c:pt idx="6">
                  <c:v>2.63</c:v>
                </c:pt>
                <c:pt idx="7">
                  <c:v>2.7349999999999999</c:v>
                </c:pt>
                <c:pt idx="8">
                  <c:v>2.84</c:v>
                </c:pt>
                <c:pt idx="9">
                  <c:v>2.9449999999999998</c:v>
                </c:pt>
                <c:pt idx="10">
                  <c:v>3.05</c:v>
                </c:pt>
              </c:numCache>
            </c:numRef>
          </c:val>
        </c:ser>
        <c:ser>
          <c:idx val="4"/>
          <c:order val="4"/>
          <c:tx>
            <c:strRef>
              <c:f>DataIn!$C$23</c:f>
              <c:strCache>
                <c:ptCount val="1"/>
                <c:pt idx="0">
                  <c:v>Distribution System Process</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DataIn!$D$23:$N$23</c:f>
              <c:numCache>
                <c:formatCode>General</c:formatCode>
                <c:ptCount val="11"/>
                <c:pt idx="0" formatCode="0.00">
                  <c:v>0</c:v>
                </c:pt>
              </c:numCache>
            </c:numRef>
          </c:val>
        </c:ser>
        <c:ser>
          <c:idx val="5"/>
          <c:order val="5"/>
          <c:tx>
            <c:strRef>
              <c:f>DataIn!$C$24</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DataIn!$D$24:$N$24</c:f>
              <c:numCache>
                <c:formatCode>0.00</c:formatCode>
                <c:ptCount val="11"/>
                <c:pt idx="0">
                  <c:v>0.86</c:v>
                </c:pt>
                <c:pt idx="1">
                  <c:v>0.95</c:v>
                </c:pt>
                <c:pt idx="2">
                  <c:v>1.04</c:v>
                </c:pt>
                <c:pt idx="3">
                  <c:v>1.1000000000000001</c:v>
                </c:pt>
                <c:pt idx="4">
                  <c:v>1.1599999999999999</c:v>
                </c:pt>
                <c:pt idx="5">
                  <c:v>1.23</c:v>
                </c:pt>
                <c:pt idx="6">
                  <c:v>1.3</c:v>
                </c:pt>
                <c:pt idx="7">
                  <c:v>1.3599999999999999</c:v>
                </c:pt>
                <c:pt idx="8">
                  <c:v>1.42</c:v>
                </c:pt>
                <c:pt idx="9">
                  <c:v>1.4649999999999999</c:v>
                </c:pt>
                <c:pt idx="10">
                  <c:v>1.51</c:v>
                </c:pt>
              </c:numCache>
            </c:numRef>
          </c:val>
        </c:ser>
        <c:ser>
          <c:idx val="6"/>
          <c:order val="6"/>
          <c:tx>
            <c:strRef>
              <c:f>DataIn!$C$25</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DataIn!$D$25:$N$25</c:f>
              <c:numCache>
                <c:formatCode>0.00</c:formatCode>
                <c:ptCount val="11"/>
                <c:pt idx="0">
                  <c:v>0.51</c:v>
                </c:pt>
                <c:pt idx="1">
                  <c:v>2.02</c:v>
                </c:pt>
                <c:pt idx="2">
                  <c:v>3.53</c:v>
                </c:pt>
                <c:pt idx="3">
                  <c:v>3.3849999999999998</c:v>
                </c:pt>
                <c:pt idx="4">
                  <c:v>3.24</c:v>
                </c:pt>
                <c:pt idx="5">
                  <c:v>3.43</c:v>
                </c:pt>
                <c:pt idx="6">
                  <c:v>3.62</c:v>
                </c:pt>
                <c:pt idx="7">
                  <c:v>3.8</c:v>
                </c:pt>
                <c:pt idx="8">
                  <c:v>3.98</c:v>
                </c:pt>
                <c:pt idx="9">
                  <c:v>3.6550000000000002</c:v>
                </c:pt>
                <c:pt idx="10">
                  <c:v>3.33</c:v>
                </c:pt>
              </c:numCache>
            </c:numRef>
          </c:val>
        </c:ser>
        <c:dLbls>
          <c:showLegendKey val="0"/>
          <c:showVal val="0"/>
          <c:showCatName val="0"/>
          <c:showSerName val="0"/>
          <c:showPercent val="0"/>
          <c:showBubbleSize val="0"/>
        </c:dLbls>
        <c:gapWidth val="49"/>
        <c:overlap val="100"/>
        <c:axId val="146875904"/>
        <c:axId val="146877440"/>
      </c:barChart>
      <c:catAx>
        <c:axId val="146875904"/>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146877440"/>
        <c:crosses val="autoZero"/>
        <c:auto val="1"/>
        <c:lblAlgn val="ctr"/>
        <c:lblOffset val="100"/>
        <c:noMultiLvlLbl val="0"/>
      </c:catAx>
      <c:valAx>
        <c:axId val="146877440"/>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681"/>
            </c:manualLayout>
          </c:layout>
          <c:overlay val="0"/>
        </c:title>
        <c:numFmt formatCode="0%" sourceLinked="0"/>
        <c:majorTickMark val="out"/>
        <c:minorTickMark val="none"/>
        <c:tickLblPos val="nextTo"/>
        <c:txPr>
          <a:bodyPr/>
          <a:lstStyle/>
          <a:p>
            <a:pPr>
              <a:defRPr sz="1100" b="1">
                <a:latin typeface="Tw Cen MT Condensed" panose="020B0606020104020203" pitchFamily="34" charset="0"/>
              </a:defRPr>
            </a:pPr>
            <a:endParaRPr lang="en-US"/>
          </a:p>
        </c:txPr>
        <c:crossAx val="146875904"/>
        <c:crosses val="autoZero"/>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ayout>
        <c:manualLayout>
          <c:xMode val="edge"/>
          <c:yMode val="edge"/>
          <c:x val="0.77888371908056953"/>
          <c:y val="0.174376896581621"/>
          <c:w val="0.1994129357018779"/>
          <c:h val="0.68819526797747921"/>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5280874732107"/>
          <c:y val="5.1400554097404488E-2"/>
          <c:w val="0.74166395442411126"/>
          <c:h val="0.79891749094343212"/>
        </c:manualLayout>
      </c:layout>
      <c:barChart>
        <c:barDir val="col"/>
        <c:grouping val="clustered"/>
        <c:varyColors val="0"/>
        <c:ser>
          <c:idx val="1"/>
          <c:order val="1"/>
          <c:tx>
            <c:strRef>
              <c:f>ReportFigures!$I$98</c:f>
              <c:strCache>
                <c:ptCount val="1"/>
                <c:pt idx="0">
                  <c:v>Alt. 1</c:v>
                </c:pt>
              </c:strCache>
            </c:strRef>
          </c:tx>
          <c:spPr>
            <a:solidFill>
              <a:schemeClr val="tx2">
                <a:lumMod val="60000"/>
                <a:lumOff val="40000"/>
              </a:schemeClr>
            </a:solidFill>
          </c:spPr>
          <c:invertIfNegative val="0"/>
          <c:cat>
            <c:numRef>
              <c:f>ReportFigures!$J$96:$T$96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ReportFigures!$J$98:$T$98</c:f>
              <c:numCache>
                <c:formatCode>General</c:formatCode>
                <c:ptCount val="11"/>
                <c:pt idx="0">
                  <c:v>0</c:v>
                </c:pt>
                <c:pt idx="1">
                  <c:v>0</c:v>
                </c:pt>
                <c:pt idx="2">
                  <c:v>6.5</c:v>
                </c:pt>
                <c:pt idx="3">
                  <c:v>6.5</c:v>
                </c:pt>
                <c:pt idx="4">
                  <c:v>6.5</c:v>
                </c:pt>
                <c:pt idx="5">
                  <c:v>6.5</c:v>
                </c:pt>
                <c:pt idx="6">
                  <c:v>6.5</c:v>
                </c:pt>
                <c:pt idx="7">
                  <c:v>6.5</c:v>
                </c:pt>
                <c:pt idx="8">
                  <c:v>6.5</c:v>
                </c:pt>
                <c:pt idx="9">
                  <c:v>6.5</c:v>
                </c:pt>
                <c:pt idx="10">
                  <c:v>6.5</c:v>
                </c:pt>
              </c:numCache>
            </c:numRef>
          </c:val>
        </c:ser>
        <c:ser>
          <c:idx val="2"/>
          <c:order val="2"/>
          <c:tx>
            <c:strRef>
              <c:f>ReportFigures!$I$99</c:f>
              <c:strCache>
                <c:ptCount val="1"/>
                <c:pt idx="0">
                  <c:v>Alt. 2</c:v>
                </c:pt>
              </c:strCache>
            </c:strRef>
          </c:tx>
          <c:spPr>
            <a:solidFill>
              <a:srgbClr val="92D050"/>
            </a:solidFill>
          </c:spPr>
          <c:invertIfNegative val="0"/>
          <c:cat>
            <c:numRef>
              <c:f>ReportFigures!$J$96:$T$96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ReportFigures!$J$99:$T$99</c:f>
              <c:numCache>
                <c:formatCode>General</c:formatCode>
                <c:ptCount val="11"/>
                <c:pt idx="0">
                  <c:v>0</c:v>
                </c:pt>
                <c:pt idx="1">
                  <c:v>0</c:v>
                </c:pt>
                <c:pt idx="2">
                  <c:v>7.4</c:v>
                </c:pt>
                <c:pt idx="3">
                  <c:v>7.4</c:v>
                </c:pt>
                <c:pt idx="4">
                  <c:v>7.4</c:v>
                </c:pt>
                <c:pt idx="5">
                  <c:v>7.4</c:v>
                </c:pt>
                <c:pt idx="6">
                  <c:v>7.4</c:v>
                </c:pt>
                <c:pt idx="7">
                  <c:v>7.4</c:v>
                </c:pt>
                <c:pt idx="8">
                  <c:v>7.4</c:v>
                </c:pt>
                <c:pt idx="9">
                  <c:v>7.4</c:v>
                </c:pt>
                <c:pt idx="10">
                  <c:v>7.4</c:v>
                </c:pt>
              </c:numCache>
            </c:numRef>
          </c:val>
        </c:ser>
        <c:ser>
          <c:idx val="3"/>
          <c:order val="3"/>
          <c:tx>
            <c:strRef>
              <c:f>ReportFigures!$I$100</c:f>
              <c:strCache>
                <c:ptCount val="1"/>
                <c:pt idx="0">
                  <c:v>Alt. 3</c:v>
                </c:pt>
              </c:strCache>
            </c:strRef>
          </c:tx>
          <c:invertIfNegative val="0"/>
          <c:cat>
            <c:numRef>
              <c:f>ReportFigures!$J$96:$T$96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ReportFigures!$J$100:$T$100</c:f>
              <c:numCache>
                <c:formatCode>General</c:formatCode>
                <c:ptCount val="11"/>
                <c:pt idx="0">
                  <c:v>0</c:v>
                </c:pt>
                <c:pt idx="1">
                  <c:v>0</c:v>
                </c:pt>
                <c:pt idx="2">
                  <c:v>0</c:v>
                </c:pt>
                <c:pt idx="3">
                  <c:v>0</c:v>
                </c:pt>
                <c:pt idx="4">
                  <c:v>12</c:v>
                </c:pt>
                <c:pt idx="5">
                  <c:v>12</c:v>
                </c:pt>
                <c:pt idx="6">
                  <c:v>12</c:v>
                </c:pt>
                <c:pt idx="7">
                  <c:v>12</c:v>
                </c:pt>
                <c:pt idx="8">
                  <c:v>12</c:v>
                </c:pt>
                <c:pt idx="9">
                  <c:v>12</c:v>
                </c:pt>
                <c:pt idx="10">
                  <c:v>12</c:v>
                </c:pt>
              </c:numCache>
            </c:numRef>
          </c:val>
        </c:ser>
        <c:ser>
          <c:idx val="4"/>
          <c:order val="4"/>
          <c:tx>
            <c:strRef>
              <c:f>ReportFigures!$I$101</c:f>
              <c:strCache>
                <c:ptCount val="1"/>
                <c:pt idx="0">
                  <c:v>Alt. 4</c:v>
                </c:pt>
              </c:strCache>
            </c:strRef>
          </c:tx>
          <c:invertIfNegative val="0"/>
          <c:cat>
            <c:numRef>
              <c:f>ReportFigures!$J$96:$T$96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ReportFigures!$J$101:$T$101</c:f>
              <c:numCache>
                <c:formatCode>General</c:formatCode>
                <c:ptCount val="11"/>
                <c:pt idx="0">
                  <c:v>0</c:v>
                </c:pt>
                <c:pt idx="1">
                  <c:v>0</c:v>
                </c:pt>
                <c:pt idx="2">
                  <c:v>0</c:v>
                </c:pt>
                <c:pt idx="3">
                  <c:v>0</c:v>
                </c:pt>
                <c:pt idx="4">
                  <c:v>26</c:v>
                </c:pt>
                <c:pt idx="5">
                  <c:v>26</c:v>
                </c:pt>
                <c:pt idx="6">
                  <c:v>26</c:v>
                </c:pt>
                <c:pt idx="7">
                  <c:v>26</c:v>
                </c:pt>
                <c:pt idx="8">
                  <c:v>26</c:v>
                </c:pt>
                <c:pt idx="9">
                  <c:v>26</c:v>
                </c:pt>
                <c:pt idx="10">
                  <c:v>26</c:v>
                </c:pt>
              </c:numCache>
            </c:numRef>
          </c:val>
        </c:ser>
        <c:ser>
          <c:idx val="5"/>
          <c:order val="5"/>
          <c:tx>
            <c:strRef>
              <c:f>ReportFigures!$I$102</c:f>
              <c:strCache>
                <c:ptCount val="1"/>
                <c:pt idx="0">
                  <c:v>Alt. 5</c:v>
                </c:pt>
              </c:strCache>
            </c:strRef>
          </c:tx>
          <c:invertIfNegative val="0"/>
          <c:cat>
            <c:numRef>
              <c:f>ReportFigures!$J$96:$T$96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ReportFigures!$J$102:$T$102</c:f>
              <c:numCache>
                <c:formatCode>General</c:formatCode>
                <c:ptCount val="11"/>
                <c:pt idx="0">
                  <c:v>0</c:v>
                </c:pt>
                <c:pt idx="1">
                  <c:v>0</c:v>
                </c:pt>
                <c:pt idx="2">
                  <c:v>0</c:v>
                </c:pt>
                <c:pt idx="3">
                  <c:v>0</c:v>
                </c:pt>
                <c:pt idx="4">
                  <c:v>11.3</c:v>
                </c:pt>
                <c:pt idx="5">
                  <c:v>11.3</c:v>
                </c:pt>
                <c:pt idx="6">
                  <c:v>11.3</c:v>
                </c:pt>
                <c:pt idx="7">
                  <c:v>11.3</c:v>
                </c:pt>
                <c:pt idx="8">
                  <c:v>11.3</c:v>
                </c:pt>
                <c:pt idx="9">
                  <c:v>11.3</c:v>
                </c:pt>
                <c:pt idx="10">
                  <c:v>11.3</c:v>
                </c:pt>
              </c:numCache>
            </c:numRef>
          </c:val>
        </c:ser>
        <c:dLbls>
          <c:showLegendKey val="0"/>
          <c:showVal val="0"/>
          <c:showCatName val="0"/>
          <c:showSerName val="0"/>
          <c:showPercent val="0"/>
          <c:showBubbleSize val="0"/>
        </c:dLbls>
        <c:gapWidth val="26"/>
        <c:axId val="146669952"/>
        <c:axId val="146671488"/>
      </c:barChart>
      <c:lineChart>
        <c:grouping val="standard"/>
        <c:varyColors val="0"/>
        <c:ser>
          <c:idx val="0"/>
          <c:order val="0"/>
          <c:tx>
            <c:strRef>
              <c:f>ReportFigures!$I$97</c:f>
              <c:strCache>
                <c:ptCount val="1"/>
                <c:pt idx="0">
                  <c:v>Need</c:v>
                </c:pt>
              </c:strCache>
            </c:strRef>
          </c:tx>
          <c:spPr>
            <a:ln>
              <a:solidFill>
                <a:srgbClr val="7E0000"/>
              </a:solidFill>
            </a:ln>
          </c:spPr>
          <c:marker>
            <c:symbol val="none"/>
          </c:marker>
          <c:cat>
            <c:numRef>
              <c:f>ReportFigures!$J$96:$T$96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ReportFigures!$J$97:$T$97</c:f>
              <c:numCache>
                <c:formatCode>0.0</c:formatCode>
                <c:ptCount val="11"/>
                <c:pt idx="0">
                  <c:v>0</c:v>
                </c:pt>
                <c:pt idx="1">
                  <c:v>0</c:v>
                </c:pt>
                <c:pt idx="2">
                  <c:v>0</c:v>
                </c:pt>
                <c:pt idx="3">
                  <c:v>0</c:v>
                </c:pt>
                <c:pt idx="4">
                  <c:v>0</c:v>
                </c:pt>
                <c:pt idx="5">
                  <c:v>0</c:v>
                </c:pt>
                <c:pt idx="6">
                  <c:v>0.19999999999999574</c:v>
                </c:pt>
                <c:pt idx="7">
                  <c:v>2.0749999999999957</c:v>
                </c:pt>
                <c:pt idx="8">
                  <c:v>3.9500000000000028</c:v>
                </c:pt>
                <c:pt idx="9">
                  <c:v>5.2100000000000009</c:v>
                </c:pt>
                <c:pt idx="10">
                  <c:v>6.4699999999999989</c:v>
                </c:pt>
              </c:numCache>
            </c:numRef>
          </c:val>
          <c:smooth val="0"/>
        </c:ser>
        <c:dLbls>
          <c:showLegendKey val="0"/>
          <c:showVal val="0"/>
          <c:showCatName val="0"/>
          <c:showSerName val="0"/>
          <c:showPercent val="0"/>
          <c:showBubbleSize val="0"/>
        </c:dLbls>
        <c:marker val="1"/>
        <c:smooth val="0"/>
        <c:axId val="146669952"/>
        <c:axId val="146671488"/>
      </c:lineChart>
      <c:catAx>
        <c:axId val="146669952"/>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46671488"/>
        <c:crosses val="autoZero"/>
        <c:auto val="1"/>
        <c:lblAlgn val="ctr"/>
        <c:lblOffset val="100"/>
        <c:noMultiLvlLbl val="0"/>
      </c:catAx>
      <c:valAx>
        <c:axId val="146671488"/>
        <c:scaling>
          <c:orientation val="minMax"/>
        </c:scaling>
        <c:delete val="0"/>
        <c:axPos val="l"/>
        <c:majorGridlines/>
        <c:title>
          <c:tx>
            <c:rich>
              <a:bodyPr rot="-5400000" vert="horz"/>
              <a:lstStyle/>
              <a:p>
                <a:pPr>
                  <a:defRPr/>
                </a:pPr>
                <a:r>
                  <a:rPr lang="en-US"/>
                  <a:t>Need/Supply</a:t>
                </a:r>
                <a:r>
                  <a:rPr lang="en-US" baseline="0"/>
                  <a:t> (MGD)</a:t>
                </a:r>
                <a:endParaRPr lang="en-US"/>
              </a:p>
            </c:rich>
          </c:tx>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46669952"/>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overlay val="0"/>
    </c:legend>
    <c:plotVisOnly val="1"/>
    <c:dispBlanksAs val="gap"/>
    <c:showDLblsOverMax val="0"/>
  </c:chart>
  <c:spPr>
    <a:ln w="44450">
      <a:solidFill>
        <a:schemeClr val="tx1"/>
      </a:solidFill>
    </a:ln>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60206019922981E-2"/>
          <c:y val="5.1400554097404488E-2"/>
          <c:w val="0.68595036593360414"/>
          <c:h val="0.79891749094343212"/>
        </c:manualLayout>
      </c:layout>
      <c:barChart>
        <c:barDir val="col"/>
        <c:grouping val="stacked"/>
        <c:varyColors val="0"/>
        <c:ser>
          <c:idx val="1"/>
          <c:order val="1"/>
          <c:tx>
            <c:strRef>
              <c:f>ReportFigures!$I$73</c:f>
              <c:strCache>
                <c:ptCount val="1"/>
                <c:pt idx="0">
                  <c:v>Existing Demand</c:v>
                </c:pt>
              </c:strCache>
            </c:strRef>
          </c:tx>
          <c:spPr>
            <a:solidFill>
              <a:schemeClr val="accent5">
                <a:lumMod val="75000"/>
              </a:schemeClr>
            </a:solidFill>
          </c:spPr>
          <c:invertIfNegative val="0"/>
          <c:cat>
            <c:numRef>
              <c:f>ReportFigures!$J$71:$T$71</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ReportFigures!$J$73:$T$73</c:f>
              <c:numCache>
                <c:formatCode>General</c:formatCode>
                <c:ptCount val="11"/>
                <c:pt idx="0">
                  <c:v>25.27</c:v>
                </c:pt>
                <c:pt idx="1">
                  <c:v>25.27</c:v>
                </c:pt>
                <c:pt idx="2">
                  <c:v>25.27</c:v>
                </c:pt>
                <c:pt idx="3">
                  <c:v>25.27</c:v>
                </c:pt>
                <c:pt idx="4">
                  <c:v>25.27</c:v>
                </c:pt>
                <c:pt idx="5">
                  <c:v>25.27</c:v>
                </c:pt>
                <c:pt idx="6">
                  <c:v>25.27</c:v>
                </c:pt>
                <c:pt idx="7">
                  <c:v>25.27</c:v>
                </c:pt>
                <c:pt idx="8">
                  <c:v>25.27</c:v>
                </c:pt>
                <c:pt idx="9">
                  <c:v>25.27</c:v>
                </c:pt>
                <c:pt idx="10">
                  <c:v>25.27</c:v>
                </c:pt>
              </c:numCache>
            </c:numRef>
          </c:val>
        </c:ser>
        <c:ser>
          <c:idx val="2"/>
          <c:order val="2"/>
          <c:tx>
            <c:strRef>
              <c:f>ReportFigures!$I$74</c:f>
              <c:strCache>
                <c:ptCount val="1"/>
                <c:pt idx="0">
                  <c:v>Currently Supportable Demand</c:v>
                </c:pt>
              </c:strCache>
            </c:strRef>
          </c:tx>
          <c:spPr>
            <a:solidFill>
              <a:schemeClr val="tx2">
                <a:lumMod val="40000"/>
                <a:lumOff val="60000"/>
              </a:schemeClr>
            </a:solidFill>
          </c:spPr>
          <c:invertIfNegative val="0"/>
          <c:cat>
            <c:numRef>
              <c:f>ReportFigures!$J$71:$T$71</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ReportFigures!$J$74:$T$74</c:f>
              <c:numCache>
                <c:formatCode>0.0</c:formatCode>
                <c:ptCount val="11"/>
                <c:pt idx="0">
                  <c:v>0</c:v>
                </c:pt>
                <c:pt idx="1">
                  <c:v>2.6950000000000003</c:v>
                </c:pt>
                <c:pt idx="2">
                  <c:v>5.3900000000000006</c:v>
                </c:pt>
                <c:pt idx="3">
                  <c:v>7.129999999999999</c:v>
                </c:pt>
                <c:pt idx="4">
                  <c:v>8.870000000000001</c:v>
                </c:pt>
                <c:pt idx="5">
                  <c:v>10.849999999999998</c:v>
                </c:pt>
                <c:pt idx="6">
                  <c:v>12.629999999999999</c:v>
                </c:pt>
                <c:pt idx="7">
                  <c:v>12.629999999999999</c:v>
                </c:pt>
                <c:pt idx="8">
                  <c:v>12.629999999999999</c:v>
                </c:pt>
                <c:pt idx="9">
                  <c:v>12.629999999999999</c:v>
                </c:pt>
                <c:pt idx="10">
                  <c:v>12.629999999999999</c:v>
                </c:pt>
              </c:numCache>
            </c:numRef>
          </c:val>
        </c:ser>
        <c:ser>
          <c:idx val="3"/>
          <c:order val="3"/>
          <c:tx>
            <c:strRef>
              <c:f>ReportFigures!$I$75</c:f>
              <c:strCache>
                <c:ptCount val="1"/>
                <c:pt idx="0">
                  <c:v>Projected Need</c:v>
                </c:pt>
              </c:strCache>
            </c:strRef>
          </c:tx>
          <c:spPr>
            <a:solidFill>
              <a:schemeClr val="accent2">
                <a:lumMod val="75000"/>
              </a:schemeClr>
            </a:solidFill>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15:layout/>
                </c:ext>
              </c:extLst>
            </c:dLbl>
            <c:dLbl>
              <c:idx val="5"/>
              <c:delete val="1"/>
              <c:extLst>
                <c:ext xmlns:c15="http://schemas.microsoft.com/office/drawing/2012/chart" uri="{CE6537A1-D6FC-4f65-9D91-7224C49458BB}">
                  <c15:layout/>
                </c:ext>
              </c:extLst>
            </c:dLbl>
            <c:dLbl>
              <c:idx val="6"/>
              <c:delete val="1"/>
              <c:extLst>
                <c:ext xmlns:c15="http://schemas.microsoft.com/office/drawing/2012/chart" uri="{CE6537A1-D6FC-4f65-9D91-7224C49458BB}">
                  <c15:layout/>
                </c:ext>
              </c:extLst>
            </c:dLbl>
            <c:spPr>
              <a:noFill/>
              <a:ln>
                <a:noFill/>
              </a:ln>
              <a:effectLst/>
            </c:spPr>
            <c:txPr>
              <a:bodyPr anchor="t" anchorCtr="0"/>
              <a:lstStyle/>
              <a:p>
                <a:pPr>
                  <a:defRPr b="1">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ReportFigures!$J$71:$T$71</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ReportFigures!$J$75:$T$75</c:f>
              <c:numCache>
                <c:formatCode>0.0</c:formatCode>
                <c:ptCount val="11"/>
                <c:pt idx="0">
                  <c:v>0</c:v>
                </c:pt>
                <c:pt idx="1">
                  <c:v>0</c:v>
                </c:pt>
                <c:pt idx="2">
                  <c:v>0</c:v>
                </c:pt>
                <c:pt idx="3">
                  <c:v>0</c:v>
                </c:pt>
                <c:pt idx="4">
                  <c:v>0</c:v>
                </c:pt>
                <c:pt idx="5">
                  <c:v>0</c:v>
                </c:pt>
                <c:pt idx="6">
                  <c:v>0.19999999999999574</c:v>
                </c:pt>
                <c:pt idx="7">
                  <c:v>2.0749999999999957</c:v>
                </c:pt>
                <c:pt idx="8">
                  <c:v>3.9500000000000028</c:v>
                </c:pt>
                <c:pt idx="9">
                  <c:v>5.2100000000000009</c:v>
                </c:pt>
                <c:pt idx="10">
                  <c:v>6.4699999999999989</c:v>
                </c:pt>
              </c:numCache>
            </c:numRef>
          </c:val>
        </c:ser>
        <c:dLbls>
          <c:showLegendKey val="0"/>
          <c:showVal val="0"/>
          <c:showCatName val="0"/>
          <c:showSerName val="0"/>
          <c:showPercent val="0"/>
          <c:showBubbleSize val="0"/>
        </c:dLbls>
        <c:gapWidth val="26"/>
        <c:overlap val="100"/>
        <c:axId val="146732544"/>
        <c:axId val="146734080"/>
      </c:barChart>
      <c:lineChart>
        <c:grouping val="standard"/>
        <c:varyColors val="0"/>
        <c:ser>
          <c:idx val="0"/>
          <c:order val="0"/>
          <c:tx>
            <c:strRef>
              <c:f>ReportFigures!$I$72</c:f>
              <c:strCache>
                <c:ptCount val="1"/>
                <c:pt idx="0">
                  <c:v>Current Supply</c:v>
                </c:pt>
              </c:strCache>
            </c:strRef>
          </c:tx>
          <c:spPr>
            <a:ln w="34925" cap="sq">
              <a:solidFill>
                <a:schemeClr val="tx2">
                  <a:lumMod val="75000"/>
                </a:schemeClr>
              </a:solidFill>
            </a:ln>
            <a:effectLst>
              <a:glow rad="38100">
                <a:schemeClr val="accent5">
                  <a:satMod val="175000"/>
                  <a:alpha val="40000"/>
                </a:schemeClr>
              </a:glow>
            </a:effectLst>
          </c:spPr>
          <c:marker>
            <c:symbol val="none"/>
          </c:marker>
          <c:cat>
            <c:numRef>
              <c:f>ReportFigures!$J$71:$T$71</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ReportFigures!$J$72:$T$72</c:f>
              <c:numCache>
                <c:formatCode>0.0</c:formatCode>
                <c:ptCount val="11"/>
                <c:pt idx="0">
                  <c:v>37.9</c:v>
                </c:pt>
                <c:pt idx="1">
                  <c:v>37.9</c:v>
                </c:pt>
                <c:pt idx="2">
                  <c:v>37.9</c:v>
                </c:pt>
                <c:pt idx="3">
                  <c:v>37.9</c:v>
                </c:pt>
                <c:pt idx="4">
                  <c:v>37.9</c:v>
                </c:pt>
                <c:pt idx="5">
                  <c:v>37.9</c:v>
                </c:pt>
                <c:pt idx="6">
                  <c:v>37.9</c:v>
                </c:pt>
                <c:pt idx="7">
                  <c:v>37.9</c:v>
                </c:pt>
                <c:pt idx="8">
                  <c:v>37.9</c:v>
                </c:pt>
                <c:pt idx="9">
                  <c:v>37.9</c:v>
                </c:pt>
                <c:pt idx="10">
                  <c:v>37.9</c:v>
                </c:pt>
              </c:numCache>
            </c:numRef>
          </c:val>
          <c:smooth val="0"/>
        </c:ser>
        <c:dLbls>
          <c:showLegendKey val="0"/>
          <c:showVal val="0"/>
          <c:showCatName val="0"/>
          <c:showSerName val="0"/>
          <c:showPercent val="0"/>
          <c:showBubbleSize val="0"/>
        </c:dLbls>
        <c:marker val="1"/>
        <c:smooth val="0"/>
        <c:axId val="146732544"/>
        <c:axId val="146734080"/>
      </c:lineChart>
      <c:catAx>
        <c:axId val="146732544"/>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46734080"/>
        <c:crosses val="autoZero"/>
        <c:auto val="1"/>
        <c:lblAlgn val="ctr"/>
        <c:lblOffset val="100"/>
        <c:noMultiLvlLbl val="0"/>
      </c:catAx>
      <c:valAx>
        <c:axId val="146734080"/>
        <c:scaling>
          <c:orientation val="minMax"/>
        </c:scaling>
        <c:delete val="0"/>
        <c:axPos val="l"/>
        <c:majorGridlines/>
        <c:title>
          <c:tx>
            <c:rich>
              <a:bodyPr rot="-5400000" vert="horz"/>
              <a:lstStyle/>
              <a:p>
                <a:pPr>
                  <a:defRPr/>
                </a:pPr>
                <a:r>
                  <a:rPr lang="en-US"/>
                  <a:t>Demand/Supply</a:t>
                </a:r>
                <a:r>
                  <a:rPr lang="en-US" baseline="0"/>
                  <a:t> (MGD)</a:t>
                </a:r>
                <a:endParaRPr lang="en-US"/>
              </a:p>
            </c:rich>
          </c:tx>
          <c:layout>
            <c:manualLayout>
              <c:xMode val="edge"/>
              <c:yMode val="edge"/>
              <c:x val="1.5953411962979971E-2"/>
              <c:y val="0.21075309337567594"/>
            </c:manualLayout>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46732544"/>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78244998799326559"/>
          <c:y val="8.5694006424562624E-2"/>
          <c:w val="0.2030160459181776"/>
          <c:h val="0.80073319040266933"/>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8864"/>
          <c:y val="2.8318647669041373E-2"/>
        </c:manualLayout>
      </c:layout>
      <c:overlay val="0"/>
      <c:spPr>
        <a:noFill/>
        <a:ln w="25400">
          <a:noFill/>
        </a:ln>
      </c:spPr>
    </c:title>
    <c:autoTitleDeleted val="0"/>
    <c:plotArea>
      <c:layout>
        <c:manualLayout>
          <c:layoutTarget val="inner"/>
          <c:xMode val="edge"/>
          <c:yMode val="edge"/>
          <c:x val="0.12380293824221915"/>
          <c:y val="0.12404862008099918"/>
          <c:w val="0.84307362145556219"/>
          <c:h val="0.68318643112765398"/>
        </c:manualLayout>
      </c:layout>
      <c:lineChart>
        <c:grouping val="standard"/>
        <c:varyColors val="0"/>
        <c:ser>
          <c:idx val="0"/>
          <c:order val="0"/>
          <c:tx>
            <c:strRef>
              <c:f>'Population&amp;Demand Projections'!$C$41</c:f>
              <c:strCache>
                <c:ptCount val="1"/>
              </c:strCache>
            </c:strRef>
          </c:tx>
          <c:spPr>
            <a:ln w="25400">
              <a:solidFill>
                <a:srgbClr val="00008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Projections'!$D$41:$N$41</c:f>
              <c:numCache>
                <c:formatCode>0.00</c:formatCode>
                <c:ptCount val="11"/>
                <c:pt idx="0">
                  <c:v>25.27</c:v>
                </c:pt>
                <c:pt idx="1">
                  <c:v>27.965</c:v>
                </c:pt>
                <c:pt idx="2">
                  <c:v>30.66</c:v>
                </c:pt>
                <c:pt idx="3">
                  <c:v>32.4</c:v>
                </c:pt>
                <c:pt idx="4">
                  <c:v>34.14</c:v>
                </c:pt>
                <c:pt idx="5">
                  <c:v>36.119999999999997</c:v>
                </c:pt>
                <c:pt idx="6">
                  <c:v>38.099999999999994</c:v>
                </c:pt>
                <c:pt idx="7">
                  <c:v>39.974999999999994</c:v>
                </c:pt>
                <c:pt idx="8">
                  <c:v>41.85</c:v>
                </c:pt>
                <c:pt idx="9">
                  <c:v>43.11</c:v>
                </c:pt>
                <c:pt idx="10">
                  <c:v>44.37</c:v>
                </c:pt>
              </c:numCache>
            </c:numRef>
          </c:val>
          <c:smooth val="0"/>
        </c:ser>
        <c:ser>
          <c:idx val="1"/>
          <c:order val="1"/>
          <c:tx>
            <c:strRef>
              <c:f>'Population&amp;Demand Projections'!$C$55</c:f>
              <c:strCache>
                <c:ptCount val="1"/>
              </c:strCache>
            </c:strRef>
          </c:tx>
          <c:spPr>
            <a:ln w="25400">
              <a:solidFill>
                <a:srgbClr val="99330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Projections'!$D$55:$N$55</c:f>
              <c:numCache>
                <c:formatCode>0.000</c:formatCode>
                <c:ptCount val="11"/>
                <c:pt idx="0">
                  <c:v>25.27</c:v>
                </c:pt>
                <c:pt idx="1">
                  <c:v>27.965</c:v>
                </c:pt>
                <c:pt idx="2">
                  <c:v>30.66</c:v>
                </c:pt>
                <c:pt idx="3">
                  <c:v>32.4</c:v>
                </c:pt>
                <c:pt idx="4">
                  <c:v>34.14</c:v>
                </c:pt>
                <c:pt idx="5">
                  <c:v>36.119999999999997</c:v>
                </c:pt>
                <c:pt idx="6">
                  <c:v>38.099999999999994</c:v>
                </c:pt>
                <c:pt idx="7">
                  <c:v>39.974999999999994</c:v>
                </c:pt>
                <c:pt idx="8">
                  <c:v>41.85</c:v>
                </c:pt>
                <c:pt idx="9">
                  <c:v>43.11</c:v>
                </c:pt>
                <c:pt idx="10">
                  <c:v>44.37</c:v>
                </c:pt>
              </c:numCache>
            </c:numRef>
          </c:val>
          <c:smooth val="0"/>
        </c:ser>
        <c:dLbls>
          <c:showLegendKey val="0"/>
          <c:showVal val="0"/>
          <c:showCatName val="0"/>
          <c:showSerName val="0"/>
          <c:showPercent val="0"/>
          <c:showBubbleSize val="0"/>
        </c:dLbls>
        <c:marker val="1"/>
        <c:smooth val="0"/>
        <c:axId val="147212544"/>
        <c:axId val="147214720"/>
      </c:lineChart>
      <c:catAx>
        <c:axId val="147212544"/>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3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147214720"/>
        <c:crosses val="autoZero"/>
        <c:auto val="1"/>
        <c:lblAlgn val="ctr"/>
        <c:lblOffset val="100"/>
        <c:tickLblSkip val="1"/>
        <c:tickMarkSkip val="1"/>
        <c:noMultiLvlLbl val="0"/>
      </c:catAx>
      <c:valAx>
        <c:axId val="147214720"/>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34E-2"/>
              <c:y val="0.3345138107736533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147212544"/>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jpeg"/><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28575</xdr:colOff>
      <xdr:row>35</xdr:row>
      <xdr:rowOff>133350</xdr:rowOff>
    </xdr:from>
    <xdr:to>
      <xdr:col>10</xdr:col>
      <xdr:colOff>241935</xdr:colOff>
      <xdr:row>55</xdr:row>
      <xdr:rowOff>85725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36</xdr:row>
      <xdr:rowOff>0</xdr:rowOff>
    </xdr:from>
    <xdr:to>
      <xdr:col>21</xdr:col>
      <xdr:colOff>213360</xdr:colOff>
      <xdr:row>55</xdr:row>
      <xdr:rowOff>114300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94</xdr:row>
      <xdr:rowOff>23811</xdr:rowOff>
    </xdr:from>
    <xdr:to>
      <xdr:col>7</xdr:col>
      <xdr:colOff>981075</xdr:colOff>
      <xdr:row>112</xdr:row>
      <xdr:rowOff>123824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70</xdr:row>
      <xdr:rowOff>57978</xdr:rowOff>
    </xdr:from>
    <xdr:to>
      <xdr:col>7</xdr:col>
      <xdr:colOff>952500</xdr:colOff>
      <xdr:row>86</xdr:row>
      <xdr:rowOff>140803</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571502</xdr:colOff>
      <xdr:row>4</xdr:row>
      <xdr:rowOff>149087</xdr:rowOff>
    </xdr:from>
    <xdr:to>
      <xdr:col>6</xdr:col>
      <xdr:colOff>99394</xdr:colOff>
      <xdr:row>30</xdr:row>
      <xdr:rowOff>115957</xdr:rowOff>
    </xdr:to>
    <xdr:pic>
      <xdr:nvPicPr>
        <xdr:cNvPr id="5" name="Picture 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1502" y="811696"/>
          <a:ext cx="3205370" cy="4273826"/>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0.78663</cdr:x>
      <cdr:y>0.09317</cdr:y>
    </cdr:from>
    <cdr:to>
      <cdr:x>0.96628</cdr:x>
      <cdr:y>0.14618</cdr:y>
    </cdr:to>
    <cdr:sp macro="" textlink="">
      <cdr:nvSpPr>
        <cdr:cNvPr id="2" name="TextBox 1"/>
        <cdr:cNvSpPr txBox="1"/>
      </cdr:nvSpPr>
      <cdr:spPr>
        <a:xfrm xmlns:a="http://schemas.openxmlformats.org/drawingml/2006/main">
          <a:off x="3956107" y="298167"/>
          <a:ext cx="903514" cy="16965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3.xml><?xml version="1.0" encoding="utf-8"?>
<c:userShapes xmlns:c="http://schemas.openxmlformats.org/drawingml/2006/chart">
  <cdr:relSizeAnchor xmlns:cdr="http://schemas.openxmlformats.org/drawingml/2006/chartDrawing">
    <cdr:from>
      <cdr:x>0.78663</cdr:x>
      <cdr:y>0.09317</cdr:y>
    </cdr:from>
    <cdr:to>
      <cdr:x>0.96628</cdr:x>
      <cdr:y>0.14618</cdr:y>
    </cdr:to>
    <cdr:sp macro="" textlink="">
      <cdr:nvSpPr>
        <cdr:cNvPr id="2" name="TextBox 1"/>
        <cdr:cNvSpPr txBox="1"/>
      </cdr:nvSpPr>
      <cdr:spPr>
        <a:xfrm xmlns:a="http://schemas.openxmlformats.org/drawingml/2006/main">
          <a:off x="3956107" y="298167"/>
          <a:ext cx="903514" cy="16965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19050</xdr:colOff>
      <xdr:row>58</xdr:row>
      <xdr:rowOff>38100</xdr:rowOff>
    </xdr:from>
    <xdr:to>
      <xdr:col>7</xdr:col>
      <xdr:colOff>809625</xdr:colOff>
      <xdr:row>74</xdr:row>
      <xdr:rowOff>38100</xdr:rowOff>
    </xdr:to>
    <xdr:graphicFrame macro="">
      <xdr:nvGraphicFramePr>
        <xdr:cNvPr id="11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sh1" refreshedDate="41574.86275925926" createdVersion="1" refreshedVersion="3" recordCount="7" upgradeOnRefresh="1">
  <cacheSource type="worksheet">
    <worksheetSource ref="B18:N25" sheet="DataIn"/>
  </cacheSource>
  <cacheFields count="13">
    <cacheField name="Sector" numFmtId="0">
      <sharedItems count="6">
        <s v="Residential"/>
        <s v="Commercial"/>
        <s v="Industrial"/>
        <s v="Institutional"/>
        <s v="System Process"/>
        <s v="Non-Revenue"/>
      </sharedItems>
    </cacheField>
    <cacheField name="Subsector" numFmtId="0">
      <sharedItems count="8">
        <s v="Residential"/>
        <s v="Commercial"/>
        <s v="Industrial"/>
        <s v="Institutional"/>
        <s v="System Process"/>
        <s v="WTP Process"/>
        <s v="Other Non-Revenue"/>
        <s v="Formula1" f="1"/>
      </sharedItems>
    </cacheField>
    <cacheField name="2010" numFmtId="0">
      <sharedItems containsSemiMixedTypes="0" containsString="0" containsNumber="1" containsInteger="1" minValue="1" maxValue="1"/>
    </cacheField>
    <cacheField name="2015" numFmtId="0">
      <sharedItems containsSemiMixedTypes="0" containsString="0" containsNumber="1" minValue="1" maxValue="1.5"/>
    </cacheField>
    <cacheField name="2020" numFmtId="0">
      <sharedItems containsSemiMixedTypes="0" containsString="0" containsNumber="1" minValue="1" maxValue="2"/>
    </cacheField>
    <cacheField name="2025" numFmtId="0">
      <sharedItems containsSemiMixedTypes="0" containsString="0" containsNumber="1" minValue="1" maxValue="2.5"/>
    </cacheField>
    <cacheField name="2030" numFmtId="0">
      <sharedItems containsSemiMixedTypes="0" containsString="0" containsNumber="1" minValue="1" maxValue="3"/>
    </cacheField>
    <cacheField name="2035" numFmtId="0">
      <sharedItems containsSemiMixedTypes="0" containsString="0" containsNumber="1" minValue="1" maxValue="3.5"/>
    </cacheField>
    <cacheField name="2040" numFmtId="0">
      <sharedItems containsSemiMixedTypes="0" containsString="0" containsNumber="1" containsInteger="1" minValue="1" maxValue="4"/>
    </cacheField>
    <cacheField name="2045" numFmtId="0">
      <sharedItems containsSemiMixedTypes="0" containsString="0" containsNumber="1" minValue="1" maxValue="4.5"/>
    </cacheField>
    <cacheField name="2050" numFmtId="0">
      <sharedItems containsSemiMixedTypes="0" containsString="0" containsNumber="1" containsInteger="1" minValue="1" maxValue="5"/>
    </cacheField>
    <cacheField name="2055" numFmtId="0">
      <sharedItems containsSemiMixedTypes="0" containsString="0" containsNumber="1" minValue="1" maxValue="5.5"/>
    </cacheField>
    <cacheField name="2060" numFmtId="0">
      <sharedItems containsSemiMixedTypes="0" containsString="0" containsNumber="1" containsInteger="1" minValue="1" maxValue="6"/>
    </cacheField>
  </cacheFields>
  <calculatedItems count="1">
    <calculatedItem>
      <pivotArea cacheIndex="1" outline="0" fieldPosition="0">
        <references count="1">
          <reference field="1" count="1">
            <x v="7"/>
          </reference>
        </references>
      </pivotArea>
    </calculatedItem>
  </calculatedItem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
  <r>
    <x v="0"/>
    <x v="0"/>
    <n v="1"/>
    <n v="1.5"/>
    <n v="2"/>
    <n v="2.5"/>
    <n v="3"/>
    <n v="3.5"/>
    <n v="4"/>
    <n v="4.5"/>
    <n v="5"/>
    <n v="5.5"/>
    <n v="6"/>
  </r>
  <r>
    <x v="1"/>
    <x v="1"/>
    <n v="1"/>
    <n v="1"/>
    <n v="1"/>
    <n v="1"/>
    <n v="1"/>
    <n v="1"/>
    <n v="1"/>
    <n v="1"/>
    <n v="1"/>
    <n v="1"/>
    <n v="1"/>
  </r>
  <r>
    <x v="2"/>
    <x v="2"/>
    <n v="1"/>
    <n v="1.25"/>
    <n v="1.5"/>
    <n v="1.5"/>
    <n v="1.5"/>
    <n v="1.75"/>
    <n v="2"/>
    <n v="2"/>
    <n v="2"/>
    <n v="2"/>
    <n v="2"/>
  </r>
  <r>
    <x v="3"/>
    <x v="3"/>
    <n v="1"/>
    <n v="1"/>
    <n v="1"/>
    <n v="1"/>
    <n v="1"/>
    <n v="1"/>
    <n v="1"/>
    <n v="1"/>
    <n v="1"/>
    <n v="1"/>
    <n v="1"/>
  </r>
  <r>
    <x v="4"/>
    <x v="4"/>
    <n v="1"/>
    <n v="1"/>
    <n v="1"/>
    <n v="1"/>
    <n v="1"/>
    <n v="1"/>
    <n v="1"/>
    <n v="1"/>
    <n v="1"/>
    <n v="1"/>
    <n v="1"/>
  </r>
  <r>
    <x v="4"/>
    <x v="5"/>
    <n v="1"/>
    <n v="1"/>
    <n v="1"/>
    <n v="1"/>
    <n v="1"/>
    <n v="1"/>
    <n v="1"/>
    <n v="1"/>
    <n v="1"/>
    <n v="1"/>
    <n v="1"/>
  </r>
  <r>
    <x v="5"/>
    <x v="6"/>
    <n v="1"/>
    <n v="1"/>
    <n v="1"/>
    <n v="1"/>
    <n v="1"/>
    <n v="1"/>
    <n v="1"/>
    <n v="1"/>
    <n v="1"/>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Data" grandTotalCaption="TOTAL" updatedVersion="4" showDrill="0" showMemberPropertyTips="0" useAutoFormatting="1" itemPrintTitles="1" createdVersion="1" indent="0" compact="0" compactData="0" gridDropZones="1">
  <location ref="B21:J30" firstHeaderRow="1" firstDataRow="2" firstDataCol="2"/>
  <pivotFields count="13">
    <pivotField axis="axisRow" compact="0" outline="0" subtotalTop="0" showAll="0" includeNewItemsInFilter="1" defaultSubtotal="0">
      <items count="6">
        <item x="0"/>
        <item x="1"/>
        <item x="2"/>
        <item x="3"/>
        <item x="5"/>
        <item x="4"/>
      </items>
    </pivotField>
    <pivotField axis="axisRow" compact="0" outline="0" subtotalTop="0" showAll="0" includeNewItemsInFilter="1">
      <items count="9">
        <item x="1"/>
        <item x="2"/>
        <item x="3"/>
        <item x="6"/>
        <item x="0"/>
        <item h="1" f="1" x="7"/>
        <item x="4"/>
        <item x="5"/>
        <item t="default"/>
      </items>
    </pivotField>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s>
  <rowFields count="2">
    <field x="0"/>
    <field x="1"/>
  </rowFields>
  <rowItems count="8">
    <i>
      <x/>
      <x v="4"/>
    </i>
    <i>
      <x v="1"/>
      <x/>
    </i>
    <i>
      <x v="2"/>
      <x v="1"/>
    </i>
    <i>
      <x v="3"/>
      <x v="2"/>
    </i>
    <i>
      <x v="4"/>
      <x v="3"/>
    </i>
    <i>
      <x v="5"/>
      <x v="6"/>
    </i>
    <i r="1">
      <x v="7"/>
    </i>
    <i t="grand">
      <x/>
    </i>
  </rowItems>
  <colFields count="1">
    <field x="-2"/>
  </colFields>
  <colItems count="7">
    <i>
      <x/>
    </i>
    <i i="1">
      <x v="1"/>
    </i>
    <i i="2">
      <x v="2"/>
    </i>
    <i i="3">
      <x v="3"/>
    </i>
    <i i="4">
      <x v="4"/>
    </i>
    <i i="5">
      <x v="5"/>
    </i>
    <i i="6">
      <x v="6"/>
    </i>
  </colItems>
  <dataFields count="7">
    <dataField name="2010 " fld="2" baseField="0" baseItem="0"/>
    <dataField name="2020 " fld="4" baseField="1" baseItem="0"/>
    <dataField name="2030 " fld="6" baseField="0" baseItem="0"/>
    <dataField name="2040 " fld="8" baseField="0" baseItem="0"/>
    <dataField name="2045 " fld="9" baseField="0" baseItem="0"/>
    <dataField name="2050 " fld="10" baseField="0" baseItem="0"/>
    <dataField name="2060 " fld="12" baseField="0" baseItem="0"/>
  </dataFields>
  <formats count="83">
    <format dxfId="102">
      <pivotArea type="origin" dataOnly="0" labelOnly="1" outline="0" fieldPosition="0"/>
    </format>
    <format dxfId="101">
      <pivotArea field="0" type="button" dataOnly="0" labelOnly="1" outline="0" axis="axisRow" fieldPosition="0"/>
    </format>
    <format dxfId="100">
      <pivotArea field="1" type="button" dataOnly="0" labelOnly="1" outline="0" axis="axisRow" fieldPosition="1"/>
    </format>
    <format dxfId="99">
      <pivotArea dataOnly="0" labelOnly="1" outline="0" fieldPosition="0">
        <references count="1">
          <reference field="0" count="0"/>
        </references>
      </pivotArea>
    </format>
    <format dxfId="98">
      <pivotArea dataOnly="0" labelOnly="1" grandRow="1" outline="0" fieldPosition="0"/>
    </format>
    <format dxfId="97">
      <pivotArea dataOnly="0" labelOnly="1" outline="0" fieldPosition="0">
        <references count="2">
          <reference field="0" count="1" selected="0">
            <x v="1"/>
          </reference>
          <reference field="1" count="1">
            <x v="0"/>
          </reference>
        </references>
      </pivotArea>
    </format>
    <format dxfId="96">
      <pivotArea dataOnly="0" labelOnly="1" outline="0" fieldPosition="0">
        <references count="2">
          <reference field="0" count="1" selected="0">
            <x v="2"/>
          </reference>
          <reference field="1" count="1">
            <x v="1"/>
          </reference>
        </references>
      </pivotArea>
    </format>
    <format dxfId="95">
      <pivotArea dataOnly="0" labelOnly="1" outline="0" fieldPosition="0">
        <references count="2">
          <reference field="0" count="1" selected="0">
            <x v="3"/>
          </reference>
          <reference field="1" count="1">
            <x v="2"/>
          </reference>
        </references>
      </pivotArea>
    </format>
    <format dxfId="94">
      <pivotArea dataOnly="0" labelOnly="1" outline="0" fieldPosition="0">
        <references count="2">
          <reference field="0" count="1" selected="0">
            <x v="4"/>
          </reference>
          <reference field="1" count="1">
            <x v="3"/>
          </reference>
        </references>
      </pivotArea>
    </format>
    <format dxfId="93">
      <pivotArea dataOnly="0" labelOnly="1" outline="0" fieldPosition="0">
        <references count="2">
          <reference field="0" count="1" selected="0">
            <x v="0"/>
          </reference>
          <reference field="1" count="1">
            <x v="4"/>
          </reference>
        </references>
      </pivotArea>
    </format>
    <format dxfId="92">
      <pivotArea dataOnly="0" labelOnly="1" outline="0" fieldPosition="0">
        <references count="2">
          <reference field="0" count="1" selected="0">
            <x v="5"/>
          </reference>
          <reference field="1" count="2">
            <x v="6"/>
            <x v="7"/>
          </reference>
        </references>
      </pivotArea>
    </format>
    <format dxfId="91">
      <pivotArea type="origin" dataOnly="0" labelOnly="1" outline="0" fieldPosition="0"/>
    </format>
    <format dxfId="90">
      <pivotArea dataOnly="0" labelOnly="1" outline="0" fieldPosition="0">
        <references count="1">
          <reference field="0" count="0"/>
        </references>
      </pivotArea>
    </format>
    <format dxfId="89">
      <pivotArea dataOnly="0" labelOnly="1" grandRow="1" outline="0" fieldPosition="0"/>
    </format>
    <format dxfId="88">
      <pivotArea dataOnly="0" labelOnly="1" outline="0" fieldPosition="0">
        <references count="2">
          <reference field="0" count="1" selected="0">
            <x v="1"/>
          </reference>
          <reference field="1" count="1">
            <x v="0"/>
          </reference>
        </references>
      </pivotArea>
    </format>
    <format dxfId="87">
      <pivotArea dataOnly="0" labelOnly="1" outline="0" fieldPosition="0">
        <references count="2">
          <reference field="0" count="1" selected="0">
            <x v="2"/>
          </reference>
          <reference field="1" count="1">
            <x v="1"/>
          </reference>
        </references>
      </pivotArea>
    </format>
    <format dxfId="86">
      <pivotArea dataOnly="0" labelOnly="1" outline="0" fieldPosition="0">
        <references count="2">
          <reference field="0" count="1" selected="0">
            <x v="3"/>
          </reference>
          <reference field="1" count="1">
            <x v="2"/>
          </reference>
        </references>
      </pivotArea>
    </format>
    <format dxfId="85">
      <pivotArea dataOnly="0" labelOnly="1" outline="0" fieldPosition="0">
        <references count="2">
          <reference field="0" count="1" selected="0">
            <x v="4"/>
          </reference>
          <reference field="1" count="1">
            <x v="3"/>
          </reference>
        </references>
      </pivotArea>
    </format>
    <format dxfId="84">
      <pivotArea dataOnly="0" labelOnly="1" outline="0" fieldPosition="0">
        <references count="2">
          <reference field="0" count="1" selected="0">
            <x v="0"/>
          </reference>
          <reference field="1" count="1">
            <x v="4"/>
          </reference>
        </references>
      </pivotArea>
    </format>
    <format dxfId="83">
      <pivotArea dataOnly="0" labelOnly="1" outline="0" fieldPosition="0">
        <references count="2">
          <reference field="0" count="1" selected="0">
            <x v="5"/>
          </reference>
          <reference field="1" count="2">
            <x v="6"/>
            <x v="7"/>
          </reference>
        </references>
      </pivotArea>
    </format>
    <format dxfId="82">
      <pivotArea type="origin" dataOnly="0" labelOnly="1" outline="0" fieldPosition="0"/>
    </format>
    <format dxfId="81">
      <pivotArea dataOnly="0" labelOnly="1" outline="0" fieldPosition="0">
        <references count="1">
          <reference field="0" count="0"/>
        </references>
      </pivotArea>
    </format>
    <format dxfId="80">
      <pivotArea dataOnly="0" labelOnly="1" grandRow="1" outline="0" fieldPosition="0"/>
    </format>
    <format dxfId="79">
      <pivotArea dataOnly="0" labelOnly="1" outline="0" fieldPosition="0">
        <references count="2">
          <reference field="0" count="1" selected="0">
            <x v="1"/>
          </reference>
          <reference field="1" count="1">
            <x v="0"/>
          </reference>
        </references>
      </pivotArea>
    </format>
    <format dxfId="78">
      <pivotArea dataOnly="0" labelOnly="1" outline="0" fieldPosition="0">
        <references count="2">
          <reference field="0" count="1" selected="0">
            <x v="2"/>
          </reference>
          <reference field="1" count="1">
            <x v="1"/>
          </reference>
        </references>
      </pivotArea>
    </format>
    <format dxfId="77">
      <pivotArea dataOnly="0" labelOnly="1" outline="0" fieldPosition="0">
        <references count="2">
          <reference field="0" count="1" selected="0">
            <x v="3"/>
          </reference>
          <reference field="1" count="1">
            <x v="2"/>
          </reference>
        </references>
      </pivotArea>
    </format>
    <format dxfId="76">
      <pivotArea dataOnly="0" labelOnly="1" outline="0" fieldPosition="0">
        <references count="2">
          <reference field="0" count="1" selected="0">
            <x v="4"/>
          </reference>
          <reference field="1" count="1">
            <x v="3"/>
          </reference>
        </references>
      </pivotArea>
    </format>
    <format dxfId="75">
      <pivotArea dataOnly="0" labelOnly="1" outline="0" fieldPosition="0">
        <references count="2">
          <reference field="0" count="1" selected="0">
            <x v="0"/>
          </reference>
          <reference field="1" count="1">
            <x v="4"/>
          </reference>
        </references>
      </pivotArea>
    </format>
    <format dxfId="74">
      <pivotArea dataOnly="0" labelOnly="1" outline="0" fieldPosition="0">
        <references count="2">
          <reference field="0" count="1" selected="0">
            <x v="5"/>
          </reference>
          <reference field="1" count="2">
            <x v="6"/>
            <x v="7"/>
          </reference>
        </references>
      </pivotArea>
    </format>
    <format dxfId="73">
      <pivotArea dataOnly="0" labelOnly="1" outline="0" fieldPosition="0">
        <references count="1">
          <reference field="0" count="0"/>
        </references>
      </pivotArea>
    </format>
    <format dxfId="72">
      <pivotArea dataOnly="0" labelOnly="1" outline="0" fieldPosition="0">
        <references count="2">
          <reference field="0" count="1" selected="0">
            <x v="1"/>
          </reference>
          <reference field="1" count="1">
            <x v="0"/>
          </reference>
        </references>
      </pivotArea>
    </format>
    <format dxfId="71">
      <pivotArea dataOnly="0" labelOnly="1" outline="0" fieldPosition="0">
        <references count="2">
          <reference field="0" count="1" selected="0">
            <x v="2"/>
          </reference>
          <reference field="1" count="1">
            <x v="1"/>
          </reference>
        </references>
      </pivotArea>
    </format>
    <format dxfId="70">
      <pivotArea dataOnly="0" labelOnly="1" outline="0" fieldPosition="0">
        <references count="2">
          <reference field="0" count="1" selected="0">
            <x v="3"/>
          </reference>
          <reference field="1" count="1">
            <x v="2"/>
          </reference>
        </references>
      </pivotArea>
    </format>
    <format dxfId="69">
      <pivotArea dataOnly="0" labelOnly="1" outline="0" fieldPosition="0">
        <references count="2">
          <reference field="0" count="1" selected="0">
            <x v="4"/>
          </reference>
          <reference field="1" count="1">
            <x v="3"/>
          </reference>
        </references>
      </pivotArea>
    </format>
    <format dxfId="68">
      <pivotArea dataOnly="0" labelOnly="1" outline="0" fieldPosition="0">
        <references count="2">
          <reference field="0" count="1" selected="0">
            <x v="0"/>
          </reference>
          <reference field="1" count="1">
            <x v="4"/>
          </reference>
        </references>
      </pivotArea>
    </format>
    <format dxfId="67">
      <pivotArea dataOnly="0" labelOnly="1" outline="0" fieldPosition="0">
        <references count="2">
          <reference field="0" count="1" selected="0">
            <x v="5"/>
          </reference>
          <reference field="1" count="2">
            <x v="6"/>
            <x v="7"/>
          </reference>
        </references>
      </pivotArea>
    </format>
    <format dxfId="66">
      <pivotArea dataOnly="0" labelOnly="1" outline="0" fieldPosition="0">
        <references count="1">
          <reference field="0" count="0"/>
        </references>
      </pivotArea>
    </format>
    <format dxfId="65">
      <pivotArea dataOnly="0" labelOnly="1" outline="0" fieldPosition="0">
        <references count="2">
          <reference field="0" count="1" selected="0">
            <x v="1"/>
          </reference>
          <reference field="1" count="1">
            <x v="0"/>
          </reference>
        </references>
      </pivotArea>
    </format>
    <format dxfId="64">
      <pivotArea dataOnly="0" labelOnly="1" outline="0" fieldPosition="0">
        <references count="2">
          <reference field="0" count="1" selected="0">
            <x v="2"/>
          </reference>
          <reference field="1" count="1">
            <x v="1"/>
          </reference>
        </references>
      </pivotArea>
    </format>
    <format dxfId="63">
      <pivotArea dataOnly="0" labelOnly="1" outline="0" fieldPosition="0">
        <references count="2">
          <reference field="0" count="1" selected="0">
            <x v="3"/>
          </reference>
          <reference field="1" count="1">
            <x v="2"/>
          </reference>
        </references>
      </pivotArea>
    </format>
    <format dxfId="62">
      <pivotArea dataOnly="0" labelOnly="1" outline="0" fieldPosition="0">
        <references count="2">
          <reference field="0" count="1" selected="0">
            <x v="4"/>
          </reference>
          <reference field="1" count="1">
            <x v="3"/>
          </reference>
        </references>
      </pivotArea>
    </format>
    <format dxfId="61">
      <pivotArea dataOnly="0" labelOnly="1" outline="0" fieldPosition="0">
        <references count="2">
          <reference field="0" count="1" selected="0">
            <x v="0"/>
          </reference>
          <reference field="1" count="1">
            <x v="4"/>
          </reference>
        </references>
      </pivotArea>
    </format>
    <format dxfId="60">
      <pivotArea dataOnly="0" labelOnly="1" outline="0" fieldPosition="0">
        <references count="2">
          <reference field="0" count="1" selected="0">
            <x v="5"/>
          </reference>
          <reference field="1" count="2">
            <x v="6"/>
            <x v="7"/>
          </reference>
        </references>
      </pivotArea>
    </format>
    <format dxfId="59">
      <pivotArea dataOnly="0" labelOnly="1" outline="0" fieldPosition="0">
        <references count="1">
          <reference field="0" count="0"/>
        </references>
      </pivotArea>
    </format>
    <format dxfId="58">
      <pivotArea dataOnly="0" labelOnly="1" outline="0" fieldPosition="0">
        <references count="2">
          <reference field="0" count="1" selected="0">
            <x v="1"/>
          </reference>
          <reference field="1" count="1">
            <x v="0"/>
          </reference>
        </references>
      </pivotArea>
    </format>
    <format dxfId="57">
      <pivotArea dataOnly="0" labelOnly="1" outline="0" fieldPosition="0">
        <references count="2">
          <reference field="0" count="1" selected="0">
            <x v="2"/>
          </reference>
          <reference field="1" count="1">
            <x v="1"/>
          </reference>
        </references>
      </pivotArea>
    </format>
    <format dxfId="56">
      <pivotArea dataOnly="0" labelOnly="1" outline="0" fieldPosition="0">
        <references count="2">
          <reference field="0" count="1" selected="0">
            <x v="3"/>
          </reference>
          <reference field="1" count="1">
            <x v="2"/>
          </reference>
        </references>
      </pivotArea>
    </format>
    <format dxfId="55">
      <pivotArea dataOnly="0" labelOnly="1" outline="0" fieldPosition="0">
        <references count="2">
          <reference field="0" count="1" selected="0">
            <x v="4"/>
          </reference>
          <reference field="1" count="1">
            <x v="3"/>
          </reference>
        </references>
      </pivotArea>
    </format>
    <format dxfId="54">
      <pivotArea dataOnly="0" labelOnly="1" outline="0" fieldPosition="0">
        <references count="2">
          <reference field="0" count="1" selected="0">
            <x v="0"/>
          </reference>
          <reference field="1" count="1">
            <x v="4"/>
          </reference>
        </references>
      </pivotArea>
    </format>
    <format dxfId="53">
      <pivotArea dataOnly="0" labelOnly="1" outline="0" fieldPosition="0">
        <references count="2">
          <reference field="0" count="1" selected="0">
            <x v="5"/>
          </reference>
          <reference field="1" count="2">
            <x v="6"/>
            <x v="7"/>
          </reference>
        </references>
      </pivotArea>
    </format>
    <format dxfId="52">
      <pivotArea outline="0" fieldPosition="0">
        <references count="2">
          <reference field="0" count="1" selected="0">
            <x v="5"/>
          </reference>
          <reference field="1" count="1" selected="0">
            <x v="7"/>
          </reference>
        </references>
      </pivotArea>
    </format>
    <format dxfId="51">
      <pivotArea dataOnly="0" labelOnly="1" outline="0" offset="IV256" fieldPosition="0">
        <references count="1">
          <reference field="0" count="1">
            <x v="5"/>
          </reference>
        </references>
      </pivotArea>
    </format>
    <format dxfId="50">
      <pivotArea dataOnly="0" labelOnly="1" outline="0" fieldPosition="0">
        <references count="2">
          <reference field="0" count="1" selected="0">
            <x v="5"/>
          </reference>
          <reference field="1" count="1">
            <x v="7"/>
          </reference>
        </references>
      </pivotArea>
    </format>
    <format dxfId="49">
      <pivotArea field="0" type="button" dataOnly="0" labelOnly="1" outline="0" axis="axisRow" fieldPosition="0"/>
    </format>
    <format dxfId="48">
      <pivotArea field="1" type="button" dataOnly="0" labelOnly="1" outline="0" axis="axisRow" fieldPosition="1"/>
    </format>
    <format dxfId="47">
      <pivotArea dataOnly="0" labelOnly="1" outline="0" fieldPosition="0">
        <references count="1">
          <reference field="4294967294" count="7">
            <x v="0"/>
            <x v="1"/>
            <x v="2"/>
            <x v="3"/>
            <x v="4"/>
            <x v="5"/>
            <x v="6"/>
          </reference>
        </references>
      </pivotArea>
    </format>
    <format dxfId="46">
      <pivotArea field="0" type="button" dataOnly="0" labelOnly="1" outline="0" axis="axisRow" fieldPosition="0"/>
    </format>
    <format dxfId="45">
      <pivotArea field="1" type="button" dataOnly="0" labelOnly="1" outline="0" axis="axisRow" fieldPosition="1"/>
    </format>
    <format dxfId="44">
      <pivotArea dataOnly="0" labelOnly="1" outline="0" fieldPosition="0">
        <references count="1">
          <reference field="4294967294" count="7">
            <x v="0"/>
            <x v="1"/>
            <x v="2"/>
            <x v="3"/>
            <x v="4"/>
            <x v="5"/>
            <x v="6"/>
          </reference>
        </references>
      </pivotArea>
    </format>
    <format dxfId="43">
      <pivotArea dataOnly="0" labelOnly="1" outline="0" fieldPosition="0">
        <references count="1">
          <reference field="4294967294" count="7">
            <x v="0"/>
            <x v="1"/>
            <x v="2"/>
            <x v="3"/>
            <x v="4"/>
            <x v="5"/>
            <x v="6"/>
          </reference>
        </references>
      </pivotArea>
    </format>
    <format dxfId="42">
      <pivotArea dataOnly="0" labelOnly="1" outline="0" fieldPosition="0">
        <references count="1">
          <reference field="0" count="1">
            <x v="5"/>
          </reference>
        </references>
      </pivotArea>
    </format>
    <format dxfId="41">
      <pivotArea dataOnly="0" labelOnly="1" outline="0" fieldPosition="0">
        <references count="2">
          <reference field="0" count="1" selected="0">
            <x v="5"/>
          </reference>
          <reference field="1" count="1">
            <x v="6"/>
          </reference>
        </references>
      </pivotArea>
    </format>
    <format dxfId="40">
      <pivotArea outline="0" fieldPosition="0"/>
    </format>
    <format dxfId="39">
      <pivotArea dataOnly="0" labelOnly="1" outline="0" fieldPosition="0">
        <references count="1">
          <reference field="4294967294" count="7">
            <x v="0"/>
            <x v="1"/>
            <x v="2"/>
            <x v="3"/>
            <x v="4"/>
            <x v="5"/>
            <x v="6"/>
          </reference>
        </references>
      </pivotArea>
    </format>
    <format dxfId="38">
      <pivotArea field="0" type="button" dataOnly="0" labelOnly="1" outline="0" axis="axisRow" fieldPosition="0"/>
    </format>
    <format dxfId="37">
      <pivotArea field="1" type="button" dataOnly="0" labelOnly="1" outline="0" axis="axisRow" fieldPosition="1"/>
    </format>
    <format dxfId="36">
      <pivotArea dataOnly="0" labelOnly="1" outline="0" fieldPosition="0">
        <references count="1">
          <reference field="4294967294" count="7">
            <x v="0"/>
            <x v="1"/>
            <x v="2"/>
            <x v="3"/>
            <x v="4"/>
            <x v="5"/>
            <x v="6"/>
          </reference>
        </references>
      </pivotArea>
    </format>
    <format dxfId="35">
      <pivotArea field="0" type="button" dataOnly="0" labelOnly="1" outline="0" axis="axisRow" fieldPosition="0"/>
    </format>
    <format dxfId="34">
      <pivotArea field="1" type="button" dataOnly="0" labelOnly="1" outline="0" axis="axisRow" fieldPosition="1"/>
    </format>
    <format dxfId="33">
      <pivotArea dataOnly="0" labelOnly="1" outline="0" fieldPosition="0">
        <references count="1">
          <reference field="4294967294" count="7">
            <x v="0"/>
            <x v="1"/>
            <x v="2"/>
            <x v="3"/>
            <x v="4"/>
            <x v="5"/>
            <x v="6"/>
          </reference>
        </references>
      </pivotArea>
    </format>
    <format dxfId="32">
      <pivotArea outline="0" fieldPosition="0"/>
    </format>
    <format dxfId="31">
      <pivotArea outline="0" fieldPosition="0"/>
    </format>
    <format dxfId="30">
      <pivotArea outline="0" fieldPosition="0"/>
    </format>
    <format dxfId="29">
      <pivotArea outline="0" fieldPosition="0">
        <references count="1">
          <reference field="4294967294" count="1" selected="0">
            <x v="4"/>
          </reference>
        </references>
      </pivotArea>
    </format>
    <format dxfId="28">
      <pivotArea outline="0" fieldPosition="0">
        <references count="1">
          <reference field="4294967294" count="1" selected="0">
            <x v="6"/>
          </reference>
        </references>
      </pivotArea>
    </format>
    <format dxfId="27">
      <pivotArea outline="0" fieldPosition="0">
        <references count="1">
          <reference field="4294967294" count="1" selected="0">
            <x v="4"/>
          </reference>
        </references>
      </pivotArea>
    </format>
    <format dxfId="26">
      <pivotArea dataOnly="0" labelOnly="1" outline="0" fieldPosition="0">
        <references count="1">
          <reference field="4294967294" count="1">
            <x v="4"/>
          </reference>
        </references>
      </pivotArea>
    </format>
    <format dxfId="25">
      <pivotArea dataOnly="0" labelOnly="1" outline="0" fieldPosition="0">
        <references count="1">
          <reference field="4294967294" count="1">
            <x v="4"/>
          </reference>
        </references>
      </pivotArea>
    </format>
    <format dxfId="24">
      <pivotArea field="-2" type="button" dataOnly="0" labelOnly="1" outline="0" axis="axisCol" fieldPosition="0"/>
    </format>
    <format dxfId="23">
      <pivotArea dataOnly="0" labelOnly="1" outline="0" fieldPosition="0">
        <references count="1">
          <reference field="4294967294" count="0"/>
        </references>
      </pivotArea>
    </format>
    <format dxfId="22">
      <pivotArea field="-2" type="button" dataOnly="0" labelOnly="1" outline="0" axis="axisCol" fieldPosition="0"/>
    </format>
    <format dxfId="21">
      <pivotArea field="-2" type="button" dataOnly="0" labelOnly="1" outline="0" axis="axisCol" fieldPosition="0"/>
    </format>
    <format dxfId="20">
      <pivotArea type="topRight" dataOnly="0" labelOnly="1" outline="0" fieldPosition="0"/>
    </format>
  </formats>
  <pivotTableStyleInfo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www.ncwater.org/water_supply_planning/local_water_supply_plan/docs/river_basin_map.pdf"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vicki.westbrook@durhamnc.gov"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B44"/>
  <sheetViews>
    <sheetView topLeftCell="A19" workbookViewId="0">
      <selection activeCell="D28" sqref="D28"/>
    </sheetView>
  </sheetViews>
  <sheetFormatPr defaultRowHeight="12.75" x14ac:dyDescent="0.2"/>
  <cols>
    <col min="1" max="1" width="35.42578125" customWidth="1"/>
    <col min="2" max="2" width="79.28515625" customWidth="1"/>
  </cols>
  <sheetData>
    <row r="1" spans="1:2" x14ac:dyDescent="0.2">
      <c r="A1" s="228" t="s">
        <v>436</v>
      </c>
      <c r="B1" s="228" t="s">
        <v>437</v>
      </c>
    </row>
    <row r="3" spans="1:2" x14ac:dyDescent="0.2">
      <c r="A3" s="228" t="s">
        <v>251</v>
      </c>
    </row>
    <row r="4" spans="1:2" x14ac:dyDescent="0.2">
      <c r="A4" s="370" t="s">
        <v>252</v>
      </c>
      <c r="B4" s="228" t="s">
        <v>423</v>
      </c>
    </row>
    <row r="5" spans="1:2" ht="38.25" x14ac:dyDescent="0.2">
      <c r="A5" s="322" t="s">
        <v>253</v>
      </c>
      <c r="B5" s="229" t="s">
        <v>254</v>
      </c>
    </row>
    <row r="6" spans="1:2" ht="25.5" x14ac:dyDescent="0.2">
      <c r="A6" s="321" t="s">
        <v>255</v>
      </c>
      <c r="B6" s="229" t="s">
        <v>256</v>
      </c>
    </row>
    <row r="7" spans="1:2" x14ac:dyDescent="0.2">
      <c r="A7" s="228"/>
      <c r="B7" s="229"/>
    </row>
    <row r="8" spans="1:2" x14ac:dyDescent="0.2">
      <c r="A8" s="154" t="s">
        <v>275</v>
      </c>
      <c r="B8" s="131"/>
    </row>
    <row r="9" spans="1:2" ht="38.25" x14ac:dyDescent="0.2">
      <c r="A9" s="323" t="s">
        <v>257</v>
      </c>
      <c r="B9" s="229" t="s">
        <v>258</v>
      </c>
    </row>
    <row r="10" spans="1:2" ht="25.5" x14ac:dyDescent="0.2">
      <c r="A10" s="324" t="s">
        <v>259</v>
      </c>
      <c r="B10" s="229" t="s">
        <v>260</v>
      </c>
    </row>
    <row r="11" spans="1:2" x14ac:dyDescent="0.2">
      <c r="A11" s="325" t="s">
        <v>261</v>
      </c>
      <c r="B11" s="229" t="s">
        <v>262</v>
      </c>
    </row>
    <row r="12" spans="1:2" x14ac:dyDescent="0.2">
      <c r="B12" s="131"/>
    </row>
    <row r="13" spans="1:2" x14ac:dyDescent="0.2">
      <c r="A13" s="154" t="s">
        <v>263</v>
      </c>
      <c r="B13" s="131"/>
    </row>
    <row r="14" spans="1:2" x14ac:dyDescent="0.2">
      <c r="A14" s="247" t="s">
        <v>393</v>
      </c>
      <c r="B14" s="229" t="s">
        <v>391</v>
      </c>
    </row>
    <row r="15" spans="1:2" x14ac:dyDescent="0.2">
      <c r="A15" s="240" t="s">
        <v>264</v>
      </c>
      <c r="B15" s="229" t="s">
        <v>392</v>
      </c>
    </row>
    <row r="16" spans="1:2" x14ac:dyDescent="0.2">
      <c r="B16" s="131"/>
    </row>
    <row r="17" spans="1:2" x14ac:dyDescent="0.2">
      <c r="A17" s="246" t="s">
        <v>265</v>
      </c>
      <c r="B17" s="229" t="s">
        <v>272</v>
      </c>
    </row>
    <row r="18" spans="1:2" x14ac:dyDescent="0.2">
      <c r="A18" s="242" t="s">
        <v>266</v>
      </c>
      <c r="B18" s="229" t="s">
        <v>274</v>
      </c>
    </row>
    <row r="19" spans="1:2" x14ac:dyDescent="0.2">
      <c r="A19" s="244" t="s">
        <v>267</v>
      </c>
      <c r="B19" s="229" t="s">
        <v>273</v>
      </c>
    </row>
    <row r="20" spans="1:2" x14ac:dyDescent="0.2">
      <c r="A20" s="245" t="s">
        <v>268</v>
      </c>
      <c r="B20" s="229" t="s">
        <v>273</v>
      </c>
    </row>
    <row r="21" spans="1:2" x14ac:dyDescent="0.2">
      <c r="A21" s="243" t="s">
        <v>269</v>
      </c>
      <c r="B21" s="229" t="s">
        <v>273</v>
      </c>
    </row>
    <row r="22" spans="1:2" x14ac:dyDescent="0.2">
      <c r="A22" s="241" t="s">
        <v>270</v>
      </c>
      <c r="B22" s="229" t="s">
        <v>273</v>
      </c>
    </row>
    <row r="23" spans="1:2" x14ac:dyDescent="0.2">
      <c r="B23" s="131"/>
    </row>
    <row r="24" spans="1:2" x14ac:dyDescent="0.2">
      <c r="B24" s="131"/>
    </row>
    <row r="25" spans="1:2" x14ac:dyDescent="0.2">
      <c r="A25" s="240" t="s">
        <v>271</v>
      </c>
      <c r="B25" s="229" t="s">
        <v>422</v>
      </c>
    </row>
    <row r="31" spans="1:2" x14ac:dyDescent="0.2">
      <c r="A31" s="359" t="s">
        <v>279</v>
      </c>
    </row>
    <row r="32" spans="1:2" ht="25.5" x14ac:dyDescent="0.2">
      <c r="A32" s="318" t="s">
        <v>424</v>
      </c>
      <c r="B32" s="360" t="s">
        <v>425</v>
      </c>
    </row>
    <row r="33" spans="1:2" ht="25.5" x14ac:dyDescent="0.2">
      <c r="A33" s="360" t="s">
        <v>395</v>
      </c>
      <c r="B33" s="360" t="s">
        <v>394</v>
      </c>
    </row>
    <row r="36" spans="1:2" x14ac:dyDescent="0.2">
      <c r="A36" s="359" t="s">
        <v>377</v>
      </c>
    </row>
    <row r="37" spans="1:2" x14ac:dyDescent="0.2">
      <c r="A37" s="318" t="s">
        <v>379</v>
      </c>
      <c r="B37" s="318" t="s">
        <v>378</v>
      </c>
    </row>
    <row r="38" spans="1:2" x14ac:dyDescent="0.2">
      <c r="A38" s="318" t="s">
        <v>380</v>
      </c>
      <c r="B38" s="318" t="s">
        <v>381</v>
      </c>
    </row>
    <row r="39" spans="1:2" ht="38.25" x14ac:dyDescent="0.2">
      <c r="A39" s="360" t="s">
        <v>382</v>
      </c>
      <c r="B39" s="360" t="s">
        <v>383</v>
      </c>
    </row>
    <row r="40" spans="1:2" ht="38.25" x14ac:dyDescent="0.2">
      <c r="A40" s="318" t="s">
        <v>385</v>
      </c>
      <c r="B40" s="360" t="s">
        <v>386</v>
      </c>
    </row>
    <row r="41" spans="1:2" ht="38.25" x14ac:dyDescent="0.2">
      <c r="A41" s="318" t="s">
        <v>384</v>
      </c>
      <c r="B41" s="360" t="s">
        <v>421</v>
      </c>
    </row>
    <row r="42" spans="1:2" ht="25.5" x14ac:dyDescent="0.2">
      <c r="A42" s="318" t="s">
        <v>387</v>
      </c>
      <c r="B42" s="360" t="s">
        <v>388</v>
      </c>
    </row>
    <row r="43" spans="1:2" x14ac:dyDescent="0.2">
      <c r="A43" s="318" t="s">
        <v>427</v>
      </c>
      <c r="B43" s="360" t="s">
        <v>389</v>
      </c>
    </row>
    <row r="44" spans="1:2" ht="25.5" x14ac:dyDescent="0.2">
      <c r="A44" s="318" t="s">
        <v>426</v>
      </c>
      <c r="B44" s="360" t="s">
        <v>390</v>
      </c>
    </row>
  </sheetData>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M28"/>
  <sheetViews>
    <sheetView workbookViewId="0">
      <selection activeCell="A28" sqref="A28"/>
    </sheetView>
  </sheetViews>
  <sheetFormatPr defaultRowHeight="12" x14ac:dyDescent="0.2"/>
  <cols>
    <col min="1" max="1" width="4.28515625" style="1" customWidth="1"/>
    <col min="2" max="2" width="47.140625" style="1" customWidth="1"/>
    <col min="3" max="13" width="10.7109375" style="1" customWidth="1"/>
    <col min="14" max="16384" width="9.140625" style="1"/>
  </cols>
  <sheetData>
    <row r="1" spans="2:13" ht="12.75" thickBot="1" x14ac:dyDescent="0.25">
      <c r="B1" s="25" t="str">
        <f>'Population&amp;Demand Projections'!C3</f>
        <v>Durham</v>
      </c>
      <c r="C1" s="1" t="s">
        <v>43</v>
      </c>
    </row>
    <row r="2" spans="2:13" x14ac:dyDescent="0.2">
      <c r="B2" s="348">
        <f>'Population&amp;Demand Projections'!$C$4</f>
        <v>41711</v>
      </c>
      <c r="C2" s="8" t="s">
        <v>44</v>
      </c>
    </row>
    <row r="3" spans="2:13" x14ac:dyDescent="0.2">
      <c r="B3" s="349" t="s">
        <v>92</v>
      </c>
      <c r="C3" s="344"/>
      <c r="D3" s="344"/>
      <c r="E3" s="344"/>
      <c r="F3" s="344"/>
      <c r="G3" s="344"/>
      <c r="H3" s="344"/>
      <c r="I3" s="344"/>
      <c r="J3" s="344"/>
      <c r="K3" s="344"/>
      <c r="L3" s="344"/>
      <c r="M3" s="345"/>
    </row>
    <row r="4" spans="2:13" ht="12.75" thickBot="1" x14ac:dyDescent="0.25">
      <c r="B4" s="350" t="s">
        <v>83</v>
      </c>
      <c r="C4" s="346"/>
      <c r="D4" s="346"/>
      <c r="E4" s="346"/>
      <c r="F4" s="346"/>
      <c r="G4" s="346"/>
      <c r="H4" s="346"/>
      <c r="I4" s="346" t="s">
        <v>53</v>
      </c>
      <c r="J4" s="346"/>
      <c r="K4" s="346"/>
      <c r="L4" s="346"/>
      <c r="M4" s="347"/>
    </row>
    <row r="5" spans="2:13" ht="13.5" customHeight="1" x14ac:dyDescent="0.2">
      <c r="B5" s="362" t="s">
        <v>494</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393">
        <f>'Population&amp;Demand Projections'!C118</f>
        <v>-12.629999999999999</v>
      </c>
      <c r="D7" s="393">
        <f>'Population&amp;Demand Projections'!D118</f>
        <v>-9.9349999999999987</v>
      </c>
      <c r="E7" s="393">
        <f>'Population&amp;Demand Projections'!E118</f>
        <v>-7.2399999999999984</v>
      </c>
      <c r="F7" s="393">
        <f>'Population&amp;Demand Projections'!F118</f>
        <v>-5.5</v>
      </c>
      <c r="G7" s="393">
        <f>'Population&amp;Demand Projections'!G118</f>
        <v>-3.759999999999998</v>
      </c>
      <c r="H7" s="393">
        <f>'Population&amp;Demand Projections'!H118</f>
        <v>-1.7800000000000011</v>
      </c>
      <c r="I7" s="393">
        <f>'Population&amp;Demand Projections'!I118</f>
        <v>0.19999999999999574</v>
      </c>
      <c r="J7" s="393">
        <f>'Population&amp;Demand Projections'!J118</f>
        <v>2.0749999999999957</v>
      </c>
      <c r="K7" s="393">
        <f>'Population&amp;Demand Projections'!K118</f>
        <v>3.9500000000000028</v>
      </c>
      <c r="L7" s="393">
        <f>'Population&amp;Demand Projections'!L118</f>
        <v>5.2100000000000009</v>
      </c>
      <c r="M7" s="393">
        <f>'Population&amp;Demand Projections'!M118</f>
        <v>6.4699999999999989</v>
      </c>
    </row>
    <row r="8" spans="2:13" x14ac:dyDescent="0.2">
      <c r="B8" s="20" t="str">
        <f>"(2)        Available supply from "&amp;IF(ISNA(VLOOKUP(1,$A$23:$I$28,2,FALSE))," project 1",VLOOKUP(1,$A$23:$I$28,2,FALSE))</f>
        <v>(2)        Available supply from Teer Quarry</v>
      </c>
      <c r="C8" s="394">
        <f t="shared" ref="C8:M8" si="0">SUMIFS($G$23:$G$28,$A$23:$A$28,1,$I$23:$I$28,"&lt;="&amp;C$6,$I$23:$I$28,"&gt;0")</f>
        <v>0</v>
      </c>
      <c r="D8" s="394">
        <f t="shared" si="0"/>
        <v>0</v>
      </c>
      <c r="E8" s="394">
        <f t="shared" si="0"/>
        <v>7.4</v>
      </c>
      <c r="F8" s="394">
        <f t="shared" si="0"/>
        <v>7.4</v>
      </c>
      <c r="G8" s="394">
        <f t="shared" si="0"/>
        <v>7.4</v>
      </c>
      <c r="H8" s="394">
        <f t="shared" si="0"/>
        <v>7.4</v>
      </c>
      <c r="I8" s="394">
        <f t="shared" si="0"/>
        <v>7.4</v>
      </c>
      <c r="J8" s="394">
        <f t="shared" si="0"/>
        <v>7.4</v>
      </c>
      <c r="K8" s="394">
        <f t="shared" si="0"/>
        <v>7.4</v>
      </c>
      <c r="L8" s="394">
        <f t="shared" si="0"/>
        <v>7.4</v>
      </c>
      <c r="M8" s="394">
        <f t="shared" si="0"/>
        <v>7.4</v>
      </c>
    </row>
    <row r="9" spans="2:13" x14ac:dyDescent="0.2">
      <c r="B9" s="20" t="str">
        <f>"           Available supply from "&amp;IF(ISNA(VLOOKUP(2,$A$23:$I$28,2,FALSE)),"project 2",VLOOKUP(2,$A$23:$I$28,2,FALSE))</f>
        <v xml:space="preserve">           Available supply from project 2</v>
      </c>
      <c r="C9" s="394">
        <f t="shared" ref="C9:M9" si="1">SUMIFS($G$23:$G$28,$A$23:$A$28,2,$I$23:$I$28,"&lt;="&amp;C$6,$I$23:$I$28,"&gt;0")</f>
        <v>0</v>
      </c>
      <c r="D9" s="394">
        <f t="shared" si="1"/>
        <v>0</v>
      </c>
      <c r="E9" s="394">
        <f t="shared" si="1"/>
        <v>0</v>
      </c>
      <c r="F9" s="394">
        <f t="shared" si="1"/>
        <v>0</v>
      </c>
      <c r="G9" s="394">
        <f t="shared" si="1"/>
        <v>0</v>
      </c>
      <c r="H9" s="394">
        <f t="shared" si="1"/>
        <v>0</v>
      </c>
      <c r="I9" s="394">
        <f t="shared" si="1"/>
        <v>0</v>
      </c>
      <c r="J9" s="394">
        <f t="shared" si="1"/>
        <v>0</v>
      </c>
      <c r="K9" s="394">
        <f t="shared" si="1"/>
        <v>0</v>
      </c>
      <c r="L9" s="394">
        <f t="shared" si="1"/>
        <v>0</v>
      </c>
      <c r="M9" s="394">
        <f t="shared" si="1"/>
        <v>0</v>
      </c>
    </row>
    <row r="10" spans="2:13" x14ac:dyDescent="0.2">
      <c r="B10" s="20" t="str">
        <f>"           Available supply from "&amp;IF(ISNA(VLOOKUP(3,$A$23:$I$28,2,FALSE)),"project 3",VLOOKUP(3,$A$23:$I$28,2,FALSE))</f>
        <v xml:space="preserve">           Available supply from project 3</v>
      </c>
      <c r="C10" s="394">
        <f t="shared" ref="C10:M10" si="2">SUMIFS($G$23:$G$28,$A$23:$A$28,3,$I$23:$I$28,"&lt;="&amp;C$6,$I$23:$I$28,"&gt;0")</f>
        <v>0</v>
      </c>
      <c r="D10" s="394">
        <f t="shared" si="2"/>
        <v>0</v>
      </c>
      <c r="E10" s="394">
        <f t="shared" si="2"/>
        <v>0</v>
      </c>
      <c r="F10" s="394">
        <f t="shared" si="2"/>
        <v>0</v>
      </c>
      <c r="G10" s="394">
        <f t="shared" si="2"/>
        <v>0</v>
      </c>
      <c r="H10" s="394">
        <f t="shared" si="2"/>
        <v>0</v>
      </c>
      <c r="I10" s="394">
        <f t="shared" si="2"/>
        <v>0</v>
      </c>
      <c r="J10" s="394">
        <f t="shared" si="2"/>
        <v>0</v>
      </c>
      <c r="K10" s="394">
        <f t="shared" si="2"/>
        <v>0</v>
      </c>
      <c r="L10" s="394">
        <f t="shared" si="2"/>
        <v>0</v>
      </c>
      <c r="M10" s="394">
        <f t="shared" si="2"/>
        <v>0</v>
      </c>
    </row>
    <row r="11" spans="2:13" s="2" customFormat="1" x14ac:dyDescent="0.2">
      <c r="B11" s="4" t="s">
        <v>88</v>
      </c>
      <c r="C11" s="395">
        <f>SUM(C8:C10)-C7</f>
        <v>12.629999999999999</v>
      </c>
      <c r="D11" s="395">
        <f t="shared" ref="D11:M11" si="3">SUM(D8:D10)-D7</f>
        <v>9.9349999999999987</v>
      </c>
      <c r="E11" s="395">
        <f t="shared" si="3"/>
        <v>14.639999999999999</v>
      </c>
      <c r="F11" s="395">
        <f t="shared" si="3"/>
        <v>12.9</v>
      </c>
      <c r="G11" s="395">
        <f t="shared" si="3"/>
        <v>11.159999999999998</v>
      </c>
      <c r="H11" s="395">
        <f t="shared" si="3"/>
        <v>9.1800000000000015</v>
      </c>
      <c r="I11" s="395">
        <f t="shared" si="3"/>
        <v>7.2000000000000046</v>
      </c>
      <c r="J11" s="395">
        <f t="shared" si="3"/>
        <v>5.3250000000000046</v>
      </c>
      <c r="K11" s="395">
        <f t="shared" si="3"/>
        <v>3.4499999999999975</v>
      </c>
      <c r="L11" s="395">
        <f t="shared" si="3"/>
        <v>2.1899999999999995</v>
      </c>
      <c r="M11" s="395">
        <f t="shared" si="3"/>
        <v>0.93000000000000149</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27" t="s">
        <v>247</v>
      </c>
      <c r="B22" s="19"/>
      <c r="C22" s="6"/>
      <c r="D22" s="18"/>
      <c r="E22" s="6" t="s">
        <v>45</v>
      </c>
      <c r="F22" s="18" t="s">
        <v>19</v>
      </c>
      <c r="G22" s="6" t="s">
        <v>52</v>
      </c>
      <c r="H22" s="18" t="s">
        <v>41</v>
      </c>
      <c r="I22" s="6" t="s">
        <v>24</v>
      </c>
    </row>
    <row r="23" spans="1:13" x14ac:dyDescent="0.2">
      <c r="A23" s="326"/>
      <c r="B23" s="7" t="str">
        <f>DataIn!B73</f>
        <v>Jordan Lake Allocation</v>
      </c>
      <c r="C23" s="7" t="str">
        <f>DataIn!$C$2</f>
        <v>03-32-010</v>
      </c>
      <c r="D23" s="7" t="str">
        <f>DataIn!C73</f>
        <v>New Facilities at Jordan Lake</v>
      </c>
      <c r="E23" s="7" t="str">
        <f>DataIn!E73</f>
        <v>Haw (2-1)</v>
      </c>
      <c r="F23" s="7" t="str">
        <f>DataIn!F73</f>
        <v xml:space="preserve">WS-IV, B, NSW, CA </v>
      </c>
      <c r="G23" s="7">
        <f>DataIn!I73</f>
        <v>6.5</v>
      </c>
      <c r="H23" s="7">
        <f>DataIn!G73</f>
        <v>5</v>
      </c>
      <c r="I23" s="7">
        <f>DataIn!H73</f>
        <v>2020</v>
      </c>
    </row>
    <row r="24" spans="1:13" x14ac:dyDescent="0.2">
      <c r="A24" s="326">
        <v>1</v>
      </c>
      <c r="B24" s="7" t="str">
        <f>DataIn!B74</f>
        <v>Teer Quarry</v>
      </c>
      <c r="C24" s="7" t="str">
        <f>DataIn!$C$2</f>
        <v>03-32-010</v>
      </c>
      <c r="D24" s="7" t="str">
        <f>DataIn!C74</f>
        <v>Offline Quarry Storage</v>
      </c>
      <c r="E24" s="7" t="str">
        <f>DataIn!E74</f>
        <v>Neuse (10-1)</v>
      </c>
      <c r="F24" s="7" t="str">
        <f>DataIn!F74</f>
        <v>WS-IV, NSW, CA</v>
      </c>
      <c r="G24" s="7">
        <f>DataIn!I74</f>
        <v>5.2</v>
      </c>
      <c r="H24" s="7">
        <f>DataIn!G74</f>
        <v>5</v>
      </c>
      <c r="I24" s="7">
        <f>DataIn!H74</f>
        <v>2020</v>
      </c>
    </row>
    <row r="25" spans="1:13" x14ac:dyDescent="0.2">
      <c r="A25" s="326"/>
      <c r="B25" s="7" t="str">
        <f>DataIn!B75</f>
        <v>Raise Lake Michie to 365 MSL</v>
      </c>
      <c r="C25" s="7" t="str">
        <f>DataIn!$C$2</f>
        <v>03-32-010</v>
      </c>
      <c r="D25" s="7" t="str">
        <f>DataIn!C75</f>
        <v>Modify Existing Reservoir</v>
      </c>
      <c r="E25" s="7" t="str">
        <f>DataIn!E75</f>
        <v>Neuse (10-1)</v>
      </c>
      <c r="F25" s="7" t="str">
        <f>DataIn!F75</f>
        <v xml:space="preserve">WS-III, NSW, CA </v>
      </c>
      <c r="G25" s="7">
        <f>DataIn!I75</f>
        <v>12</v>
      </c>
      <c r="H25" s="7">
        <f>DataIn!G75</f>
        <v>15</v>
      </c>
      <c r="I25" s="7">
        <f>DataIn!H75</f>
        <v>2030</v>
      </c>
    </row>
    <row r="26" spans="1:13" x14ac:dyDescent="0.2">
      <c r="A26" s="326"/>
      <c r="B26" s="7" t="str">
        <f>DataIn!B76</f>
        <v>Raise Lake Michie to 380 MSL</v>
      </c>
      <c r="C26" s="7" t="str">
        <f>DataIn!$C$2</f>
        <v>03-32-010</v>
      </c>
      <c r="D26" s="7" t="str">
        <f>DataIn!C76</f>
        <v>Modify Existing Reservoir</v>
      </c>
      <c r="E26" s="7" t="str">
        <f>DataIn!E76</f>
        <v>Neuse (10-1)</v>
      </c>
      <c r="F26" s="7" t="str">
        <f>DataIn!F76</f>
        <v xml:space="preserve">WS-III, NSW, CA </v>
      </c>
      <c r="G26" s="7">
        <f>DataIn!I76</f>
        <v>26</v>
      </c>
      <c r="H26" s="7">
        <f>DataIn!G76</f>
        <v>15</v>
      </c>
      <c r="I26" s="7">
        <f>DataIn!H76</f>
        <v>2030</v>
      </c>
    </row>
    <row r="27" spans="1:13" x14ac:dyDescent="0.2">
      <c r="A27" s="326">
        <v>1</v>
      </c>
      <c r="B27" s="7" t="str">
        <f>DataIn!B77</f>
        <v>Reclaimed Water (RCW) Initial Implementation</v>
      </c>
      <c r="C27" s="7" t="str">
        <f>DataIn!$C$2</f>
        <v>03-32-010</v>
      </c>
      <c r="D27" s="7" t="str">
        <f>DataIn!C77</f>
        <v>Non-Potable Reuse of WWTP Effluent</v>
      </c>
      <c r="E27" s="7" t="str">
        <f>DataIn!E77</f>
        <v>Neuse (10-1)</v>
      </c>
      <c r="F27" s="7" t="str">
        <f>DataIn!F77</f>
        <v>N/A</v>
      </c>
      <c r="G27" s="7">
        <f>DataIn!I77</f>
        <v>2.2000000000000002</v>
      </c>
      <c r="H27" s="7">
        <f>DataIn!G77</f>
        <v>5</v>
      </c>
      <c r="I27" s="7">
        <f>DataIn!H77</f>
        <v>2020</v>
      </c>
    </row>
    <row r="28" spans="1:13" x14ac:dyDescent="0.2">
      <c r="A28" s="326"/>
      <c r="B28" s="7" t="str">
        <f>DataIn!B78</f>
        <v xml:space="preserve">Reclaimed Water (RCW) Initial + Assertive Implementation </v>
      </c>
      <c r="C28" s="7" t="str">
        <f>DataIn!$C$2</f>
        <v>03-32-010</v>
      </c>
      <c r="D28" s="7" t="str">
        <f>DataIn!C78</f>
        <v>Non-Potable Reuse of WWTP Effluent</v>
      </c>
      <c r="E28" s="7" t="str">
        <f>DataIn!E78</f>
        <v>Neuse (10-1)</v>
      </c>
      <c r="F28" s="7" t="str">
        <f>DataIn!F78</f>
        <v>N/A</v>
      </c>
      <c r="G28" s="7">
        <f>DataIn!I78</f>
        <v>11.3</v>
      </c>
      <c r="H28" s="7">
        <f>DataIn!G78</f>
        <v>15</v>
      </c>
      <c r="I28" s="7">
        <f>DataIn!H78</f>
        <v>2030</v>
      </c>
    </row>
  </sheetData>
  <phoneticPr fontId="5" type="noConversion"/>
  <conditionalFormatting sqref="B23:I28">
    <cfRule type="expression" dxfId="14" priority="3">
      <formula>VALUE($A23)=0</formula>
    </cfRule>
  </conditionalFormatting>
  <conditionalFormatting sqref="C11:M11">
    <cfRule type="cellIs" dxfId="13" priority="1" operator="lessThan">
      <formula>0</formula>
    </cfRule>
    <cfRule type="cellIs" dxfId="12" priority="2" operator="greaterThan">
      <formula>0</formula>
    </cfRule>
  </conditionalFormatting>
  <pageMargins left="0.75" right="0.75" top="1" bottom="1" header="0.5" footer="0.5"/>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M28"/>
  <sheetViews>
    <sheetView workbookViewId="0">
      <selection activeCell="A29" sqref="A29:XFD29"/>
    </sheetView>
  </sheetViews>
  <sheetFormatPr defaultRowHeight="12" x14ac:dyDescent="0.2"/>
  <cols>
    <col min="1" max="1" width="5.28515625" style="1" customWidth="1"/>
    <col min="2" max="2" width="47.140625" style="1" customWidth="1"/>
    <col min="3" max="13" width="10.7109375" style="1" customWidth="1"/>
    <col min="14" max="16384" width="9.140625" style="1"/>
  </cols>
  <sheetData>
    <row r="1" spans="2:13" ht="12.75" thickBot="1" x14ac:dyDescent="0.25">
      <c r="B1" s="25" t="str">
        <f>'Population&amp;Demand Projections'!C3</f>
        <v>Durham</v>
      </c>
      <c r="C1" s="1" t="s">
        <v>43</v>
      </c>
    </row>
    <row r="2" spans="2:13" ht="12.75" thickBot="1" x14ac:dyDescent="0.25">
      <c r="B2" s="93">
        <f>'Population&amp;Demand Projections'!$C$4</f>
        <v>41711</v>
      </c>
      <c r="C2" s="8" t="s">
        <v>44</v>
      </c>
    </row>
    <row r="3" spans="2:13" x14ac:dyDescent="0.2">
      <c r="B3" s="338" t="s">
        <v>91</v>
      </c>
      <c r="C3" s="339"/>
      <c r="D3" s="339"/>
      <c r="E3" s="339"/>
      <c r="F3" s="339"/>
      <c r="G3" s="339"/>
      <c r="H3" s="339"/>
      <c r="I3" s="339"/>
      <c r="J3" s="339"/>
      <c r="K3" s="339"/>
      <c r="L3" s="339"/>
      <c r="M3" s="340"/>
    </row>
    <row r="4" spans="2:13" ht="12.75" thickBot="1" x14ac:dyDescent="0.25">
      <c r="B4" s="341" t="s">
        <v>83</v>
      </c>
      <c r="C4" s="342"/>
      <c r="D4" s="342"/>
      <c r="E4" s="342"/>
      <c r="F4" s="342"/>
      <c r="G4" s="342"/>
      <c r="H4" s="342"/>
      <c r="I4" s="342" t="s">
        <v>53</v>
      </c>
      <c r="J4" s="342"/>
      <c r="K4" s="342"/>
      <c r="L4" s="342"/>
      <c r="M4" s="343"/>
    </row>
    <row r="5" spans="2:13" ht="13.5" customHeight="1" x14ac:dyDescent="0.2">
      <c r="B5" s="362" t="s">
        <v>522</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393">
        <f>'Population&amp;Demand Projections'!C118</f>
        <v>-12.629999999999999</v>
      </c>
      <c r="D7" s="393">
        <f>'Population&amp;Demand Projections'!D118</f>
        <v>-9.9349999999999987</v>
      </c>
      <c r="E7" s="393">
        <f>'Population&amp;Demand Projections'!E118</f>
        <v>-7.2399999999999984</v>
      </c>
      <c r="F7" s="393">
        <f>'Population&amp;Demand Projections'!F118</f>
        <v>-5.5</v>
      </c>
      <c r="G7" s="393">
        <f>'Population&amp;Demand Projections'!G118</f>
        <v>-3.759999999999998</v>
      </c>
      <c r="H7" s="393">
        <f>'Population&amp;Demand Projections'!H118</f>
        <v>-1.7800000000000011</v>
      </c>
      <c r="I7" s="393">
        <f>'Population&amp;Demand Projections'!I118</f>
        <v>0.19999999999999574</v>
      </c>
      <c r="J7" s="393">
        <f>'Population&amp;Demand Projections'!J118</f>
        <v>2.0749999999999957</v>
      </c>
      <c r="K7" s="393">
        <f>'Population&amp;Demand Projections'!K118</f>
        <v>3.9500000000000028</v>
      </c>
      <c r="L7" s="393">
        <f>'Population&amp;Demand Projections'!L118</f>
        <v>5.2100000000000009</v>
      </c>
      <c r="M7" s="393">
        <f>'Population&amp;Demand Projections'!M118</f>
        <v>6.4699999999999989</v>
      </c>
    </row>
    <row r="8" spans="2:13" x14ac:dyDescent="0.2">
      <c r="B8" s="20" t="str">
        <f>"(2)        Available supply from "&amp;IF(ISNA(VLOOKUP(1,$A$23:$I$28,2,FALSE))," project 1",VLOOKUP(1,$A$23:$I$28,2,FALSE))</f>
        <v>(2)        Available supply from Raise Lake Michie to 365 MSL</v>
      </c>
      <c r="C8" s="394">
        <f>SUMIFS($G$23:$G$28,$A$23:$A$28,1,$I$23:$I$28,"&lt;="&amp;C$6,$I$23:$I$28,"&gt;0")</f>
        <v>0</v>
      </c>
      <c r="D8" s="394">
        <f t="shared" ref="D8:M8" si="0">SUMIFS($G$23:$G$28,$A$23:$A$28,1,$I$23:$I$28,"&lt;="&amp;D6,$I$23:$I$28,"&gt;0")</f>
        <v>0</v>
      </c>
      <c r="E8" s="394">
        <f t="shared" si="0"/>
        <v>0</v>
      </c>
      <c r="F8" s="394">
        <f t="shared" si="0"/>
        <v>0</v>
      </c>
      <c r="G8" s="394">
        <f t="shared" si="0"/>
        <v>12</v>
      </c>
      <c r="H8" s="394">
        <f t="shared" si="0"/>
        <v>12</v>
      </c>
      <c r="I8" s="394">
        <f t="shared" si="0"/>
        <v>12</v>
      </c>
      <c r="J8" s="394">
        <f t="shared" si="0"/>
        <v>12</v>
      </c>
      <c r="K8" s="394">
        <f t="shared" si="0"/>
        <v>12</v>
      </c>
      <c r="L8" s="394">
        <f t="shared" si="0"/>
        <v>12</v>
      </c>
      <c r="M8" s="394">
        <f t="shared" si="0"/>
        <v>12</v>
      </c>
    </row>
    <row r="9" spans="2:13" x14ac:dyDescent="0.2">
      <c r="B9" s="20" t="str">
        <f>"           Available supply from "&amp;IF(ISNA(VLOOKUP(2,$A$23:$I$28,2,FALSE)),"project 2",VLOOKUP(2,$A$23:$I$28,2,FALSE))</f>
        <v xml:space="preserve">           Available supply from project 2</v>
      </c>
      <c r="C9" s="394">
        <f t="shared" ref="C9:M9" si="1">SUMIFS($G$23:$G$28,$A$23:$A$28,2,$I$23:$I$28,"&lt;="&amp;C$6,$I$23:$I$28,"&gt;0")</f>
        <v>0</v>
      </c>
      <c r="D9" s="394">
        <f t="shared" si="1"/>
        <v>0</v>
      </c>
      <c r="E9" s="394">
        <f t="shared" si="1"/>
        <v>0</v>
      </c>
      <c r="F9" s="394">
        <f t="shared" si="1"/>
        <v>0</v>
      </c>
      <c r="G9" s="394">
        <f t="shared" si="1"/>
        <v>0</v>
      </c>
      <c r="H9" s="394">
        <f t="shared" si="1"/>
        <v>0</v>
      </c>
      <c r="I9" s="394">
        <f t="shared" si="1"/>
        <v>0</v>
      </c>
      <c r="J9" s="394">
        <f t="shared" si="1"/>
        <v>0</v>
      </c>
      <c r="K9" s="394">
        <f t="shared" si="1"/>
        <v>0</v>
      </c>
      <c r="L9" s="394">
        <f t="shared" si="1"/>
        <v>0</v>
      </c>
      <c r="M9" s="394">
        <f t="shared" si="1"/>
        <v>0</v>
      </c>
    </row>
    <row r="10" spans="2:13" x14ac:dyDescent="0.2">
      <c r="B10" s="20" t="str">
        <f>"           Available supply from "&amp;IF(ISNA(VLOOKUP(3,$A$23:$I$28,2,FALSE)),"project 3",VLOOKUP(3,$A$23:$I$28,2,FALSE))</f>
        <v xml:space="preserve">           Available supply from project 3</v>
      </c>
      <c r="C10" s="394">
        <f t="shared" ref="C10:M10" si="2">SUMIFS($G$23:$G$28,$A$23:$A$28,3,$I$23:$I$28,"&lt;="&amp;C$6,$I$23:$I$28,"&gt;0")</f>
        <v>0</v>
      </c>
      <c r="D10" s="394">
        <f t="shared" si="2"/>
        <v>0</v>
      </c>
      <c r="E10" s="394">
        <f t="shared" si="2"/>
        <v>0</v>
      </c>
      <c r="F10" s="394">
        <f t="shared" si="2"/>
        <v>0</v>
      </c>
      <c r="G10" s="394">
        <f t="shared" si="2"/>
        <v>0</v>
      </c>
      <c r="H10" s="394">
        <f t="shared" si="2"/>
        <v>0</v>
      </c>
      <c r="I10" s="394">
        <f t="shared" si="2"/>
        <v>0</v>
      </c>
      <c r="J10" s="394">
        <f t="shared" si="2"/>
        <v>0</v>
      </c>
      <c r="K10" s="394">
        <f t="shared" si="2"/>
        <v>0</v>
      </c>
      <c r="L10" s="394">
        <f t="shared" si="2"/>
        <v>0</v>
      </c>
      <c r="M10" s="394">
        <f t="shared" si="2"/>
        <v>0</v>
      </c>
    </row>
    <row r="11" spans="2:13" s="2" customFormat="1" x14ac:dyDescent="0.2">
      <c r="B11" s="4" t="s">
        <v>88</v>
      </c>
      <c r="C11" s="395">
        <f>SUM(C8:C10)-C7</f>
        <v>12.629999999999999</v>
      </c>
      <c r="D11" s="395">
        <f t="shared" ref="D11:M11" si="3">SUM(D8:D10)-D7</f>
        <v>9.9349999999999987</v>
      </c>
      <c r="E11" s="395">
        <f t="shared" si="3"/>
        <v>7.2399999999999984</v>
      </c>
      <c r="F11" s="395">
        <f t="shared" si="3"/>
        <v>5.5</v>
      </c>
      <c r="G11" s="395">
        <f t="shared" si="3"/>
        <v>15.759999999999998</v>
      </c>
      <c r="H11" s="395">
        <f t="shared" si="3"/>
        <v>13.780000000000001</v>
      </c>
      <c r="I11" s="395">
        <f t="shared" si="3"/>
        <v>11.800000000000004</v>
      </c>
      <c r="J11" s="395">
        <f t="shared" si="3"/>
        <v>9.9250000000000043</v>
      </c>
      <c r="K11" s="395">
        <f t="shared" si="3"/>
        <v>8.0499999999999972</v>
      </c>
      <c r="L11" s="395">
        <f t="shared" si="3"/>
        <v>6.7899999999999991</v>
      </c>
      <c r="M11" s="395">
        <f t="shared" si="3"/>
        <v>5.5300000000000011</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27" t="s">
        <v>247</v>
      </c>
      <c r="B22" s="19"/>
      <c r="C22" s="6"/>
      <c r="D22" s="18"/>
      <c r="E22" s="6" t="s">
        <v>45</v>
      </c>
      <c r="F22" s="18" t="s">
        <v>19</v>
      </c>
      <c r="G22" s="6" t="s">
        <v>52</v>
      </c>
      <c r="H22" s="18" t="s">
        <v>41</v>
      </c>
      <c r="I22" s="6" t="s">
        <v>24</v>
      </c>
    </row>
    <row r="23" spans="1:13" x14ac:dyDescent="0.2">
      <c r="A23" s="326"/>
      <c r="B23" s="7" t="str">
        <f>DataIn!B73</f>
        <v>Jordan Lake Allocation</v>
      </c>
      <c r="C23" s="7" t="str">
        <f>DataIn!$C$2</f>
        <v>03-32-010</v>
      </c>
      <c r="D23" s="7" t="str">
        <f>DataIn!C73</f>
        <v>New Facilities at Jordan Lake</v>
      </c>
      <c r="E23" s="7" t="str">
        <f>DataIn!E73</f>
        <v>Haw (2-1)</v>
      </c>
      <c r="F23" s="7" t="str">
        <f>DataIn!F73</f>
        <v xml:space="preserve">WS-IV, B, NSW, CA </v>
      </c>
      <c r="G23" s="7">
        <f>DataIn!I73</f>
        <v>6.5</v>
      </c>
      <c r="H23" s="7">
        <f>DataIn!G73</f>
        <v>5</v>
      </c>
      <c r="I23" s="7">
        <f>DataIn!H73</f>
        <v>2020</v>
      </c>
    </row>
    <row r="24" spans="1:13" x14ac:dyDescent="0.2">
      <c r="A24" s="326"/>
      <c r="B24" s="7" t="str">
        <f>DataIn!B74</f>
        <v>Teer Quarry</v>
      </c>
      <c r="C24" s="7" t="str">
        <f>DataIn!$C$2</f>
        <v>03-32-010</v>
      </c>
      <c r="D24" s="7" t="str">
        <f>DataIn!C74</f>
        <v>Offline Quarry Storage</v>
      </c>
      <c r="E24" s="7" t="str">
        <f>DataIn!E74</f>
        <v>Neuse (10-1)</v>
      </c>
      <c r="F24" s="7" t="str">
        <f>DataIn!F74</f>
        <v>WS-IV, NSW, CA</v>
      </c>
      <c r="G24" s="7">
        <f>DataIn!I74</f>
        <v>5.2</v>
      </c>
      <c r="H24" s="7">
        <f>DataIn!G74</f>
        <v>5</v>
      </c>
      <c r="I24" s="7">
        <f>DataIn!H74</f>
        <v>2020</v>
      </c>
    </row>
    <row r="25" spans="1:13" x14ac:dyDescent="0.2">
      <c r="A25" s="326">
        <v>1</v>
      </c>
      <c r="B25" s="7" t="str">
        <f>DataIn!B75</f>
        <v>Raise Lake Michie to 365 MSL</v>
      </c>
      <c r="C25" s="7" t="str">
        <f>DataIn!$C$2</f>
        <v>03-32-010</v>
      </c>
      <c r="D25" s="7" t="str">
        <f>DataIn!C75</f>
        <v>Modify Existing Reservoir</v>
      </c>
      <c r="E25" s="7" t="str">
        <f>DataIn!E75</f>
        <v>Neuse (10-1)</v>
      </c>
      <c r="F25" s="7" t="str">
        <f>DataIn!F75</f>
        <v xml:space="preserve">WS-III, NSW, CA </v>
      </c>
      <c r="G25" s="7">
        <f>DataIn!I75</f>
        <v>12</v>
      </c>
      <c r="H25" s="7">
        <f>DataIn!G75</f>
        <v>15</v>
      </c>
      <c r="I25" s="7">
        <f>DataIn!H75</f>
        <v>2030</v>
      </c>
    </row>
    <row r="26" spans="1:13" x14ac:dyDescent="0.2">
      <c r="A26" s="326"/>
      <c r="B26" s="7" t="str">
        <f>DataIn!B76</f>
        <v>Raise Lake Michie to 380 MSL</v>
      </c>
      <c r="C26" s="7" t="str">
        <f>DataIn!$C$2</f>
        <v>03-32-010</v>
      </c>
      <c r="D26" s="7" t="str">
        <f>DataIn!C76</f>
        <v>Modify Existing Reservoir</v>
      </c>
      <c r="E26" s="7" t="str">
        <f>DataIn!E76</f>
        <v>Neuse (10-1)</v>
      </c>
      <c r="F26" s="7" t="str">
        <f>DataIn!F76</f>
        <v xml:space="preserve">WS-III, NSW, CA </v>
      </c>
      <c r="G26" s="7">
        <f>DataIn!I76</f>
        <v>26</v>
      </c>
      <c r="H26" s="7">
        <f>DataIn!G76</f>
        <v>15</v>
      </c>
      <c r="I26" s="7">
        <f>DataIn!H76</f>
        <v>2030</v>
      </c>
    </row>
    <row r="27" spans="1:13" x14ac:dyDescent="0.2">
      <c r="A27" s="326"/>
      <c r="B27" s="7" t="str">
        <f>DataIn!B77</f>
        <v>Reclaimed Water (RCW) Initial Implementation</v>
      </c>
      <c r="C27" s="7" t="str">
        <f>DataIn!$C$2</f>
        <v>03-32-010</v>
      </c>
      <c r="D27" s="7" t="str">
        <f>DataIn!C77</f>
        <v>Non-Potable Reuse of WWTP Effluent</v>
      </c>
      <c r="E27" s="7" t="str">
        <f>DataIn!E77</f>
        <v>Neuse (10-1)</v>
      </c>
      <c r="F27" s="7" t="str">
        <f>DataIn!F77</f>
        <v>N/A</v>
      </c>
      <c r="G27" s="7">
        <f>DataIn!I77</f>
        <v>2.2000000000000002</v>
      </c>
      <c r="H27" s="7">
        <f>DataIn!G77</f>
        <v>5</v>
      </c>
      <c r="I27" s="7">
        <f>DataIn!H77</f>
        <v>2020</v>
      </c>
    </row>
    <row r="28" spans="1:13" x14ac:dyDescent="0.2">
      <c r="A28" s="326"/>
      <c r="B28" s="7" t="str">
        <f>DataIn!B78</f>
        <v xml:space="preserve">Reclaimed Water (RCW) Initial + Assertive Implementation </v>
      </c>
      <c r="C28" s="7" t="str">
        <f>DataIn!$C$2</f>
        <v>03-32-010</v>
      </c>
      <c r="D28" s="7" t="str">
        <f>DataIn!C78</f>
        <v>Non-Potable Reuse of WWTP Effluent</v>
      </c>
      <c r="E28" s="7" t="str">
        <f>DataIn!E78</f>
        <v>Neuse (10-1)</v>
      </c>
      <c r="F28" s="7" t="str">
        <f>DataIn!F78</f>
        <v>N/A</v>
      </c>
      <c r="G28" s="7">
        <f>DataIn!I78</f>
        <v>11.3</v>
      </c>
      <c r="H28" s="7">
        <f>DataIn!G78</f>
        <v>15</v>
      </c>
      <c r="I28" s="7">
        <f>DataIn!H78</f>
        <v>2030</v>
      </c>
    </row>
  </sheetData>
  <phoneticPr fontId="5" type="noConversion"/>
  <conditionalFormatting sqref="B23:I28">
    <cfRule type="expression" dxfId="11" priority="3">
      <formula>VALUE($A23)=0</formula>
    </cfRule>
  </conditionalFormatting>
  <conditionalFormatting sqref="C11:M11">
    <cfRule type="cellIs" dxfId="10" priority="1" operator="lessThan">
      <formula>0</formula>
    </cfRule>
    <cfRule type="cellIs" dxfId="9" priority="2" operator="greaterThan">
      <formula>0</formula>
    </cfRule>
  </conditionalFormatting>
  <pageMargins left="0.75" right="0.75" top="1" bottom="1" header="0.5" footer="0.5"/>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M28"/>
  <sheetViews>
    <sheetView workbookViewId="0">
      <selection activeCell="A29" sqref="A29:XFD29"/>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3" ht="12.75" thickBot="1" x14ac:dyDescent="0.25">
      <c r="B1" s="25" t="str">
        <f>'Population&amp;Demand Projections'!C3</f>
        <v>Durham</v>
      </c>
      <c r="C1" s="1" t="s">
        <v>43</v>
      </c>
    </row>
    <row r="2" spans="2:13" ht="12.75" thickBot="1" x14ac:dyDescent="0.25">
      <c r="B2" s="93">
        <f>'Population&amp;Demand Projections'!$C$4</f>
        <v>41711</v>
      </c>
      <c r="C2" s="330" t="s">
        <v>44</v>
      </c>
    </row>
    <row r="3" spans="2:13" x14ac:dyDescent="0.2">
      <c r="B3" s="363" t="s">
        <v>90</v>
      </c>
      <c r="C3" s="364"/>
      <c r="D3" s="365"/>
      <c r="E3" s="365"/>
      <c r="F3" s="365"/>
      <c r="G3" s="365"/>
      <c r="H3" s="365"/>
      <c r="I3" s="365"/>
      <c r="J3" s="365"/>
      <c r="K3" s="365"/>
      <c r="L3" s="365"/>
      <c r="M3" s="366"/>
    </row>
    <row r="4" spans="2:13" ht="12.75" thickBot="1" x14ac:dyDescent="0.25">
      <c r="B4" s="367" t="s">
        <v>83</v>
      </c>
      <c r="C4" s="368"/>
      <c r="D4" s="368"/>
      <c r="E4" s="368"/>
      <c r="F4" s="368"/>
      <c r="G4" s="368"/>
      <c r="H4" s="368"/>
      <c r="I4" s="368" t="s">
        <v>53</v>
      </c>
      <c r="J4" s="368"/>
      <c r="K4" s="368"/>
      <c r="L4" s="368"/>
      <c r="M4" s="369"/>
    </row>
    <row r="5" spans="2:13" ht="13.5" customHeight="1" x14ac:dyDescent="0.2">
      <c r="B5" s="362" t="s">
        <v>523</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393">
        <f>'Population&amp;Demand Projections'!C118</f>
        <v>-12.629999999999999</v>
      </c>
      <c r="D7" s="393">
        <f>'Population&amp;Demand Projections'!D118</f>
        <v>-9.9349999999999987</v>
      </c>
      <c r="E7" s="393">
        <f>'Population&amp;Demand Projections'!E118</f>
        <v>-7.2399999999999984</v>
      </c>
      <c r="F7" s="393">
        <f>'Population&amp;Demand Projections'!F118</f>
        <v>-5.5</v>
      </c>
      <c r="G7" s="393">
        <f>'Population&amp;Demand Projections'!G118</f>
        <v>-3.759999999999998</v>
      </c>
      <c r="H7" s="393">
        <f>'Population&amp;Demand Projections'!H118</f>
        <v>-1.7800000000000011</v>
      </c>
      <c r="I7" s="393">
        <f>'Population&amp;Demand Projections'!I118</f>
        <v>0.19999999999999574</v>
      </c>
      <c r="J7" s="393">
        <f>'Population&amp;Demand Projections'!J118</f>
        <v>2.0749999999999957</v>
      </c>
      <c r="K7" s="393">
        <f>'Population&amp;Demand Projections'!K118</f>
        <v>3.9500000000000028</v>
      </c>
      <c r="L7" s="393">
        <f>'Population&amp;Demand Projections'!L118</f>
        <v>5.2100000000000009</v>
      </c>
      <c r="M7" s="393">
        <f>'Population&amp;Demand Projections'!M118</f>
        <v>6.4699999999999989</v>
      </c>
    </row>
    <row r="8" spans="2:13" x14ac:dyDescent="0.2">
      <c r="B8" s="20" t="str">
        <f>"(2)        Available supply from "&amp;IF(ISNA(VLOOKUP(1,$A$23:$I$28,2,FALSE))," project 1",VLOOKUP(1,$A$23:$I$28,2,FALSE))</f>
        <v>(2)        Available supply from Raise Lake Michie to 380 MSL</v>
      </c>
      <c r="C8" s="394">
        <f t="shared" ref="C8:M8" si="0">SUMIFS($G$23:$G$28,$A$23:$A$28,1,$I$23:$I$28,"&lt;="&amp;C$6,$I$23:$I$28,"&gt;0")</f>
        <v>0</v>
      </c>
      <c r="D8" s="394">
        <f t="shared" si="0"/>
        <v>0</v>
      </c>
      <c r="E8" s="394">
        <f t="shared" si="0"/>
        <v>0</v>
      </c>
      <c r="F8" s="394">
        <f t="shared" si="0"/>
        <v>0</v>
      </c>
      <c r="G8" s="394">
        <f t="shared" si="0"/>
        <v>26</v>
      </c>
      <c r="H8" s="394">
        <f t="shared" si="0"/>
        <v>26</v>
      </c>
      <c r="I8" s="394">
        <f t="shared" si="0"/>
        <v>26</v>
      </c>
      <c r="J8" s="394">
        <f t="shared" si="0"/>
        <v>26</v>
      </c>
      <c r="K8" s="394">
        <f t="shared" si="0"/>
        <v>26</v>
      </c>
      <c r="L8" s="394">
        <f t="shared" si="0"/>
        <v>26</v>
      </c>
      <c r="M8" s="394">
        <f t="shared" si="0"/>
        <v>26</v>
      </c>
    </row>
    <row r="9" spans="2:13" x14ac:dyDescent="0.2">
      <c r="B9" s="20" t="str">
        <f>"           Available supply from "&amp;IF(ISNA(VLOOKUP(2,$A$23:$I$28,2,FALSE)),"project 2",VLOOKUP(2,$A$23:$I$28,2,FALSE))</f>
        <v xml:space="preserve">           Available supply from project 2</v>
      </c>
      <c r="C9" s="394">
        <f t="shared" ref="C9:M9" si="1">SUMIFS($G$23:$G$28,$A$23:$A$28,2,$I$23:$I$28,"&lt;="&amp;C$6,$I$23:$I$28,"&gt;0")</f>
        <v>0</v>
      </c>
      <c r="D9" s="394">
        <f t="shared" si="1"/>
        <v>0</v>
      </c>
      <c r="E9" s="394">
        <f t="shared" si="1"/>
        <v>0</v>
      </c>
      <c r="F9" s="394">
        <f t="shared" si="1"/>
        <v>0</v>
      </c>
      <c r="G9" s="394">
        <f t="shared" si="1"/>
        <v>0</v>
      </c>
      <c r="H9" s="394">
        <f t="shared" si="1"/>
        <v>0</v>
      </c>
      <c r="I9" s="394">
        <f t="shared" si="1"/>
        <v>0</v>
      </c>
      <c r="J9" s="394">
        <f t="shared" si="1"/>
        <v>0</v>
      </c>
      <c r="K9" s="394">
        <f t="shared" si="1"/>
        <v>0</v>
      </c>
      <c r="L9" s="394">
        <f t="shared" si="1"/>
        <v>0</v>
      </c>
      <c r="M9" s="394">
        <f t="shared" si="1"/>
        <v>0</v>
      </c>
    </row>
    <row r="10" spans="2:13" x14ac:dyDescent="0.2">
      <c r="B10" s="20" t="str">
        <f>"           Available supply from "&amp;IF(ISNA(VLOOKUP(3,$A$23:$I$28,2,FALSE)),"project 3",VLOOKUP(3,$A$23:$I$28,2,FALSE))</f>
        <v xml:space="preserve">           Available supply from project 3</v>
      </c>
      <c r="C10" s="394">
        <f t="shared" ref="C10:M10" si="2">SUMIFS($G$23:$G$28,$A$23:$A$28,3,$I$23:$I$28,"&lt;="&amp;C$67,$I$23:$I$28,"&gt;0")</f>
        <v>0</v>
      </c>
      <c r="D10" s="394">
        <f t="shared" si="2"/>
        <v>0</v>
      </c>
      <c r="E10" s="394">
        <f t="shared" si="2"/>
        <v>0</v>
      </c>
      <c r="F10" s="394">
        <f t="shared" si="2"/>
        <v>0</v>
      </c>
      <c r="G10" s="394">
        <f t="shared" si="2"/>
        <v>0</v>
      </c>
      <c r="H10" s="394">
        <f t="shared" si="2"/>
        <v>0</v>
      </c>
      <c r="I10" s="394">
        <f t="shared" si="2"/>
        <v>0</v>
      </c>
      <c r="J10" s="394">
        <f t="shared" si="2"/>
        <v>0</v>
      </c>
      <c r="K10" s="394">
        <f t="shared" si="2"/>
        <v>0</v>
      </c>
      <c r="L10" s="394">
        <f t="shared" si="2"/>
        <v>0</v>
      </c>
      <c r="M10" s="394">
        <f t="shared" si="2"/>
        <v>0</v>
      </c>
    </row>
    <row r="11" spans="2:13" s="2" customFormat="1" x14ac:dyDescent="0.2">
      <c r="B11" s="4" t="s">
        <v>88</v>
      </c>
      <c r="C11" s="395">
        <f>SUM(C8:C10)-C7</f>
        <v>12.629999999999999</v>
      </c>
      <c r="D11" s="395">
        <f t="shared" ref="D11:M11" si="3">SUM(D8:D10)-D7</f>
        <v>9.9349999999999987</v>
      </c>
      <c r="E11" s="395">
        <f t="shared" si="3"/>
        <v>7.2399999999999984</v>
      </c>
      <c r="F11" s="395">
        <f t="shared" si="3"/>
        <v>5.5</v>
      </c>
      <c r="G11" s="395">
        <f t="shared" si="3"/>
        <v>29.759999999999998</v>
      </c>
      <c r="H11" s="395">
        <f t="shared" si="3"/>
        <v>27.78</v>
      </c>
      <c r="I11" s="395">
        <f t="shared" si="3"/>
        <v>25.800000000000004</v>
      </c>
      <c r="J11" s="395">
        <f t="shared" si="3"/>
        <v>23.925000000000004</v>
      </c>
      <c r="K11" s="395">
        <f t="shared" si="3"/>
        <v>22.049999999999997</v>
      </c>
      <c r="L11" s="395">
        <f t="shared" si="3"/>
        <v>20.79</v>
      </c>
      <c r="M11" s="395">
        <f t="shared" si="3"/>
        <v>19.53</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27" t="s">
        <v>247</v>
      </c>
      <c r="B22" s="19"/>
      <c r="C22" s="6"/>
      <c r="D22" s="18"/>
      <c r="E22" s="6" t="s">
        <v>45</v>
      </c>
      <c r="F22" s="18" t="s">
        <v>19</v>
      </c>
      <c r="G22" s="6" t="s">
        <v>52</v>
      </c>
      <c r="H22" s="18" t="s">
        <v>41</v>
      </c>
      <c r="I22" s="6" t="s">
        <v>24</v>
      </c>
    </row>
    <row r="23" spans="1:13" x14ac:dyDescent="0.2">
      <c r="A23" s="326"/>
      <c r="B23" s="7" t="str">
        <f>DataIn!B73</f>
        <v>Jordan Lake Allocation</v>
      </c>
      <c r="C23" s="7" t="str">
        <f>DataIn!$C$2</f>
        <v>03-32-010</v>
      </c>
      <c r="D23" s="7" t="str">
        <f>DataIn!C73</f>
        <v>New Facilities at Jordan Lake</v>
      </c>
      <c r="E23" s="7" t="str">
        <f>DataIn!E73</f>
        <v>Haw (2-1)</v>
      </c>
      <c r="F23" s="7" t="str">
        <f>DataIn!F73</f>
        <v xml:space="preserve">WS-IV, B, NSW, CA </v>
      </c>
      <c r="G23" s="7">
        <f>DataIn!I73</f>
        <v>6.5</v>
      </c>
      <c r="H23" s="7">
        <f>DataIn!G73</f>
        <v>5</v>
      </c>
      <c r="I23" s="7">
        <f>DataIn!H73</f>
        <v>2020</v>
      </c>
    </row>
    <row r="24" spans="1:13" x14ac:dyDescent="0.2">
      <c r="A24" s="326"/>
      <c r="B24" s="7" t="str">
        <f>DataIn!B74</f>
        <v>Teer Quarry</v>
      </c>
      <c r="C24" s="7" t="str">
        <f>DataIn!$C$2</f>
        <v>03-32-010</v>
      </c>
      <c r="D24" s="7" t="str">
        <f>DataIn!C74</f>
        <v>Offline Quarry Storage</v>
      </c>
      <c r="E24" s="7" t="str">
        <f>DataIn!E74</f>
        <v>Neuse (10-1)</v>
      </c>
      <c r="F24" s="7" t="str">
        <f>DataIn!F74</f>
        <v>WS-IV, NSW, CA</v>
      </c>
      <c r="G24" s="7">
        <f>DataIn!I74</f>
        <v>5.2</v>
      </c>
      <c r="H24" s="7">
        <f>DataIn!G74</f>
        <v>5</v>
      </c>
      <c r="I24" s="7">
        <f>DataIn!H74</f>
        <v>2020</v>
      </c>
    </row>
    <row r="25" spans="1:13" x14ac:dyDescent="0.2">
      <c r="A25" s="326"/>
      <c r="B25" s="7" t="str">
        <f>DataIn!B75</f>
        <v>Raise Lake Michie to 365 MSL</v>
      </c>
      <c r="C25" s="7" t="str">
        <f>DataIn!$C$2</f>
        <v>03-32-010</v>
      </c>
      <c r="D25" s="7" t="str">
        <f>DataIn!C75</f>
        <v>Modify Existing Reservoir</v>
      </c>
      <c r="E25" s="7" t="str">
        <f>DataIn!E75</f>
        <v>Neuse (10-1)</v>
      </c>
      <c r="F25" s="7" t="str">
        <f>DataIn!F75</f>
        <v xml:space="preserve">WS-III, NSW, CA </v>
      </c>
      <c r="G25" s="7">
        <f>DataIn!I75</f>
        <v>12</v>
      </c>
      <c r="H25" s="7">
        <f>DataIn!G75</f>
        <v>15</v>
      </c>
      <c r="I25" s="7">
        <f>DataIn!H75</f>
        <v>2030</v>
      </c>
    </row>
    <row r="26" spans="1:13" x14ac:dyDescent="0.2">
      <c r="A26" s="326">
        <v>1</v>
      </c>
      <c r="B26" s="7" t="str">
        <f>DataIn!B76</f>
        <v>Raise Lake Michie to 380 MSL</v>
      </c>
      <c r="C26" s="7" t="str">
        <f>DataIn!$C$2</f>
        <v>03-32-010</v>
      </c>
      <c r="D26" s="7" t="str">
        <f>DataIn!C76</f>
        <v>Modify Existing Reservoir</v>
      </c>
      <c r="E26" s="7" t="str">
        <f>DataIn!E76</f>
        <v>Neuse (10-1)</v>
      </c>
      <c r="F26" s="7" t="str">
        <f>DataIn!F76</f>
        <v xml:space="preserve">WS-III, NSW, CA </v>
      </c>
      <c r="G26" s="7">
        <f>DataIn!I76</f>
        <v>26</v>
      </c>
      <c r="H26" s="7">
        <f>DataIn!G76</f>
        <v>15</v>
      </c>
      <c r="I26" s="7">
        <f>DataIn!H76</f>
        <v>2030</v>
      </c>
    </row>
    <row r="27" spans="1:13" x14ac:dyDescent="0.2">
      <c r="A27" s="326"/>
      <c r="B27" s="7" t="str">
        <f>DataIn!B77</f>
        <v>Reclaimed Water (RCW) Initial Implementation</v>
      </c>
      <c r="C27" s="7" t="str">
        <f>DataIn!$C$2</f>
        <v>03-32-010</v>
      </c>
      <c r="D27" s="7" t="str">
        <f>DataIn!C77</f>
        <v>Non-Potable Reuse of WWTP Effluent</v>
      </c>
      <c r="E27" s="7" t="str">
        <f>DataIn!E77</f>
        <v>Neuse (10-1)</v>
      </c>
      <c r="F27" s="7" t="str">
        <f>DataIn!F77</f>
        <v>N/A</v>
      </c>
      <c r="G27" s="7">
        <f>DataIn!I77</f>
        <v>2.2000000000000002</v>
      </c>
      <c r="H27" s="7">
        <f>DataIn!G77</f>
        <v>5</v>
      </c>
      <c r="I27" s="7">
        <f>DataIn!H77</f>
        <v>2020</v>
      </c>
    </row>
    <row r="28" spans="1:13" x14ac:dyDescent="0.2">
      <c r="A28" s="326"/>
      <c r="B28" s="7" t="str">
        <f>DataIn!B78</f>
        <v xml:space="preserve">Reclaimed Water (RCW) Initial + Assertive Implementation </v>
      </c>
      <c r="C28" s="7" t="str">
        <f>DataIn!$C$2</f>
        <v>03-32-010</v>
      </c>
      <c r="D28" s="7" t="str">
        <f>DataIn!C78</f>
        <v>Non-Potable Reuse of WWTP Effluent</v>
      </c>
      <c r="E28" s="7" t="str">
        <f>DataIn!E78</f>
        <v>Neuse (10-1)</v>
      </c>
      <c r="F28" s="7" t="str">
        <f>DataIn!F78</f>
        <v>N/A</v>
      </c>
      <c r="G28" s="7">
        <f>DataIn!I78</f>
        <v>11.3</v>
      </c>
      <c r="H28" s="7">
        <f>DataIn!G78</f>
        <v>15</v>
      </c>
      <c r="I28" s="7">
        <f>DataIn!H78</f>
        <v>2030</v>
      </c>
    </row>
  </sheetData>
  <phoneticPr fontId="5" type="noConversion"/>
  <conditionalFormatting sqref="B23:I28">
    <cfRule type="expression" dxfId="8" priority="3">
      <formula>VALUE($A23)=0</formula>
    </cfRule>
  </conditionalFormatting>
  <conditionalFormatting sqref="C11:M11">
    <cfRule type="cellIs" dxfId="7" priority="1" operator="lessThan">
      <formula>0</formula>
    </cfRule>
    <cfRule type="cellIs" dxfId="6"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M28"/>
  <sheetViews>
    <sheetView workbookViewId="0">
      <selection activeCell="G28" sqref="G28"/>
    </sheetView>
  </sheetViews>
  <sheetFormatPr defaultRowHeight="12" x14ac:dyDescent="0.2"/>
  <cols>
    <col min="1" max="1" width="6.5703125" style="1" customWidth="1"/>
    <col min="2" max="2" width="47.140625" style="1" customWidth="1"/>
    <col min="3" max="13" width="10.7109375" style="1" customWidth="1"/>
    <col min="14" max="16384" width="9.140625" style="1"/>
  </cols>
  <sheetData>
    <row r="1" spans="2:13" ht="12.75" thickBot="1" x14ac:dyDescent="0.25">
      <c r="B1" s="25" t="str">
        <f>'Population&amp;Demand Projections'!C3</f>
        <v>Durham</v>
      </c>
      <c r="C1" s="1" t="s">
        <v>43</v>
      </c>
    </row>
    <row r="2" spans="2:13" ht="12.75" thickBot="1" x14ac:dyDescent="0.25">
      <c r="B2" s="93">
        <f>'Population&amp;Demand Projections'!$C$4</f>
        <v>41711</v>
      </c>
      <c r="C2" s="8" t="s">
        <v>44</v>
      </c>
    </row>
    <row r="3" spans="2:13" x14ac:dyDescent="0.2">
      <c r="B3" s="351" t="s">
        <v>89</v>
      </c>
      <c r="C3" s="352"/>
      <c r="D3" s="352"/>
      <c r="E3" s="352"/>
      <c r="F3" s="352"/>
      <c r="G3" s="352"/>
      <c r="H3" s="352"/>
      <c r="I3" s="352"/>
      <c r="J3" s="352"/>
      <c r="K3" s="352"/>
      <c r="L3" s="352"/>
      <c r="M3" s="353"/>
    </row>
    <row r="4" spans="2:13" ht="12.75" thickBot="1" x14ac:dyDescent="0.25">
      <c r="B4" s="354" t="s">
        <v>83</v>
      </c>
      <c r="C4" s="355"/>
      <c r="D4" s="355"/>
      <c r="E4" s="355"/>
      <c r="F4" s="355"/>
      <c r="G4" s="355"/>
      <c r="H4" s="355"/>
      <c r="I4" s="355" t="s">
        <v>53</v>
      </c>
      <c r="J4" s="355"/>
      <c r="K4" s="355"/>
      <c r="L4" s="355"/>
      <c r="M4" s="356"/>
    </row>
    <row r="5" spans="2:13" ht="13.5" customHeight="1" x14ac:dyDescent="0.2">
      <c r="B5" s="362" t="s">
        <v>525</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393">
        <f>'Population&amp;Demand Projections'!C118</f>
        <v>-12.629999999999999</v>
      </c>
      <c r="D7" s="393">
        <f>'Population&amp;Demand Projections'!D118</f>
        <v>-9.9349999999999987</v>
      </c>
      <c r="E7" s="393">
        <f>'Population&amp;Demand Projections'!E118</f>
        <v>-7.2399999999999984</v>
      </c>
      <c r="F7" s="393">
        <f>'Population&amp;Demand Projections'!F118</f>
        <v>-5.5</v>
      </c>
      <c r="G7" s="393">
        <f>'Population&amp;Demand Projections'!G118</f>
        <v>-3.759999999999998</v>
      </c>
      <c r="H7" s="393">
        <f>'Population&amp;Demand Projections'!H118</f>
        <v>-1.7800000000000011</v>
      </c>
      <c r="I7" s="393">
        <f>'Population&amp;Demand Projections'!I118</f>
        <v>0.19999999999999574</v>
      </c>
      <c r="J7" s="393">
        <f>'Population&amp;Demand Projections'!J118</f>
        <v>2.0749999999999957</v>
      </c>
      <c r="K7" s="393">
        <f>'Population&amp;Demand Projections'!K118</f>
        <v>3.9500000000000028</v>
      </c>
      <c r="L7" s="393">
        <f>'Population&amp;Demand Projections'!L118</f>
        <v>5.2100000000000009</v>
      </c>
      <c r="M7" s="393">
        <f>'Population&amp;Demand Projections'!M118</f>
        <v>6.4699999999999989</v>
      </c>
    </row>
    <row r="8" spans="2:13" x14ac:dyDescent="0.2">
      <c r="B8" s="20" t="str">
        <f>"(2)        Available supply from "&amp;IF(ISNA(VLOOKUP(1,$A$23:$I$28,2,FALSE))," project 1",VLOOKUP(1,$A$23:$I$28,2,FALSE))</f>
        <v xml:space="preserve">(2)        Available supply from Reclaimed Water (RCW) Initial + Assertive Implementation </v>
      </c>
      <c r="C8" s="394">
        <f t="shared" ref="C8:M8" si="0">SUMIFS($G$23:$G$28,$A$23:$A$28,1,$I$23:$I$28,"&lt;="&amp;C6,$I$23:$I$28,"&gt;0")</f>
        <v>0</v>
      </c>
      <c r="D8" s="394">
        <f t="shared" si="0"/>
        <v>0</v>
      </c>
      <c r="E8" s="394">
        <f t="shared" si="0"/>
        <v>0</v>
      </c>
      <c r="F8" s="394">
        <f t="shared" si="0"/>
        <v>0</v>
      </c>
      <c r="G8" s="394">
        <f t="shared" si="0"/>
        <v>11.3</v>
      </c>
      <c r="H8" s="394">
        <f t="shared" si="0"/>
        <v>11.3</v>
      </c>
      <c r="I8" s="394">
        <f t="shared" si="0"/>
        <v>11.3</v>
      </c>
      <c r="J8" s="394">
        <f t="shared" si="0"/>
        <v>11.3</v>
      </c>
      <c r="K8" s="394">
        <f t="shared" si="0"/>
        <v>11.3</v>
      </c>
      <c r="L8" s="394">
        <f t="shared" si="0"/>
        <v>11.3</v>
      </c>
      <c r="M8" s="394">
        <f t="shared" si="0"/>
        <v>11.3</v>
      </c>
    </row>
    <row r="9" spans="2:13" x14ac:dyDescent="0.2">
      <c r="B9" s="20" t="str">
        <f>"           Available supply from "&amp;IF(ISNA(VLOOKUP(2,$A$23:$I$28,2,FALSE)),"project 2",VLOOKUP(2,$A$23:$I$28,2,FALSE))</f>
        <v xml:space="preserve">           Available supply from project 2</v>
      </c>
      <c r="C9" s="394">
        <f t="shared" ref="C9:M9" si="1">SUMIFS($G$23:$G$28,$A$23:$A$28,2,$I$23:$I$28,"&lt;="&amp;C$6,$I$23:$I$28,"&gt;0")</f>
        <v>0</v>
      </c>
      <c r="D9" s="394">
        <f t="shared" si="1"/>
        <v>0</v>
      </c>
      <c r="E9" s="394">
        <f t="shared" si="1"/>
        <v>0</v>
      </c>
      <c r="F9" s="394">
        <f t="shared" si="1"/>
        <v>0</v>
      </c>
      <c r="G9" s="394">
        <f t="shared" si="1"/>
        <v>0</v>
      </c>
      <c r="H9" s="394">
        <f t="shared" si="1"/>
        <v>0</v>
      </c>
      <c r="I9" s="394">
        <f t="shared" si="1"/>
        <v>0</v>
      </c>
      <c r="J9" s="394">
        <f t="shared" si="1"/>
        <v>0</v>
      </c>
      <c r="K9" s="394">
        <f t="shared" si="1"/>
        <v>0</v>
      </c>
      <c r="L9" s="394">
        <f t="shared" si="1"/>
        <v>0</v>
      </c>
      <c r="M9" s="394">
        <f t="shared" si="1"/>
        <v>0</v>
      </c>
    </row>
    <row r="10" spans="2:13" x14ac:dyDescent="0.2">
      <c r="B10" s="20" t="str">
        <f>"           Available supply from "&amp;IF(ISNA(VLOOKUP(3,$A$23:$I$28,2,FALSE)),"project 3",VLOOKUP(3,$A$23:$I$28,2,FALSE))</f>
        <v xml:space="preserve">           Available supply from project 3</v>
      </c>
      <c r="C10" s="394">
        <f t="shared" ref="C10:M10" si="2">SUMIFS($G$23:$G$28,$A$23:$A$28,3,$I$23:$I$28,"&lt;="&amp;C$6,$I$23:$I$28,"&gt;0")</f>
        <v>0</v>
      </c>
      <c r="D10" s="394">
        <f t="shared" si="2"/>
        <v>0</v>
      </c>
      <c r="E10" s="394">
        <f t="shared" si="2"/>
        <v>0</v>
      </c>
      <c r="F10" s="394">
        <f t="shared" si="2"/>
        <v>0</v>
      </c>
      <c r="G10" s="394">
        <f t="shared" si="2"/>
        <v>0</v>
      </c>
      <c r="H10" s="394">
        <f t="shared" si="2"/>
        <v>0</v>
      </c>
      <c r="I10" s="394">
        <f t="shared" si="2"/>
        <v>0</v>
      </c>
      <c r="J10" s="394">
        <f t="shared" si="2"/>
        <v>0</v>
      </c>
      <c r="K10" s="394">
        <f t="shared" si="2"/>
        <v>0</v>
      </c>
      <c r="L10" s="394">
        <f t="shared" si="2"/>
        <v>0</v>
      </c>
      <c r="M10" s="394">
        <f t="shared" si="2"/>
        <v>0</v>
      </c>
    </row>
    <row r="11" spans="2:13" s="2" customFormat="1" x14ac:dyDescent="0.2">
      <c r="B11" s="4" t="s">
        <v>88</v>
      </c>
      <c r="C11" s="395">
        <f t="shared" ref="C11:M11" si="3">SUM(C8:C10)-C7</f>
        <v>12.629999999999999</v>
      </c>
      <c r="D11" s="395">
        <f t="shared" si="3"/>
        <v>9.9349999999999987</v>
      </c>
      <c r="E11" s="395">
        <f t="shared" si="3"/>
        <v>7.2399999999999984</v>
      </c>
      <c r="F11" s="395">
        <f t="shared" si="3"/>
        <v>5.5</v>
      </c>
      <c r="G11" s="395">
        <f t="shared" si="3"/>
        <v>15.059999999999999</v>
      </c>
      <c r="H11" s="395">
        <f t="shared" si="3"/>
        <v>13.080000000000002</v>
      </c>
      <c r="I11" s="395">
        <f t="shared" si="3"/>
        <v>11.100000000000005</v>
      </c>
      <c r="J11" s="395">
        <f t="shared" si="3"/>
        <v>9.225000000000005</v>
      </c>
      <c r="K11" s="395">
        <f t="shared" si="3"/>
        <v>7.3499999999999979</v>
      </c>
      <c r="L11" s="395">
        <f t="shared" si="3"/>
        <v>6.09</v>
      </c>
      <c r="M11" s="395">
        <f t="shared" si="3"/>
        <v>4.8300000000000018</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27" t="s">
        <v>247</v>
      </c>
      <c r="B22" s="19"/>
      <c r="C22" s="6"/>
      <c r="D22" s="18"/>
      <c r="E22" s="6" t="s">
        <v>45</v>
      </c>
      <c r="F22" s="18" t="s">
        <v>19</v>
      </c>
      <c r="G22" s="6" t="s">
        <v>52</v>
      </c>
      <c r="H22" s="18" t="s">
        <v>41</v>
      </c>
      <c r="I22" s="6" t="s">
        <v>24</v>
      </c>
    </row>
    <row r="23" spans="1:13" x14ac:dyDescent="0.2">
      <c r="A23" s="326"/>
      <c r="B23" s="7" t="str">
        <f>DataIn!B73</f>
        <v>Jordan Lake Allocation</v>
      </c>
      <c r="C23" s="7" t="str">
        <f>DataIn!$C$2</f>
        <v>03-32-010</v>
      </c>
      <c r="D23" s="7" t="str">
        <f>DataIn!C73</f>
        <v>New Facilities at Jordan Lake</v>
      </c>
      <c r="E23" s="7" t="str">
        <f>DataIn!E73</f>
        <v>Haw (2-1)</v>
      </c>
      <c r="F23" s="7" t="str">
        <f>DataIn!F73</f>
        <v xml:space="preserve">WS-IV, B, NSW, CA </v>
      </c>
      <c r="G23" s="7">
        <f>DataIn!I73</f>
        <v>6.5</v>
      </c>
      <c r="H23" s="7">
        <f>DataIn!G73</f>
        <v>5</v>
      </c>
      <c r="I23" s="7">
        <f>DataIn!H73</f>
        <v>2020</v>
      </c>
    </row>
    <row r="24" spans="1:13" x14ac:dyDescent="0.2">
      <c r="A24" s="326"/>
      <c r="B24" s="7" t="str">
        <f>DataIn!B74</f>
        <v>Teer Quarry</v>
      </c>
      <c r="C24" s="7" t="str">
        <f>DataIn!$C$2</f>
        <v>03-32-010</v>
      </c>
      <c r="D24" s="7" t="str">
        <f>DataIn!C74</f>
        <v>Offline Quarry Storage</v>
      </c>
      <c r="E24" s="7" t="str">
        <f>DataIn!E74</f>
        <v>Neuse (10-1)</v>
      </c>
      <c r="F24" s="7" t="str">
        <f>DataIn!F74</f>
        <v>WS-IV, NSW, CA</v>
      </c>
      <c r="G24" s="7">
        <f>DataIn!I74</f>
        <v>5.2</v>
      </c>
      <c r="H24" s="7">
        <f>DataIn!G74</f>
        <v>5</v>
      </c>
      <c r="I24" s="7">
        <f>DataIn!H74</f>
        <v>2020</v>
      </c>
    </row>
    <row r="25" spans="1:13" x14ac:dyDescent="0.2">
      <c r="A25" s="326"/>
      <c r="B25" s="7" t="str">
        <f>DataIn!B75</f>
        <v>Raise Lake Michie to 365 MSL</v>
      </c>
      <c r="C25" s="7" t="str">
        <f>DataIn!$C$2</f>
        <v>03-32-010</v>
      </c>
      <c r="D25" s="7" t="str">
        <f>DataIn!C75</f>
        <v>Modify Existing Reservoir</v>
      </c>
      <c r="E25" s="7" t="str">
        <f>DataIn!E75</f>
        <v>Neuse (10-1)</v>
      </c>
      <c r="F25" s="7" t="str">
        <f>DataIn!F75</f>
        <v xml:space="preserve">WS-III, NSW, CA </v>
      </c>
      <c r="G25" s="7">
        <f>DataIn!I75</f>
        <v>12</v>
      </c>
      <c r="H25" s="7">
        <f>DataIn!G75</f>
        <v>15</v>
      </c>
      <c r="I25" s="7">
        <f>DataIn!H75</f>
        <v>2030</v>
      </c>
    </row>
    <row r="26" spans="1:13" x14ac:dyDescent="0.2">
      <c r="A26" s="326"/>
      <c r="B26" s="7" t="str">
        <f>DataIn!B76</f>
        <v>Raise Lake Michie to 380 MSL</v>
      </c>
      <c r="C26" s="7" t="str">
        <f>DataIn!$C$2</f>
        <v>03-32-010</v>
      </c>
      <c r="D26" s="7" t="str">
        <f>DataIn!C76</f>
        <v>Modify Existing Reservoir</v>
      </c>
      <c r="E26" s="7" t="str">
        <f>DataIn!E76</f>
        <v>Neuse (10-1)</v>
      </c>
      <c r="F26" s="7" t="str">
        <f>DataIn!F76</f>
        <v xml:space="preserve">WS-III, NSW, CA </v>
      </c>
      <c r="G26" s="7">
        <f>DataIn!I76</f>
        <v>26</v>
      </c>
      <c r="H26" s="7">
        <f>DataIn!G76</f>
        <v>15</v>
      </c>
      <c r="I26" s="7">
        <f>DataIn!H76</f>
        <v>2030</v>
      </c>
    </row>
    <row r="27" spans="1:13" x14ac:dyDescent="0.2">
      <c r="A27" s="326"/>
      <c r="B27" s="7" t="str">
        <f>DataIn!B77</f>
        <v>Reclaimed Water (RCW) Initial Implementation</v>
      </c>
      <c r="C27" s="7" t="str">
        <f>DataIn!$C$2</f>
        <v>03-32-010</v>
      </c>
      <c r="D27" s="7" t="str">
        <f>DataIn!C77</f>
        <v>Non-Potable Reuse of WWTP Effluent</v>
      </c>
      <c r="E27" s="7" t="str">
        <f>DataIn!E77</f>
        <v>Neuse (10-1)</v>
      </c>
      <c r="F27" s="7" t="str">
        <f>DataIn!F77</f>
        <v>N/A</v>
      </c>
      <c r="G27" s="7">
        <f>DataIn!I77</f>
        <v>2.2000000000000002</v>
      </c>
      <c r="H27" s="7">
        <f>DataIn!G77</f>
        <v>5</v>
      </c>
      <c r="I27" s="7">
        <f>DataIn!H77</f>
        <v>2020</v>
      </c>
    </row>
    <row r="28" spans="1:13" x14ac:dyDescent="0.2">
      <c r="A28" s="326">
        <v>1</v>
      </c>
      <c r="B28" s="7" t="str">
        <f>DataIn!B78</f>
        <v xml:space="preserve">Reclaimed Water (RCW) Initial + Assertive Implementation </v>
      </c>
      <c r="C28" s="7" t="str">
        <f>DataIn!$C$2</f>
        <v>03-32-010</v>
      </c>
      <c r="D28" s="7" t="str">
        <f>DataIn!C78</f>
        <v>Non-Potable Reuse of WWTP Effluent</v>
      </c>
      <c r="E28" s="7" t="str">
        <f>DataIn!E78</f>
        <v>Neuse (10-1)</v>
      </c>
      <c r="F28" s="7" t="str">
        <f>DataIn!F78</f>
        <v>N/A</v>
      </c>
      <c r="G28" s="7">
        <f>DataIn!I78</f>
        <v>11.3</v>
      </c>
      <c r="H28" s="7">
        <f>DataIn!G78</f>
        <v>15</v>
      </c>
      <c r="I28" s="7">
        <f>DataIn!H78</f>
        <v>2030</v>
      </c>
    </row>
  </sheetData>
  <phoneticPr fontId="5" type="noConversion"/>
  <conditionalFormatting sqref="B23:I28">
    <cfRule type="expression" dxfId="5" priority="3">
      <formula>VALUE($A23)=0</formula>
    </cfRule>
  </conditionalFormatting>
  <conditionalFormatting sqref="C11:M11">
    <cfRule type="cellIs" dxfId="4" priority="1" operator="lessThan">
      <formula>0</formula>
    </cfRule>
    <cfRule type="cellIs" dxfId="3" priority="2" operator="greaterThan">
      <formula>0</formula>
    </cfRule>
  </conditionalFormatting>
  <pageMargins left="0.75" right="0.75" top="1" bottom="1" header="0.5" footer="0.5"/>
  <headerFooter alignWithMargins="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M28"/>
  <sheetViews>
    <sheetView workbookViewId="0">
      <selection activeCell="A28" sqref="A28"/>
    </sheetView>
  </sheetViews>
  <sheetFormatPr defaultRowHeight="12" x14ac:dyDescent="0.2"/>
  <cols>
    <col min="1" max="1" width="6.5703125" style="1" customWidth="1"/>
    <col min="2" max="2" width="47.140625" style="1" customWidth="1"/>
    <col min="3" max="13" width="10.7109375" style="1" customWidth="1"/>
    <col min="14" max="16384" width="9.140625" style="1"/>
  </cols>
  <sheetData>
    <row r="1" spans="2:13" ht="12.75" thickBot="1" x14ac:dyDescent="0.25">
      <c r="B1" s="25" t="str">
        <f>'Population&amp;Demand Projections'!C3</f>
        <v>Durham</v>
      </c>
      <c r="C1" s="1" t="s">
        <v>43</v>
      </c>
    </row>
    <row r="2" spans="2:13" ht="12.75" thickBot="1" x14ac:dyDescent="0.25">
      <c r="B2" s="93">
        <f>'Population&amp;Demand Projections'!$C$4</f>
        <v>41711</v>
      </c>
      <c r="C2" s="8" t="s">
        <v>44</v>
      </c>
    </row>
    <row r="3" spans="2:13" x14ac:dyDescent="0.2">
      <c r="B3" s="351" t="s">
        <v>89</v>
      </c>
      <c r="C3" s="352"/>
      <c r="D3" s="352"/>
      <c r="E3" s="352"/>
      <c r="F3" s="352"/>
      <c r="G3" s="352"/>
      <c r="H3" s="352"/>
      <c r="I3" s="352"/>
      <c r="J3" s="352"/>
      <c r="K3" s="352"/>
      <c r="L3" s="352"/>
      <c r="M3" s="353"/>
    </row>
    <row r="4" spans="2:13" ht="12.75" thickBot="1" x14ac:dyDescent="0.25">
      <c r="B4" s="354" t="s">
        <v>83</v>
      </c>
      <c r="C4" s="355"/>
      <c r="D4" s="355"/>
      <c r="E4" s="355"/>
      <c r="F4" s="355"/>
      <c r="G4" s="355"/>
      <c r="H4" s="355"/>
      <c r="I4" s="355" t="s">
        <v>53</v>
      </c>
      <c r="J4" s="355"/>
      <c r="K4" s="355"/>
      <c r="L4" s="355"/>
      <c r="M4" s="356"/>
    </row>
    <row r="5" spans="2:13" ht="13.5" customHeight="1" x14ac:dyDescent="0.2">
      <c r="B5" s="362" t="s">
        <v>526</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393">
        <f>'Population&amp;Demand Projections'!C118</f>
        <v>-12.629999999999999</v>
      </c>
      <c r="D7" s="393">
        <f>'Population&amp;Demand Projections'!D118</f>
        <v>-9.9349999999999987</v>
      </c>
      <c r="E7" s="393">
        <f>'Population&amp;Demand Projections'!E118</f>
        <v>-7.2399999999999984</v>
      </c>
      <c r="F7" s="393">
        <f>'Population&amp;Demand Projections'!F118</f>
        <v>-5.5</v>
      </c>
      <c r="G7" s="393">
        <f>'Population&amp;Demand Projections'!G118</f>
        <v>-3.759999999999998</v>
      </c>
      <c r="H7" s="393">
        <f>'Population&amp;Demand Projections'!H118</f>
        <v>-1.7800000000000011</v>
      </c>
      <c r="I7" s="393">
        <f>'Population&amp;Demand Projections'!I118</f>
        <v>0.19999999999999574</v>
      </c>
      <c r="J7" s="393">
        <f>'Population&amp;Demand Projections'!J118</f>
        <v>2.0749999999999957</v>
      </c>
      <c r="K7" s="393">
        <f>'Population&amp;Demand Projections'!K118</f>
        <v>3.9500000000000028</v>
      </c>
      <c r="L7" s="393">
        <f>'Population&amp;Demand Projections'!L118</f>
        <v>5.2100000000000009</v>
      </c>
      <c r="M7" s="393">
        <f>'Population&amp;Demand Projections'!M118</f>
        <v>6.4699999999999989</v>
      </c>
    </row>
    <row r="8" spans="2:13" x14ac:dyDescent="0.2">
      <c r="B8" s="20" t="str">
        <f>"(2)        Available supply from "&amp;IF(ISNA(VLOOKUP(1,$A$23:$I$28,2,FALSE))," project 1",VLOOKUP(1,$A$23:$I$28,2,FALSE))</f>
        <v>(2)        Available supply from  project 1</v>
      </c>
      <c r="C8" s="394">
        <f t="shared" ref="C8:M8" si="0">SUMIFS($G$23:$G$28,$A$23:$A$28,1,$I$23:$I$28,"&lt;="&amp;C6,$I$23:$I$28,"&gt;0")</f>
        <v>0</v>
      </c>
      <c r="D8" s="394">
        <f t="shared" si="0"/>
        <v>0</v>
      </c>
      <c r="E8" s="394">
        <f t="shared" si="0"/>
        <v>0</v>
      </c>
      <c r="F8" s="394">
        <f t="shared" si="0"/>
        <v>0</v>
      </c>
      <c r="G8" s="394">
        <f t="shared" si="0"/>
        <v>0</v>
      </c>
      <c r="H8" s="394">
        <f t="shared" si="0"/>
        <v>0</v>
      </c>
      <c r="I8" s="394">
        <f t="shared" si="0"/>
        <v>0</v>
      </c>
      <c r="J8" s="394">
        <f t="shared" si="0"/>
        <v>0</v>
      </c>
      <c r="K8" s="394">
        <f t="shared" si="0"/>
        <v>0</v>
      </c>
      <c r="L8" s="394">
        <f t="shared" si="0"/>
        <v>0</v>
      </c>
      <c r="M8" s="394">
        <f t="shared" si="0"/>
        <v>0</v>
      </c>
    </row>
    <row r="9" spans="2:13" x14ac:dyDescent="0.2">
      <c r="B9" s="20" t="str">
        <f>"           Available supply from "&amp;IF(ISNA(VLOOKUP(2,$A$23:$I$28,2,FALSE)),"project 2",VLOOKUP(2,$A$23:$I$28,2,FALSE))</f>
        <v xml:space="preserve">           Available supply from project 2</v>
      </c>
      <c r="C9" s="394">
        <f t="shared" ref="C9:M9" si="1">SUMIFS($G$23:$G$28,$A$23:$A$28,2,$I$23:$I$28,"&lt;="&amp;C$6,$I$23:$I$28,"&gt;0")</f>
        <v>0</v>
      </c>
      <c r="D9" s="394">
        <f t="shared" si="1"/>
        <v>0</v>
      </c>
      <c r="E9" s="394">
        <f t="shared" si="1"/>
        <v>0</v>
      </c>
      <c r="F9" s="394">
        <f t="shared" si="1"/>
        <v>0</v>
      </c>
      <c r="G9" s="394">
        <f t="shared" si="1"/>
        <v>0</v>
      </c>
      <c r="H9" s="394">
        <f t="shared" si="1"/>
        <v>0</v>
      </c>
      <c r="I9" s="394">
        <f t="shared" si="1"/>
        <v>0</v>
      </c>
      <c r="J9" s="394">
        <f t="shared" si="1"/>
        <v>0</v>
      </c>
      <c r="K9" s="394">
        <f t="shared" si="1"/>
        <v>0</v>
      </c>
      <c r="L9" s="394">
        <f t="shared" si="1"/>
        <v>0</v>
      </c>
      <c r="M9" s="394">
        <f t="shared" si="1"/>
        <v>0</v>
      </c>
    </row>
    <row r="10" spans="2:13" x14ac:dyDescent="0.2">
      <c r="B10" s="20" t="str">
        <f>"           Available supply from "&amp;IF(ISNA(VLOOKUP(3,$A$23:$I$28,2,FALSE)),"project 3",VLOOKUP(3,$A$23:$I$28,2,FALSE))</f>
        <v xml:space="preserve">           Available supply from project 3</v>
      </c>
      <c r="C10" s="394">
        <f t="shared" ref="C10:M10" si="2">SUMIFS($G$23:$G$28,$A$23:$A$28,3,$I$23:$I$28,"&lt;="&amp;C$6,$I$23:$I$28,"&gt;0")</f>
        <v>0</v>
      </c>
      <c r="D10" s="394">
        <f t="shared" si="2"/>
        <v>0</v>
      </c>
      <c r="E10" s="394">
        <f t="shared" si="2"/>
        <v>0</v>
      </c>
      <c r="F10" s="394">
        <f t="shared" si="2"/>
        <v>0</v>
      </c>
      <c r="G10" s="394">
        <f t="shared" si="2"/>
        <v>0</v>
      </c>
      <c r="H10" s="394">
        <f t="shared" si="2"/>
        <v>0</v>
      </c>
      <c r="I10" s="394">
        <f t="shared" si="2"/>
        <v>0</v>
      </c>
      <c r="J10" s="394">
        <f t="shared" si="2"/>
        <v>0</v>
      </c>
      <c r="K10" s="394">
        <f t="shared" si="2"/>
        <v>0</v>
      </c>
      <c r="L10" s="394">
        <f t="shared" si="2"/>
        <v>0</v>
      </c>
      <c r="M10" s="394">
        <f t="shared" si="2"/>
        <v>0</v>
      </c>
    </row>
    <row r="11" spans="2:13" s="2" customFormat="1" x14ac:dyDescent="0.2">
      <c r="B11" s="4" t="s">
        <v>88</v>
      </c>
      <c r="C11" s="395">
        <f t="shared" ref="C11:M11" si="3">SUM(C8:C10)-C7</f>
        <v>12.629999999999999</v>
      </c>
      <c r="D11" s="395">
        <f t="shared" si="3"/>
        <v>9.9349999999999987</v>
      </c>
      <c r="E11" s="395">
        <f t="shared" si="3"/>
        <v>7.2399999999999984</v>
      </c>
      <c r="F11" s="395">
        <f t="shared" si="3"/>
        <v>5.5</v>
      </c>
      <c r="G11" s="395">
        <f t="shared" si="3"/>
        <v>3.759999999999998</v>
      </c>
      <c r="H11" s="395">
        <f t="shared" si="3"/>
        <v>1.7800000000000011</v>
      </c>
      <c r="I11" s="395">
        <f t="shared" si="3"/>
        <v>-0.19999999999999574</v>
      </c>
      <c r="J11" s="395">
        <f t="shared" si="3"/>
        <v>-2.0749999999999957</v>
      </c>
      <c r="K11" s="395">
        <f t="shared" si="3"/>
        <v>-3.9500000000000028</v>
      </c>
      <c r="L11" s="395">
        <f t="shared" si="3"/>
        <v>-5.2100000000000009</v>
      </c>
      <c r="M11" s="395">
        <f t="shared" si="3"/>
        <v>-6.4699999999999989</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27" t="s">
        <v>247</v>
      </c>
      <c r="B22" s="19"/>
      <c r="C22" s="6"/>
      <c r="D22" s="18"/>
      <c r="E22" s="6" t="s">
        <v>45</v>
      </c>
      <c r="F22" s="18" t="s">
        <v>19</v>
      </c>
      <c r="G22" s="6" t="s">
        <v>52</v>
      </c>
      <c r="H22" s="18" t="s">
        <v>41</v>
      </c>
      <c r="I22" s="6" t="s">
        <v>24</v>
      </c>
    </row>
    <row r="23" spans="1:13" x14ac:dyDescent="0.2">
      <c r="A23" s="326"/>
      <c r="B23" s="7" t="str">
        <f>DataIn!B73</f>
        <v>Jordan Lake Allocation</v>
      </c>
      <c r="C23" s="7" t="str">
        <f>DataIn!$C$2</f>
        <v>03-32-010</v>
      </c>
      <c r="D23" s="7" t="str">
        <f>DataIn!C73</f>
        <v>New Facilities at Jordan Lake</v>
      </c>
      <c r="E23" s="7" t="str">
        <f>DataIn!E73</f>
        <v>Haw (2-1)</v>
      </c>
      <c r="F23" s="7" t="str">
        <f>DataIn!F73</f>
        <v xml:space="preserve">WS-IV, B, NSW, CA </v>
      </c>
      <c r="G23" s="7">
        <f>DataIn!I73</f>
        <v>6.5</v>
      </c>
      <c r="H23" s="7">
        <f>DataIn!G73</f>
        <v>5</v>
      </c>
      <c r="I23" s="7">
        <f>DataIn!H73</f>
        <v>2020</v>
      </c>
    </row>
    <row r="24" spans="1:13" x14ac:dyDescent="0.2">
      <c r="A24" s="326"/>
      <c r="B24" s="7" t="str">
        <f>DataIn!B74</f>
        <v>Teer Quarry</v>
      </c>
      <c r="C24" s="7" t="str">
        <f>DataIn!$C$2</f>
        <v>03-32-010</v>
      </c>
      <c r="D24" s="7" t="str">
        <f>DataIn!C74</f>
        <v>Offline Quarry Storage</v>
      </c>
      <c r="E24" s="7" t="str">
        <f>DataIn!E74</f>
        <v>Neuse (10-1)</v>
      </c>
      <c r="F24" s="7" t="str">
        <f>DataIn!F74</f>
        <v>WS-IV, NSW, CA</v>
      </c>
      <c r="G24" s="7">
        <f>DataIn!I74</f>
        <v>5.2</v>
      </c>
      <c r="H24" s="7">
        <f>DataIn!G74</f>
        <v>5</v>
      </c>
      <c r="I24" s="7">
        <f>DataIn!H74</f>
        <v>2020</v>
      </c>
    </row>
    <row r="25" spans="1:13" x14ac:dyDescent="0.2">
      <c r="A25" s="326"/>
      <c r="B25" s="7" t="str">
        <f>DataIn!B75</f>
        <v>Raise Lake Michie to 365 MSL</v>
      </c>
      <c r="C25" s="7" t="str">
        <f>DataIn!$C$2</f>
        <v>03-32-010</v>
      </c>
      <c r="D25" s="7" t="str">
        <f>DataIn!C75</f>
        <v>Modify Existing Reservoir</v>
      </c>
      <c r="E25" s="7" t="str">
        <f>DataIn!E75</f>
        <v>Neuse (10-1)</v>
      </c>
      <c r="F25" s="7" t="str">
        <f>DataIn!F75</f>
        <v xml:space="preserve">WS-III, NSW, CA </v>
      </c>
      <c r="G25" s="7">
        <f>DataIn!I75</f>
        <v>12</v>
      </c>
      <c r="H25" s="7">
        <f>DataIn!G75</f>
        <v>15</v>
      </c>
      <c r="I25" s="7">
        <f>DataIn!H75</f>
        <v>2030</v>
      </c>
    </row>
    <row r="26" spans="1:13" x14ac:dyDescent="0.2">
      <c r="A26" s="326"/>
      <c r="B26" s="7" t="str">
        <f>DataIn!B76</f>
        <v>Raise Lake Michie to 380 MSL</v>
      </c>
      <c r="C26" s="7" t="str">
        <f>DataIn!$C$2</f>
        <v>03-32-010</v>
      </c>
      <c r="D26" s="7" t="str">
        <f>DataIn!C76</f>
        <v>Modify Existing Reservoir</v>
      </c>
      <c r="E26" s="7" t="str">
        <f>DataIn!E76</f>
        <v>Neuse (10-1)</v>
      </c>
      <c r="F26" s="7" t="str">
        <f>DataIn!F76</f>
        <v xml:space="preserve">WS-III, NSW, CA </v>
      </c>
      <c r="G26" s="7">
        <f>DataIn!I76</f>
        <v>26</v>
      </c>
      <c r="H26" s="7">
        <f>DataIn!G76</f>
        <v>15</v>
      </c>
      <c r="I26" s="7">
        <f>DataIn!H76</f>
        <v>2030</v>
      </c>
    </row>
    <row r="27" spans="1:13" x14ac:dyDescent="0.2">
      <c r="A27" s="326"/>
      <c r="B27" s="7" t="str">
        <f>DataIn!B77</f>
        <v>Reclaimed Water (RCW) Initial Implementation</v>
      </c>
      <c r="C27" s="7" t="str">
        <f>DataIn!$C$2</f>
        <v>03-32-010</v>
      </c>
      <c r="D27" s="7" t="str">
        <f>DataIn!C77</f>
        <v>Non-Potable Reuse of WWTP Effluent</v>
      </c>
      <c r="E27" s="7" t="str">
        <f>DataIn!E77</f>
        <v>Neuse (10-1)</v>
      </c>
      <c r="F27" s="7" t="str">
        <f>DataIn!F77</f>
        <v>N/A</v>
      </c>
      <c r="G27" s="7">
        <f>DataIn!I77</f>
        <v>2.2000000000000002</v>
      </c>
      <c r="H27" s="7">
        <f>DataIn!G77</f>
        <v>5</v>
      </c>
      <c r="I27" s="7">
        <f>DataIn!H77</f>
        <v>2020</v>
      </c>
    </row>
    <row r="28" spans="1:13" x14ac:dyDescent="0.2">
      <c r="A28" s="326"/>
      <c r="B28" s="7" t="str">
        <f>DataIn!B78</f>
        <v xml:space="preserve">Reclaimed Water (RCW) Initial + Assertive Implementation </v>
      </c>
      <c r="C28" s="7" t="str">
        <f>DataIn!$C$2</f>
        <v>03-32-010</v>
      </c>
      <c r="D28" s="7" t="str">
        <f>DataIn!C78</f>
        <v>Non-Potable Reuse of WWTP Effluent</v>
      </c>
      <c r="E28" s="7" t="str">
        <f>DataIn!E78</f>
        <v>Neuse (10-1)</v>
      </c>
      <c r="F28" s="7" t="str">
        <f>DataIn!F78</f>
        <v>N/A</v>
      </c>
      <c r="G28" s="7">
        <f>DataIn!I78</f>
        <v>11.3</v>
      </c>
      <c r="H28" s="7">
        <f>DataIn!G78</f>
        <v>15</v>
      </c>
      <c r="I28" s="7">
        <f>DataIn!H78</f>
        <v>2030</v>
      </c>
    </row>
  </sheetData>
  <conditionalFormatting sqref="B23:I28">
    <cfRule type="expression" dxfId="2" priority="3">
      <formula>VALUE($A23)=0</formula>
    </cfRule>
  </conditionalFormatting>
  <conditionalFormatting sqref="C11:M11">
    <cfRule type="cellIs" dxfId="1" priority="1" operator="lessThan">
      <formula>0</formula>
    </cfRule>
    <cfRule type="cellIs" dxfId="0" priority="2" operator="greaterThan">
      <formula>0</formula>
    </cfRule>
  </conditionalFormatting>
  <pageMargins left="0.75" right="0.75" top="1" bottom="1" header="0.5" footer="0.5"/>
  <headerFooter alignWithMargins="0"/>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H34"/>
  <sheetViews>
    <sheetView tabSelected="1" topLeftCell="A19" workbookViewId="0">
      <selection activeCell="E39" sqref="E39"/>
    </sheetView>
  </sheetViews>
  <sheetFormatPr defaultRowHeight="20.100000000000001" customHeight="1" x14ac:dyDescent="0.2"/>
  <cols>
    <col min="1" max="1" width="37.7109375" style="121" customWidth="1"/>
    <col min="2" max="7" width="26.85546875" style="121" customWidth="1"/>
    <col min="8" max="8" width="30.28515625" style="121" customWidth="1"/>
    <col min="9" max="9" width="16.7109375" style="121" customWidth="1"/>
    <col min="10" max="16384" width="9.140625" style="121"/>
  </cols>
  <sheetData>
    <row r="3" spans="1:7" ht="20.100000000000001" customHeight="1" x14ac:dyDescent="0.25">
      <c r="A3" s="94" t="s">
        <v>43</v>
      </c>
      <c r="B3" s="117" t="str">
        <f>DataIn!C1</f>
        <v>Durham</v>
      </c>
      <c r="C3" s="118"/>
      <c r="D3" s="119"/>
      <c r="E3" s="120"/>
    </row>
    <row r="4" spans="1:7" ht="20.100000000000001" customHeight="1" x14ac:dyDescent="0.25">
      <c r="A4" s="94" t="s">
        <v>44</v>
      </c>
      <c r="B4" s="92">
        <f>'Population&amp;Demand Projections'!C4</f>
        <v>41711</v>
      </c>
      <c r="C4" s="118"/>
      <c r="D4" s="119"/>
      <c r="E4" s="120"/>
    </row>
    <row r="5" spans="1:7" ht="20.100000000000001" customHeight="1" x14ac:dyDescent="0.2">
      <c r="A5" s="122"/>
    </row>
    <row r="6" spans="1:7" s="115" customFormat="1" ht="20.100000000000001" customHeight="1" x14ac:dyDescent="0.25">
      <c r="A6" s="125" t="s">
        <v>94</v>
      </c>
      <c r="B6" s="126"/>
      <c r="C6" s="127"/>
      <c r="D6" s="128" t="s">
        <v>95</v>
      </c>
      <c r="E6" s="128"/>
      <c r="F6" s="519"/>
      <c r="G6" s="129"/>
    </row>
    <row r="7" spans="1:7" ht="20.100000000000001" customHeight="1" x14ac:dyDescent="0.25">
      <c r="A7" s="116" t="s">
        <v>96</v>
      </c>
      <c r="B7" s="668" t="s">
        <v>567</v>
      </c>
      <c r="C7" s="669"/>
      <c r="D7" s="669"/>
      <c r="E7" s="669"/>
      <c r="F7" s="670"/>
      <c r="G7" s="671"/>
    </row>
    <row r="8" spans="1:7" ht="20.100000000000001" customHeight="1" x14ac:dyDescent="0.25">
      <c r="A8" s="116" t="s">
        <v>97</v>
      </c>
      <c r="B8" s="668" t="s">
        <v>568</v>
      </c>
      <c r="C8" s="669"/>
      <c r="D8" s="669"/>
      <c r="E8" s="669"/>
      <c r="F8" s="670"/>
      <c r="G8" s="671"/>
    </row>
    <row r="9" spans="1:7" ht="20.100000000000001" customHeight="1" x14ac:dyDescent="0.25">
      <c r="A9" s="116" t="s">
        <v>98</v>
      </c>
      <c r="B9" s="668" t="s">
        <v>522</v>
      </c>
      <c r="C9" s="669"/>
      <c r="D9" s="669"/>
      <c r="E9" s="669"/>
      <c r="F9" s="670"/>
      <c r="G9" s="671"/>
    </row>
    <row r="10" spans="1:7" ht="20.100000000000001" customHeight="1" x14ac:dyDescent="0.25">
      <c r="A10" s="116" t="s">
        <v>99</v>
      </c>
      <c r="B10" s="668" t="s">
        <v>523</v>
      </c>
      <c r="C10" s="669"/>
      <c r="D10" s="669"/>
      <c r="E10" s="669"/>
      <c r="F10" s="670"/>
      <c r="G10" s="671"/>
    </row>
    <row r="11" spans="1:7" ht="20.100000000000001" customHeight="1" x14ac:dyDescent="0.25">
      <c r="A11" s="116" t="s">
        <v>100</v>
      </c>
      <c r="B11" s="668" t="s">
        <v>569</v>
      </c>
      <c r="C11" s="669"/>
      <c r="D11" s="669"/>
      <c r="E11" s="669"/>
      <c r="F11" s="670"/>
      <c r="G11" s="671"/>
    </row>
    <row r="12" spans="1:7" ht="20.100000000000001" customHeight="1" x14ac:dyDescent="0.2">
      <c r="A12" s="122"/>
    </row>
    <row r="13" spans="1:7" ht="20.100000000000001" customHeight="1" x14ac:dyDescent="0.2">
      <c r="A13" s="122"/>
    </row>
    <row r="14" spans="1:7" ht="39.950000000000003" customHeight="1" x14ac:dyDescent="0.2">
      <c r="B14" s="520" t="s">
        <v>544</v>
      </c>
      <c r="C14" s="520" t="s">
        <v>545</v>
      </c>
      <c r="D14" s="520" t="s">
        <v>546</v>
      </c>
      <c r="E14" s="520" t="s">
        <v>547</v>
      </c>
      <c r="F14" s="520" t="s">
        <v>548</v>
      </c>
      <c r="G14" s="121" t="s">
        <v>222</v>
      </c>
    </row>
    <row r="15" spans="1:7" ht="20.100000000000001" customHeight="1" x14ac:dyDescent="0.25">
      <c r="A15" s="123" t="s">
        <v>109</v>
      </c>
      <c r="B15" s="584">
        <v>6.5</v>
      </c>
      <c r="C15" s="584">
        <v>0</v>
      </c>
      <c r="D15" s="584">
        <v>0</v>
      </c>
      <c r="E15" s="584">
        <v>0</v>
      </c>
      <c r="F15" s="584">
        <v>0</v>
      </c>
      <c r="G15" s="121" t="s">
        <v>223</v>
      </c>
    </row>
    <row r="16" spans="1:7" ht="20.100000000000001" customHeight="1" x14ac:dyDescent="0.25">
      <c r="A16" s="123" t="s">
        <v>564</v>
      </c>
      <c r="B16" s="584">
        <v>6.5</v>
      </c>
      <c r="C16" s="584">
        <v>7.4</v>
      </c>
      <c r="D16" s="584">
        <v>12</v>
      </c>
      <c r="E16" s="584">
        <v>26</v>
      </c>
      <c r="F16" s="584">
        <v>11.3</v>
      </c>
      <c r="G16" s="121" t="s">
        <v>223</v>
      </c>
    </row>
    <row r="17" spans="1:8" ht="20.100000000000001" customHeight="1" x14ac:dyDescent="0.25">
      <c r="A17" s="123" t="s">
        <v>101</v>
      </c>
      <c r="B17" s="130"/>
      <c r="C17" s="130" t="s">
        <v>239</v>
      </c>
      <c r="D17" s="130" t="s">
        <v>239</v>
      </c>
      <c r="E17" s="130" t="s">
        <v>239</v>
      </c>
      <c r="F17" s="130" t="s">
        <v>239</v>
      </c>
      <c r="G17" s="121" t="s">
        <v>230</v>
      </c>
    </row>
    <row r="18" spans="1:8" ht="20.100000000000001" customHeight="1" x14ac:dyDescent="0.25">
      <c r="A18" s="123" t="s">
        <v>102</v>
      </c>
      <c r="B18" s="521" t="s">
        <v>490</v>
      </c>
      <c r="C18" s="521" t="s">
        <v>354</v>
      </c>
      <c r="D18" s="522" t="s">
        <v>527</v>
      </c>
      <c r="E18" s="522" t="s">
        <v>527</v>
      </c>
      <c r="F18" s="522" t="s">
        <v>501</v>
      </c>
      <c r="G18" s="121" t="s">
        <v>224</v>
      </c>
      <c r="H18" s="121" t="s">
        <v>96</v>
      </c>
    </row>
    <row r="19" spans="1:8" ht="20.100000000000001" customHeight="1" x14ac:dyDescent="0.25">
      <c r="A19" s="123" t="s">
        <v>364</v>
      </c>
      <c r="B19" s="130" t="s">
        <v>528</v>
      </c>
      <c r="C19" s="130" t="s">
        <v>528</v>
      </c>
      <c r="D19" s="130" t="s">
        <v>528</v>
      </c>
      <c r="E19" s="130" t="s">
        <v>528</v>
      </c>
      <c r="F19" s="130" t="s">
        <v>528</v>
      </c>
    </row>
    <row r="20" spans="1:8" ht="20.100000000000001" customHeight="1" x14ac:dyDescent="0.25">
      <c r="A20" s="124" t="s">
        <v>552</v>
      </c>
      <c r="B20" s="523" t="s">
        <v>250</v>
      </c>
      <c r="C20" s="524" t="s">
        <v>550</v>
      </c>
      <c r="D20" s="524" t="s">
        <v>549</v>
      </c>
      <c r="E20" s="524" t="s">
        <v>549</v>
      </c>
      <c r="F20" s="524" t="s">
        <v>551</v>
      </c>
      <c r="G20" s="121" t="s">
        <v>229</v>
      </c>
    </row>
    <row r="21" spans="1:8" ht="20.100000000000001" customHeight="1" x14ac:dyDescent="0.25">
      <c r="A21" s="124" t="s">
        <v>103</v>
      </c>
      <c r="B21" s="130" t="s">
        <v>529</v>
      </c>
      <c r="C21" s="130" t="s">
        <v>250</v>
      </c>
      <c r="D21" s="130" t="s">
        <v>530</v>
      </c>
      <c r="E21" s="130" t="s">
        <v>530</v>
      </c>
      <c r="F21" s="130" t="s">
        <v>250</v>
      </c>
      <c r="G21" s="121" t="s">
        <v>231</v>
      </c>
    </row>
    <row r="22" spans="1:8" ht="20.100000000000001" customHeight="1" x14ac:dyDescent="0.25">
      <c r="A22" s="124" t="s">
        <v>104</v>
      </c>
      <c r="B22" s="130" t="s">
        <v>531</v>
      </c>
      <c r="C22" s="130" t="s">
        <v>531</v>
      </c>
      <c r="D22" s="130" t="s">
        <v>531</v>
      </c>
      <c r="E22" s="130" t="s">
        <v>531</v>
      </c>
      <c r="F22" s="130" t="s">
        <v>238</v>
      </c>
      <c r="G22" s="121" t="s">
        <v>232</v>
      </c>
    </row>
    <row r="23" spans="1:8" ht="20.100000000000001" customHeight="1" x14ac:dyDescent="0.25">
      <c r="A23" s="124" t="s">
        <v>105</v>
      </c>
      <c r="B23" s="130" t="s">
        <v>531</v>
      </c>
      <c r="C23" s="130" t="s">
        <v>531</v>
      </c>
      <c r="D23" s="130" t="s">
        <v>238</v>
      </c>
      <c r="E23" s="130" t="s">
        <v>238</v>
      </c>
      <c r="F23" s="130" t="s">
        <v>531</v>
      </c>
      <c r="G23" s="121" t="s">
        <v>232</v>
      </c>
    </row>
    <row r="24" spans="1:8" ht="20.100000000000001" customHeight="1" x14ac:dyDescent="0.25">
      <c r="A24" s="124" t="s">
        <v>106</v>
      </c>
      <c r="B24" s="130" t="s">
        <v>531</v>
      </c>
      <c r="C24" s="130" t="s">
        <v>531</v>
      </c>
      <c r="D24" s="130" t="s">
        <v>238</v>
      </c>
      <c r="E24" s="130" t="s">
        <v>238</v>
      </c>
      <c r="F24" s="130" t="s">
        <v>238</v>
      </c>
      <c r="G24" s="121" t="s">
        <v>232</v>
      </c>
    </row>
    <row r="25" spans="1:8" ht="20.100000000000001" customHeight="1" x14ac:dyDescent="0.25">
      <c r="A25" s="124" t="s">
        <v>107</v>
      </c>
      <c r="B25" s="130" t="s">
        <v>532</v>
      </c>
      <c r="C25" s="130" t="s">
        <v>250</v>
      </c>
      <c r="D25" s="130" t="s">
        <v>532</v>
      </c>
      <c r="E25" s="130" t="s">
        <v>532</v>
      </c>
      <c r="F25" s="130" t="s">
        <v>532</v>
      </c>
      <c r="G25" s="121" t="s">
        <v>233</v>
      </c>
    </row>
    <row r="26" spans="1:8" ht="20.100000000000001" customHeight="1" x14ac:dyDescent="0.25">
      <c r="A26" s="124" t="s">
        <v>108</v>
      </c>
      <c r="B26" s="130" t="s">
        <v>528</v>
      </c>
      <c r="C26" s="130" t="s">
        <v>528</v>
      </c>
      <c r="D26" s="130" t="s">
        <v>528</v>
      </c>
      <c r="E26" s="130" t="s">
        <v>528</v>
      </c>
      <c r="F26" s="130" t="s">
        <v>528</v>
      </c>
    </row>
    <row r="27" spans="1:8" ht="20.100000000000001" customHeight="1" x14ac:dyDescent="0.25">
      <c r="A27" s="124" t="s">
        <v>533</v>
      </c>
      <c r="B27" s="585" t="s">
        <v>557</v>
      </c>
      <c r="C27" s="586" t="s">
        <v>570</v>
      </c>
      <c r="D27" s="586" t="s">
        <v>558</v>
      </c>
      <c r="E27" s="586" t="s">
        <v>559</v>
      </c>
      <c r="F27" s="586" t="s">
        <v>560</v>
      </c>
      <c r="G27" s="121" t="s">
        <v>234</v>
      </c>
    </row>
    <row r="28" spans="1:8" ht="20.100000000000001" customHeight="1" x14ac:dyDescent="0.2">
      <c r="A28" s="675" t="s">
        <v>534</v>
      </c>
      <c r="B28" s="672" t="s">
        <v>578</v>
      </c>
      <c r="C28" s="677" t="s">
        <v>571</v>
      </c>
      <c r="D28" s="672" t="s">
        <v>561</v>
      </c>
      <c r="E28" s="672" t="s">
        <v>562</v>
      </c>
      <c r="F28" s="672" t="s">
        <v>572</v>
      </c>
      <c r="G28" s="121" t="s">
        <v>235</v>
      </c>
    </row>
    <row r="29" spans="1:8" ht="20.100000000000001" customHeight="1" x14ac:dyDescent="0.2">
      <c r="A29" s="676"/>
      <c r="B29" s="674"/>
      <c r="C29" s="678"/>
      <c r="D29" s="679"/>
      <c r="E29" s="679"/>
      <c r="F29" s="673"/>
    </row>
    <row r="31" spans="1:8" ht="20.100000000000001" customHeight="1" x14ac:dyDescent="0.2">
      <c r="B31" s="121" t="s">
        <v>553</v>
      </c>
    </row>
    <row r="32" spans="1:8" ht="20.100000000000001" customHeight="1" x14ac:dyDescent="0.2">
      <c r="B32" s="121" t="s">
        <v>556</v>
      </c>
    </row>
    <row r="33" spans="2:2" ht="20.100000000000001" customHeight="1" x14ac:dyDescent="0.2">
      <c r="B33" s="121" t="s">
        <v>554</v>
      </c>
    </row>
    <row r="34" spans="2:2" ht="20.100000000000001" customHeight="1" x14ac:dyDescent="0.2">
      <c r="B34" s="121" t="s">
        <v>555</v>
      </c>
    </row>
  </sheetData>
  <mergeCells count="11">
    <mergeCell ref="F28:F29"/>
    <mergeCell ref="B28:B29"/>
    <mergeCell ref="A28:A29"/>
    <mergeCell ref="C28:C29"/>
    <mergeCell ref="D28:D29"/>
    <mergeCell ref="E28:E29"/>
    <mergeCell ref="B7:G7"/>
    <mergeCell ref="B8:G8"/>
    <mergeCell ref="B9:G9"/>
    <mergeCell ref="B10:G10"/>
    <mergeCell ref="B11:G1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I46"/>
  <sheetViews>
    <sheetView workbookViewId="0">
      <selection activeCell="A2" sqref="A2"/>
    </sheetView>
  </sheetViews>
  <sheetFormatPr defaultRowHeight="12.75" x14ac:dyDescent="0.2"/>
  <cols>
    <col min="1" max="1" width="26.28515625" customWidth="1"/>
    <col min="2" max="2" width="17.7109375" customWidth="1"/>
    <col min="4" max="4" width="8.5703125" customWidth="1"/>
    <col min="6" max="6" width="11.5703125" customWidth="1"/>
  </cols>
  <sheetData>
    <row r="1" spans="1:9" x14ac:dyDescent="0.2">
      <c r="A1" s="228" t="s">
        <v>463</v>
      </c>
    </row>
    <row r="3" spans="1:9" x14ac:dyDescent="0.2">
      <c r="A3" s="228" t="s">
        <v>438</v>
      </c>
      <c r="B3" s="228" t="s">
        <v>440</v>
      </c>
    </row>
    <row r="4" spans="1:9" x14ac:dyDescent="0.2">
      <c r="A4" s="228" t="s">
        <v>15</v>
      </c>
      <c r="B4" s="228" t="s">
        <v>439</v>
      </c>
    </row>
    <row r="8" spans="1:9" x14ac:dyDescent="0.2">
      <c r="A8" s="228" t="s">
        <v>133</v>
      </c>
    </row>
    <row r="10" spans="1:9" x14ac:dyDescent="0.2">
      <c r="A10" s="264" t="s">
        <v>122</v>
      </c>
      <c r="B10" s="264" t="s">
        <v>123</v>
      </c>
      <c r="C10" s="153">
        <v>2010</v>
      </c>
      <c r="D10" s="153">
        <v>2020</v>
      </c>
      <c r="E10" s="153">
        <v>2030</v>
      </c>
      <c r="F10" s="153">
        <v>2040</v>
      </c>
      <c r="G10" s="153">
        <v>2050</v>
      </c>
      <c r="H10" s="153">
        <v>2060</v>
      </c>
      <c r="I10" s="153"/>
    </row>
    <row r="11" spans="1:9" x14ac:dyDescent="0.2">
      <c r="A11" t="s">
        <v>114</v>
      </c>
      <c r="B11" t="s">
        <v>114</v>
      </c>
      <c r="C11">
        <v>1</v>
      </c>
      <c r="D11">
        <v>1.8</v>
      </c>
      <c r="E11">
        <v>2.4</v>
      </c>
      <c r="F11">
        <v>2.9</v>
      </c>
      <c r="G11">
        <v>3.2</v>
      </c>
      <c r="H11">
        <v>3.3</v>
      </c>
    </row>
    <row r="12" spans="1:9" x14ac:dyDescent="0.2">
      <c r="A12" t="s">
        <v>115</v>
      </c>
      <c r="B12" t="s">
        <v>115</v>
      </c>
      <c r="C12">
        <v>0.6</v>
      </c>
      <c r="D12">
        <v>1</v>
      </c>
      <c r="E12">
        <v>1.4</v>
      </c>
      <c r="F12">
        <v>2</v>
      </c>
      <c r="G12">
        <v>2.2999999999999998</v>
      </c>
      <c r="H12">
        <v>2.6</v>
      </c>
    </row>
    <row r="13" spans="1:9" x14ac:dyDescent="0.2">
      <c r="A13" t="s">
        <v>116</v>
      </c>
      <c r="B13" t="s">
        <v>116</v>
      </c>
      <c r="C13">
        <v>0.45</v>
      </c>
      <c r="D13">
        <v>0.5</v>
      </c>
      <c r="E13">
        <v>0.5</v>
      </c>
      <c r="F13">
        <v>0.5</v>
      </c>
      <c r="G13">
        <v>0.5</v>
      </c>
      <c r="H13">
        <v>0.5</v>
      </c>
    </row>
    <row r="14" spans="1:9" x14ac:dyDescent="0.2">
      <c r="A14" t="s">
        <v>117</v>
      </c>
      <c r="B14" t="s">
        <v>117</v>
      </c>
      <c r="C14">
        <v>0</v>
      </c>
      <c r="D14">
        <v>0</v>
      </c>
      <c r="E14">
        <v>0</v>
      </c>
      <c r="F14">
        <v>0</v>
      </c>
      <c r="G14">
        <v>0</v>
      </c>
      <c r="H14">
        <v>0</v>
      </c>
    </row>
    <row r="15" spans="1:9" x14ac:dyDescent="0.2">
      <c r="A15" t="s">
        <v>124</v>
      </c>
      <c r="B15" t="s">
        <v>124</v>
      </c>
      <c r="C15">
        <f>0.05*SUM(C11:C14)</f>
        <v>0.10250000000000002</v>
      </c>
      <c r="D15">
        <f t="shared" ref="D15:H15" si="0">0.03*SUM(D11:D14)</f>
        <v>9.8999999999999991E-2</v>
      </c>
      <c r="E15">
        <f t="shared" si="0"/>
        <v>0.129</v>
      </c>
      <c r="F15">
        <f t="shared" si="0"/>
        <v>0.16200000000000001</v>
      </c>
      <c r="G15">
        <f t="shared" si="0"/>
        <v>0.18</v>
      </c>
      <c r="H15">
        <f t="shared" si="0"/>
        <v>0.192</v>
      </c>
    </row>
    <row r="16" spans="1:9" x14ac:dyDescent="0.2">
      <c r="A16" s="148" t="s">
        <v>124</v>
      </c>
      <c r="B16" s="148" t="s">
        <v>126</v>
      </c>
      <c r="C16">
        <f>0.04*SUM(C11:C15,C17)</f>
        <v>8.9790000000000009E-2</v>
      </c>
      <c r="D16">
        <f t="shared" ref="D16:H16" si="1">0.02*SUM(D11:D15,D17)</f>
        <v>7.0158000000000012E-2</v>
      </c>
      <c r="E16">
        <f t="shared" si="1"/>
        <v>9.1417999999999999E-2</v>
      </c>
      <c r="F16">
        <f t="shared" si="1"/>
        <v>0.11480400000000002</v>
      </c>
      <c r="G16">
        <f t="shared" si="1"/>
        <v>0.12756000000000001</v>
      </c>
      <c r="H16">
        <f t="shared" si="1"/>
        <v>0.13606400000000002</v>
      </c>
    </row>
    <row r="17" spans="1:8" x14ac:dyDescent="0.2">
      <c r="A17" s="148" t="s">
        <v>125</v>
      </c>
      <c r="B17" s="148" t="s">
        <v>127</v>
      </c>
      <c r="C17">
        <f>C15*0.9</f>
        <v>9.2250000000000026E-2</v>
      </c>
      <c r="D17">
        <f>D15*1.1</f>
        <v>0.1089</v>
      </c>
      <c r="E17">
        <f t="shared" ref="E17:H17" si="2">E15*1.1</f>
        <v>0.14190000000000003</v>
      </c>
      <c r="F17">
        <f t="shared" si="2"/>
        <v>0.17820000000000003</v>
      </c>
      <c r="G17">
        <f t="shared" si="2"/>
        <v>0.19800000000000001</v>
      </c>
      <c r="H17">
        <f t="shared" si="2"/>
        <v>0.21120000000000003</v>
      </c>
    </row>
    <row r="18" spans="1:8" x14ac:dyDescent="0.2">
      <c r="A18" s="228" t="s">
        <v>283</v>
      </c>
      <c r="B18" s="148" t="s">
        <v>160</v>
      </c>
      <c r="C18">
        <v>0.3</v>
      </c>
      <c r="D18">
        <v>0.3</v>
      </c>
      <c r="E18">
        <v>0.3</v>
      </c>
      <c r="F18">
        <v>0.55000000000000004</v>
      </c>
      <c r="G18">
        <v>0.55000000000000004</v>
      </c>
      <c r="H18">
        <v>0.55000000000000004</v>
      </c>
    </row>
    <row r="21" spans="1:8" x14ac:dyDescent="0.2">
      <c r="A21" s="153" t="s">
        <v>428</v>
      </c>
      <c r="C21" s="153">
        <v>2010</v>
      </c>
      <c r="D21" s="153">
        <v>2020</v>
      </c>
      <c r="E21" s="153">
        <v>2030</v>
      </c>
      <c r="F21" s="153">
        <v>2040</v>
      </c>
      <c r="G21" s="153">
        <v>2050</v>
      </c>
      <c r="H21" s="153">
        <v>2060</v>
      </c>
    </row>
    <row r="22" spans="1:8" x14ac:dyDescent="0.2">
      <c r="C22" s="374">
        <f>C11*1000000/80</f>
        <v>12500</v>
      </c>
      <c r="D22" s="374">
        <f>D11*1000000/75</f>
        <v>24000</v>
      </c>
      <c r="E22" s="374">
        <f>E11*1000000/72</f>
        <v>33333.333333333336</v>
      </c>
      <c r="F22" s="374">
        <f>F11*1000000/70</f>
        <v>41428.571428571428</v>
      </c>
      <c r="G22" s="374">
        <f>G11*1000000/68</f>
        <v>47058.823529411762</v>
      </c>
      <c r="H22" s="374">
        <f>H11*1000000/65</f>
        <v>50769.230769230766</v>
      </c>
    </row>
    <row r="24" spans="1:8" x14ac:dyDescent="0.2">
      <c r="A24" s="154" t="s">
        <v>160</v>
      </c>
    </row>
    <row r="25" spans="1:8" ht="38.25" x14ac:dyDescent="0.2">
      <c r="A25" s="131" t="s">
        <v>282</v>
      </c>
      <c r="B25" s="229" t="s">
        <v>442</v>
      </c>
      <c r="C25" s="131" t="s">
        <v>196</v>
      </c>
      <c r="D25" s="131" t="s">
        <v>188</v>
      </c>
      <c r="E25" s="131" t="s">
        <v>189</v>
      </c>
      <c r="F25" s="131" t="s">
        <v>191</v>
      </c>
      <c r="G25" s="131" t="s">
        <v>192</v>
      </c>
    </row>
    <row r="26" spans="1:8" x14ac:dyDescent="0.2">
      <c r="A26" s="228" t="s">
        <v>441</v>
      </c>
      <c r="B26" s="228" t="s">
        <v>443</v>
      </c>
      <c r="C26">
        <v>0.3</v>
      </c>
      <c r="D26">
        <v>2000</v>
      </c>
      <c r="E26">
        <v>2030</v>
      </c>
      <c r="F26" s="228" t="s">
        <v>194</v>
      </c>
      <c r="G26">
        <v>8</v>
      </c>
    </row>
    <row r="27" spans="1:8" x14ac:dyDescent="0.2">
      <c r="A27" s="228" t="s">
        <v>444</v>
      </c>
      <c r="B27" s="228" t="s">
        <v>445</v>
      </c>
      <c r="C27">
        <v>1.5</v>
      </c>
      <c r="D27">
        <v>2000</v>
      </c>
      <c r="F27" s="228" t="s">
        <v>34</v>
      </c>
      <c r="G27">
        <v>12</v>
      </c>
    </row>
    <row r="29" spans="1:8" x14ac:dyDescent="0.2">
      <c r="A29" s="154" t="s">
        <v>446</v>
      </c>
    </row>
    <row r="30" spans="1:8" ht="38.25" x14ac:dyDescent="0.2">
      <c r="A30" s="131" t="s">
        <v>187</v>
      </c>
      <c r="B30" s="131" t="s">
        <v>218</v>
      </c>
      <c r="C30" s="131" t="s">
        <v>196</v>
      </c>
      <c r="D30" s="131" t="s">
        <v>188</v>
      </c>
      <c r="E30" s="131" t="s">
        <v>189</v>
      </c>
      <c r="F30" s="131" t="s">
        <v>191</v>
      </c>
      <c r="G30" s="131" t="s">
        <v>192</v>
      </c>
      <c r="H30" s="131" t="s">
        <v>190</v>
      </c>
    </row>
    <row r="31" spans="1:8" x14ac:dyDescent="0.2">
      <c r="A31" s="228" t="s">
        <v>447</v>
      </c>
      <c r="B31" s="228" t="s">
        <v>448</v>
      </c>
      <c r="C31">
        <v>5</v>
      </c>
      <c r="D31">
        <v>2005</v>
      </c>
      <c r="E31">
        <v>2055</v>
      </c>
      <c r="F31" s="228" t="s">
        <v>34</v>
      </c>
      <c r="G31" s="228">
        <v>12</v>
      </c>
    </row>
    <row r="32" spans="1:8" x14ac:dyDescent="0.2">
      <c r="A32" s="228" t="s">
        <v>444</v>
      </c>
      <c r="B32" s="228" t="s">
        <v>445</v>
      </c>
      <c r="C32">
        <v>1.5</v>
      </c>
      <c r="D32">
        <v>2000</v>
      </c>
      <c r="F32" s="228" t="s">
        <v>34</v>
      </c>
      <c r="G32">
        <v>12</v>
      </c>
    </row>
    <row r="34" spans="1:9" x14ac:dyDescent="0.2">
      <c r="A34" s="154" t="s">
        <v>449</v>
      </c>
    </row>
    <row r="35" spans="1:9" ht="38.25" x14ac:dyDescent="0.2">
      <c r="A35" s="131" t="s">
        <v>132</v>
      </c>
      <c r="B35" s="131" t="s">
        <v>45</v>
      </c>
      <c r="C35" s="131" t="s">
        <v>16</v>
      </c>
      <c r="D35" s="131" t="s">
        <v>159</v>
      </c>
      <c r="E35" s="131" t="s">
        <v>177</v>
      </c>
    </row>
    <row r="36" spans="1:9" x14ac:dyDescent="0.2">
      <c r="A36" s="228" t="s">
        <v>110</v>
      </c>
      <c r="B36" s="228" t="s">
        <v>164</v>
      </c>
      <c r="C36" s="228" t="s">
        <v>171</v>
      </c>
      <c r="D36" t="s">
        <v>338</v>
      </c>
      <c r="E36">
        <v>2</v>
      </c>
    </row>
    <row r="37" spans="1:9" x14ac:dyDescent="0.2">
      <c r="A37" s="228" t="s">
        <v>450</v>
      </c>
      <c r="B37" t="s">
        <v>164</v>
      </c>
      <c r="C37" t="s">
        <v>171</v>
      </c>
      <c r="D37" t="s">
        <v>178</v>
      </c>
      <c r="E37">
        <v>3.2</v>
      </c>
    </row>
    <row r="40" spans="1:9" x14ac:dyDescent="0.2">
      <c r="A40" s="154" t="s">
        <v>221</v>
      </c>
      <c r="C40" t="s">
        <v>246</v>
      </c>
    </row>
    <row r="41" spans="1:9" ht="38.25" x14ac:dyDescent="0.2">
      <c r="A41" s="153" t="s">
        <v>158</v>
      </c>
      <c r="B41" s="376" t="s">
        <v>227</v>
      </c>
      <c r="C41" s="376" t="s">
        <v>16</v>
      </c>
      <c r="D41" s="376" t="s">
        <v>45</v>
      </c>
      <c r="E41" s="376" t="s">
        <v>159</v>
      </c>
      <c r="F41" s="376" t="s">
        <v>248</v>
      </c>
      <c r="G41" s="376" t="s">
        <v>228</v>
      </c>
      <c r="H41" s="376" t="s">
        <v>161</v>
      </c>
      <c r="I41" s="376" t="s">
        <v>240</v>
      </c>
    </row>
    <row r="42" spans="1:9" x14ac:dyDescent="0.2">
      <c r="A42" t="s">
        <v>110</v>
      </c>
      <c r="B42" t="s">
        <v>244</v>
      </c>
      <c r="C42" t="s">
        <v>171</v>
      </c>
      <c r="D42" t="s">
        <v>164</v>
      </c>
      <c r="E42" t="s">
        <v>338</v>
      </c>
      <c r="F42">
        <v>3</v>
      </c>
      <c r="G42">
        <v>2015</v>
      </c>
      <c r="H42">
        <v>4</v>
      </c>
      <c r="I42" s="228" t="s">
        <v>453</v>
      </c>
    </row>
    <row r="43" spans="1:9" x14ac:dyDescent="0.2">
      <c r="A43" s="228" t="s">
        <v>451</v>
      </c>
      <c r="B43" s="228" t="s">
        <v>241</v>
      </c>
      <c r="C43" s="228" t="s">
        <v>171</v>
      </c>
      <c r="D43" s="228" t="s">
        <v>164</v>
      </c>
      <c r="E43" s="228" t="s">
        <v>178</v>
      </c>
      <c r="F43">
        <v>10</v>
      </c>
      <c r="G43">
        <v>2025</v>
      </c>
      <c r="H43">
        <v>3</v>
      </c>
      <c r="I43" s="375" t="s">
        <v>452</v>
      </c>
    </row>
    <row r="44" spans="1:9" x14ac:dyDescent="0.2">
      <c r="A44" s="228" t="s">
        <v>454</v>
      </c>
      <c r="B44" s="228" t="s">
        <v>305</v>
      </c>
      <c r="C44" s="228" t="s">
        <v>171</v>
      </c>
      <c r="D44" s="228" t="s">
        <v>164</v>
      </c>
      <c r="E44" s="228" t="s">
        <v>178</v>
      </c>
      <c r="F44">
        <v>25</v>
      </c>
      <c r="G44">
        <v>2040</v>
      </c>
      <c r="H44">
        <v>2</v>
      </c>
    </row>
    <row r="45" spans="1:9" x14ac:dyDescent="0.2">
      <c r="A45" s="228" t="s">
        <v>455</v>
      </c>
      <c r="B45" s="228" t="s">
        <v>243</v>
      </c>
      <c r="C45" s="228" t="s">
        <v>171</v>
      </c>
      <c r="D45" s="228" t="s">
        <v>167</v>
      </c>
      <c r="F45">
        <v>1</v>
      </c>
      <c r="G45">
        <v>2014</v>
      </c>
      <c r="H45">
        <v>4</v>
      </c>
      <c r="I45" s="228" t="s">
        <v>453</v>
      </c>
    </row>
    <row r="46" spans="1:9" x14ac:dyDescent="0.2">
      <c r="A46" s="228" t="s">
        <v>456</v>
      </c>
      <c r="B46" s="228" t="s">
        <v>242</v>
      </c>
      <c r="C46" s="228" t="s">
        <v>171</v>
      </c>
      <c r="D46" s="228" t="s">
        <v>164</v>
      </c>
      <c r="E46" s="228" t="s">
        <v>178</v>
      </c>
      <c r="F46">
        <v>5</v>
      </c>
      <c r="G46">
        <v>2019</v>
      </c>
      <c r="H46">
        <v>4</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09"/>
  <sheetViews>
    <sheetView topLeftCell="H13" workbookViewId="0">
      <selection activeCell="U22" sqref="U22"/>
    </sheetView>
  </sheetViews>
  <sheetFormatPr defaultRowHeight="12.75" x14ac:dyDescent="0.2"/>
  <cols>
    <col min="1" max="1" width="19.140625" customWidth="1"/>
    <col min="2" max="2" width="30.7109375" customWidth="1"/>
    <col min="3" max="3" width="14.5703125" customWidth="1"/>
    <col min="4" max="4" width="13.42578125" customWidth="1"/>
    <col min="5" max="5" width="14.7109375" customWidth="1"/>
    <col min="6" max="6" width="16.5703125" customWidth="1"/>
    <col min="10" max="10" width="11.85546875" customWidth="1"/>
  </cols>
  <sheetData>
    <row r="2" spans="1:21" x14ac:dyDescent="0.2">
      <c r="A2" s="228" t="s">
        <v>429</v>
      </c>
    </row>
    <row r="3" spans="1:21" ht="13.5" thickBot="1" x14ac:dyDescent="0.25"/>
    <row r="4" spans="1:21" ht="15" x14ac:dyDescent="0.25">
      <c r="A4" s="271"/>
      <c r="B4" s="272" t="s">
        <v>316</v>
      </c>
      <c r="C4" s="272"/>
      <c r="D4" s="272"/>
      <c r="E4" s="272"/>
      <c r="F4" s="273"/>
      <c r="G4" s="274"/>
      <c r="J4" s="289" t="s">
        <v>317</v>
      </c>
      <c r="K4" s="289">
        <v>2010</v>
      </c>
      <c r="L4" s="290">
        <v>2015</v>
      </c>
      <c r="M4" s="289">
        <v>2020</v>
      </c>
      <c r="N4" s="290">
        <v>2025</v>
      </c>
      <c r="O4" s="289">
        <v>2030</v>
      </c>
      <c r="P4" s="290">
        <v>2035</v>
      </c>
      <c r="Q4" s="289">
        <v>2040</v>
      </c>
      <c r="R4" s="291">
        <v>2045</v>
      </c>
      <c r="S4" s="289">
        <v>2050</v>
      </c>
      <c r="T4" s="290">
        <v>2055</v>
      </c>
      <c r="U4" s="289">
        <v>2060</v>
      </c>
    </row>
    <row r="5" spans="1:21" ht="15.75" thickBot="1" x14ac:dyDescent="0.3">
      <c r="A5" s="275" t="s">
        <v>317</v>
      </c>
      <c r="B5" s="276">
        <v>2010</v>
      </c>
      <c r="C5" s="276">
        <v>2020</v>
      </c>
      <c r="D5" s="276">
        <v>2030</v>
      </c>
      <c r="E5" s="276">
        <v>2040</v>
      </c>
      <c r="F5" s="276">
        <v>2050</v>
      </c>
      <c r="G5" s="277">
        <v>2060</v>
      </c>
      <c r="J5" s="292" t="s">
        <v>204</v>
      </c>
      <c r="K5" s="293">
        <v>3.51</v>
      </c>
      <c r="L5" s="294">
        <v>4.2</v>
      </c>
      <c r="M5" s="295">
        <v>5.54</v>
      </c>
      <c r="N5" s="294">
        <v>6.6</v>
      </c>
      <c r="O5" s="293">
        <v>7.57</v>
      </c>
      <c r="P5" s="294">
        <v>8.8000000000000007</v>
      </c>
      <c r="Q5" s="293">
        <v>9.93</v>
      </c>
      <c r="R5" s="296">
        <v>10.465</v>
      </c>
      <c r="S5" s="293">
        <v>11</v>
      </c>
      <c r="T5" s="297">
        <v>11.27</v>
      </c>
      <c r="U5" s="293">
        <v>11.54</v>
      </c>
    </row>
    <row r="6" spans="1:21" ht="15.75" thickTop="1" x14ac:dyDescent="0.25">
      <c r="A6" s="278" t="s">
        <v>204</v>
      </c>
      <c r="B6" s="279">
        <v>3.51</v>
      </c>
      <c r="C6" s="279">
        <v>5.54</v>
      </c>
      <c r="D6" s="279">
        <v>7.57</v>
      </c>
      <c r="E6" s="279">
        <v>9.93</v>
      </c>
      <c r="F6" s="279">
        <v>11</v>
      </c>
      <c r="G6" s="280">
        <v>11.54</v>
      </c>
      <c r="J6" s="292" t="s">
        <v>318</v>
      </c>
      <c r="K6" s="293">
        <v>14.89</v>
      </c>
      <c r="L6" s="294">
        <v>16.7</v>
      </c>
      <c r="M6" s="295">
        <v>19.53</v>
      </c>
      <c r="N6" s="294">
        <v>22.2</v>
      </c>
      <c r="O6" s="293">
        <v>24.29</v>
      </c>
      <c r="P6" s="294">
        <v>26</v>
      </c>
      <c r="Q6" s="293">
        <v>27.42</v>
      </c>
      <c r="R6" s="296">
        <v>28.61</v>
      </c>
      <c r="S6" s="293">
        <v>29.8</v>
      </c>
      <c r="T6" s="297">
        <v>29.8</v>
      </c>
      <c r="U6" s="293">
        <v>29.8</v>
      </c>
    </row>
    <row r="7" spans="1:21" ht="15" x14ac:dyDescent="0.25">
      <c r="A7" s="281" t="s">
        <v>318</v>
      </c>
      <c r="B7" s="282">
        <v>14.89</v>
      </c>
      <c r="C7" s="282">
        <v>19.53</v>
      </c>
      <c r="D7" s="282">
        <v>24.29</v>
      </c>
      <c r="E7" s="282">
        <v>27.42</v>
      </c>
      <c r="F7" s="282">
        <v>29.8</v>
      </c>
      <c r="G7" s="283">
        <v>29.8</v>
      </c>
      <c r="J7" s="292" t="s">
        <v>319</v>
      </c>
      <c r="K7" s="293">
        <v>1.72</v>
      </c>
      <c r="L7" s="294">
        <v>2</v>
      </c>
      <c r="M7" s="295">
        <v>2.48</v>
      </c>
      <c r="N7" s="294">
        <v>2.8</v>
      </c>
      <c r="O7" s="293">
        <v>3.03</v>
      </c>
      <c r="P7" s="294">
        <v>3.3</v>
      </c>
      <c r="Q7" s="293">
        <v>3.41</v>
      </c>
      <c r="R7" s="296">
        <v>3.4699999999999998</v>
      </c>
      <c r="S7" s="293">
        <v>3.53</v>
      </c>
      <c r="T7" s="297">
        <v>3.5599999999999996</v>
      </c>
      <c r="U7" s="293">
        <v>3.59</v>
      </c>
    </row>
    <row r="8" spans="1:21" ht="15" x14ac:dyDescent="0.25">
      <c r="A8" s="281" t="s">
        <v>319</v>
      </c>
      <c r="B8" s="282">
        <v>1.72</v>
      </c>
      <c r="C8" s="282">
        <v>2.48</v>
      </c>
      <c r="D8" s="282">
        <v>3.03</v>
      </c>
      <c r="E8" s="282">
        <v>3.41</v>
      </c>
      <c r="F8" s="282">
        <v>3.53</v>
      </c>
      <c r="G8" s="283">
        <v>3.59</v>
      </c>
      <c r="J8" s="292" t="s">
        <v>215</v>
      </c>
      <c r="K8" s="293">
        <v>0.57999999999999996</v>
      </c>
      <c r="L8" s="294">
        <v>0.9</v>
      </c>
      <c r="M8" s="295">
        <v>1.39</v>
      </c>
      <c r="N8" s="294">
        <v>1.9</v>
      </c>
      <c r="O8" s="293">
        <v>2.33</v>
      </c>
      <c r="P8" s="294">
        <v>2.7</v>
      </c>
      <c r="Q8" s="293">
        <v>3.2</v>
      </c>
      <c r="R8" s="296">
        <v>3.2250000000000001</v>
      </c>
      <c r="S8" s="293">
        <v>3.25</v>
      </c>
      <c r="T8" s="297">
        <v>3.27</v>
      </c>
      <c r="U8" s="293">
        <v>3.29</v>
      </c>
    </row>
    <row r="9" spans="1:21" ht="15.75" thickBot="1" x14ac:dyDescent="0.3">
      <c r="A9" s="284" t="s">
        <v>215</v>
      </c>
      <c r="B9" s="285">
        <v>0.57999999999999996</v>
      </c>
      <c r="C9" s="285">
        <v>1.39</v>
      </c>
      <c r="D9" s="285">
        <v>2.33</v>
      </c>
      <c r="E9" s="285">
        <v>3.2</v>
      </c>
      <c r="F9" s="285">
        <v>3.25</v>
      </c>
      <c r="G9" s="286">
        <v>3.29</v>
      </c>
      <c r="J9" s="292" t="s">
        <v>206</v>
      </c>
      <c r="K9" s="293">
        <v>2.16</v>
      </c>
      <c r="L9" s="294">
        <v>3.4</v>
      </c>
      <c r="M9" s="293">
        <v>5.29</v>
      </c>
      <c r="N9" s="297">
        <v>6.8149999999999995</v>
      </c>
      <c r="O9" s="293">
        <v>8.34</v>
      </c>
      <c r="P9" s="297">
        <v>10.129999999999999</v>
      </c>
      <c r="Q9" s="293">
        <v>11.92</v>
      </c>
      <c r="R9" s="296">
        <v>13.035</v>
      </c>
      <c r="S9" s="293">
        <v>14.15</v>
      </c>
      <c r="T9" s="297">
        <v>16.13</v>
      </c>
      <c r="U9" s="293">
        <v>18.11</v>
      </c>
    </row>
    <row r="10" spans="1:21" ht="15.75" thickTop="1" x14ac:dyDescent="0.25">
      <c r="A10" s="281" t="s">
        <v>206</v>
      </c>
      <c r="B10" s="282">
        <v>2.16</v>
      </c>
      <c r="C10" s="282">
        <v>5.29</v>
      </c>
      <c r="D10" s="282">
        <v>8.34</v>
      </c>
      <c r="E10" s="282">
        <v>11.92</v>
      </c>
      <c r="F10" s="282">
        <v>14.15</v>
      </c>
      <c r="G10" s="283">
        <v>18.11</v>
      </c>
      <c r="J10" s="428" t="s">
        <v>207</v>
      </c>
      <c r="K10" s="429">
        <v>25.27</v>
      </c>
      <c r="L10" s="430">
        <v>27.967703227188579</v>
      </c>
      <c r="M10" s="429">
        <v>30.665406454377155</v>
      </c>
      <c r="N10" s="430">
        <v>32.408813687753131</v>
      </c>
      <c r="O10" s="429">
        <v>34.152220921129107</v>
      </c>
      <c r="P10" s="430">
        <v>36.126962597363317</v>
      </c>
      <c r="Q10" s="429">
        <v>38.101704273597534</v>
      </c>
      <c r="R10" s="431">
        <v>39.978856971645754</v>
      </c>
      <c r="S10" s="429">
        <v>41.856009669693982</v>
      </c>
      <c r="T10" s="430">
        <v>43.114640313131758</v>
      </c>
      <c r="U10" s="429">
        <v>44.373270956569534</v>
      </c>
    </row>
    <row r="11" spans="1:21" ht="15" x14ac:dyDescent="0.25">
      <c r="A11" s="425" t="s">
        <v>207</v>
      </c>
      <c r="B11" s="426">
        <v>25.27</v>
      </c>
      <c r="C11" s="426">
        <v>30.665406454377155</v>
      </c>
      <c r="D11" s="426">
        <v>34.152220921129107</v>
      </c>
      <c r="E11" s="426">
        <v>38.101704273597534</v>
      </c>
      <c r="F11" s="426">
        <v>41.856009669693982</v>
      </c>
      <c r="G11" s="427">
        <v>44.373270956569534</v>
      </c>
      <c r="J11" s="292" t="s">
        <v>208</v>
      </c>
      <c r="K11" s="293">
        <v>1.1599999999999999</v>
      </c>
      <c r="L11" s="297">
        <v>1.7399999999999998</v>
      </c>
      <c r="M11" s="293">
        <v>2.3199999999999998</v>
      </c>
      <c r="N11" s="297">
        <v>2.5099999999999998</v>
      </c>
      <c r="O11" s="293">
        <v>2.7</v>
      </c>
      <c r="P11" s="297">
        <v>2.8650000000000002</v>
      </c>
      <c r="Q11" s="293">
        <v>3.03</v>
      </c>
      <c r="R11" s="296">
        <v>3.2050000000000001</v>
      </c>
      <c r="S11" s="293">
        <v>3.38</v>
      </c>
      <c r="T11" s="297">
        <v>3.54</v>
      </c>
      <c r="U11" s="293">
        <v>3.7</v>
      </c>
    </row>
    <row r="12" spans="1:21" ht="15" x14ac:dyDescent="0.25">
      <c r="A12" s="281" t="s">
        <v>208</v>
      </c>
      <c r="B12" s="282">
        <v>1.1599999999999999</v>
      </c>
      <c r="C12" s="282">
        <v>2.3199999999999998</v>
      </c>
      <c r="D12" s="282">
        <v>2.7</v>
      </c>
      <c r="E12" s="282">
        <v>3.03</v>
      </c>
      <c r="F12" s="282">
        <v>3.38</v>
      </c>
      <c r="G12" s="283">
        <v>3.7</v>
      </c>
      <c r="J12" s="292" t="s">
        <v>209</v>
      </c>
      <c r="K12" s="293">
        <v>1.98</v>
      </c>
      <c r="L12" s="297">
        <v>3.335</v>
      </c>
      <c r="M12" s="293">
        <v>4.6900000000000004</v>
      </c>
      <c r="N12" s="297">
        <v>5.2050000000000001</v>
      </c>
      <c r="O12" s="293">
        <v>5.72</v>
      </c>
      <c r="P12" s="297">
        <v>6.23</v>
      </c>
      <c r="Q12" s="293">
        <v>6.74</v>
      </c>
      <c r="R12" s="296">
        <v>7.24</v>
      </c>
      <c r="S12" s="293">
        <v>7.74</v>
      </c>
      <c r="T12" s="297">
        <v>8.26</v>
      </c>
      <c r="U12" s="293">
        <v>8.7799999999999994</v>
      </c>
    </row>
    <row r="13" spans="1:21" ht="15" x14ac:dyDescent="0.25">
      <c r="A13" s="281" t="s">
        <v>209</v>
      </c>
      <c r="B13" s="282">
        <v>1.98</v>
      </c>
      <c r="C13" s="282">
        <v>4.6900000000000004</v>
      </c>
      <c r="D13" s="282">
        <v>5.72</v>
      </c>
      <c r="E13" s="282">
        <v>6.74</v>
      </c>
      <c r="F13" s="282">
        <v>7.74</v>
      </c>
      <c r="G13" s="283">
        <v>8.7799999999999994</v>
      </c>
      <c r="J13" s="292" t="s">
        <v>210</v>
      </c>
      <c r="K13" s="293">
        <v>0.02</v>
      </c>
      <c r="L13" s="297">
        <v>0.36</v>
      </c>
      <c r="M13" s="293">
        <v>0.7</v>
      </c>
      <c r="N13" s="297">
        <v>1.145</v>
      </c>
      <c r="O13" s="293">
        <v>1.59</v>
      </c>
      <c r="P13" s="297">
        <v>2.0049999999999999</v>
      </c>
      <c r="Q13" s="293">
        <v>2.42</v>
      </c>
      <c r="R13" s="296">
        <v>2.81</v>
      </c>
      <c r="S13" s="293">
        <v>3.2</v>
      </c>
      <c r="T13" s="297">
        <v>3.56</v>
      </c>
      <c r="U13" s="293">
        <v>3.92</v>
      </c>
    </row>
    <row r="14" spans="1:21" ht="15" x14ac:dyDescent="0.25">
      <c r="A14" s="281" t="s">
        <v>210</v>
      </c>
      <c r="B14" s="282">
        <v>0.02</v>
      </c>
      <c r="C14" s="282">
        <v>0.7</v>
      </c>
      <c r="D14" s="282">
        <v>1.59</v>
      </c>
      <c r="E14" s="282">
        <v>2.42</v>
      </c>
      <c r="F14" s="282">
        <v>3.2</v>
      </c>
      <c r="G14" s="283">
        <v>3.92</v>
      </c>
      <c r="J14" s="292" t="s">
        <v>211</v>
      </c>
      <c r="K14" s="293">
        <v>7.86</v>
      </c>
      <c r="L14" s="297">
        <v>8.09</v>
      </c>
      <c r="M14" s="293">
        <v>8.32</v>
      </c>
      <c r="N14" s="297">
        <v>9</v>
      </c>
      <c r="O14" s="293">
        <v>9.68</v>
      </c>
      <c r="P14" s="297">
        <v>10.234999999999999</v>
      </c>
      <c r="Q14" s="293">
        <v>10.79</v>
      </c>
      <c r="R14" s="296">
        <v>11.324999999999999</v>
      </c>
      <c r="S14" s="293">
        <v>11.86</v>
      </c>
      <c r="T14" s="297">
        <v>12.385</v>
      </c>
      <c r="U14" s="293">
        <v>12.91</v>
      </c>
    </row>
    <row r="15" spans="1:21" ht="15" x14ac:dyDescent="0.25">
      <c r="A15" s="281" t="s">
        <v>211</v>
      </c>
      <c r="B15" s="282">
        <v>7.86</v>
      </c>
      <c r="C15" s="282">
        <v>8.32</v>
      </c>
      <c r="D15" s="282">
        <v>9.68</v>
      </c>
      <c r="E15" s="282">
        <v>10.79</v>
      </c>
      <c r="F15" s="282">
        <v>11.86</v>
      </c>
      <c r="G15" s="283">
        <v>12.91</v>
      </c>
      <c r="J15" s="292" t="s">
        <v>212</v>
      </c>
      <c r="K15" s="293">
        <v>0.62</v>
      </c>
      <c r="L15" s="297">
        <v>1.98</v>
      </c>
      <c r="M15" s="293">
        <v>3.34</v>
      </c>
      <c r="N15" s="297">
        <v>5.5549999999999997</v>
      </c>
      <c r="O15" s="293">
        <v>7.77</v>
      </c>
      <c r="P15" s="297">
        <v>8.93</v>
      </c>
      <c r="Q15" s="293">
        <v>10.09</v>
      </c>
      <c r="R15" s="296">
        <v>10.445</v>
      </c>
      <c r="S15" s="293">
        <v>10.8</v>
      </c>
      <c r="T15" s="297">
        <v>11.280000000000001</v>
      </c>
      <c r="U15" s="293">
        <v>11.76</v>
      </c>
    </row>
    <row r="16" spans="1:21" ht="15" x14ac:dyDescent="0.25">
      <c r="A16" s="281" t="s">
        <v>212</v>
      </c>
      <c r="B16" s="282">
        <v>0.62</v>
      </c>
      <c r="C16" s="282">
        <v>3.34</v>
      </c>
      <c r="D16" s="282">
        <v>7.77</v>
      </c>
      <c r="E16" s="282">
        <v>10.09</v>
      </c>
      <c r="F16" s="282">
        <v>10.8</v>
      </c>
      <c r="G16" s="283">
        <v>11.76</v>
      </c>
      <c r="J16" s="292" t="s">
        <v>213</v>
      </c>
      <c r="K16" s="293">
        <v>52</v>
      </c>
      <c r="L16" s="297">
        <v>60.95</v>
      </c>
      <c r="M16" s="293">
        <v>69.900000000000006</v>
      </c>
      <c r="N16" s="297">
        <v>76.150000000000006</v>
      </c>
      <c r="O16" s="293">
        <v>82.4</v>
      </c>
      <c r="P16" s="297">
        <v>87.35</v>
      </c>
      <c r="Q16" s="293">
        <v>92.3</v>
      </c>
      <c r="R16" s="296">
        <v>97.5</v>
      </c>
      <c r="S16" s="293">
        <v>102.7</v>
      </c>
      <c r="T16" s="297">
        <v>108.85</v>
      </c>
      <c r="U16" s="293">
        <v>115</v>
      </c>
    </row>
    <row r="17" spans="1:21" ht="15" x14ac:dyDescent="0.25">
      <c r="A17" s="281" t="s">
        <v>213</v>
      </c>
      <c r="B17" s="282">
        <v>52</v>
      </c>
      <c r="C17" s="282">
        <v>69.900000000000006</v>
      </c>
      <c r="D17" s="282">
        <v>82.4</v>
      </c>
      <c r="E17" s="282">
        <v>92.3</v>
      </c>
      <c r="F17" s="282">
        <v>102.7</v>
      </c>
      <c r="G17" s="283">
        <v>115</v>
      </c>
      <c r="J17" s="292" t="s">
        <v>214</v>
      </c>
      <c r="K17" s="293">
        <v>6.52</v>
      </c>
      <c r="L17" s="297">
        <v>7.3149999999999995</v>
      </c>
      <c r="M17" s="293">
        <v>8.11</v>
      </c>
      <c r="N17" s="297">
        <v>9.7850000000000001</v>
      </c>
      <c r="O17" s="293">
        <v>11.46</v>
      </c>
      <c r="P17" s="297">
        <v>13.335000000000001</v>
      </c>
      <c r="Q17" s="293">
        <v>15.21</v>
      </c>
      <c r="R17" s="296">
        <v>17.815000000000001</v>
      </c>
      <c r="S17" s="293">
        <v>20.420000000000002</v>
      </c>
      <c r="T17" s="297">
        <v>22.605</v>
      </c>
      <c r="U17" s="293">
        <v>24.79</v>
      </c>
    </row>
    <row r="18" spans="1:21" ht="15.75" thickBot="1" x14ac:dyDescent="0.3">
      <c r="A18" s="281" t="s">
        <v>214</v>
      </c>
      <c r="B18" s="282">
        <v>6.52</v>
      </c>
      <c r="C18" s="282">
        <v>8.11</v>
      </c>
      <c r="D18" s="282">
        <v>11.46</v>
      </c>
      <c r="E18" s="282">
        <v>15.21</v>
      </c>
      <c r="F18" s="282">
        <v>20.420000000000002</v>
      </c>
      <c r="G18" s="283">
        <v>24.79</v>
      </c>
      <c r="J18" s="289" t="s">
        <v>320</v>
      </c>
      <c r="K18" s="293">
        <v>118.28999999999998</v>
      </c>
      <c r="L18" s="293">
        <v>138.93770322718859</v>
      </c>
      <c r="M18" s="293">
        <v>162.27540645437716</v>
      </c>
      <c r="N18" s="293">
        <v>182.07381368775313</v>
      </c>
      <c r="O18" s="293">
        <v>201.0322209211291</v>
      </c>
      <c r="P18" s="293">
        <v>218.0069625973633</v>
      </c>
      <c r="Q18" s="293">
        <v>234.56170427359754</v>
      </c>
      <c r="R18" s="298">
        <v>249.12385697164575</v>
      </c>
      <c r="S18" s="293">
        <v>263.68600966969399</v>
      </c>
      <c r="T18" s="293">
        <v>277.62464031313175</v>
      </c>
      <c r="U18" s="293">
        <v>291.56327095656957</v>
      </c>
    </row>
    <row r="19" spans="1:21" ht="15.75" thickBot="1" x14ac:dyDescent="0.3">
      <c r="A19" s="287" t="s">
        <v>320</v>
      </c>
      <c r="B19" s="288">
        <f t="shared" ref="B19:G19" si="0">SUM(B6:B18)</f>
        <v>118.28999999999998</v>
      </c>
      <c r="C19" s="288">
        <f t="shared" si="0"/>
        <v>162.27540645437716</v>
      </c>
      <c r="D19" s="288">
        <f t="shared" si="0"/>
        <v>201.0322209211291</v>
      </c>
      <c r="E19" s="288">
        <f t="shared" si="0"/>
        <v>234.56170427359754</v>
      </c>
      <c r="F19" s="288">
        <f t="shared" si="0"/>
        <v>263.68600966969399</v>
      </c>
      <c r="G19" s="288">
        <f t="shared" si="0"/>
        <v>291.56327095656957</v>
      </c>
    </row>
    <row r="22" spans="1:21" ht="13.5" thickBot="1" x14ac:dyDescent="0.25">
      <c r="A22" s="153" t="s">
        <v>428</v>
      </c>
      <c r="J22" t="s">
        <v>217</v>
      </c>
    </row>
    <row r="23" spans="1:21" ht="15.75" thickBot="1" x14ac:dyDescent="0.3">
      <c r="A23" s="201" t="s">
        <v>203</v>
      </c>
      <c r="B23" s="202">
        <v>2010</v>
      </c>
      <c r="C23" s="203">
        <v>2020</v>
      </c>
      <c r="D23" s="203">
        <v>2030</v>
      </c>
      <c r="E23" s="203">
        <v>2040</v>
      </c>
      <c r="F23" s="203">
        <v>2050</v>
      </c>
      <c r="G23" s="204">
        <v>2060</v>
      </c>
      <c r="K23">
        <v>2010</v>
      </c>
      <c r="L23" s="205">
        <v>2015</v>
      </c>
      <c r="M23" s="206">
        <v>2020</v>
      </c>
      <c r="N23" s="207">
        <v>2025</v>
      </c>
      <c r="O23" s="206">
        <v>2030</v>
      </c>
      <c r="P23" s="207">
        <v>2035</v>
      </c>
      <c r="Q23" s="206">
        <v>2040</v>
      </c>
      <c r="R23" s="207">
        <v>2045</v>
      </c>
      <c r="S23">
        <v>2050</v>
      </c>
      <c r="T23" s="205">
        <v>2055</v>
      </c>
      <c r="U23">
        <v>2060</v>
      </c>
    </row>
    <row r="24" spans="1:21" ht="15" x14ac:dyDescent="0.25">
      <c r="A24" s="208" t="s">
        <v>204</v>
      </c>
      <c r="B24" s="209">
        <v>37700</v>
      </c>
      <c r="C24" s="210">
        <v>53100</v>
      </c>
      <c r="D24" s="210">
        <v>74400</v>
      </c>
      <c r="E24" s="210">
        <v>100500</v>
      </c>
      <c r="F24" s="210">
        <v>109200</v>
      </c>
      <c r="G24" s="211">
        <v>112200</v>
      </c>
      <c r="J24" s="208" t="s">
        <v>204</v>
      </c>
      <c r="K24" s="212">
        <v>37700</v>
      </c>
      <c r="L24" s="213">
        <v>41400</v>
      </c>
      <c r="M24" s="214">
        <v>53100</v>
      </c>
      <c r="N24" s="213">
        <v>63000</v>
      </c>
      <c r="O24" s="214">
        <v>74400</v>
      </c>
      <c r="P24" s="213">
        <v>87400</v>
      </c>
      <c r="Q24" s="214">
        <v>100500</v>
      </c>
      <c r="R24" s="207">
        <v>104850</v>
      </c>
      <c r="S24" s="212">
        <v>109200</v>
      </c>
      <c r="T24" s="205">
        <v>110700</v>
      </c>
      <c r="U24" s="212">
        <v>112200</v>
      </c>
    </row>
    <row r="25" spans="1:21" ht="15" x14ac:dyDescent="0.25">
      <c r="A25" s="215" t="s">
        <v>205</v>
      </c>
      <c r="B25" s="216">
        <v>145000</v>
      </c>
      <c r="C25" s="217">
        <v>176400</v>
      </c>
      <c r="D25" s="217">
        <v>208100</v>
      </c>
      <c r="E25" s="217">
        <v>230700</v>
      </c>
      <c r="F25" s="217">
        <v>247900</v>
      </c>
      <c r="G25" s="218">
        <v>248400</v>
      </c>
      <c r="J25" s="215" t="s">
        <v>205</v>
      </c>
      <c r="K25" s="212">
        <v>145000</v>
      </c>
      <c r="L25" s="213">
        <v>159800</v>
      </c>
      <c r="M25" s="214">
        <v>176400</v>
      </c>
      <c r="N25" s="213">
        <v>193200</v>
      </c>
      <c r="O25" s="214">
        <v>208100</v>
      </c>
      <c r="P25" s="213">
        <v>222300</v>
      </c>
      <c r="Q25" s="214">
        <v>230700</v>
      </c>
      <c r="R25" s="207">
        <v>239300</v>
      </c>
      <c r="S25" s="212">
        <v>247900</v>
      </c>
      <c r="T25" s="205">
        <v>248150</v>
      </c>
      <c r="U25" s="212">
        <v>248400</v>
      </c>
    </row>
    <row r="26" spans="1:21" ht="15.75" thickBot="1" x14ac:dyDescent="0.3">
      <c r="A26" s="215" t="s">
        <v>206</v>
      </c>
      <c r="B26" s="216">
        <v>10200</v>
      </c>
      <c r="C26" s="217">
        <v>25900</v>
      </c>
      <c r="D26" s="217">
        <v>41600</v>
      </c>
      <c r="E26" s="217">
        <v>57300</v>
      </c>
      <c r="F26" s="217">
        <v>73400</v>
      </c>
      <c r="G26" s="218">
        <v>94000</v>
      </c>
      <c r="J26" s="215" t="s">
        <v>206</v>
      </c>
      <c r="K26" s="212">
        <v>10200</v>
      </c>
      <c r="L26" s="207">
        <v>18050</v>
      </c>
      <c r="M26" s="214">
        <v>25900</v>
      </c>
      <c r="N26" s="207">
        <v>33750</v>
      </c>
      <c r="O26" s="214">
        <v>41600</v>
      </c>
      <c r="P26" s="207">
        <v>49450</v>
      </c>
      <c r="Q26" s="214">
        <v>57300</v>
      </c>
      <c r="R26" s="207">
        <v>65350</v>
      </c>
      <c r="S26" s="212">
        <v>73400</v>
      </c>
      <c r="T26" s="205">
        <v>83700</v>
      </c>
      <c r="U26" s="212">
        <v>94000</v>
      </c>
    </row>
    <row r="27" spans="1:21" ht="15.75" thickBot="1" x14ac:dyDescent="0.3">
      <c r="A27" s="432" t="s">
        <v>207</v>
      </c>
      <c r="B27" s="435">
        <v>246180</v>
      </c>
      <c r="C27" s="433">
        <v>286400</v>
      </c>
      <c r="D27" s="433">
        <v>329400</v>
      </c>
      <c r="E27" s="433">
        <v>372400</v>
      </c>
      <c r="F27" s="433">
        <v>415400</v>
      </c>
      <c r="G27" s="434">
        <v>458400</v>
      </c>
      <c r="J27" s="432" t="s">
        <v>207</v>
      </c>
      <c r="K27" s="440">
        <v>246180</v>
      </c>
      <c r="L27" s="441">
        <f>AVERAGE(K27,M27)</f>
        <v>266290</v>
      </c>
      <c r="M27" s="437">
        <v>286400</v>
      </c>
      <c r="N27" s="438">
        <v>307900</v>
      </c>
      <c r="O27" s="437">
        <v>329400</v>
      </c>
      <c r="P27" s="438">
        <v>350900</v>
      </c>
      <c r="Q27" s="437">
        <v>372400</v>
      </c>
      <c r="R27" s="438">
        <v>393900</v>
      </c>
      <c r="S27" s="439">
        <v>415400</v>
      </c>
      <c r="T27" s="436">
        <v>436900</v>
      </c>
      <c r="U27" s="439">
        <v>458400</v>
      </c>
    </row>
    <row r="28" spans="1:21" ht="15" x14ac:dyDescent="0.25">
      <c r="A28" s="215" t="s">
        <v>208</v>
      </c>
      <c r="B28" s="216">
        <v>14000</v>
      </c>
      <c r="C28" s="217">
        <v>16800</v>
      </c>
      <c r="D28" s="217">
        <v>20100</v>
      </c>
      <c r="E28" s="217">
        <v>24200</v>
      </c>
      <c r="F28" s="217">
        <v>29000</v>
      </c>
      <c r="G28" s="218">
        <v>33800</v>
      </c>
      <c r="J28" s="215" t="s">
        <v>208</v>
      </c>
      <c r="K28" s="212">
        <v>14000</v>
      </c>
      <c r="L28" s="205">
        <v>15400</v>
      </c>
      <c r="M28" s="214">
        <v>16800</v>
      </c>
      <c r="N28" s="207">
        <v>18450</v>
      </c>
      <c r="O28" s="214">
        <v>20100</v>
      </c>
      <c r="P28" s="207">
        <v>22150</v>
      </c>
      <c r="Q28" s="214">
        <v>24200</v>
      </c>
      <c r="R28" s="207">
        <v>26600</v>
      </c>
      <c r="S28" s="212">
        <v>29000</v>
      </c>
      <c r="T28" s="205">
        <v>31400</v>
      </c>
      <c r="U28" s="212">
        <v>33800</v>
      </c>
    </row>
    <row r="29" spans="1:21" ht="15" x14ac:dyDescent="0.25">
      <c r="A29" s="215" t="s">
        <v>209</v>
      </c>
      <c r="B29" s="216">
        <v>24700</v>
      </c>
      <c r="C29" s="217">
        <v>46700</v>
      </c>
      <c r="D29" s="217">
        <v>61900</v>
      </c>
      <c r="E29" s="217">
        <v>74800</v>
      </c>
      <c r="F29" s="217">
        <v>89000</v>
      </c>
      <c r="G29" s="218">
        <v>103300</v>
      </c>
      <c r="J29" s="215" t="s">
        <v>209</v>
      </c>
      <c r="K29" s="212">
        <v>24700</v>
      </c>
      <c r="L29" s="205">
        <v>35700</v>
      </c>
      <c r="M29" s="212">
        <v>46700</v>
      </c>
      <c r="N29" s="205">
        <v>54300</v>
      </c>
      <c r="O29" s="212">
        <v>61900</v>
      </c>
      <c r="P29" s="205">
        <v>68350</v>
      </c>
      <c r="Q29" s="212">
        <v>74800</v>
      </c>
      <c r="R29" s="205">
        <v>81900</v>
      </c>
      <c r="S29" s="212">
        <v>89000</v>
      </c>
      <c r="T29" s="205">
        <v>96150</v>
      </c>
      <c r="U29" s="212">
        <v>103300</v>
      </c>
    </row>
    <row r="30" spans="1:21" ht="15" x14ac:dyDescent="0.25">
      <c r="A30" s="215" t="s">
        <v>210</v>
      </c>
      <c r="B30" s="216">
        <v>100</v>
      </c>
      <c r="C30" s="217">
        <v>4000</v>
      </c>
      <c r="D30" s="217">
        <v>9300</v>
      </c>
      <c r="E30" s="217">
        <v>14500</v>
      </c>
      <c r="F30" s="217">
        <v>19800</v>
      </c>
      <c r="G30" s="218">
        <v>25100</v>
      </c>
      <c r="J30" s="215" t="s">
        <v>210</v>
      </c>
      <c r="K30" s="212">
        <v>100</v>
      </c>
      <c r="L30" s="205">
        <v>2050</v>
      </c>
      <c r="M30" s="212">
        <v>4000</v>
      </c>
      <c r="N30" s="205">
        <v>6650</v>
      </c>
      <c r="O30" s="212">
        <v>9300</v>
      </c>
      <c r="P30" s="205">
        <v>11900</v>
      </c>
      <c r="Q30" s="212">
        <v>14500</v>
      </c>
      <c r="R30" s="205">
        <v>17150</v>
      </c>
      <c r="S30" s="212">
        <v>19800</v>
      </c>
      <c r="T30" s="205">
        <v>22450</v>
      </c>
      <c r="U30" s="212">
        <v>25100</v>
      </c>
    </row>
    <row r="31" spans="1:21" ht="15" x14ac:dyDescent="0.25">
      <c r="A31" s="215" t="s">
        <v>211</v>
      </c>
      <c r="B31" s="216">
        <v>81000</v>
      </c>
      <c r="C31" s="217">
        <v>94300</v>
      </c>
      <c r="D31" s="217">
        <v>108600</v>
      </c>
      <c r="E31" s="217">
        <v>122800</v>
      </c>
      <c r="F31" s="217">
        <v>137100</v>
      </c>
      <c r="G31" s="218">
        <v>151300</v>
      </c>
      <c r="J31" s="215" t="s">
        <v>211</v>
      </c>
      <c r="K31" s="212">
        <v>81000</v>
      </c>
      <c r="L31" s="205">
        <v>87650</v>
      </c>
      <c r="M31" s="212">
        <v>94300</v>
      </c>
      <c r="N31" s="205">
        <v>101450</v>
      </c>
      <c r="O31" s="212">
        <v>108600</v>
      </c>
      <c r="P31" s="205">
        <v>115700</v>
      </c>
      <c r="Q31" s="212">
        <v>122800</v>
      </c>
      <c r="R31" s="205">
        <v>129950</v>
      </c>
      <c r="S31" s="212">
        <v>137100</v>
      </c>
      <c r="T31" s="205">
        <v>144200</v>
      </c>
      <c r="U31" s="212">
        <v>151300</v>
      </c>
    </row>
    <row r="32" spans="1:21" ht="15" x14ac:dyDescent="0.25">
      <c r="A32" s="215" t="s">
        <v>212</v>
      </c>
      <c r="B32" s="219">
        <v>3700</v>
      </c>
      <c r="C32" s="220">
        <v>24000</v>
      </c>
      <c r="D32" s="220">
        <v>58600</v>
      </c>
      <c r="E32" s="220">
        <v>79900</v>
      </c>
      <c r="F32" s="220">
        <v>87100</v>
      </c>
      <c r="G32" s="221">
        <v>96800</v>
      </c>
      <c r="J32" s="215" t="s">
        <v>212</v>
      </c>
      <c r="K32" s="212">
        <v>3700</v>
      </c>
      <c r="L32" s="205">
        <v>13850</v>
      </c>
      <c r="M32" s="212">
        <v>24000</v>
      </c>
      <c r="N32" s="205">
        <v>41300</v>
      </c>
      <c r="O32" s="212">
        <v>58600</v>
      </c>
      <c r="P32" s="205">
        <v>69250</v>
      </c>
      <c r="Q32" s="212">
        <v>79900</v>
      </c>
      <c r="R32" s="205">
        <v>83500</v>
      </c>
      <c r="S32" s="212">
        <v>87100</v>
      </c>
      <c r="T32" s="205">
        <v>91950</v>
      </c>
      <c r="U32" s="212">
        <v>96800</v>
      </c>
    </row>
    <row r="33" spans="1:26" ht="15" x14ac:dyDescent="0.25">
      <c r="A33" s="215" t="s">
        <v>213</v>
      </c>
      <c r="B33" s="216">
        <v>483300</v>
      </c>
      <c r="C33" s="217">
        <v>638500</v>
      </c>
      <c r="D33" s="217">
        <v>799100</v>
      </c>
      <c r="E33" s="217">
        <v>963200</v>
      </c>
      <c r="F33" s="220">
        <v>1134200</v>
      </c>
      <c r="G33" s="221">
        <v>1316200</v>
      </c>
      <c r="J33" s="215" t="s">
        <v>213</v>
      </c>
      <c r="K33" s="212">
        <v>483300</v>
      </c>
      <c r="L33" s="205">
        <v>560900</v>
      </c>
      <c r="M33" s="212">
        <v>638500</v>
      </c>
      <c r="N33" s="205">
        <v>718800</v>
      </c>
      <c r="O33" s="212">
        <v>799100</v>
      </c>
      <c r="P33" s="205">
        <v>881150</v>
      </c>
      <c r="Q33" s="212">
        <v>963200</v>
      </c>
      <c r="R33" s="205">
        <v>1048700</v>
      </c>
      <c r="S33" s="212">
        <v>1134200</v>
      </c>
      <c r="T33" s="205">
        <v>1225200</v>
      </c>
      <c r="U33" s="212">
        <v>1316200</v>
      </c>
    </row>
    <row r="34" spans="1:26" ht="15" x14ac:dyDescent="0.25">
      <c r="A34" s="215" t="s">
        <v>214</v>
      </c>
      <c r="B34" s="216">
        <v>40900</v>
      </c>
      <c r="C34" s="217">
        <v>56600</v>
      </c>
      <c r="D34" s="217">
        <v>76000</v>
      </c>
      <c r="E34" s="217">
        <v>92200</v>
      </c>
      <c r="F34" s="217">
        <v>111800</v>
      </c>
      <c r="G34" s="218">
        <v>135700</v>
      </c>
      <c r="J34" s="215" t="s">
        <v>214</v>
      </c>
      <c r="K34" s="212">
        <v>40900</v>
      </c>
      <c r="L34" s="205">
        <v>48750</v>
      </c>
      <c r="M34" s="212">
        <v>56600</v>
      </c>
      <c r="N34" s="205">
        <v>66300</v>
      </c>
      <c r="O34" s="212">
        <v>76000</v>
      </c>
      <c r="P34" s="205">
        <v>84100</v>
      </c>
      <c r="Q34" s="212">
        <v>92200</v>
      </c>
      <c r="R34" s="205">
        <v>102000</v>
      </c>
      <c r="S34" s="212">
        <v>111800</v>
      </c>
      <c r="T34" s="205">
        <v>123750</v>
      </c>
      <c r="U34" s="212">
        <v>135700</v>
      </c>
    </row>
    <row r="35" spans="1:26" ht="15.75" thickBot="1" x14ac:dyDescent="0.3">
      <c r="A35" s="222" t="s">
        <v>215</v>
      </c>
      <c r="B35" s="223">
        <v>0</v>
      </c>
      <c r="C35" s="224">
        <v>0</v>
      </c>
      <c r="D35" s="224">
        <v>0</v>
      </c>
      <c r="E35" s="224">
        <v>0</v>
      </c>
      <c r="F35" s="224">
        <v>0</v>
      </c>
      <c r="G35" s="225">
        <v>0</v>
      </c>
      <c r="J35" s="222" t="s">
        <v>215</v>
      </c>
      <c r="K35" s="212">
        <v>0</v>
      </c>
      <c r="L35" s="205">
        <v>0</v>
      </c>
      <c r="M35" s="212">
        <v>0</v>
      </c>
      <c r="N35" s="205">
        <v>0</v>
      </c>
      <c r="O35" s="212">
        <v>0</v>
      </c>
      <c r="P35" s="205">
        <v>0</v>
      </c>
      <c r="Q35" s="212">
        <v>0</v>
      </c>
      <c r="R35" s="205">
        <v>0</v>
      </c>
      <c r="S35" s="212">
        <v>0</v>
      </c>
      <c r="T35" s="205">
        <v>0</v>
      </c>
      <c r="U35" s="212">
        <v>0</v>
      </c>
    </row>
    <row r="36" spans="1:26" ht="14.25" thickTop="1" thickBot="1" x14ac:dyDescent="0.25">
      <c r="A36" s="226" t="s">
        <v>216</v>
      </c>
      <c r="B36" s="227">
        <f>SUM(B24:B35)</f>
        <v>1086780</v>
      </c>
      <c r="C36" s="227">
        <f t="shared" ref="C36:G36" si="1">SUM(C24:C35)</f>
        <v>1422700</v>
      </c>
      <c r="D36" s="227">
        <f t="shared" si="1"/>
        <v>1787100</v>
      </c>
      <c r="E36" s="227">
        <f t="shared" si="1"/>
        <v>2132500</v>
      </c>
      <c r="F36" s="227">
        <f t="shared" si="1"/>
        <v>2453900</v>
      </c>
      <c r="G36" s="227">
        <f t="shared" si="1"/>
        <v>2775200</v>
      </c>
      <c r="J36" t="s">
        <v>216</v>
      </c>
      <c r="K36" s="212">
        <v>1067700</v>
      </c>
      <c r="L36" s="212">
        <v>1240300</v>
      </c>
      <c r="M36" s="212">
        <v>1422700</v>
      </c>
      <c r="N36" s="212">
        <v>1605100</v>
      </c>
      <c r="O36" s="212">
        <v>1787100</v>
      </c>
      <c r="P36" s="212">
        <v>1962650</v>
      </c>
      <c r="Q36" s="212">
        <v>2132500</v>
      </c>
      <c r="R36" s="212">
        <v>2293200</v>
      </c>
      <c r="S36" s="212">
        <v>2453900</v>
      </c>
      <c r="T36" s="212">
        <v>2614550</v>
      </c>
      <c r="U36" s="212">
        <v>2775200</v>
      </c>
    </row>
    <row r="38" spans="1:26" x14ac:dyDescent="0.2">
      <c r="N38" s="212"/>
    </row>
    <row r="40" spans="1:26" x14ac:dyDescent="0.2">
      <c r="A40" s="242" t="s">
        <v>150</v>
      </c>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row>
    <row r="41" spans="1:26" x14ac:dyDescent="0.2">
      <c r="A41" s="154" t="s">
        <v>337</v>
      </c>
    </row>
    <row r="42" spans="1:26" ht="45" x14ac:dyDescent="0.25">
      <c r="A42" s="299" t="s">
        <v>317</v>
      </c>
      <c r="B42" s="300" t="s">
        <v>321</v>
      </c>
      <c r="C42" s="300" t="s">
        <v>227</v>
      </c>
      <c r="D42" s="300" t="s">
        <v>16</v>
      </c>
      <c r="E42" s="300" t="s">
        <v>322</v>
      </c>
      <c r="F42" s="300" t="s">
        <v>159</v>
      </c>
      <c r="G42" s="301" t="s">
        <v>323</v>
      </c>
    </row>
    <row r="43" spans="1:26" ht="15" x14ac:dyDescent="0.25">
      <c r="A43" s="302" t="s">
        <v>204</v>
      </c>
      <c r="B43" s="303" t="s">
        <v>324</v>
      </c>
      <c r="C43" s="304" t="s">
        <v>244</v>
      </c>
      <c r="D43" s="318" t="s">
        <v>171</v>
      </c>
      <c r="E43" s="305" t="s">
        <v>164</v>
      </c>
      <c r="F43" s="319" t="s">
        <v>338</v>
      </c>
      <c r="G43" s="306">
        <v>8.5</v>
      </c>
    </row>
    <row r="44" spans="1:26" ht="15" x14ac:dyDescent="0.25">
      <c r="A44" s="302" t="s">
        <v>318</v>
      </c>
      <c r="B44" s="303" t="s">
        <v>324</v>
      </c>
      <c r="C44" s="304" t="s">
        <v>244</v>
      </c>
      <c r="D44" s="318" t="s">
        <v>171</v>
      </c>
      <c r="E44" s="305" t="s">
        <v>164</v>
      </c>
      <c r="F44" s="319" t="s">
        <v>338</v>
      </c>
      <c r="G44" s="306">
        <v>23.5</v>
      </c>
    </row>
    <row r="45" spans="1:26" ht="15" x14ac:dyDescent="0.25">
      <c r="A45" s="302" t="s">
        <v>319</v>
      </c>
      <c r="B45" s="303" t="s">
        <v>324</v>
      </c>
      <c r="C45" s="304" t="s">
        <v>244</v>
      </c>
      <c r="D45" s="318" t="s">
        <v>171</v>
      </c>
      <c r="E45" s="305" t="s">
        <v>164</v>
      </c>
      <c r="F45" s="319" t="s">
        <v>338</v>
      </c>
      <c r="G45" s="306">
        <v>3.5</v>
      </c>
    </row>
    <row r="46" spans="1:26" ht="15" x14ac:dyDescent="0.25">
      <c r="A46" s="302" t="s">
        <v>215</v>
      </c>
      <c r="B46" s="303" t="s">
        <v>324</v>
      </c>
      <c r="C46" s="304" t="s">
        <v>244</v>
      </c>
      <c r="D46" s="318" t="s">
        <v>171</v>
      </c>
      <c r="E46" s="305" t="s">
        <v>164</v>
      </c>
      <c r="F46" s="319" t="s">
        <v>338</v>
      </c>
      <c r="G46" s="306">
        <v>3.5</v>
      </c>
    </row>
    <row r="47" spans="1:26" ht="15" x14ac:dyDescent="0.25">
      <c r="A47" s="308" t="s">
        <v>206</v>
      </c>
      <c r="B47" s="303" t="s">
        <v>324</v>
      </c>
      <c r="C47" s="304" t="s">
        <v>244</v>
      </c>
      <c r="D47" s="318" t="s">
        <v>171</v>
      </c>
      <c r="E47" s="305" t="s">
        <v>164</v>
      </c>
      <c r="F47" s="319" t="s">
        <v>338</v>
      </c>
      <c r="G47" s="306">
        <v>6</v>
      </c>
    </row>
    <row r="48" spans="1:26" ht="15" x14ac:dyDescent="0.25">
      <c r="A48" s="309" t="s">
        <v>207</v>
      </c>
      <c r="B48" s="303" t="s">
        <v>324</v>
      </c>
      <c r="C48" s="304" t="s">
        <v>244</v>
      </c>
      <c r="D48" s="318" t="s">
        <v>171</v>
      </c>
      <c r="E48" s="305" t="s">
        <v>164</v>
      </c>
      <c r="F48" s="319" t="s">
        <v>338</v>
      </c>
      <c r="G48" s="306">
        <v>10</v>
      </c>
    </row>
    <row r="49" spans="1:26" ht="26.25" x14ac:dyDescent="0.25">
      <c r="A49" s="310"/>
      <c r="B49" s="303" t="s">
        <v>325</v>
      </c>
      <c r="C49" s="304" t="s">
        <v>326</v>
      </c>
      <c r="D49" s="318" t="s">
        <v>171</v>
      </c>
      <c r="E49" s="305" t="s">
        <v>167</v>
      </c>
      <c r="F49" s="305" t="s">
        <v>344</v>
      </c>
      <c r="G49" s="306">
        <v>28.9</v>
      </c>
    </row>
    <row r="50" spans="1:26" ht="26.25" x14ac:dyDescent="0.25">
      <c r="A50" s="310" t="s">
        <v>208</v>
      </c>
      <c r="B50" s="303" t="s">
        <v>327</v>
      </c>
      <c r="C50" s="304" t="s">
        <v>326</v>
      </c>
      <c r="D50" s="318" t="s">
        <v>171</v>
      </c>
      <c r="E50" s="305" t="s">
        <v>167</v>
      </c>
      <c r="F50" s="320" t="s">
        <v>346</v>
      </c>
      <c r="G50" s="306">
        <v>2.6</v>
      </c>
    </row>
    <row r="51" spans="1:26" ht="15" x14ac:dyDescent="0.25">
      <c r="A51" s="309" t="s">
        <v>209</v>
      </c>
      <c r="B51" s="311" t="s">
        <v>328</v>
      </c>
      <c r="C51" s="304" t="s">
        <v>244</v>
      </c>
      <c r="D51" s="318" t="s">
        <v>171</v>
      </c>
      <c r="E51" s="305" t="s">
        <v>164</v>
      </c>
      <c r="F51" s="319" t="s">
        <v>338</v>
      </c>
      <c r="G51" s="307">
        <v>2</v>
      </c>
    </row>
    <row r="52" spans="1:26" ht="15" x14ac:dyDescent="0.25">
      <c r="A52" s="309"/>
      <c r="B52" s="303" t="s">
        <v>329</v>
      </c>
      <c r="C52" s="304" t="s">
        <v>243</v>
      </c>
      <c r="D52" s="318" t="s">
        <v>171</v>
      </c>
      <c r="E52" s="305" t="s">
        <v>164</v>
      </c>
      <c r="F52" s="318" t="s">
        <v>345</v>
      </c>
      <c r="G52" s="306">
        <v>6.67</v>
      </c>
    </row>
    <row r="53" spans="1:26" ht="26.25" x14ac:dyDescent="0.25">
      <c r="A53" s="312" t="s">
        <v>210</v>
      </c>
      <c r="B53" s="313" t="s">
        <v>330</v>
      </c>
      <c r="C53" s="314" t="s">
        <v>243</v>
      </c>
      <c r="D53" s="318" t="s">
        <v>171</v>
      </c>
      <c r="E53" s="305" t="s">
        <v>164</v>
      </c>
      <c r="F53" s="318" t="s">
        <v>345</v>
      </c>
      <c r="G53" s="315">
        <v>0.25</v>
      </c>
    </row>
    <row r="54" spans="1:26" ht="15" x14ac:dyDescent="0.25">
      <c r="A54" s="316"/>
      <c r="B54" s="317" t="s">
        <v>328</v>
      </c>
      <c r="C54" s="304" t="s">
        <v>244</v>
      </c>
      <c r="D54" s="318" t="s">
        <v>171</v>
      </c>
      <c r="E54" s="305" t="s">
        <v>164</v>
      </c>
      <c r="F54" s="319" t="s">
        <v>338</v>
      </c>
      <c r="G54" s="307">
        <v>1</v>
      </c>
    </row>
    <row r="55" spans="1:26" ht="15" x14ac:dyDescent="0.25">
      <c r="A55" s="309" t="s">
        <v>211</v>
      </c>
      <c r="B55" s="303" t="s">
        <v>324</v>
      </c>
      <c r="C55" s="131" t="s">
        <v>244</v>
      </c>
      <c r="D55" s="318" t="s">
        <v>171</v>
      </c>
      <c r="E55" s="305" t="s">
        <v>164</v>
      </c>
      <c r="F55" s="319" t="s">
        <v>338</v>
      </c>
      <c r="G55" s="306">
        <v>5</v>
      </c>
    </row>
    <row r="56" spans="1:26" ht="26.25" x14ac:dyDescent="0.25">
      <c r="A56" s="310"/>
      <c r="B56" s="303" t="s">
        <v>331</v>
      </c>
      <c r="C56" s="304" t="s">
        <v>326</v>
      </c>
      <c r="D56" s="318" t="s">
        <v>171</v>
      </c>
      <c r="E56" s="305" t="s">
        <v>164</v>
      </c>
      <c r="F56" s="319" t="s">
        <v>340</v>
      </c>
      <c r="G56" s="306">
        <v>10.5</v>
      </c>
    </row>
    <row r="57" spans="1:26" ht="26.25" x14ac:dyDescent="0.25">
      <c r="A57" s="310" t="s">
        <v>212</v>
      </c>
      <c r="B57" s="303" t="s">
        <v>332</v>
      </c>
      <c r="C57" s="304" t="s">
        <v>300</v>
      </c>
      <c r="D57" s="318" t="s">
        <v>171</v>
      </c>
      <c r="E57" s="305" t="s">
        <v>164</v>
      </c>
      <c r="F57" s="319" t="s">
        <v>341</v>
      </c>
      <c r="G57" s="306">
        <v>2</v>
      </c>
    </row>
    <row r="58" spans="1:26" ht="26.25" x14ac:dyDescent="0.25">
      <c r="A58" s="309" t="s">
        <v>213</v>
      </c>
      <c r="B58" s="303" t="s">
        <v>333</v>
      </c>
      <c r="C58" s="304" t="s">
        <v>334</v>
      </c>
      <c r="D58" s="318" t="s">
        <v>171</v>
      </c>
      <c r="E58" s="305" t="s">
        <v>167</v>
      </c>
      <c r="F58" s="319" t="s">
        <v>341</v>
      </c>
      <c r="G58" s="306">
        <v>66.099999999999994</v>
      </c>
    </row>
    <row r="59" spans="1:26" ht="26.25" x14ac:dyDescent="0.25">
      <c r="A59" s="310"/>
      <c r="B59" s="303" t="s">
        <v>335</v>
      </c>
      <c r="C59" s="304" t="s">
        <v>326</v>
      </c>
      <c r="D59" s="318" t="s">
        <v>171</v>
      </c>
      <c r="E59" s="318" t="s">
        <v>167</v>
      </c>
      <c r="F59" s="319" t="s">
        <v>342</v>
      </c>
      <c r="G59" s="306">
        <v>11.2</v>
      </c>
    </row>
    <row r="60" spans="1:26" ht="26.25" x14ac:dyDescent="0.25">
      <c r="A60" s="310" t="s">
        <v>214</v>
      </c>
      <c r="B60" s="303" t="s">
        <v>336</v>
      </c>
      <c r="C60" s="304" t="s">
        <v>300</v>
      </c>
      <c r="D60" s="318" t="s">
        <v>171</v>
      </c>
      <c r="E60" s="318" t="s">
        <v>166</v>
      </c>
      <c r="F60" s="319" t="s">
        <v>343</v>
      </c>
      <c r="G60" s="306">
        <v>12</v>
      </c>
    </row>
    <row r="62" spans="1:26" ht="15" x14ac:dyDescent="0.25">
      <c r="A62" s="361" t="s">
        <v>371</v>
      </c>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row>
    <row r="63" spans="1:26" x14ac:dyDescent="0.2">
      <c r="A63" s="154" t="s">
        <v>398</v>
      </c>
    </row>
    <row r="65" spans="1:12" x14ac:dyDescent="0.2">
      <c r="A65" t="s">
        <v>396</v>
      </c>
      <c r="B65">
        <v>2010</v>
      </c>
      <c r="C65">
        <v>2015</v>
      </c>
      <c r="D65">
        <v>2020</v>
      </c>
      <c r="E65">
        <v>2025</v>
      </c>
      <c r="F65">
        <v>2030</v>
      </c>
      <c r="G65">
        <v>2035</v>
      </c>
      <c r="H65">
        <v>2040</v>
      </c>
      <c r="I65">
        <v>2045</v>
      </c>
      <c r="J65">
        <v>2050</v>
      </c>
      <c r="K65">
        <v>2055</v>
      </c>
      <c r="L65">
        <v>2060</v>
      </c>
    </row>
    <row r="66" spans="1:12" x14ac:dyDescent="0.2">
      <c r="A66" t="s">
        <v>204</v>
      </c>
      <c r="B66">
        <v>0</v>
      </c>
      <c r="C66">
        <v>0</v>
      </c>
      <c r="D66">
        <v>0</v>
      </c>
      <c r="E66">
        <v>0</v>
      </c>
      <c r="F66">
        <v>0</v>
      </c>
      <c r="G66">
        <v>0.30000000000000071</v>
      </c>
      <c r="H66">
        <v>1.4299999999999997</v>
      </c>
      <c r="I66">
        <v>1.9649999999999999</v>
      </c>
      <c r="J66">
        <v>2.5</v>
      </c>
      <c r="K66">
        <v>2.7699999999999996</v>
      </c>
      <c r="L66">
        <v>3.0399999999999991</v>
      </c>
    </row>
    <row r="67" spans="1:12" x14ac:dyDescent="0.2">
      <c r="A67" t="s">
        <v>318</v>
      </c>
      <c r="B67">
        <v>0</v>
      </c>
      <c r="C67">
        <v>0</v>
      </c>
      <c r="D67">
        <v>0</v>
      </c>
      <c r="E67">
        <v>0</v>
      </c>
      <c r="F67">
        <v>0.78999999999999915</v>
      </c>
      <c r="G67">
        <v>2.5</v>
      </c>
      <c r="H67">
        <v>3.9200000000000017</v>
      </c>
      <c r="I67">
        <v>5.1099999999999994</v>
      </c>
      <c r="J67">
        <v>6.3000000000000007</v>
      </c>
      <c r="K67">
        <v>6.3000000000000007</v>
      </c>
      <c r="L67">
        <v>6.3000000000000007</v>
      </c>
    </row>
    <row r="68" spans="1:12" x14ac:dyDescent="0.2">
      <c r="A68" t="s">
        <v>319</v>
      </c>
      <c r="B68">
        <v>0</v>
      </c>
      <c r="C68">
        <v>0</v>
      </c>
      <c r="D68">
        <v>0</v>
      </c>
      <c r="E68">
        <v>0</v>
      </c>
      <c r="F68">
        <v>0</v>
      </c>
      <c r="G68">
        <v>0</v>
      </c>
      <c r="H68">
        <v>0</v>
      </c>
      <c r="I68">
        <v>0</v>
      </c>
      <c r="J68">
        <v>2.9999999999999805E-2</v>
      </c>
      <c r="K68">
        <v>5.9999999999999609E-2</v>
      </c>
      <c r="L68">
        <v>8.9999999999999858E-2</v>
      </c>
    </row>
    <row r="69" spans="1:12" x14ac:dyDescent="0.2">
      <c r="A69" t="s">
        <v>215</v>
      </c>
      <c r="B69">
        <v>0</v>
      </c>
      <c r="C69">
        <v>0</v>
      </c>
      <c r="D69">
        <v>0</v>
      </c>
      <c r="E69">
        <v>0</v>
      </c>
      <c r="F69">
        <v>0</v>
      </c>
      <c r="G69">
        <v>0</v>
      </c>
      <c r="H69">
        <v>0</v>
      </c>
      <c r="I69">
        <v>0</v>
      </c>
      <c r="J69">
        <v>0</v>
      </c>
      <c r="K69">
        <v>0</v>
      </c>
      <c r="L69">
        <v>0</v>
      </c>
    </row>
    <row r="70" spans="1:12" x14ac:dyDescent="0.2">
      <c r="A70" t="s">
        <v>206</v>
      </c>
      <c r="B70">
        <v>0</v>
      </c>
      <c r="C70">
        <v>0</v>
      </c>
      <c r="D70">
        <v>0</v>
      </c>
      <c r="E70">
        <v>0.8149999999999995</v>
      </c>
      <c r="F70">
        <v>2.34</v>
      </c>
      <c r="G70">
        <v>4.129999999999999</v>
      </c>
      <c r="H70">
        <v>5.92</v>
      </c>
      <c r="I70">
        <v>7.0350000000000001</v>
      </c>
      <c r="J70">
        <v>8.15</v>
      </c>
      <c r="K70">
        <v>10.129999999999999</v>
      </c>
      <c r="L70">
        <v>12.11</v>
      </c>
    </row>
    <row r="71" spans="1:12" x14ac:dyDescent="0.2">
      <c r="A71" s="442" t="s">
        <v>207</v>
      </c>
      <c r="B71" s="442">
        <v>0</v>
      </c>
      <c r="C71" s="442">
        <v>0</v>
      </c>
      <c r="D71" s="442">
        <v>0</v>
      </c>
      <c r="E71" s="442">
        <v>0</v>
      </c>
      <c r="F71" s="442">
        <v>0</v>
      </c>
      <c r="G71" s="442">
        <v>0</v>
      </c>
      <c r="H71" s="442">
        <v>0</v>
      </c>
      <c r="I71" s="442">
        <v>1.07</v>
      </c>
      <c r="J71" s="442">
        <v>2.96</v>
      </c>
      <c r="K71" s="442">
        <v>4.21</v>
      </c>
      <c r="L71" s="442">
        <v>5.47</v>
      </c>
    </row>
    <row r="72" spans="1:12" x14ac:dyDescent="0.2">
      <c r="A72" t="s">
        <v>208</v>
      </c>
      <c r="B72">
        <v>0</v>
      </c>
      <c r="C72">
        <v>0</v>
      </c>
      <c r="D72">
        <v>0</v>
      </c>
      <c r="E72">
        <v>0</v>
      </c>
      <c r="F72">
        <v>0.10000000000000009</v>
      </c>
      <c r="G72">
        <v>0.26500000000000012</v>
      </c>
      <c r="H72">
        <v>0.42999999999999972</v>
      </c>
      <c r="I72">
        <v>0.60499999999999998</v>
      </c>
      <c r="J72">
        <v>0.7799999999999998</v>
      </c>
      <c r="K72">
        <v>0.94</v>
      </c>
      <c r="L72">
        <v>1.1000000000000001</v>
      </c>
    </row>
    <row r="73" spans="1:12" x14ac:dyDescent="0.2">
      <c r="A73" t="s">
        <v>209</v>
      </c>
      <c r="B73">
        <v>0</v>
      </c>
      <c r="C73">
        <v>0</v>
      </c>
      <c r="D73">
        <v>0</v>
      </c>
      <c r="E73">
        <v>0</v>
      </c>
      <c r="F73">
        <v>0</v>
      </c>
      <c r="G73">
        <v>0</v>
      </c>
      <c r="H73">
        <v>7.0000000000000284E-2</v>
      </c>
      <c r="I73">
        <v>0.57000000000000028</v>
      </c>
      <c r="J73">
        <v>1.0700000000000003</v>
      </c>
      <c r="K73">
        <v>1.5899999999999999</v>
      </c>
      <c r="L73">
        <v>2.1099999999999994</v>
      </c>
    </row>
    <row r="74" spans="1:12" x14ac:dyDescent="0.2">
      <c r="A74" t="s">
        <v>397</v>
      </c>
      <c r="B74">
        <v>0</v>
      </c>
      <c r="C74">
        <v>0.10999999999999999</v>
      </c>
      <c r="D74">
        <v>0.44999999999999996</v>
      </c>
      <c r="E74">
        <v>0.89500000000000002</v>
      </c>
      <c r="F74">
        <v>1.34</v>
      </c>
      <c r="G74">
        <v>1.7549999999999999</v>
      </c>
      <c r="H74">
        <v>2.17</v>
      </c>
      <c r="I74">
        <v>2.56</v>
      </c>
      <c r="J74">
        <v>2.95</v>
      </c>
      <c r="K74">
        <v>3.31</v>
      </c>
      <c r="L74">
        <v>3.67</v>
      </c>
    </row>
    <row r="75" spans="1:12" x14ac:dyDescent="0.2">
      <c r="A75" t="s">
        <v>211</v>
      </c>
      <c r="B75">
        <v>0</v>
      </c>
      <c r="C75">
        <v>0</v>
      </c>
      <c r="D75">
        <v>0</v>
      </c>
      <c r="E75">
        <v>0</v>
      </c>
      <c r="F75">
        <v>0</v>
      </c>
      <c r="G75">
        <v>0</v>
      </c>
      <c r="H75">
        <v>0</v>
      </c>
      <c r="I75">
        <v>0</v>
      </c>
      <c r="J75">
        <v>0</v>
      </c>
      <c r="K75">
        <v>0</v>
      </c>
      <c r="L75">
        <v>0</v>
      </c>
    </row>
    <row r="76" spans="1:12" x14ac:dyDescent="0.2">
      <c r="A76" t="s">
        <v>212</v>
      </c>
      <c r="B76">
        <v>0</v>
      </c>
      <c r="C76">
        <v>0</v>
      </c>
      <c r="D76">
        <v>1.3399999999999999</v>
      </c>
      <c r="E76">
        <v>3.5549999999999997</v>
      </c>
      <c r="F76">
        <v>5.77</v>
      </c>
      <c r="G76">
        <v>6.93</v>
      </c>
      <c r="H76">
        <v>8.09</v>
      </c>
      <c r="I76">
        <v>8.4450000000000003</v>
      </c>
      <c r="J76">
        <v>8.8000000000000007</v>
      </c>
      <c r="K76">
        <v>9.2800000000000011</v>
      </c>
      <c r="L76">
        <v>9.76</v>
      </c>
    </row>
    <row r="77" spans="1:12" x14ac:dyDescent="0.2">
      <c r="A77" t="s">
        <v>213</v>
      </c>
      <c r="B77">
        <v>0</v>
      </c>
      <c r="C77">
        <v>0</v>
      </c>
      <c r="D77">
        <v>0</v>
      </c>
      <c r="E77">
        <v>0</v>
      </c>
      <c r="F77">
        <v>5.1000000000000085</v>
      </c>
      <c r="G77">
        <v>10.049999999999997</v>
      </c>
      <c r="H77">
        <v>15</v>
      </c>
      <c r="I77">
        <v>20.200000000000003</v>
      </c>
      <c r="J77">
        <v>25.400000000000006</v>
      </c>
      <c r="K77">
        <v>31.549999999999997</v>
      </c>
      <c r="L77">
        <v>37.700000000000003</v>
      </c>
    </row>
    <row r="78" spans="1:12" x14ac:dyDescent="0.2">
      <c r="A78" t="s">
        <v>214</v>
      </c>
      <c r="B78">
        <v>0</v>
      </c>
      <c r="C78">
        <v>0</v>
      </c>
      <c r="D78">
        <v>0</v>
      </c>
      <c r="E78">
        <v>0</v>
      </c>
      <c r="F78">
        <v>0</v>
      </c>
      <c r="G78">
        <v>1.3350000000000009</v>
      </c>
      <c r="H78">
        <v>3.2100000000000009</v>
      </c>
      <c r="I78">
        <v>5.8150000000000013</v>
      </c>
      <c r="J78">
        <v>8.4200000000000017</v>
      </c>
      <c r="K78">
        <v>10.605</v>
      </c>
      <c r="L78">
        <v>12.79</v>
      </c>
    </row>
    <row r="79" spans="1:12" x14ac:dyDescent="0.2">
      <c r="A79" t="s">
        <v>320</v>
      </c>
      <c r="B79">
        <v>0</v>
      </c>
      <c r="C79">
        <v>0.10999999999999999</v>
      </c>
      <c r="D79">
        <v>1.7899999999999998</v>
      </c>
      <c r="E79">
        <v>5.2649999999999988</v>
      </c>
      <c r="F79">
        <v>15.440000000000008</v>
      </c>
      <c r="G79">
        <v>27.264999999999997</v>
      </c>
      <c r="H79">
        <v>40.24</v>
      </c>
      <c r="I79">
        <v>53.38</v>
      </c>
      <c r="J79">
        <v>67.36</v>
      </c>
      <c r="K79">
        <v>80.75</v>
      </c>
      <c r="L79">
        <v>94.14</v>
      </c>
    </row>
    <row r="86" spans="1:18" x14ac:dyDescent="0.2">
      <c r="A86" s="242" t="s">
        <v>297</v>
      </c>
      <c r="B86" s="268"/>
      <c r="C86" s="268"/>
      <c r="D86" s="268"/>
      <c r="E86" s="268"/>
      <c r="F86" s="268"/>
      <c r="G86" s="268"/>
      <c r="H86" s="268"/>
      <c r="I86" s="268"/>
      <c r="J86" s="268"/>
      <c r="K86" s="268"/>
      <c r="L86" s="268"/>
      <c r="M86" s="268"/>
      <c r="N86" s="268"/>
      <c r="O86" s="268"/>
      <c r="P86" s="268"/>
      <c r="Q86" s="268"/>
      <c r="R86" s="268"/>
    </row>
    <row r="88" spans="1:18" x14ac:dyDescent="0.2">
      <c r="A88" s="153" t="s">
        <v>360</v>
      </c>
    </row>
    <row r="89" spans="1:18" x14ac:dyDescent="0.2">
      <c r="A89" t="s">
        <v>131</v>
      </c>
      <c r="B89" t="s">
        <v>347</v>
      </c>
      <c r="C89" t="s">
        <v>227</v>
      </c>
      <c r="D89" t="s">
        <v>16</v>
      </c>
      <c r="E89" t="s">
        <v>45</v>
      </c>
      <c r="F89" t="s">
        <v>159</v>
      </c>
      <c r="G89" t="s">
        <v>348</v>
      </c>
      <c r="H89" t="s">
        <v>248</v>
      </c>
      <c r="I89" t="s">
        <v>349</v>
      </c>
    </row>
    <row r="90" spans="1:18" x14ac:dyDescent="0.2">
      <c r="A90" t="s">
        <v>204</v>
      </c>
      <c r="B90" t="s">
        <v>350</v>
      </c>
      <c r="C90" t="s">
        <v>351</v>
      </c>
      <c r="D90" t="s">
        <v>171</v>
      </c>
      <c r="E90" t="s">
        <v>164</v>
      </c>
      <c r="F90" t="s">
        <v>338</v>
      </c>
      <c r="G90">
        <v>2</v>
      </c>
      <c r="H90">
        <v>5</v>
      </c>
      <c r="I90">
        <v>2015</v>
      </c>
    </row>
    <row r="91" spans="1:18" x14ac:dyDescent="0.2">
      <c r="A91" t="s">
        <v>204</v>
      </c>
      <c r="B91" t="s">
        <v>352</v>
      </c>
      <c r="C91" t="s">
        <v>351</v>
      </c>
      <c r="D91" t="s">
        <v>171</v>
      </c>
      <c r="E91" t="s">
        <v>164</v>
      </c>
      <c r="F91" t="s">
        <v>338</v>
      </c>
      <c r="G91">
        <v>1.1000000000000001</v>
      </c>
      <c r="H91">
        <v>5</v>
      </c>
      <c r="I91">
        <v>2045</v>
      </c>
    </row>
    <row r="92" spans="1:18" x14ac:dyDescent="0.2">
      <c r="A92" t="s">
        <v>298</v>
      </c>
      <c r="B92" t="s">
        <v>350</v>
      </c>
      <c r="C92" t="s">
        <v>351</v>
      </c>
      <c r="D92" t="s">
        <v>171</v>
      </c>
      <c r="E92" t="s">
        <v>164</v>
      </c>
      <c r="F92" t="s">
        <v>338</v>
      </c>
      <c r="G92">
        <v>5.2</v>
      </c>
      <c r="H92">
        <v>5</v>
      </c>
      <c r="I92">
        <v>2015</v>
      </c>
    </row>
    <row r="93" spans="1:18" x14ac:dyDescent="0.2">
      <c r="A93" t="s">
        <v>298</v>
      </c>
      <c r="B93" t="s">
        <v>353</v>
      </c>
      <c r="C93" t="s">
        <v>351</v>
      </c>
      <c r="D93" t="s">
        <v>171</v>
      </c>
      <c r="E93" t="s">
        <v>164</v>
      </c>
      <c r="F93" t="s">
        <v>338</v>
      </c>
      <c r="G93">
        <v>1.4</v>
      </c>
      <c r="H93">
        <v>5</v>
      </c>
      <c r="I93">
        <v>2045</v>
      </c>
    </row>
    <row r="94" spans="1:18" x14ac:dyDescent="0.2">
      <c r="A94" t="s">
        <v>299</v>
      </c>
      <c r="B94" t="s">
        <v>350</v>
      </c>
      <c r="C94" t="s">
        <v>351</v>
      </c>
      <c r="D94" t="s">
        <v>171</v>
      </c>
      <c r="E94" t="s">
        <v>164</v>
      </c>
      <c r="F94" t="s">
        <v>338</v>
      </c>
      <c r="G94">
        <v>7.1</v>
      </c>
      <c r="H94">
        <v>5</v>
      </c>
      <c r="I94">
        <v>2015</v>
      </c>
    </row>
    <row r="95" spans="1:18" x14ac:dyDescent="0.2">
      <c r="A95" t="s">
        <v>299</v>
      </c>
      <c r="B95" t="s">
        <v>353</v>
      </c>
      <c r="C95" t="s">
        <v>351</v>
      </c>
      <c r="D95" t="s">
        <v>171</v>
      </c>
      <c r="E95" t="s">
        <v>164</v>
      </c>
      <c r="F95" t="s">
        <v>338</v>
      </c>
      <c r="G95">
        <v>5.0999999999999996</v>
      </c>
      <c r="H95">
        <v>5</v>
      </c>
      <c r="I95">
        <v>2045</v>
      </c>
    </row>
    <row r="96" spans="1:18" ht="13.5" thickBot="1" x14ac:dyDescent="0.25">
      <c r="A96" t="s">
        <v>207</v>
      </c>
      <c r="B96" t="s">
        <v>306</v>
      </c>
      <c r="C96" t="s">
        <v>305</v>
      </c>
      <c r="D96" t="s">
        <v>171</v>
      </c>
      <c r="E96" t="s">
        <v>167</v>
      </c>
      <c r="F96" t="s">
        <v>354</v>
      </c>
      <c r="G96">
        <v>6</v>
      </c>
      <c r="H96">
        <v>6</v>
      </c>
      <c r="I96">
        <v>2025</v>
      </c>
    </row>
    <row r="97" spans="1:9" ht="13.5" thickBot="1" x14ac:dyDescent="0.25">
      <c r="A97" s="442" t="s">
        <v>207</v>
      </c>
      <c r="B97" s="442" t="s">
        <v>350</v>
      </c>
      <c r="C97" s="442" t="s">
        <v>351</v>
      </c>
      <c r="D97" s="442" t="s">
        <v>171</v>
      </c>
      <c r="E97" s="442" t="s">
        <v>164</v>
      </c>
      <c r="F97" s="442" t="s">
        <v>338</v>
      </c>
      <c r="G97" s="442" t="s">
        <v>355</v>
      </c>
      <c r="H97" s="442">
        <v>5</v>
      </c>
      <c r="I97" s="443">
        <v>2020</v>
      </c>
    </row>
    <row r="98" spans="1:9" x14ac:dyDescent="0.2">
      <c r="A98" t="s">
        <v>208</v>
      </c>
      <c r="B98" t="s">
        <v>302</v>
      </c>
      <c r="C98" t="s">
        <v>303</v>
      </c>
      <c r="D98" t="s">
        <v>171</v>
      </c>
      <c r="E98" t="s">
        <v>167</v>
      </c>
      <c r="F98" t="s">
        <v>346</v>
      </c>
      <c r="G98">
        <v>1.2</v>
      </c>
      <c r="H98">
        <v>8</v>
      </c>
      <c r="I98">
        <v>2020</v>
      </c>
    </row>
    <row r="99" spans="1:9" x14ac:dyDescent="0.2">
      <c r="A99" t="s">
        <v>208</v>
      </c>
      <c r="B99" t="s">
        <v>350</v>
      </c>
      <c r="C99" t="s">
        <v>351</v>
      </c>
      <c r="D99" t="s">
        <v>171</v>
      </c>
      <c r="E99" t="s">
        <v>164</v>
      </c>
      <c r="F99" t="s">
        <v>338</v>
      </c>
      <c r="G99">
        <v>1</v>
      </c>
      <c r="H99">
        <v>5</v>
      </c>
      <c r="I99">
        <v>2015</v>
      </c>
    </row>
    <row r="100" spans="1:9" x14ac:dyDescent="0.2">
      <c r="A100" t="s">
        <v>209</v>
      </c>
      <c r="B100" t="s">
        <v>350</v>
      </c>
      <c r="C100" t="s">
        <v>351</v>
      </c>
      <c r="D100" t="s">
        <v>171</v>
      </c>
      <c r="E100" t="s">
        <v>164</v>
      </c>
      <c r="F100" t="s">
        <v>338</v>
      </c>
      <c r="G100">
        <v>2</v>
      </c>
      <c r="H100">
        <v>5</v>
      </c>
      <c r="I100">
        <v>2015</v>
      </c>
    </row>
    <row r="101" spans="1:9" x14ac:dyDescent="0.2">
      <c r="A101" t="s">
        <v>209</v>
      </c>
      <c r="B101" t="s">
        <v>356</v>
      </c>
      <c r="C101" t="s">
        <v>351</v>
      </c>
      <c r="D101" t="s">
        <v>171</v>
      </c>
      <c r="E101" t="s">
        <v>164</v>
      </c>
      <c r="F101" t="s">
        <v>338</v>
      </c>
      <c r="G101">
        <v>0.2</v>
      </c>
      <c r="H101">
        <v>5</v>
      </c>
      <c r="I101">
        <v>2045</v>
      </c>
    </row>
    <row r="102" spans="1:9" x14ac:dyDescent="0.2">
      <c r="A102" t="s">
        <v>210</v>
      </c>
      <c r="B102" t="s">
        <v>307</v>
      </c>
      <c r="C102" t="s">
        <v>243</v>
      </c>
      <c r="D102" t="s">
        <v>171</v>
      </c>
      <c r="E102" t="s">
        <v>164</v>
      </c>
      <c r="F102" t="s">
        <v>357</v>
      </c>
      <c r="G102">
        <v>0.5</v>
      </c>
      <c r="H102">
        <v>1</v>
      </c>
      <c r="I102">
        <v>2015</v>
      </c>
    </row>
    <row r="103" spans="1:9" x14ac:dyDescent="0.2">
      <c r="A103" t="s">
        <v>210</v>
      </c>
      <c r="B103" t="s">
        <v>358</v>
      </c>
      <c r="C103" t="s">
        <v>243</v>
      </c>
      <c r="D103" t="s">
        <v>171</v>
      </c>
      <c r="E103" t="s">
        <v>164</v>
      </c>
      <c r="F103" t="s">
        <v>357</v>
      </c>
      <c r="G103">
        <v>1.3</v>
      </c>
      <c r="H103">
        <v>5</v>
      </c>
      <c r="I103">
        <v>2025</v>
      </c>
    </row>
    <row r="104" spans="1:9" x14ac:dyDescent="0.2">
      <c r="A104" t="s">
        <v>210</v>
      </c>
      <c r="B104" t="s">
        <v>350</v>
      </c>
      <c r="C104" t="s">
        <v>351</v>
      </c>
      <c r="D104" t="s">
        <v>171</v>
      </c>
      <c r="E104" t="s">
        <v>164</v>
      </c>
      <c r="F104" t="s">
        <v>338</v>
      </c>
      <c r="G104">
        <v>1.5</v>
      </c>
      <c r="H104">
        <v>5</v>
      </c>
      <c r="I104">
        <v>2015</v>
      </c>
    </row>
    <row r="105" spans="1:9" x14ac:dyDescent="0.2">
      <c r="A105" t="s">
        <v>210</v>
      </c>
      <c r="B105" t="s">
        <v>356</v>
      </c>
      <c r="C105" t="s">
        <v>351</v>
      </c>
      <c r="D105" t="s">
        <v>171</v>
      </c>
      <c r="E105" t="s">
        <v>164</v>
      </c>
      <c r="F105" t="s">
        <v>338</v>
      </c>
      <c r="G105">
        <v>0.5</v>
      </c>
      <c r="H105">
        <v>5</v>
      </c>
      <c r="I105">
        <v>2045</v>
      </c>
    </row>
    <row r="106" spans="1:9" x14ac:dyDescent="0.2">
      <c r="A106" t="s">
        <v>211</v>
      </c>
      <c r="B106" t="s">
        <v>304</v>
      </c>
      <c r="C106" t="s">
        <v>305</v>
      </c>
      <c r="D106" t="s">
        <v>171</v>
      </c>
      <c r="E106" t="s">
        <v>164</v>
      </c>
      <c r="F106" t="s">
        <v>339</v>
      </c>
      <c r="G106">
        <v>2.1</v>
      </c>
      <c r="H106">
        <v>7</v>
      </c>
      <c r="I106">
        <v>2035</v>
      </c>
    </row>
    <row r="107" spans="1:9" x14ac:dyDescent="0.2">
      <c r="A107" t="s">
        <v>212</v>
      </c>
      <c r="B107" t="s">
        <v>350</v>
      </c>
      <c r="C107" t="s">
        <v>351</v>
      </c>
      <c r="D107" t="s">
        <v>171</v>
      </c>
      <c r="E107" t="s">
        <v>164</v>
      </c>
      <c r="F107" t="s">
        <v>338</v>
      </c>
      <c r="G107">
        <v>6</v>
      </c>
      <c r="H107">
        <v>5</v>
      </c>
      <c r="I107">
        <v>2015</v>
      </c>
    </row>
    <row r="108" spans="1:9" x14ac:dyDescent="0.2">
      <c r="A108" t="s">
        <v>212</v>
      </c>
      <c r="B108" t="s">
        <v>301</v>
      </c>
      <c r="C108" t="s">
        <v>300</v>
      </c>
      <c r="D108" t="s">
        <v>171</v>
      </c>
      <c r="E108" t="s">
        <v>164</v>
      </c>
      <c r="F108" t="s">
        <v>341</v>
      </c>
      <c r="G108">
        <v>2</v>
      </c>
      <c r="H108">
        <v>3</v>
      </c>
      <c r="I108">
        <v>2017</v>
      </c>
    </row>
    <row r="109" spans="1:9" x14ac:dyDescent="0.2">
      <c r="A109" t="s">
        <v>212</v>
      </c>
      <c r="B109" t="s">
        <v>359</v>
      </c>
      <c r="C109" t="s">
        <v>300</v>
      </c>
      <c r="D109" t="s">
        <v>171</v>
      </c>
      <c r="E109" t="s">
        <v>164</v>
      </c>
      <c r="F109" t="s">
        <v>341</v>
      </c>
      <c r="G109">
        <v>4</v>
      </c>
      <c r="H109">
        <v>10</v>
      </c>
      <c r="I109">
        <v>2025</v>
      </c>
    </row>
  </sheetData>
  <conditionalFormatting sqref="J24:J35">
    <cfRule type="expression" dxfId="142" priority="19">
      <formula>J24=$B$1</formula>
    </cfRule>
  </conditionalFormatting>
  <conditionalFormatting sqref="A6:G18">
    <cfRule type="expression" dxfId="141" priority="18">
      <formula>$A6=$B$1</formula>
    </cfRule>
  </conditionalFormatting>
  <conditionalFormatting sqref="J5:U17">
    <cfRule type="expression" dxfId="140" priority="17">
      <formula>$J5=$B$1</formula>
    </cfRule>
  </conditionalFormatting>
  <conditionalFormatting sqref="F43">
    <cfRule type="expression" dxfId="139" priority="16">
      <formula>$N43&gt;0</formula>
    </cfRule>
  </conditionalFormatting>
  <conditionalFormatting sqref="F44">
    <cfRule type="expression" dxfId="138" priority="15">
      <formula>$N44&gt;0</formula>
    </cfRule>
  </conditionalFormatting>
  <conditionalFormatting sqref="F45">
    <cfRule type="expression" dxfId="137" priority="14">
      <formula>$N45&gt;0</formula>
    </cfRule>
  </conditionalFormatting>
  <conditionalFormatting sqref="F46">
    <cfRule type="expression" dxfId="136" priority="13">
      <formula>$N46&gt;0</formula>
    </cfRule>
  </conditionalFormatting>
  <conditionalFormatting sqref="F47">
    <cfRule type="expression" dxfId="135" priority="12">
      <formula>$N47&gt;0</formula>
    </cfRule>
  </conditionalFormatting>
  <conditionalFormatting sqref="F48">
    <cfRule type="expression" dxfId="134" priority="11">
      <formula>$N48&gt;0</formula>
    </cfRule>
  </conditionalFormatting>
  <conditionalFormatting sqref="F51">
    <cfRule type="expression" dxfId="133" priority="9">
      <formula>$N51&gt;0</formula>
    </cfRule>
  </conditionalFormatting>
  <conditionalFormatting sqref="F54">
    <cfRule type="expression" dxfId="132" priority="8">
      <formula>$N54&gt;0</formula>
    </cfRule>
  </conditionalFormatting>
  <conditionalFormatting sqref="F55">
    <cfRule type="expression" dxfId="131" priority="7">
      <formula>$N55&gt;0</formula>
    </cfRule>
  </conditionalFormatting>
  <conditionalFormatting sqref="F56">
    <cfRule type="expression" dxfId="130" priority="6">
      <formula>$N56&gt;0</formula>
    </cfRule>
  </conditionalFormatting>
  <conditionalFormatting sqref="F57">
    <cfRule type="expression" dxfId="129" priority="5">
      <formula>$N57&gt;0</formula>
    </cfRule>
  </conditionalFormatting>
  <conditionalFormatting sqref="F58">
    <cfRule type="expression" dxfId="128" priority="4">
      <formula>$N58&gt;0</formula>
    </cfRule>
  </conditionalFormatting>
  <conditionalFormatting sqref="F59">
    <cfRule type="expression" dxfId="127" priority="3">
      <formula>$N59&gt;0</formula>
    </cfRule>
  </conditionalFormatting>
  <conditionalFormatting sqref="F60">
    <cfRule type="expression" dxfId="126" priority="2">
      <formula>$N60&gt;0</formula>
    </cfRule>
  </conditionalFormatting>
  <conditionalFormatting sqref="F50">
    <cfRule type="expression" dxfId="125" priority="1">
      <formula>$N50&gt;0</formula>
    </cfRule>
  </conditionalFormatting>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00"/>
  </sheetPr>
  <dimension ref="A1:P87"/>
  <sheetViews>
    <sheetView topLeftCell="A10" zoomScale="90" zoomScaleNormal="90" workbookViewId="0">
      <selection activeCell="K80" sqref="K80"/>
    </sheetView>
  </sheetViews>
  <sheetFormatPr defaultRowHeight="12.75" x14ac:dyDescent="0.2"/>
  <cols>
    <col min="1" max="1" width="3.5703125" customWidth="1"/>
    <col min="2" max="2" width="26.5703125" customWidth="1"/>
    <col min="3" max="3" width="23.28515625" customWidth="1"/>
    <col min="4" max="4" width="10" customWidth="1"/>
    <col min="5" max="5" width="10.42578125" customWidth="1"/>
    <col min="6" max="6" width="11.140625" bestFit="1" customWidth="1"/>
    <col min="7" max="7" width="11.140625" customWidth="1"/>
    <col min="8" max="8" width="9.7109375" customWidth="1"/>
  </cols>
  <sheetData>
    <row r="1" spans="2:11" x14ac:dyDescent="0.2">
      <c r="B1" s="195" t="s">
        <v>131</v>
      </c>
      <c r="C1" s="152" t="s">
        <v>207</v>
      </c>
      <c r="E1" s="228" t="s">
        <v>44</v>
      </c>
      <c r="F1" s="238">
        <v>41711</v>
      </c>
      <c r="G1" s="228" t="s">
        <v>430</v>
      </c>
    </row>
    <row r="2" spans="2:11" x14ac:dyDescent="0.2">
      <c r="B2" s="195" t="s">
        <v>15</v>
      </c>
      <c r="C2" s="152" t="s">
        <v>477</v>
      </c>
    </row>
    <row r="3" spans="2:11" x14ac:dyDescent="0.2">
      <c r="B3" s="195"/>
      <c r="C3" s="403"/>
    </row>
    <row r="4" spans="2:11" ht="15.75" x14ac:dyDescent="0.25">
      <c r="B4" s="132" t="s">
        <v>462</v>
      </c>
      <c r="C4" s="403"/>
    </row>
    <row r="5" spans="2:11" x14ac:dyDescent="0.2">
      <c r="B5" s="154" t="s">
        <v>133</v>
      </c>
    </row>
    <row r="6" spans="2:11" x14ac:dyDescent="0.2">
      <c r="B6" s="264" t="s">
        <v>122</v>
      </c>
      <c r="C6" s="264" t="s">
        <v>123</v>
      </c>
      <c r="D6" s="264">
        <v>2010</v>
      </c>
      <c r="E6" s="264">
        <v>2020</v>
      </c>
      <c r="F6" s="264">
        <v>2030</v>
      </c>
      <c r="G6" s="264">
        <v>2040</v>
      </c>
      <c r="H6" s="264">
        <v>2050</v>
      </c>
      <c r="I6" s="264">
        <v>2060</v>
      </c>
    </row>
    <row r="7" spans="2:11" x14ac:dyDescent="0.2">
      <c r="B7" t="s">
        <v>114</v>
      </c>
      <c r="C7" t="s">
        <v>114</v>
      </c>
      <c r="D7" s="152">
        <v>13.24</v>
      </c>
      <c r="E7" s="152">
        <v>15.47</v>
      </c>
      <c r="F7" s="152">
        <v>17.46</v>
      </c>
      <c r="G7" s="152">
        <v>19.37</v>
      </c>
      <c r="H7" s="152">
        <v>21.19</v>
      </c>
      <c r="I7" s="152">
        <v>22.92</v>
      </c>
      <c r="K7" s="228" t="s">
        <v>402</v>
      </c>
    </row>
    <row r="8" spans="2:11" x14ac:dyDescent="0.2">
      <c r="B8" t="s">
        <v>115</v>
      </c>
      <c r="C8" t="s">
        <v>115</v>
      </c>
      <c r="D8" s="152">
        <v>6.62</v>
      </c>
      <c r="E8" s="152">
        <v>7.19</v>
      </c>
      <c r="F8" s="152">
        <v>8.4</v>
      </c>
      <c r="G8" s="152">
        <v>9.5</v>
      </c>
      <c r="H8" s="152">
        <v>10.53</v>
      </c>
      <c r="I8" s="152">
        <v>11.49</v>
      </c>
      <c r="K8" s="228" t="s">
        <v>403</v>
      </c>
    </row>
    <row r="9" spans="2:11" x14ac:dyDescent="0.2">
      <c r="B9" t="s">
        <v>116</v>
      </c>
      <c r="C9" t="s">
        <v>116</v>
      </c>
      <c r="D9" s="152">
        <v>1.31</v>
      </c>
      <c r="E9" s="152">
        <v>1.24</v>
      </c>
      <c r="F9" s="152">
        <v>1.47</v>
      </c>
      <c r="G9" s="152">
        <v>1.68</v>
      </c>
      <c r="H9" s="152">
        <v>1.89</v>
      </c>
      <c r="I9" s="152">
        <v>2.0699999999999998</v>
      </c>
      <c r="K9" s="228" t="s">
        <v>404</v>
      </c>
    </row>
    <row r="10" spans="2:11" x14ac:dyDescent="0.2">
      <c r="B10" t="s">
        <v>117</v>
      </c>
      <c r="C10" t="s">
        <v>117</v>
      </c>
      <c r="D10" s="152">
        <v>2.73</v>
      </c>
      <c r="E10" s="152">
        <v>2.19</v>
      </c>
      <c r="F10" s="152">
        <v>2.41</v>
      </c>
      <c r="G10" s="152">
        <v>2.63</v>
      </c>
      <c r="H10" s="152">
        <v>2.84</v>
      </c>
      <c r="I10" s="152">
        <v>3.05</v>
      </c>
    </row>
    <row r="11" spans="2:11" x14ac:dyDescent="0.2">
      <c r="B11" t="s">
        <v>124</v>
      </c>
      <c r="C11" t="s">
        <v>124</v>
      </c>
      <c r="D11" s="588" t="s">
        <v>478</v>
      </c>
      <c r="E11" s="589"/>
      <c r="F11" s="589"/>
      <c r="G11" s="589"/>
      <c r="H11" s="589"/>
      <c r="I11" s="590"/>
    </row>
    <row r="12" spans="2:11" x14ac:dyDescent="0.2">
      <c r="B12" s="148" t="s">
        <v>124</v>
      </c>
      <c r="C12" s="148" t="s">
        <v>126</v>
      </c>
      <c r="D12" s="152">
        <v>0.86</v>
      </c>
      <c r="E12" s="152">
        <v>1.04</v>
      </c>
      <c r="F12" s="152">
        <v>1.1599999999999999</v>
      </c>
      <c r="G12" s="152">
        <v>1.3</v>
      </c>
      <c r="H12" s="152">
        <v>1.42</v>
      </c>
      <c r="I12" s="152">
        <v>1.51</v>
      </c>
    </row>
    <row r="13" spans="2:11" x14ac:dyDescent="0.2">
      <c r="B13" s="148" t="s">
        <v>125</v>
      </c>
      <c r="C13" s="148" t="s">
        <v>127</v>
      </c>
      <c r="D13" s="152">
        <v>0.51</v>
      </c>
      <c r="E13" s="152">
        <v>3.53</v>
      </c>
      <c r="F13" s="152">
        <v>3.24</v>
      </c>
      <c r="G13" s="152">
        <v>3.62</v>
      </c>
      <c r="H13" s="152">
        <v>3.98</v>
      </c>
      <c r="I13" s="152">
        <v>3.33</v>
      </c>
    </row>
    <row r="14" spans="2:11" x14ac:dyDescent="0.2">
      <c r="B14" s="228" t="s">
        <v>283</v>
      </c>
      <c r="C14" s="148" t="s">
        <v>160</v>
      </c>
      <c r="D14" s="231">
        <v>0</v>
      </c>
      <c r="E14" s="231">
        <v>0</v>
      </c>
      <c r="F14" s="231">
        <v>0</v>
      </c>
      <c r="G14" s="231">
        <v>0</v>
      </c>
      <c r="H14" s="231">
        <v>0</v>
      </c>
      <c r="I14" s="231">
        <v>0</v>
      </c>
      <c r="K14" s="228" t="s">
        <v>284</v>
      </c>
    </row>
    <row r="17" spans="2:16" x14ac:dyDescent="0.2">
      <c r="B17" s="154" t="s">
        <v>285</v>
      </c>
      <c r="C17" s="228" t="s">
        <v>286</v>
      </c>
    </row>
    <row r="18" spans="2:16" x14ac:dyDescent="0.2">
      <c r="B18" s="264" t="s">
        <v>122</v>
      </c>
      <c r="C18" s="264" t="s">
        <v>123</v>
      </c>
      <c r="D18" s="264">
        <v>2010</v>
      </c>
      <c r="E18" s="264">
        <v>2015</v>
      </c>
      <c r="F18" s="264">
        <v>2020</v>
      </c>
      <c r="G18" s="264">
        <v>2025</v>
      </c>
      <c r="H18" s="264">
        <v>2030</v>
      </c>
      <c r="I18" s="264">
        <v>2035</v>
      </c>
      <c r="J18" s="264">
        <v>2040</v>
      </c>
      <c r="K18" s="264">
        <v>2045</v>
      </c>
      <c r="L18" s="264">
        <v>2050</v>
      </c>
      <c r="M18" s="264">
        <v>2055</v>
      </c>
      <c r="N18" s="264">
        <v>2060</v>
      </c>
    </row>
    <row r="19" spans="2:16" x14ac:dyDescent="0.2">
      <c r="B19" s="265" t="str">
        <f>IF(ISBLANK(B7),"",B7)</f>
        <v>Residential</v>
      </c>
      <c r="C19" s="265" t="str">
        <f>IF(ISBLANK(C7),"",C7)</f>
        <v>Residential</v>
      </c>
      <c r="D19" s="371">
        <f t="shared" ref="D19:D26" si="0">D7</f>
        <v>13.24</v>
      </c>
      <c r="E19" s="371">
        <f>AVERAGE(D19,F19)</f>
        <v>14.355</v>
      </c>
      <c r="F19" s="371">
        <f>E7</f>
        <v>15.47</v>
      </c>
      <c r="G19" s="371">
        <f>AVERAGE(F19,H19)</f>
        <v>16.465</v>
      </c>
      <c r="H19" s="371">
        <f>F7</f>
        <v>17.46</v>
      </c>
      <c r="I19" s="371">
        <f>AVERAGE(H19,J19)</f>
        <v>18.414999999999999</v>
      </c>
      <c r="J19" s="371">
        <f>G7</f>
        <v>19.37</v>
      </c>
      <c r="K19" s="371">
        <f>AVERAGE(J19,L19)</f>
        <v>20.28</v>
      </c>
      <c r="L19" s="371">
        <f>H7</f>
        <v>21.19</v>
      </c>
      <c r="M19" s="371">
        <f>AVERAGE(L19,N19)</f>
        <v>22.055</v>
      </c>
      <c r="N19" s="371">
        <f>I7</f>
        <v>22.92</v>
      </c>
    </row>
    <row r="20" spans="2:16" x14ac:dyDescent="0.2">
      <c r="B20" s="265" t="str">
        <f t="shared" ref="B20:B27" si="1">IF(ISBLANK(B8),"",B8)</f>
        <v>Commercial</v>
      </c>
      <c r="C20" s="265" t="str">
        <f t="shared" ref="C20:C26" si="2">IF(ISBLANK(C8),"",C8)</f>
        <v>Commercial</v>
      </c>
      <c r="D20" s="371">
        <f t="shared" si="0"/>
        <v>6.62</v>
      </c>
      <c r="E20" s="371">
        <f t="shared" ref="E20:E25" si="3">AVERAGE(D20,F20)</f>
        <v>6.9050000000000002</v>
      </c>
      <c r="F20" s="371">
        <f t="shared" ref="F20:F25" si="4">E8</f>
        <v>7.19</v>
      </c>
      <c r="G20" s="371">
        <f t="shared" ref="G20:G25" si="5">AVERAGE(F20,H20)</f>
        <v>7.7949999999999999</v>
      </c>
      <c r="H20" s="371">
        <f t="shared" ref="H20:H25" si="6">F8</f>
        <v>8.4</v>
      </c>
      <c r="I20" s="371">
        <f t="shared" ref="I20:I25" si="7">AVERAGE(H20,J20)</f>
        <v>8.9499999999999993</v>
      </c>
      <c r="J20" s="371">
        <f t="shared" ref="J20:J25" si="8">G8</f>
        <v>9.5</v>
      </c>
      <c r="K20" s="371">
        <f t="shared" ref="K20:K25" si="9">AVERAGE(J20,L20)</f>
        <v>10.015000000000001</v>
      </c>
      <c r="L20" s="371">
        <f t="shared" ref="L20:L25" si="10">H8</f>
        <v>10.53</v>
      </c>
      <c r="M20" s="371">
        <f t="shared" ref="M20:M25" si="11">AVERAGE(L20,N20)</f>
        <v>11.01</v>
      </c>
      <c r="N20" s="371">
        <f t="shared" ref="N20:N25" si="12">I8</f>
        <v>11.49</v>
      </c>
    </row>
    <row r="21" spans="2:16" x14ac:dyDescent="0.2">
      <c r="B21" s="265" t="str">
        <f t="shared" si="1"/>
        <v>Industrial</v>
      </c>
      <c r="C21" s="265" t="str">
        <f t="shared" si="2"/>
        <v>Industrial</v>
      </c>
      <c r="D21" s="371">
        <f t="shared" si="0"/>
        <v>1.31</v>
      </c>
      <c r="E21" s="371">
        <f t="shared" si="3"/>
        <v>1.2749999999999999</v>
      </c>
      <c r="F21" s="371">
        <f t="shared" si="4"/>
        <v>1.24</v>
      </c>
      <c r="G21" s="371">
        <f t="shared" si="5"/>
        <v>1.355</v>
      </c>
      <c r="H21" s="371">
        <f t="shared" si="6"/>
        <v>1.47</v>
      </c>
      <c r="I21" s="371">
        <f t="shared" si="7"/>
        <v>1.575</v>
      </c>
      <c r="J21" s="371">
        <f t="shared" si="8"/>
        <v>1.68</v>
      </c>
      <c r="K21" s="371">
        <f t="shared" si="9"/>
        <v>1.7849999999999999</v>
      </c>
      <c r="L21" s="371">
        <f t="shared" si="10"/>
        <v>1.89</v>
      </c>
      <c r="M21" s="371">
        <f t="shared" si="11"/>
        <v>1.98</v>
      </c>
      <c r="N21" s="371">
        <f t="shared" si="12"/>
        <v>2.0699999999999998</v>
      </c>
    </row>
    <row r="22" spans="2:16" x14ac:dyDescent="0.2">
      <c r="B22" s="265" t="str">
        <f t="shared" si="1"/>
        <v>Institutional</v>
      </c>
      <c r="C22" s="265" t="str">
        <f t="shared" si="2"/>
        <v>Institutional</v>
      </c>
      <c r="D22" s="371">
        <f t="shared" si="0"/>
        <v>2.73</v>
      </c>
      <c r="E22" s="371">
        <f t="shared" si="3"/>
        <v>2.46</v>
      </c>
      <c r="F22" s="371">
        <f t="shared" si="4"/>
        <v>2.19</v>
      </c>
      <c r="G22" s="371">
        <f t="shared" si="5"/>
        <v>2.2999999999999998</v>
      </c>
      <c r="H22" s="371">
        <f t="shared" si="6"/>
        <v>2.41</v>
      </c>
      <c r="I22" s="371">
        <f t="shared" si="7"/>
        <v>2.52</v>
      </c>
      <c r="J22" s="371">
        <f t="shared" si="8"/>
        <v>2.63</v>
      </c>
      <c r="K22" s="371">
        <f t="shared" si="9"/>
        <v>2.7349999999999999</v>
      </c>
      <c r="L22" s="371">
        <f t="shared" si="10"/>
        <v>2.84</v>
      </c>
      <c r="M22" s="371">
        <f t="shared" si="11"/>
        <v>2.9449999999999998</v>
      </c>
      <c r="N22" s="371">
        <f t="shared" si="12"/>
        <v>3.05</v>
      </c>
    </row>
    <row r="23" spans="2:16" x14ac:dyDescent="0.2">
      <c r="B23" s="265" t="str">
        <f>IF(ISBLANK(B11),"",B11)</f>
        <v>System Process</v>
      </c>
      <c r="C23" s="464" t="s">
        <v>470</v>
      </c>
      <c r="D23" s="591" t="str">
        <f t="shared" si="0"/>
        <v>(Included in Other Non-Revenue)</v>
      </c>
      <c r="E23" s="592"/>
      <c r="F23" s="592"/>
      <c r="G23" s="592"/>
      <c r="H23" s="592"/>
      <c r="I23" s="592"/>
      <c r="J23" s="592"/>
      <c r="K23" s="592"/>
      <c r="L23" s="592"/>
      <c r="M23" s="592"/>
      <c r="N23" s="592"/>
    </row>
    <row r="24" spans="2:16" x14ac:dyDescent="0.2">
      <c r="B24" s="265" t="str">
        <f>IF(ISBLANK(B12),"",B12)</f>
        <v>System Process</v>
      </c>
      <c r="C24" s="265" t="str">
        <f t="shared" si="2"/>
        <v>WTP Process</v>
      </c>
      <c r="D24" s="371">
        <f t="shared" si="0"/>
        <v>0.86</v>
      </c>
      <c r="E24" s="371">
        <f t="shared" si="3"/>
        <v>0.95</v>
      </c>
      <c r="F24" s="371">
        <f t="shared" si="4"/>
        <v>1.04</v>
      </c>
      <c r="G24" s="371">
        <f t="shared" si="5"/>
        <v>1.1000000000000001</v>
      </c>
      <c r="H24" s="371">
        <f t="shared" si="6"/>
        <v>1.1599999999999999</v>
      </c>
      <c r="I24" s="371">
        <f t="shared" si="7"/>
        <v>1.23</v>
      </c>
      <c r="J24" s="371">
        <f t="shared" si="8"/>
        <v>1.3</v>
      </c>
      <c r="K24" s="371">
        <f t="shared" si="9"/>
        <v>1.3599999999999999</v>
      </c>
      <c r="L24" s="371">
        <f t="shared" si="10"/>
        <v>1.42</v>
      </c>
      <c r="M24" s="371">
        <f t="shared" si="11"/>
        <v>1.4649999999999999</v>
      </c>
      <c r="N24" s="371">
        <f t="shared" si="12"/>
        <v>1.51</v>
      </c>
    </row>
    <row r="25" spans="2:16" x14ac:dyDescent="0.2">
      <c r="B25" s="265" t="str">
        <f>IF(ISBLANK(B13),"",B13)</f>
        <v>Non-Revenue</v>
      </c>
      <c r="C25" s="265" t="str">
        <f t="shared" si="2"/>
        <v>Other Non-Revenue</v>
      </c>
      <c r="D25" s="371">
        <f t="shared" si="0"/>
        <v>0.51</v>
      </c>
      <c r="E25" s="371">
        <f t="shared" si="3"/>
        <v>2.02</v>
      </c>
      <c r="F25" s="371">
        <f t="shared" si="4"/>
        <v>3.53</v>
      </c>
      <c r="G25" s="371">
        <f t="shared" si="5"/>
        <v>3.3849999999999998</v>
      </c>
      <c r="H25" s="371">
        <f t="shared" si="6"/>
        <v>3.24</v>
      </c>
      <c r="I25" s="371">
        <f t="shared" si="7"/>
        <v>3.43</v>
      </c>
      <c r="J25" s="371">
        <f t="shared" si="8"/>
        <v>3.62</v>
      </c>
      <c r="K25" s="371">
        <f t="shared" si="9"/>
        <v>3.8</v>
      </c>
      <c r="L25" s="371">
        <f t="shared" si="10"/>
        <v>3.98</v>
      </c>
      <c r="M25" s="371">
        <f t="shared" si="11"/>
        <v>3.6550000000000002</v>
      </c>
      <c r="N25" s="371">
        <f t="shared" si="12"/>
        <v>3.33</v>
      </c>
    </row>
    <row r="26" spans="2:16" x14ac:dyDescent="0.2">
      <c r="B26" s="265" t="str">
        <f t="shared" si="1"/>
        <v>Residential/Commercial/Etc</v>
      </c>
      <c r="C26" s="265" t="str">
        <f t="shared" si="2"/>
        <v>Sales</v>
      </c>
      <c r="D26" s="371">
        <f t="shared" si="0"/>
        <v>0</v>
      </c>
      <c r="E26" s="371">
        <f t="shared" ref="E26" si="13">AVERAGE(D26,F26)</f>
        <v>0</v>
      </c>
      <c r="F26" s="371">
        <f t="shared" ref="F26" si="14">E14</f>
        <v>0</v>
      </c>
      <c r="G26" s="371">
        <f t="shared" ref="G26" si="15">AVERAGE(F26,H26)</f>
        <v>0</v>
      </c>
      <c r="H26" s="371">
        <f t="shared" ref="H26" si="16">F14</f>
        <v>0</v>
      </c>
      <c r="I26" s="371">
        <f t="shared" ref="I26" si="17">AVERAGE(H26,J26)</f>
        <v>0</v>
      </c>
      <c r="J26" s="371">
        <f t="shared" ref="J26" si="18">G14</f>
        <v>0</v>
      </c>
      <c r="K26" s="371">
        <f t="shared" ref="K26" si="19">AVERAGE(J26,L26)</f>
        <v>0</v>
      </c>
      <c r="L26" s="371">
        <f t="shared" ref="L26" si="20">H14</f>
        <v>0</v>
      </c>
      <c r="M26" s="371">
        <f t="shared" ref="M26" si="21">AVERAGE(L26,N26)</f>
        <v>0</v>
      </c>
      <c r="N26" s="371">
        <f t="shared" ref="N26" si="22">I14</f>
        <v>0</v>
      </c>
      <c r="P26" s="228" t="s">
        <v>284</v>
      </c>
    </row>
    <row r="27" spans="2:16" x14ac:dyDescent="0.2">
      <c r="B27" t="str">
        <f t="shared" si="1"/>
        <v/>
      </c>
      <c r="C27" s="444" t="s">
        <v>130</v>
      </c>
      <c r="D27" s="444">
        <f t="shared" ref="D27:M27" si="23">ROUND(SUM(D19:D25),1)</f>
        <v>25.3</v>
      </c>
      <c r="E27" s="444">
        <f t="shared" si="23"/>
        <v>28</v>
      </c>
      <c r="F27" s="444">
        <f t="shared" si="23"/>
        <v>30.7</v>
      </c>
      <c r="G27" s="444">
        <f t="shared" si="23"/>
        <v>32.4</v>
      </c>
      <c r="H27" s="444">
        <f t="shared" si="23"/>
        <v>34.1</v>
      </c>
      <c r="I27" s="444">
        <f t="shared" si="23"/>
        <v>36.1</v>
      </c>
      <c r="J27" s="444">
        <f t="shared" si="23"/>
        <v>38.1</v>
      </c>
      <c r="K27" s="444">
        <f t="shared" si="23"/>
        <v>40</v>
      </c>
      <c r="L27" s="444">
        <f t="shared" si="23"/>
        <v>41.9</v>
      </c>
      <c r="M27" s="444">
        <f t="shared" si="23"/>
        <v>43.1</v>
      </c>
      <c r="N27" s="444">
        <f>ROUND(SUM(N19:N25),1)</f>
        <v>44.4</v>
      </c>
      <c r="O27" s="444"/>
      <c r="P27" s="228" t="s">
        <v>288</v>
      </c>
    </row>
    <row r="30" spans="2:16" x14ac:dyDescent="0.2">
      <c r="B30" s="154" t="s">
        <v>428</v>
      </c>
    </row>
    <row r="31" spans="2:16" x14ac:dyDescent="0.2">
      <c r="D31" s="264">
        <v>2010</v>
      </c>
      <c r="E31" s="264">
        <v>2020</v>
      </c>
      <c r="F31" s="264">
        <v>2030</v>
      </c>
      <c r="G31" s="264">
        <v>2040</v>
      </c>
      <c r="H31" s="264">
        <v>2050</v>
      </c>
      <c r="I31" s="264">
        <v>2060</v>
      </c>
    </row>
    <row r="32" spans="2:16" x14ac:dyDescent="0.2">
      <c r="B32" s="148" t="s">
        <v>134</v>
      </c>
      <c r="C32" s="148" t="s">
        <v>182</v>
      </c>
      <c r="D32" s="196">
        <v>246180</v>
      </c>
      <c r="E32" s="196">
        <v>286419</v>
      </c>
      <c r="F32" s="196">
        <v>329421</v>
      </c>
      <c r="G32" s="196">
        <v>372423</v>
      </c>
      <c r="H32" s="196">
        <v>415425</v>
      </c>
      <c r="I32" s="196">
        <v>458426</v>
      </c>
    </row>
    <row r="34" spans="2:14" x14ac:dyDescent="0.2">
      <c r="B34" s="228" t="s">
        <v>287</v>
      </c>
      <c r="C34" s="228" t="s">
        <v>286</v>
      </c>
    </row>
    <row r="35" spans="2:14" x14ac:dyDescent="0.2">
      <c r="D35" s="264">
        <v>2010</v>
      </c>
      <c r="E35" s="264">
        <v>2015</v>
      </c>
      <c r="F35" s="264">
        <v>2020</v>
      </c>
      <c r="G35" s="264">
        <v>2025</v>
      </c>
      <c r="H35" s="264">
        <v>2030</v>
      </c>
      <c r="I35" s="264">
        <v>2035</v>
      </c>
      <c r="J35" s="264">
        <v>2040</v>
      </c>
      <c r="K35" s="264">
        <v>2045</v>
      </c>
      <c r="L35" s="264">
        <v>2050</v>
      </c>
      <c r="M35" s="264">
        <v>2055</v>
      </c>
      <c r="N35" s="264">
        <v>2060</v>
      </c>
    </row>
    <row r="36" spans="2:14" x14ac:dyDescent="0.2">
      <c r="D36" s="445">
        <f>D32</f>
        <v>246180</v>
      </c>
      <c r="E36" s="445">
        <f>AVERAGE(D36,F36)</f>
        <v>266299.5</v>
      </c>
      <c r="F36" s="445">
        <f>E32</f>
        <v>286419</v>
      </c>
      <c r="G36" s="445">
        <f>AVERAGE(F36,H36)</f>
        <v>307920</v>
      </c>
      <c r="H36" s="445">
        <f>F32</f>
        <v>329421</v>
      </c>
      <c r="I36" s="445">
        <f>AVERAGE(H36,J36)</f>
        <v>350922</v>
      </c>
      <c r="J36" s="445">
        <f>G32</f>
        <v>372423</v>
      </c>
      <c r="K36" s="445">
        <f>AVERAGE(J36,L36)</f>
        <v>393924</v>
      </c>
      <c r="L36" s="445">
        <f>H32</f>
        <v>415425</v>
      </c>
      <c r="M36" s="445">
        <f>AVERAGE(L36,N36)</f>
        <v>436925.5</v>
      </c>
      <c r="N36" s="445">
        <f>I32</f>
        <v>458426</v>
      </c>
    </row>
    <row r="39" spans="2:14" x14ac:dyDescent="0.2">
      <c r="B39" s="154" t="s">
        <v>281</v>
      </c>
    </row>
    <row r="40" spans="2:14" ht="38.25" x14ac:dyDescent="0.2">
      <c r="B40" s="197" t="s">
        <v>282</v>
      </c>
      <c r="C40" s="197" t="s">
        <v>442</v>
      </c>
      <c r="D40" s="197" t="s">
        <v>196</v>
      </c>
      <c r="E40" s="197" t="s">
        <v>188</v>
      </c>
      <c r="F40" s="197" t="s">
        <v>189</v>
      </c>
      <c r="G40" s="197" t="s">
        <v>191</v>
      </c>
      <c r="H40" s="197" t="s">
        <v>192</v>
      </c>
    </row>
    <row r="41" spans="2:14" x14ac:dyDescent="0.2">
      <c r="B41" s="196" t="s">
        <v>318</v>
      </c>
      <c r="C41" s="446" t="s">
        <v>480</v>
      </c>
      <c r="D41" s="196"/>
      <c r="E41" s="196"/>
      <c r="F41" s="446">
        <v>2028</v>
      </c>
      <c r="G41" s="196" t="s">
        <v>34</v>
      </c>
      <c r="H41" s="446">
        <v>16</v>
      </c>
      <c r="K41" s="228" t="s">
        <v>405</v>
      </c>
    </row>
    <row r="42" spans="2:14" x14ac:dyDescent="0.2">
      <c r="B42" s="196" t="s">
        <v>481</v>
      </c>
      <c r="C42" s="446" t="s">
        <v>479</v>
      </c>
      <c r="D42" s="196"/>
      <c r="E42" s="196"/>
      <c r="F42" s="446">
        <v>2028</v>
      </c>
      <c r="G42" s="196" t="s">
        <v>34</v>
      </c>
      <c r="H42" s="446">
        <v>16</v>
      </c>
    </row>
    <row r="43" spans="2:14" x14ac:dyDescent="0.2">
      <c r="B43" s="196" t="s">
        <v>208</v>
      </c>
      <c r="C43" s="446" t="s">
        <v>482</v>
      </c>
      <c r="D43" s="196"/>
      <c r="E43" s="196"/>
      <c r="F43" s="446">
        <v>2008</v>
      </c>
      <c r="G43" s="196" t="s">
        <v>34</v>
      </c>
      <c r="H43" s="446">
        <v>16</v>
      </c>
    </row>
    <row r="44" spans="2:14" x14ac:dyDescent="0.2">
      <c r="B44" s="196" t="s">
        <v>483</v>
      </c>
      <c r="C44" s="446" t="s">
        <v>484</v>
      </c>
      <c r="D44" s="196"/>
      <c r="E44" s="196"/>
      <c r="F44" s="446">
        <v>2008</v>
      </c>
      <c r="G44" s="196" t="s">
        <v>34</v>
      </c>
      <c r="H44" s="446"/>
    </row>
    <row r="45" spans="2:14" x14ac:dyDescent="0.2">
      <c r="B45" s="196" t="s">
        <v>211</v>
      </c>
      <c r="C45" s="446" t="s">
        <v>485</v>
      </c>
      <c r="D45" s="196"/>
      <c r="E45" s="196"/>
      <c r="F45" s="446">
        <v>2029</v>
      </c>
      <c r="G45" s="196" t="s">
        <v>34</v>
      </c>
      <c r="H45" s="446">
        <v>12</v>
      </c>
    </row>
    <row r="53" spans="2:12" x14ac:dyDescent="0.2">
      <c r="B53" s="154" t="s">
        <v>176</v>
      </c>
    </row>
    <row r="54" spans="2:12" x14ac:dyDescent="0.2">
      <c r="C54" s="228" t="s">
        <v>461</v>
      </c>
    </row>
    <row r="55" spans="2:12" ht="25.5" x14ac:dyDescent="0.2">
      <c r="B55" s="448" t="s">
        <v>132</v>
      </c>
      <c r="C55" s="448" t="s">
        <v>45</v>
      </c>
      <c r="D55" s="448" t="s">
        <v>16</v>
      </c>
      <c r="E55" s="448" t="s">
        <v>517</v>
      </c>
      <c r="F55" s="448" t="s">
        <v>177</v>
      </c>
      <c r="I55" t="s">
        <v>163</v>
      </c>
      <c r="J55" s="191" t="s">
        <v>162</v>
      </c>
    </row>
    <row r="56" spans="2:12" ht="25.5" x14ac:dyDescent="0.2">
      <c r="B56" s="449" t="s">
        <v>486</v>
      </c>
      <c r="C56" s="449" t="s">
        <v>167</v>
      </c>
      <c r="D56" s="449" t="s">
        <v>171</v>
      </c>
      <c r="E56" s="450" t="s">
        <v>488</v>
      </c>
      <c r="F56" s="593">
        <v>27.9</v>
      </c>
      <c r="J56" s="148" t="s">
        <v>164</v>
      </c>
      <c r="L56" s="148" t="s">
        <v>167</v>
      </c>
    </row>
    <row r="57" spans="2:12" ht="38.25" x14ac:dyDescent="0.2">
      <c r="B57" s="449" t="s">
        <v>487</v>
      </c>
      <c r="C57" s="449" t="s">
        <v>167</v>
      </c>
      <c r="D57" s="449" t="s">
        <v>171</v>
      </c>
      <c r="E57" s="450" t="s">
        <v>489</v>
      </c>
      <c r="F57" s="594"/>
      <c r="J57" s="148" t="s">
        <v>165</v>
      </c>
      <c r="L57" s="148" t="s">
        <v>168</v>
      </c>
    </row>
    <row r="58" spans="2:12" ht="25.5" x14ac:dyDescent="0.2">
      <c r="B58" s="450" t="s">
        <v>516</v>
      </c>
      <c r="C58" s="449" t="s">
        <v>164</v>
      </c>
      <c r="D58" s="449" t="s">
        <v>171</v>
      </c>
      <c r="E58" s="450" t="s">
        <v>490</v>
      </c>
      <c r="F58" s="450">
        <v>10</v>
      </c>
      <c r="J58" s="148" t="s">
        <v>166</v>
      </c>
    </row>
    <row r="59" spans="2:12" x14ac:dyDescent="0.2">
      <c r="B59" s="228"/>
      <c r="J59" s="148"/>
    </row>
    <row r="60" spans="2:12" x14ac:dyDescent="0.2">
      <c r="I60" s="148" t="s">
        <v>169</v>
      </c>
      <c r="K60" s="191" t="s">
        <v>170</v>
      </c>
    </row>
    <row r="62" spans="2:12" x14ac:dyDescent="0.2">
      <c r="B62" s="230" t="s">
        <v>280</v>
      </c>
    </row>
    <row r="63" spans="2:12" ht="38.25" x14ac:dyDescent="0.2">
      <c r="B63" s="447" t="s">
        <v>187</v>
      </c>
      <c r="C63" s="448" t="s">
        <v>218</v>
      </c>
      <c r="D63" s="447" t="s">
        <v>196</v>
      </c>
      <c r="E63" s="447" t="s">
        <v>188</v>
      </c>
      <c r="F63" s="448" t="s">
        <v>189</v>
      </c>
      <c r="G63" s="447" t="s">
        <v>191</v>
      </c>
      <c r="H63" s="448" t="s">
        <v>192</v>
      </c>
      <c r="I63" s="447" t="s">
        <v>190</v>
      </c>
    </row>
    <row r="64" spans="2:12" x14ac:dyDescent="0.2">
      <c r="B64" s="196" t="s">
        <v>318</v>
      </c>
      <c r="C64" s="446" t="s">
        <v>480</v>
      </c>
      <c r="D64" s="196"/>
      <c r="E64" s="196"/>
      <c r="F64" s="446">
        <v>2028</v>
      </c>
      <c r="G64" s="196" t="s">
        <v>34</v>
      </c>
      <c r="H64" s="446">
        <v>16</v>
      </c>
      <c r="I64" s="196"/>
      <c r="K64" s="228" t="s">
        <v>464</v>
      </c>
    </row>
    <row r="65" spans="1:11" x14ac:dyDescent="0.2">
      <c r="B65" s="196" t="s">
        <v>481</v>
      </c>
      <c r="C65" s="446" t="s">
        <v>479</v>
      </c>
      <c r="D65" s="196"/>
      <c r="E65" s="196"/>
      <c r="F65" s="446">
        <v>2028</v>
      </c>
      <c r="G65" s="196" t="s">
        <v>34</v>
      </c>
      <c r="H65" s="446">
        <v>16</v>
      </c>
      <c r="I65" s="196"/>
      <c r="K65" s="228" t="s">
        <v>465</v>
      </c>
    </row>
    <row r="66" spans="1:11" x14ac:dyDescent="0.2">
      <c r="B66" s="196" t="s">
        <v>208</v>
      </c>
      <c r="C66" s="446" t="s">
        <v>482</v>
      </c>
      <c r="D66" s="196"/>
      <c r="E66" s="196"/>
      <c r="F66" s="446">
        <v>2008</v>
      </c>
      <c r="G66" s="196" t="s">
        <v>34</v>
      </c>
      <c r="H66" s="446">
        <v>16</v>
      </c>
      <c r="I66" s="196"/>
    </row>
    <row r="67" spans="1:11" x14ac:dyDescent="0.2">
      <c r="B67" s="196" t="s">
        <v>483</v>
      </c>
      <c r="C67" s="446" t="s">
        <v>484</v>
      </c>
      <c r="D67" s="196"/>
      <c r="E67" s="196"/>
      <c r="F67" s="446">
        <v>2008</v>
      </c>
      <c r="G67" s="196" t="s">
        <v>34</v>
      </c>
      <c r="H67" s="446"/>
      <c r="I67" s="196"/>
    </row>
    <row r="68" spans="1:11" x14ac:dyDescent="0.2">
      <c r="B68" s="196" t="s">
        <v>211</v>
      </c>
      <c r="C68" s="446" t="s">
        <v>485</v>
      </c>
      <c r="D68" s="196"/>
      <c r="E68" s="196"/>
      <c r="F68" s="446">
        <v>2029</v>
      </c>
      <c r="G68" s="196" t="s">
        <v>34</v>
      </c>
      <c r="H68" s="446">
        <v>12</v>
      </c>
      <c r="I68" s="196"/>
    </row>
    <row r="71" spans="1:11" ht="13.5" thickBot="1" x14ac:dyDescent="0.25">
      <c r="B71" s="154" t="s">
        <v>221</v>
      </c>
      <c r="C71" s="228" t="s">
        <v>246</v>
      </c>
    </row>
    <row r="72" spans="1:11" ht="39" thickTop="1" x14ac:dyDescent="0.2">
      <c r="A72" s="228" t="s">
        <v>247</v>
      </c>
      <c r="B72" s="559" t="s">
        <v>158</v>
      </c>
      <c r="C72" s="560" t="s">
        <v>227</v>
      </c>
      <c r="D72" s="560" t="s">
        <v>493</v>
      </c>
      <c r="E72" s="560" t="s">
        <v>45</v>
      </c>
      <c r="F72" s="560" t="s">
        <v>491</v>
      </c>
      <c r="G72" s="560" t="s">
        <v>492</v>
      </c>
      <c r="H72" s="560" t="s">
        <v>228</v>
      </c>
      <c r="I72" s="561" t="s">
        <v>161</v>
      </c>
    </row>
    <row r="73" spans="1:11" ht="25.5" x14ac:dyDescent="0.2">
      <c r="A73" s="239">
        <v>1</v>
      </c>
      <c r="B73" s="566" t="s">
        <v>110</v>
      </c>
      <c r="C73" s="558" t="s">
        <v>543</v>
      </c>
      <c r="D73" s="449" t="s">
        <v>171</v>
      </c>
      <c r="E73" s="450" t="s">
        <v>164</v>
      </c>
      <c r="F73" s="450" t="s">
        <v>490</v>
      </c>
      <c r="G73" s="449">
        <v>5</v>
      </c>
      <c r="H73" s="449">
        <v>2020</v>
      </c>
      <c r="I73" s="562">
        <v>6.5</v>
      </c>
      <c r="K73" s="228" t="s">
        <v>245</v>
      </c>
    </row>
    <row r="74" spans="1:11" ht="25.5" x14ac:dyDescent="0.2">
      <c r="A74" s="239">
        <v>2</v>
      </c>
      <c r="B74" s="566" t="s">
        <v>494</v>
      </c>
      <c r="C74" s="558" t="s">
        <v>495</v>
      </c>
      <c r="D74" s="449" t="s">
        <v>171</v>
      </c>
      <c r="E74" s="450" t="s">
        <v>167</v>
      </c>
      <c r="F74" s="450" t="s">
        <v>496</v>
      </c>
      <c r="G74" s="449">
        <v>5</v>
      </c>
      <c r="H74" s="449">
        <v>2020</v>
      </c>
      <c r="I74" s="562">
        <v>5.2</v>
      </c>
    </row>
    <row r="75" spans="1:11" ht="25.5" x14ac:dyDescent="0.2">
      <c r="A75" s="239">
        <v>3</v>
      </c>
      <c r="B75" s="567" t="s">
        <v>522</v>
      </c>
      <c r="C75" s="558" t="s">
        <v>497</v>
      </c>
      <c r="D75" s="449" t="s">
        <v>171</v>
      </c>
      <c r="E75" s="450" t="s">
        <v>167</v>
      </c>
      <c r="F75" s="450" t="str">
        <f>E56</f>
        <v xml:space="preserve">WS-III, NSW, CA </v>
      </c>
      <c r="G75" s="449">
        <v>15</v>
      </c>
      <c r="H75" s="449">
        <v>2030</v>
      </c>
      <c r="I75" s="562">
        <v>12</v>
      </c>
    </row>
    <row r="76" spans="1:11" ht="25.5" x14ac:dyDescent="0.2">
      <c r="A76" s="239">
        <v>4</v>
      </c>
      <c r="B76" s="567" t="s">
        <v>523</v>
      </c>
      <c r="C76" s="558" t="s">
        <v>497</v>
      </c>
      <c r="D76" s="449" t="s">
        <v>171</v>
      </c>
      <c r="E76" s="450" t="s">
        <v>167</v>
      </c>
      <c r="F76" s="450" t="str">
        <f>F75</f>
        <v xml:space="preserve">WS-III, NSW, CA </v>
      </c>
      <c r="G76" s="449">
        <v>15</v>
      </c>
      <c r="H76" s="449">
        <v>2030</v>
      </c>
      <c r="I76" s="562">
        <v>26</v>
      </c>
    </row>
    <row r="77" spans="1:11" ht="25.5" x14ac:dyDescent="0.2">
      <c r="A77" s="239">
        <v>5</v>
      </c>
      <c r="B77" s="567" t="s">
        <v>498</v>
      </c>
      <c r="C77" s="558" t="s">
        <v>500</v>
      </c>
      <c r="D77" s="449" t="s">
        <v>501</v>
      </c>
      <c r="E77" s="450" t="s">
        <v>167</v>
      </c>
      <c r="F77" s="449" t="s">
        <v>501</v>
      </c>
      <c r="G77" s="449">
        <v>5</v>
      </c>
      <c r="H77" s="449">
        <v>2020</v>
      </c>
      <c r="I77" s="562">
        <v>2.2000000000000002</v>
      </c>
    </row>
    <row r="78" spans="1:11" ht="39" thickBot="1" x14ac:dyDescent="0.25">
      <c r="A78" s="239">
        <v>6</v>
      </c>
      <c r="B78" s="568" t="s">
        <v>499</v>
      </c>
      <c r="C78" s="569" t="s">
        <v>500</v>
      </c>
      <c r="D78" s="563" t="s">
        <v>501</v>
      </c>
      <c r="E78" s="564" t="s">
        <v>167</v>
      </c>
      <c r="F78" s="563" t="s">
        <v>501</v>
      </c>
      <c r="G78" s="563">
        <v>15</v>
      </c>
      <c r="H78" s="563">
        <v>2030</v>
      </c>
      <c r="I78" s="565">
        <v>11.3</v>
      </c>
    </row>
    <row r="79" spans="1:11" ht="13.5" thickTop="1" x14ac:dyDescent="0.2"/>
    <row r="82" spans="2:3" x14ac:dyDescent="0.2">
      <c r="B82" s="154" t="s">
        <v>400</v>
      </c>
    </row>
    <row r="83" spans="2:3" x14ac:dyDescent="0.2">
      <c r="B83" s="228" t="s">
        <v>399</v>
      </c>
      <c r="C83" s="228" t="s">
        <v>401</v>
      </c>
    </row>
    <row r="84" spans="2:3" x14ac:dyDescent="0.2">
      <c r="B84" s="228" t="s">
        <v>431</v>
      </c>
      <c r="C84" s="228" t="s">
        <v>432</v>
      </c>
    </row>
    <row r="85" spans="2:3" x14ac:dyDescent="0.2">
      <c r="B85" s="228" t="s">
        <v>271</v>
      </c>
      <c r="C85" s="228" t="s">
        <v>433</v>
      </c>
    </row>
    <row r="87" spans="2:3" x14ac:dyDescent="0.2">
      <c r="B87" s="228" t="s">
        <v>434</v>
      </c>
      <c r="C87" s="228" t="s">
        <v>435</v>
      </c>
    </row>
  </sheetData>
  <mergeCells count="3">
    <mergeCell ref="D11:I11"/>
    <mergeCell ref="D23:N23"/>
    <mergeCell ref="F56:F57"/>
  </mergeCells>
  <hyperlinks>
    <hyperlink ref="J55" r:id="rId1"/>
    <hyperlink ref="K60" r:id="rId2"/>
  </hyperlinks>
  <pageMargins left="0.7" right="0.7" top="0.75" bottom="0.75" header="0.3" footer="0.3"/>
  <pageSetup orientation="portrait" verticalDpi="0"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2:AD156"/>
  <sheetViews>
    <sheetView topLeftCell="A22" zoomScaleNormal="100" workbookViewId="0">
      <selection activeCell="I133" sqref="I133"/>
    </sheetView>
  </sheetViews>
  <sheetFormatPr defaultRowHeight="12.75" x14ac:dyDescent="0.2"/>
  <cols>
    <col min="1" max="1" width="4.28515625" customWidth="1"/>
    <col min="2" max="2" width="29.85546875" customWidth="1"/>
    <col min="3" max="3" width="26" customWidth="1"/>
    <col min="4" max="4" width="10.5703125" customWidth="1"/>
    <col min="5" max="5" width="15.7109375" customWidth="1"/>
    <col min="6" max="6" width="12.28515625" customWidth="1"/>
    <col min="7" max="8" width="15.140625" customWidth="1"/>
    <col min="9" max="9" width="20.5703125" customWidth="1"/>
    <col min="10" max="10" width="14.7109375" customWidth="1"/>
    <col min="11" max="22" width="7" customWidth="1"/>
    <col min="24" max="24" width="18" customWidth="1"/>
    <col min="25" max="25" width="10.28515625" customWidth="1"/>
    <col min="26" max="27" width="8.28515625" style="540" customWidth="1"/>
    <col min="28" max="28" width="7.7109375" customWidth="1"/>
    <col min="29" max="29" width="11.42578125" customWidth="1"/>
  </cols>
  <sheetData>
    <row r="2" spans="2:27" x14ac:dyDescent="0.2">
      <c r="B2" s="187" t="s">
        <v>128</v>
      </c>
      <c r="C2" s="188"/>
      <c r="D2" s="188"/>
      <c r="E2" s="188"/>
      <c r="F2" s="188"/>
      <c r="G2" s="188"/>
      <c r="H2" s="188"/>
      <c r="I2" s="188"/>
      <c r="J2" s="188"/>
      <c r="K2" s="188"/>
      <c r="L2" s="188"/>
      <c r="M2" s="188"/>
      <c r="N2" s="188"/>
      <c r="O2" s="188"/>
      <c r="P2" s="188"/>
      <c r="Q2" s="188"/>
      <c r="R2" s="188"/>
      <c r="S2" s="188"/>
      <c r="T2" s="188"/>
      <c r="U2" s="188"/>
      <c r="V2" s="188"/>
    </row>
    <row r="3" spans="2:27" x14ac:dyDescent="0.2">
      <c r="B3" s="232"/>
      <c r="C3" s="233" t="s">
        <v>143</v>
      </c>
      <c r="D3" s="232"/>
      <c r="E3" s="232"/>
      <c r="F3" s="232"/>
      <c r="G3" s="232"/>
      <c r="H3" s="232"/>
      <c r="I3" s="232"/>
      <c r="K3" s="234" t="s">
        <v>144</v>
      </c>
      <c r="L3" s="235"/>
      <c r="M3" s="235"/>
      <c r="N3" s="235"/>
      <c r="O3" s="235"/>
      <c r="P3" s="235"/>
      <c r="Q3" s="235"/>
      <c r="R3" s="235"/>
      <c r="S3" s="235"/>
      <c r="T3" s="235"/>
      <c r="U3" s="235"/>
      <c r="V3" s="235"/>
    </row>
    <row r="5" spans="2:27" ht="15" x14ac:dyDescent="0.25">
      <c r="B5" s="28" t="s">
        <v>145</v>
      </c>
    </row>
    <row r="6" spans="2:27" ht="20.25" customHeight="1" x14ac:dyDescent="0.2">
      <c r="C6" s="148" t="s">
        <v>146</v>
      </c>
    </row>
    <row r="7" spans="2:27" ht="13.5" thickBot="1" x14ac:dyDescent="0.25">
      <c r="K7" s="148" t="s">
        <v>129</v>
      </c>
    </row>
    <row r="8" spans="2:27" ht="20.25" thickTop="1" thickBot="1" x14ac:dyDescent="0.25">
      <c r="B8" s="490" t="s">
        <v>111</v>
      </c>
      <c r="C8" s="620" t="s">
        <v>537</v>
      </c>
      <c r="D8" s="621"/>
      <c r="E8" s="621"/>
      <c r="F8" s="621"/>
      <c r="G8" s="621"/>
      <c r="H8" s="622"/>
      <c r="K8" s="148"/>
    </row>
    <row r="9" spans="2:27" ht="20.25" customHeight="1" thickBot="1" x14ac:dyDescent="0.25">
      <c r="B9" s="489" t="s">
        <v>114</v>
      </c>
      <c r="C9" s="623" t="s">
        <v>518</v>
      </c>
      <c r="D9" s="624"/>
      <c r="E9" s="624"/>
      <c r="F9" s="624"/>
      <c r="G9" s="624"/>
      <c r="H9" s="625"/>
      <c r="K9" s="148"/>
    </row>
    <row r="10" spans="2:27" ht="15.75" customHeight="1" x14ac:dyDescent="0.2">
      <c r="B10" s="610" t="s">
        <v>115</v>
      </c>
      <c r="C10" s="644" t="s">
        <v>519</v>
      </c>
      <c r="D10" s="645"/>
      <c r="E10" s="645"/>
      <c r="F10" s="645"/>
      <c r="G10" s="645"/>
      <c r="H10" s="646"/>
      <c r="K10" s="148"/>
    </row>
    <row r="11" spans="2:27" s="131" customFormat="1" ht="16.5" customHeight="1" thickBot="1" x14ac:dyDescent="0.25">
      <c r="B11" s="611"/>
      <c r="C11" s="613" t="s">
        <v>535</v>
      </c>
      <c r="D11" s="614"/>
      <c r="E11" s="614"/>
      <c r="F11" s="614"/>
      <c r="G11" s="614"/>
      <c r="H11" s="615"/>
      <c r="K11" s="458"/>
      <c r="Z11" s="541"/>
      <c r="AA11" s="541"/>
    </row>
    <row r="12" spans="2:27" ht="15.75" customHeight="1" x14ac:dyDescent="0.2">
      <c r="B12" s="612" t="s">
        <v>116</v>
      </c>
      <c r="C12" s="486" t="s">
        <v>520</v>
      </c>
      <c r="D12" s="479"/>
      <c r="E12" s="479"/>
      <c r="F12" s="479"/>
      <c r="G12" s="479"/>
      <c r="H12" s="483"/>
      <c r="K12" s="148"/>
    </row>
    <row r="13" spans="2:27" ht="16.5" customHeight="1" thickBot="1" x14ac:dyDescent="0.25">
      <c r="B13" s="611"/>
      <c r="C13" s="487" t="s">
        <v>514</v>
      </c>
      <c r="D13" s="480"/>
      <c r="E13" s="480"/>
      <c r="F13" s="480"/>
      <c r="G13" s="480"/>
      <c r="H13" s="484"/>
      <c r="K13" s="148"/>
    </row>
    <row r="14" spans="2:27" ht="15.75" customHeight="1" x14ac:dyDescent="0.2">
      <c r="B14" s="608" t="s">
        <v>117</v>
      </c>
      <c r="C14" s="488" t="s">
        <v>509</v>
      </c>
      <c r="D14" s="481"/>
      <c r="E14" s="481"/>
      <c r="F14" s="481"/>
      <c r="G14" s="481"/>
      <c r="H14" s="485"/>
      <c r="K14" s="148"/>
    </row>
    <row r="15" spans="2:27" ht="16.5" customHeight="1" x14ac:dyDescent="0.2">
      <c r="B15" s="609"/>
      <c r="C15" s="616" t="s">
        <v>536</v>
      </c>
      <c r="D15" s="617"/>
      <c r="E15" s="617"/>
      <c r="F15" s="618"/>
      <c r="G15" s="618"/>
      <c r="H15" s="619"/>
      <c r="K15" s="148"/>
    </row>
    <row r="16" spans="2:27" ht="17.25" customHeight="1" x14ac:dyDescent="0.2">
      <c r="B16" s="626" t="s">
        <v>125</v>
      </c>
      <c r="C16" s="491" t="s">
        <v>540</v>
      </c>
      <c r="D16" s="605" t="s">
        <v>521</v>
      </c>
      <c r="E16" s="606"/>
      <c r="F16" s="606"/>
      <c r="G16" s="606"/>
      <c r="H16" s="607"/>
      <c r="K16" s="148"/>
    </row>
    <row r="17" spans="2:23" ht="17.25" customHeight="1" x14ac:dyDescent="0.2">
      <c r="B17" s="627"/>
      <c r="C17" s="491" t="s">
        <v>539</v>
      </c>
      <c r="D17" s="605" t="s">
        <v>506</v>
      </c>
      <c r="E17" s="606"/>
      <c r="F17" s="606"/>
      <c r="G17" s="606"/>
      <c r="H17" s="607"/>
      <c r="K17" s="148"/>
    </row>
    <row r="18" spans="2:23" ht="13.5" customHeight="1" x14ac:dyDescent="0.2">
      <c r="B18" s="627"/>
      <c r="C18" s="630" t="s">
        <v>538</v>
      </c>
      <c r="D18" s="634" t="s">
        <v>508</v>
      </c>
      <c r="E18" s="635"/>
      <c r="F18" s="635"/>
      <c r="G18" s="635"/>
      <c r="H18" s="636"/>
      <c r="K18" s="148"/>
    </row>
    <row r="19" spans="2:23" ht="12.75" customHeight="1" x14ac:dyDescent="0.2">
      <c r="B19" s="627"/>
      <c r="C19" s="631"/>
      <c r="D19" s="637"/>
      <c r="E19" s="638"/>
      <c r="F19" s="638"/>
      <c r="G19" s="638"/>
      <c r="H19" s="639"/>
      <c r="K19" s="148"/>
    </row>
    <row r="20" spans="2:23" ht="13.5" customHeight="1" x14ac:dyDescent="0.2">
      <c r="B20" s="627"/>
      <c r="C20" s="631"/>
      <c r="D20" s="637"/>
      <c r="E20" s="638"/>
      <c r="F20" s="638"/>
      <c r="G20" s="638"/>
      <c r="H20" s="639"/>
      <c r="K20" s="148"/>
    </row>
    <row r="21" spans="2:23" x14ac:dyDescent="0.2">
      <c r="B21" s="628"/>
      <c r="C21" s="632"/>
      <c r="D21" s="640"/>
      <c r="E21" s="640"/>
      <c r="F21" s="640"/>
      <c r="G21" s="640"/>
      <c r="H21" s="641"/>
      <c r="K21" s="148"/>
    </row>
    <row r="22" spans="2:23" ht="13.5" thickBot="1" x14ac:dyDescent="0.25">
      <c r="B22" s="629"/>
      <c r="C22" s="633"/>
      <c r="D22" s="642"/>
      <c r="E22" s="642"/>
      <c r="F22" s="642"/>
      <c r="G22" s="642"/>
      <c r="H22" s="643"/>
    </row>
    <row r="23" spans="2:23" ht="13.5" thickTop="1" x14ac:dyDescent="0.2"/>
    <row r="24" spans="2:23" ht="16.5" customHeight="1" thickBot="1" x14ac:dyDescent="0.3">
      <c r="B24" s="28" t="s">
        <v>219</v>
      </c>
      <c r="K24" s="28" t="s">
        <v>148</v>
      </c>
    </row>
    <row r="25" spans="2:23" ht="15.75" thickTop="1" thickBot="1" x14ac:dyDescent="0.25">
      <c r="B25" s="148" t="s">
        <v>147</v>
      </c>
      <c r="J25" s="492" t="s">
        <v>467</v>
      </c>
      <c r="K25" s="494">
        <v>2010</v>
      </c>
      <c r="L25" s="495">
        <v>2015</v>
      </c>
      <c r="M25" s="495">
        <v>2020</v>
      </c>
      <c r="N25" s="495">
        <v>2025</v>
      </c>
      <c r="O25" s="495">
        <v>2030</v>
      </c>
      <c r="P25" s="495">
        <v>2035</v>
      </c>
      <c r="Q25" s="495">
        <v>2040</v>
      </c>
      <c r="R25" s="495">
        <v>2045</v>
      </c>
      <c r="S25" s="495">
        <v>2050</v>
      </c>
      <c r="T25" s="495">
        <v>2055</v>
      </c>
      <c r="U25" s="496">
        <v>2060</v>
      </c>
    </row>
    <row r="26" spans="2:23" ht="18" customHeight="1" thickTop="1" thickBot="1" x14ac:dyDescent="0.25">
      <c r="J26" s="493" t="s">
        <v>207</v>
      </c>
      <c r="K26" s="497">
        <f>ROUND(DataIn!D36,-2)</f>
        <v>246200</v>
      </c>
      <c r="L26" s="497">
        <f>ROUND(DataIn!E36,-2)</f>
        <v>266300</v>
      </c>
      <c r="M26" s="497">
        <f>ROUND(DataIn!F36,-2)</f>
        <v>286400</v>
      </c>
      <c r="N26" s="497">
        <f>ROUND(DataIn!G36,-2)</f>
        <v>307900</v>
      </c>
      <c r="O26" s="497">
        <f>ROUND(DataIn!H36,-2)</f>
        <v>329400</v>
      </c>
      <c r="P26" s="497">
        <f>ROUND(DataIn!I36,-2)</f>
        <v>350900</v>
      </c>
      <c r="Q26" s="497">
        <f>ROUND(DataIn!J36,-2)</f>
        <v>372400</v>
      </c>
      <c r="R26" s="497">
        <f>ROUND(DataIn!K36,-2)</f>
        <v>393900</v>
      </c>
      <c r="S26" s="497">
        <f>ROUND(DataIn!L36,-2)</f>
        <v>415400</v>
      </c>
      <c r="T26" s="497">
        <f>ROUND(DataIn!M36,-2)</f>
        <v>436900</v>
      </c>
      <c r="U26" s="498">
        <f>ROUND(DataIn!N36,-2)</f>
        <v>458400</v>
      </c>
    </row>
    <row r="27" spans="2:23" ht="13.5" thickTop="1" x14ac:dyDescent="0.2">
      <c r="W27" s="228" t="s">
        <v>468</v>
      </c>
    </row>
    <row r="28" spans="2:23" ht="17.25" customHeight="1" x14ac:dyDescent="0.2">
      <c r="B28" s="153" t="s">
        <v>183</v>
      </c>
    </row>
    <row r="29" spans="2:23" x14ac:dyDescent="0.2">
      <c r="B29" s="228" t="s">
        <v>225</v>
      </c>
      <c r="W29" s="228" t="s">
        <v>469</v>
      </c>
    </row>
    <row r="30" spans="2:23" ht="13.5" customHeight="1" x14ac:dyDescent="0.2"/>
    <row r="32" spans="2:23" ht="14.25" customHeight="1" thickBot="1" x14ac:dyDescent="0.25">
      <c r="B32" s="153" t="s">
        <v>276</v>
      </c>
      <c r="J32" s="228" t="s">
        <v>417</v>
      </c>
    </row>
    <row r="33" spans="2:30" ht="48.75" thickTop="1" thickBot="1" x14ac:dyDescent="0.25">
      <c r="B33" s="149" t="s">
        <v>282</v>
      </c>
      <c r="C33" s="150" t="s">
        <v>15</v>
      </c>
      <c r="D33" s="150" t="s">
        <v>196</v>
      </c>
      <c r="E33" s="150" t="s">
        <v>188</v>
      </c>
      <c r="F33" s="150" t="s">
        <v>189</v>
      </c>
      <c r="G33" s="150" t="s">
        <v>191</v>
      </c>
      <c r="H33" s="150" t="s">
        <v>192</v>
      </c>
      <c r="J33" s="601" t="s">
        <v>282</v>
      </c>
      <c r="K33" s="412" t="s">
        <v>313</v>
      </c>
      <c r="L33" s="599">
        <v>2010</v>
      </c>
      <c r="M33" s="599">
        <v>2015</v>
      </c>
      <c r="N33" s="599">
        <v>2020</v>
      </c>
      <c r="O33" s="599">
        <v>2025</v>
      </c>
      <c r="P33" s="599">
        <v>2030</v>
      </c>
      <c r="Q33" s="599">
        <v>2035</v>
      </c>
      <c r="R33" s="599">
        <v>2040</v>
      </c>
      <c r="S33" s="599">
        <v>2045</v>
      </c>
      <c r="T33" s="599">
        <v>2050</v>
      </c>
      <c r="U33" s="599">
        <v>2055</v>
      </c>
      <c r="V33" s="599">
        <v>2060</v>
      </c>
      <c r="X33" s="539" t="s">
        <v>282</v>
      </c>
      <c r="Y33" s="150" t="s">
        <v>15</v>
      </c>
      <c r="Z33" s="150" t="s">
        <v>196</v>
      </c>
      <c r="AA33" s="150" t="s">
        <v>188</v>
      </c>
      <c r="AB33" s="150" t="s">
        <v>189</v>
      </c>
      <c r="AC33" s="150" t="s">
        <v>191</v>
      </c>
      <c r="AD33" s="460" t="s">
        <v>192</v>
      </c>
    </row>
    <row r="34" spans="2:30" ht="21.95" customHeight="1" thickTop="1" thickBot="1" x14ac:dyDescent="0.25">
      <c r="B34" s="465" t="str">
        <f>DataIn!B41</f>
        <v>Cary</v>
      </c>
      <c r="C34" s="465" t="str">
        <f>DataIn!C41</f>
        <v>03-92-020</v>
      </c>
      <c r="D34" s="465" t="s">
        <v>501</v>
      </c>
      <c r="E34" s="465" t="s">
        <v>501</v>
      </c>
      <c r="F34" s="465">
        <f>DataIn!F41</f>
        <v>2028</v>
      </c>
      <c r="G34" s="465" t="str">
        <f>DataIn!G41</f>
        <v>Emergency</v>
      </c>
      <c r="H34" s="465">
        <f>DataIn!H41</f>
        <v>16</v>
      </c>
      <c r="J34" s="602"/>
      <c r="K34" s="413" t="s">
        <v>314</v>
      </c>
      <c r="L34" s="600"/>
      <c r="M34" s="600"/>
      <c r="N34" s="600"/>
      <c r="O34" s="600"/>
      <c r="P34" s="600"/>
      <c r="Q34" s="600"/>
      <c r="R34" s="600"/>
      <c r="S34" s="600"/>
      <c r="T34" s="600"/>
      <c r="U34" s="600"/>
      <c r="V34" s="600"/>
      <c r="X34" s="532" t="s">
        <v>318</v>
      </c>
      <c r="Y34" s="465" t="s">
        <v>480</v>
      </c>
      <c r="Z34" s="465" t="s">
        <v>501</v>
      </c>
      <c r="AA34" s="465" t="s">
        <v>501</v>
      </c>
      <c r="AB34" s="465">
        <v>2028</v>
      </c>
      <c r="AC34" s="465" t="s">
        <v>34</v>
      </c>
      <c r="AD34" s="543">
        <v>16</v>
      </c>
    </row>
    <row r="35" spans="2:30" ht="21.95" customHeight="1" thickBot="1" x14ac:dyDescent="0.25">
      <c r="B35" s="465" t="str">
        <f>DataIn!B42</f>
        <v>Chatham Co</v>
      </c>
      <c r="C35" s="465" t="str">
        <f>DataIn!C42</f>
        <v>03-19-126</v>
      </c>
      <c r="D35" s="465" t="s">
        <v>501</v>
      </c>
      <c r="E35" s="465" t="s">
        <v>501</v>
      </c>
      <c r="F35" s="465">
        <f>DataIn!F42</f>
        <v>2028</v>
      </c>
      <c r="G35" s="465" t="str">
        <f>DataIn!G42</f>
        <v>Emergency</v>
      </c>
      <c r="H35" s="465">
        <f>DataIn!H42</f>
        <v>16</v>
      </c>
      <c r="J35" s="404" t="s">
        <v>315</v>
      </c>
      <c r="K35" s="270">
        <v>1</v>
      </c>
      <c r="L35" s="379">
        <v>1</v>
      </c>
      <c r="M35" s="379">
        <v>1</v>
      </c>
      <c r="N35" s="379">
        <v>1</v>
      </c>
      <c r="O35" s="379">
        <v>1</v>
      </c>
      <c r="P35" s="379">
        <v>2</v>
      </c>
      <c r="Q35" s="379">
        <v>2</v>
      </c>
      <c r="R35" s="379">
        <v>2</v>
      </c>
      <c r="S35" s="379">
        <v>2</v>
      </c>
      <c r="T35" s="379">
        <v>2</v>
      </c>
      <c r="U35" s="379">
        <v>2</v>
      </c>
      <c r="V35" s="379">
        <v>2</v>
      </c>
      <c r="X35" s="532" t="s">
        <v>481</v>
      </c>
      <c r="Y35" s="465" t="s">
        <v>479</v>
      </c>
      <c r="Z35" s="465" t="s">
        <v>501</v>
      </c>
      <c r="AA35" s="465" t="s">
        <v>501</v>
      </c>
      <c r="AB35" s="465">
        <v>2028</v>
      </c>
      <c r="AC35" s="465" t="s">
        <v>34</v>
      </c>
      <c r="AD35" s="543">
        <v>16</v>
      </c>
    </row>
    <row r="36" spans="2:30" ht="21.95" customHeight="1" thickBot="1" x14ac:dyDescent="0.25">
      <c r="B36" s="465" t="str">
        <f>DataIn!B43</f>
        <v>Hillsborough</v>
      </c>
      <c r="C36" s="465" t="str">
        <f>DataIn!C43</f>
        <v>03-68-015</v>
      </c>
      <c r="D36" s="465" t="s">
        <v>501</v>
      </c>
      <c r="E36" s="465" t="s">
        <v>501</v>
      </c>
      <c r="F36" s="465">
        <f>DataIn!F43</f>
        <v>2008</v>
      </c>
      <c r="G36" s="465" t="str">
        <f>DataIn!G43</f>
        <v>Emergency</v>
      </c>
      <c r="H36" s="465">
        <f>DataIn!H43</f>
        <v>16</v>
      </c>
      <c r="J36" s="407"/>
      <c r="K36" s="408"/>
      <c r="L36" s="409"/>
      <c r="M36" s="410"/>
      <c r="N36" s="410"/>
      <c r="O36" s="411"/>
      <c r="P36" s="410"/>
      <c r="Q36" s="410"/>
      <c r="R36" s="410"/>
      <c r="S36" s="410"/>
      <c r="T36" s="410"/>
      <c r="U36" s="410"/>
      <c r="V36" s="410"/>
      <c r="X36" s="532" t="s">
        <v>208</v>
      </c>
      <c r="Y36" s="465" t="s">
        <v>482</v>
      </c>
      <c r="Z36" s="465" t="s">
        <v>501</v>
      </c>
      <c r="AA36" s="465" t="s">
        <v>501</v>
      </c>
      <c r="AB36" s="465">
        <v>2008</v>
      </c>
      <c r="AC36" s="465" t="s">
        <v>34</v>
      </c>
      <c r="AD36" s="543">
        <v>16</v>
      </c>
    </row>
    <row r="37" spans="2:30" ht="21.95" customHeight="1" thickTop="1" thickBot="1" x14ac:dyDescent="0.25">
      <c r="B37" s="465" t="str">
        <f>DataIn!B44</f>
        <v>Orange-Alamance</v>
      </c>
      <c r="C37" s="465" t="str">
        <f>DataIn!C44</f>
        <v>03-68-020</v>
      </c>
      <c r="D37" s="465" t="s">
        <v>501</v>
      </c>
      <c r="E37" s="465" t="s">
        <v>501</v>
      </c>
      <c r="F37" s="465">
        <f>DataIn!F44</f>
        <v>2008</v>
      </c>
      <c r="G37" s="465" t="str">
        <f>DataIn!G44</f>
        <v>Emergency</v>
      </c>
      <c r="H37" s="465">
        <f>DataIn!H44</f>
        <v>0</v>
      </c>
      <c r="J37" s="194" t="s">
        <v>130</v>
      </c>
      <c r="K37" s="198"/>
      <c r="L37" s="199"/>
      <c r="M37" s="199"/>
      <c r="N37" s="199"/>
      <c r="O37" s="199"/>
      <c r="P37" s="199"/>
      <c r="Q37" s="199"/>
      <c r="R37" s="199"/>
      <c r="S37" s="199"/>
      <c r="T37" s="199"/>
      <c r="U37" s="199"/>
      <c r="V37" s="199"/>
      <c r="X37" s="532" t="s">
        <v>483</v>
      </c>
      <c r="Y37" s="465" t="s">
        <v>484</v>
      </c>
      <c r="Z37" s="465" t="s">
        <v>501</v>
      </c>
      <c r="AA37" s="465" t="s">
        <v>501</v>
      </c>
      <c r="AB37" s="465">
        <v>2008</v>
      </c>
      <c r="AC37" s="465" t="s">
        <v>34</v>
      </c>
      <c r="AD37" s="543">
        <v>0</v>
      </c>
    </row>
    <row r="38" spans="2:30" ht="21.95" customHeight="1" thickBot="1" x14ac:dyDescent="0.25">
      <c r="B38" s="465" t="str">
        <f>DataIn!B45</f>
        <v>OWASA</v>
      </c>
      <c r="C38" s="465" t="str">
        <f>DataIn!C45</f>
        <v>03-68-010</v>
      </c>
      <c r="D38" s="465" t="s">
        <v>501</v>
      </c>
      <c r="E38" s="465" t="s">
        <v>501</v>
      </c>
      <c r="F38" s="465">
        <f>DataIn!F45</f>
        <v>2029</v>
      </c>
      <c r="G38" s="465" t="str">
        <f>DataIn!G45</f>
        <v>Emergency</v>
      </c>
      <c r="H38" s="465">
        <f>DataIn!H45</f>
        <v>12</v>
      </c>
      <c r="J38" s="466"/>
      <c r="K38" s="467"/>
      <c r="L38" s="467"/>
      <c r="M38" s="467"/>
      <c r="N38" s="467"/>
      <c r="O38" s="467"/>
      <c r="P38" s="467"/>
      <c r="Q38" s="467"/>
      <c r="R38" s="467"/>
      <c r="S38" s="467"/>
      <c r="T38" s="467"/>
      <c r="U38" s="467"/>
      <c r="V38" s="467"/>
      <c r="X38" s="544" t="s">
        <v>211</v>
      </c>
      <c r="Y38" s="545" t="s">
        <v>485</v>
      </c>
      <c r="Z38" s="545" t="s">
        <v>501</v>
      </c>
      <c r="AA38" s="545" t="s">
        <v>501</v>
      </c>
      <c r="AB38" s="545">
        <v>2029</v>
      </c>
      <c r="AC38" s="545" t="s">
        <v>34</v>
      </c>
      <c r="AD38" s="546">
        <v>12</v>
      </c>
    </row>
    <row r="44" spans="2:30" x14ac:dyDescent="0.2">
      <c r="B44" s="187" t="s">
        <v>153</v>
      </c>
      <c r="C44" s="188"/>
      <c r="D44" s="188"/>
      <c r="E44" s="188"/>
      <c r="F44" s="188"/>
      <c r="G44" s="188"/>
      <c r="H44" s="188"/>
      <c r="I44" s="188"/>
      <c r="J44" s="188"/>
      <c r="K44" s="188"/>
      <c r="L44" s="188"/>
      <c r="M44" s="188"/>
      <c r="N44" s="188"/>
      <c r="O44" s="188"/>
      <c r="P44" s="188"/>
      <c r="Q44" s="188"/>
      <c r="R44" s="188"/>
      <c r="S44" s="188"/>
      <c r="T44" s="188"/>
      <c r="U44" s="188"/>
      <c r="V44" s="188"/>
    </row>
    <row r="46" spans="2:30" x14ac:dyDescent="0.2">
      <c r="B46" s="148" t="s">
        <v>154</v>
      </c>
    </row>
    <row r="49" spans="2:22" x14ac:dyDescent="0.2">
      <c r="B49" s="187" t="s">
        <v>150</v>
      </c>
      <c r="C49" s="187"/>
      <c r="D49" s="187"/>
      <c r="E49" s="187"/>
      <c r="F49" s="187"/>
      <c r="G49" s="187"/>
      <c r="H49" s="187"/>
      <c r="I49" s="187"/>
      <c r="J49" s="187"/>
      <c r="K49" s="187"/>
      <c r="L49" s="187"/>
      <c r="M49" s="187"/>
      <c r="N49" s="187"/>
      <c r="O49" s="187"/>
      <c r="P49" s="187"/>
      <c r="Q49" s="187"/>
      <c r="R49" s="187"/>
      <c r="S49" s="187"/>
      <c r="T49" s="187"/>
      <c r="U49" s="187"/>
      <c r="V49" s="187"/>
    </row>
    <row r="51" spans="2:22" ht="13.5" thickBot="1" x14ac:dyDescent="0.25">
      <c r="B51" s="148" t="s">
        <v>193</v>
      </c>
    </row>
    <row r="52" spans="2:22" ht="48.75" thickTop="1" thickBot="1" x14ac:dyDescent="0.25">
      <c r="B52" s="149" t="s">
        <v>187</v>
      </c>
      <c r="C52" s="150" t="s">
        <v>15</v>
      </c>
      <c r="D52" s="150" t="s">
        <v>196</v>
      </c>
      <c r="E52" s="150" t="s">
        <v>188</v>
      </c>
      <c r="F52" s="150" t="s">
        <v>189</v>
      </c>
      <c r="G52" s="150" t="s">
        <v>191</v>
      </c>
      <c r="H52" s="150" t="s">
        <v>192</v>
      </c>
      <c r="I52" s="150" t="s">
        <v>190</v>
      </c>
      <c r="K52" s="148" t="s">
        <v>195</v>
      </c>
    </row>
    <row r="53" spans="2:22" ht="17.25" thickTop="1" thickBot="1" x14ac:dyDescent="0.25">
      <c r="B53" s="151"/>
      <c r="C53" s="190"/>
      <c r="D53" s="248"/>
      <c r="E53" s="249"/>
      <c r="F53" s="249"/>
      <c r="G53" s="250"/>
      <c r="H53" s="249"/>
      <c r="I53" s="248"/>
      <c r="L53" s="148" t="s">
        <v>197</v>
      </c>
    </row>
    <row r="54" spans="2:22" ht="16.5" thickBot="1" x14ac:dyDescent="0.25">
      <c r="B54" s="151"/>
      <c r="C54" s="190"/>
      <c r="D54" s="251"/>
      <c r="E54" s="252"/>
      <c r="F54" s="252"/>
      <c r="G54" s="253"/>
      <c r="H54" s="252"/>
      <c r="I54" s="251"/>
    </row>
    <row r="55" spans="2:22" ht="16.5" thickBot="1" x14ac:dyDescent="0.25">
      <c r="B55" s="151"/>
      <c r="C55" s="190"/>
      <c r="D55" s="251"/>
      <c r="E55" s="252"/>
      <c r="F55" s="252"/>
      <c r="G55" s="253"/>
      <c r="H55" s="252"/>
      <c r="I55" s="251"/>
      <c r="K55" t="str">
        <f>DataIn!K64</f>
        <v>Note: In general, DWR wants to see the entire Contract amount available for supply for both sales and purchase contracts.</v>
      </c>
    </row>
    <row r="56" spans="2:22" ht="16.5" thickBot="1" x14ac:dyDescent="0.25">
      <c r="B56" s="192"/>
      <c r="C56" s="193"/>
      <c r="D56" s="254"/>
      <c r="E56" s="255"/>
      <c r="F56" s="255"/>
      <c r="G56" s="256"/>
      <c r="H56" s="255"/>
      <c r="I56" s="254"/>
      <c r="K56" t="str">
        <f>DataIn!K65</f>
        <v>If you use the equivalent supply column to claim a lower supply than the contract amount, explain why in Section III.</v>
      </c>
    </row>
    <row r="57" spans="2:22" ht="17.25" thickTop="1" thickBot="1" x14ac:dyDescent="0.25">
      <c r="B57" s="194"/>
      <c r="C57" s="198"/>
      <c r="D57" s="199"/>
      <c r="E57" s="199"/>
      <c r="F57" s="199"/>
      <c r="G57" s="199"/>
      <c r="H57" s="199"/>
      <c r="I57" s="200"/>
      <c r="K57" s="228" t="s">
        <v>466</v>
      </c>
    </row>
    <row r="58" spans="2:22" ht="13.5" thickTop="1" x14ac:dyDescent="0.2"/>
    <row r="61" spans="2:22" ht="13.5" thickBot="1" x14ac:dyDescent="0.25">
      <c r="B61" s="148" t="s">
        <v>155</v>
      </c>
    </row>
    <row r="62" spans="2:22" ht="31.5" customHeight="1" thickBot="1" x14ac:dyDescent="0.25">
      <c r="B62" s="468" t="s">
        <v>158</v>
      </c>
      <c r="C62" s="472" t="s">
        <v>15</v>
      </c>
      <c r="D62" s="469" t="s">
        <v>16</v>
      </c>
      <c r="E62" s="469" t="s">
        <v>45</v>
      </c>
      <c r="F62" s="469" t="s">
        <v>159</v>
      </c>
      <c r="G62" s="470" t="s">
        <v>161</v>
      </c>
      <c r="J62" t="s">
        <v>172</v>
      </c>
    </row>
    <row r="63" spans="2:22" ht="17.25" thickTop="1" thickBot="1" x14ac:dyDescent="0.25">
      <c r="B63" s="547" t="str">
        <f>DataIn!B56</f>
        <v>Lake Michie</v>
      </c>
      <c r="C63" s="473" t="str">
        <f>DataIn!$C$2</f>
        <v>03-32-010</v>
      </c>
      <c r="D63" s="474" t="str">
        <f>DataIn!D56</f>
        <v>SW</v>
      </c>
      <c r="E63" s="475" t="str">
        <f>DataIn!C56</f>
        <v>Neuse (10-1)</v>
      </c>
      <c r="F63" s="475" t="str">
        <f>DataIn!E56</f>
        <v xml:space="preserve">WS-III, NSW, CA </v>
      </c>
      <c r="G63" s="603">
        <f>DataIn!F56</f>
        <v>27.9</v>
      </c>
      <c r="J63" t="s">
        <v>163</v>
      </c>
      <c r="K63" s="191" t="s">
        <v>162</v>
      </c>
    </row>
    <row r="64" spans="2:22" ht="32.25" thickBot="1" x14ac:dyDescent="0.25">
      <c r="B64" s="548" t="str">
        <f>DataIn!B57</f>
        <v>Little River Reservoir</v>
      </c>
      <c r="C64" s="476" t="str">
        <f>DataIn!$C$2</f>
        <v>03-32-010</v>
      </c>
      <c r="D64" s="477" t="str">
        <f>DataIn!D57</f>
        <v>SW</v>
      </c>
      <c r="E64" s="478" t="str">
        <f>DataIn!C57</f>
        <v>Neuse (10-1)</v>
      </c>
      <c r="F64" s="478" t="str">
        <f>DataIn!E58</f>
        <v xml:space="preserve">WS-IV, B, NSW, CA </v>
      </c>
      <c r="G64" s="604"/>
      <c r="K64" s="148" t="s">
        <v>164</v>
      </c>
      <c r="M64" s="148" t="s">
        <v>167</v>
      </c>
    </row>
    <row r="65" spans="2:22" ht="32.25" thickBot="1" x14ac:dyDescent="0.25">
      <c r="B65" s="548" t="str">
        <f>DataIn!B58</f>
        <v>Existing Jordan Lake Allocation</v>
      </c>
      <c r="C65" s="476" t="str">
        <f>DataIn!$C$2</f>
        <v>03-32-010</v>
      </c>
      <c r="D65" s="477" t="str">
        <f>DataIn!D58</f>
        <v>SW</v>
      </c>
      <c r="E65" s="478" t="str">
        <f>DataIn!C58</f>
        <v>Haw (2-1)</v>
      </c>
      <c r="F65" s="478" t="str">
        <f>DataIn!E58</f>
        <v xml:space="preserve">WS-IV, B, NSW, CA </v>
      </c>
      <c r="G65" s="550">
        <f>DataIn!F58</f>
        <v>10</v>
      </c>
      <c r="K65" s="148"/>
      <c r="M65" s="148"/>
    </row>
    <row r="66" spans="2:22" ht="26.25" thickBot="1" x14ac:dyDescent="0.25">
      <c r="B66" s="549" t="s">
        <v>541</v>
      </c>
      <c r="C66" s="551" t="s">
        <v>477</v>
      </c>
      <c r="D66" s="552" t="s">
        <v>171</v>
      </c>
      <c r="E66" s="553" t="s">
        <v>167</v>
      </c>
      <c r="F66" s="553" t="s">
        <v>354</v>
      </c>
      <c r="G66" s="554" t="s">
        <v>542</v>
      </c>
      <c r="K66" s="148"/>
      <c r="M66" s="148"/>
    </row>
    <row r="69" spans="2:22" x14ac:dyDescent="0.2">
      <c r="B69" s="236" t="s">
        <v>220</v>
      </c>
      <c r="C69" s="188"/>
      <c r="D69" s="188"/>
      <c r="E69" s="188"/>
      <c r="F69" s="188"/>
      <c r="G69" s="188"/>
      <c r="H69" s="188"/>
      <c r="I69" s="188"/>
      <c r="J69" s="188"/>
      <c r="K69" s="188"/>
      <c r="L69" s="188"/>
      <c r="M69" s="188"/>
      <c r="N69" s="188"/>
      <c r="O69" s="188"/>
      <c r="P69" s="188"/>
      <c r="Q69" s="188"/>
      <c r="R69" s="188"/>
      <c r="S69" s="188"/>
      <c r="T69" s="188"/>
      <c r="U69" s="188"/>
      <c r="V69" s="188"/>
    </row>
    <row r="71" spans="2:22" x14ac:dyDescent="0.2">
      <c r="B71" s="148" t="s">
        <v>156</v>
      </c>
      <c r="K71" t="str">
        <f>B71</f>
        <v>Table IV.1 - Water Supply Needs</v>
      </c>
    </row>
    <row r="72" spans="2:22" ht="13.5" thickBot="1" x14ac:dyDescent="0.25">
      <c r="B72" t="s">
        <v>157</v>
      </c>
    </row>
    <row r="73" spans="2:22" ht="17.25" thickTop="1" thickBot="1" x14ac:dyDescent="0.25">
      <c r="J73" s="459"/>
      <c r="K73" s="150">
        <v>2010</v>
      </c>
      <c r="L73" s="150">
        <v>2015</v>
      </c>
      <c r="M73" s="150">
        <v>2020</v>
      </c>
      <c r="N73" s="150">
        <v>2025</v>
      </c>
      <c r="O73" s="150">
        <v>2030</v>
      </c>
      <c r="P73" s="150">
        <v>2035</v>
      </c>
      <c r="Q73" s="150">
        <v>2040</v>
      </c>
      <c r="R73" s="150">
        <v>2045</v>
      </c>
      <c r="S73" s="150">
        <v>2050</v>
      </c>
      <c r="T73" s="150">
        <v>2055</v>
      </c>
      <c r="U73" s="460">
        <v>2060</v>
      </c>
    </row>
    <row r="74" spans="2:22" ht="27" thickTop="1" thickBot="1" x14ac:dyDescent="0.25">
      <c r="B74" s="450" t="s">
        <v>516</v>
      </c>
      <c r="C74" s="449" t="s">
        <v>164</v>
      </c>
      <c r="D74" s="449" t="s">
        <v>171</v>
      </c>
      <c r="E74" s="450" t="s">
        <v>490</v>
      </c>
      <c r="F74" s="450">
        <v>10</v>
      </c>
      <c r="J74" s="499" t="s">
        <v>179</v>
      </c>
      <c r="K74" s="257">
        <f>'Population&amp;Demand Projections'!C117</f>
        <v>25.27</v>
      </c>
      <c r="L74" s="257">
        <f>'Population&amp;Demand Projections'!D117</f>
        <v>27.965</v>
      </c>
      <c r="M74" s="257">
        <f>'Population&amp;Demand Projections'!E117</f>
        <v>30.66</v>
      </c>
      <c r="N74" s="257">
        <f>'Population&amp;Demand Projections'!F117</f>
        <v>32.4</v>
      </c>
      <c r="O74" s="257">
        <f>'Population&amp;Demand Projections'!G117</f>
        <v>34.14</v>
      </c>
      <c r="P74" s="257">
        <f>'Population&amp;Demand Projections'!H117</f>
        <v>36.119999999999997</v>
      </c>
      <c r="Q74" s="257">
        <f>'Population&amp;Demand Projections'!I117</f>
        <v>38.099999999999994</v>
      </c>
      <c r="R74" s="257">
        <f>'Population&amp;Demand Projections'!J117</f>
        <v>39.974999999999994</v>
      </c>
      <c r="S74" s="257">
        <f>'Population&amp;Demand Projections'!K117</f>
        <v>41.85</v>
      </c>
      <c r="T74" s="257">
        <f>'Population&amp;Demand Projections'!L117</f>
        <v>43.11</v>
      </c>
      <c r="U74" s="500">
        <f>'Population&amp;Demand Projections'!M117</f>
        <v>44.37</v>
      </c>
    </row>
    <row r="75" spans="2:22" ht="16.5" thickBot="1" x14ac:dyDescent="0.25">
      <c r="J75" s="499" t="s">
        <v>20</v>
      </c>
      <c r="K75" s="471">
        <f t="shared" ref="K75:U75" si="0">$G$63+$G$65</f>
        <v>37.9</v>
      </c>
      <c r="L75" s="471">
        <f t="shared" si="0"/>
        <v>37.9</v>
      </c>
      <c r="M75" s="471">
        <f t="shared" si="0"/>
        <v>37.9</v>
      </c>
      <c r="N75" s="471">
        <f t="shared" si="0"/>
        <v>37.9</v>
      </c>
      <c r="O75" s="471">
        <f t="shared" si="0"/>
        <v>37.9</v>
      </c>
      <c r="P75" s="471">
        <f t="shared" si="0"/>
        <v>37.9</v>
      </c>
      <c r="Q75" s="471">
        <f t="shared" si="0"/>
        <v>37.9</v>
      </c>
      <c r="R75" s="471">
        <f t="shared" si="0"/>
        <v>37.9</v>
      </c>
      <c r="S75" s="471">
        <f t="shared" si="0"/>
        <v>37.9</v>
      </c>
      <c r="T75" s="471">
        <f t="shared" si="0"/>
        <v>37.9</v>
      </c>
      <c r="U75" s="501">
        <f t="shared" si="0"/>
        <v>37.9</v>
      </c>
    </row>
    <row r="76" spans="2:22" ht="32.25" thickBot="1" x14ac:dyDescent="0.25">
      <c r="J76" s="499" t="s">
        <v>181</v>
      </c>
      <c r="K76" s="258">
        <f>K74/K75</f>
        <v>0.66675461741424802</v>
      </c>
      <c r="L76" s="258">
        <f t="shared" ref="L76:U76" si="1">L74/L75</f>
        <v>0.73786279683377309</v>
      </c>
      <c r="M76" s="258">
        <f t="shared" si="1"/>
        <v>0.80897097625329817</v>
      </c>
      <c r="N76" s="258">
        <f t="shared" si="1"/>
        <v>0.85488126649076512</v>
      </c>
      <c r="O76" s="258">
        <f t="shared" si="1"/>
        <v>0.90079155672823219</v>
      </c>
      <c r="P76" s="258">
        <f t="shared" si="1"/>
        <v>0.95303430079155671</v>
      </c>
      <c r="Q76" s="258">
        <f t="shared" si="1"/>
        <v>1.0052770448548811</v>
      </c>
      <c r="R76" s="258">
        <f t="shared" si="1"/>
        <v>1.0547493403693931</v>
      </c>
      <c r="S76" s="258">
        <f t="shared" si="1"/>
        <v>1.104221635883905</v>
      </c>
      <c r="T76" s="258">
        <f t="shared" si="1"/>
        <v>1.1374670184696569</v>
      </c>
      <c r="U76" s="502">
        <f t="shared" si="1"/>
        <v>1.1707124010554089</v>
      </c>
    </row>
    <row r="77" spans="2:22" ht="16.5" thickBot="1" x14ac:dyDescent="0.25">
      <c r="J77" s="503" t="s">
        <v>180</v>
      </c>
      <c r="K77" s="504">
        <f>IF((K74-K75)&gt;0,K74-K75,0)</f>
        <v>0</v>
      </c>
      <c r="L77" s="504">
        <f t="shared" ref="L77:U77" si="2">IF((L74-L75)&gt;0,L74-L75,0)</f>
        <v>0</v>
      </c>
      <c r="M77" s="504">
        <f t="shared" si="2"/>
        <v>0</v>
      </c>
      <c r="N77" s="504">
        <f t="shared" si="2"/>
        <v>0</v>
      </c>
      <c r="O77" s="504">
        <f t="shared" si="2"/>
        <v>0</v>
      </c>
      <c r="P77" s="504">
        <f t="shared" si="2"/>
        <v>0</v>
      </c>
      <c r="Q77" s="504">
        <f t="shared" si="2"/>
        <v>0.19999999999999574</v>
      </c>
      <c r="R77" s="504">
        <f t="shared" si="2"/>
        <v>2.0749999999999957</v>
      </c>
      <c r="S77" s="504">
        <f t="shared" si="2"/>
        <v>3.9500000000000028</v>
      </c>
      <c r="T77" s="504">
        <f t="shared" si="2"/>
        <v>5.2100000000000009</v>
      </c>
      <c r="U77" s="505">
        <f t="shared" si="2"/>
        <v>6.4699999999999989</v>
      </c>
    </row>
    <row r="78" spans="2:22" ht="13.5" thickTop="1" x14ac:dyDescent="0.2"/>
    <row r="82" spans="2:22" x14ac:dyDescent="0.2">
      <c r="B82" s="189" t="s">
        <v>198</v>
      </c>
      <c r="C82" s="188"/>
      <c r="D82" s="188"/>
      <c r="E82" s="188"/>
      <c r="F82" s="188"/>
      <c r="G82" s="188"/>
      <c r="H82" s="188"/>
      <c r="I82" s="188"/>
      <c r="J82" s="188"/>
      <c r="K82" s="188"/>
      <c r="L82" s="188"/>
      <c r="M82" s="188"/>
      <c r="N82" s="188"/>
      <c r="O82" s="188"/>
      <c r="P82" s="188"/>
      <c r="Q82" s="188"/>
      <c r="R82" s="188"/>
      <c r="S82" s="188"/>
      <c r="T82" s="188"/>
      <c r="U82" s="188"/>
      <c r="V82" s="188"/>
    </row>
    <row r="84" spans="2:22" x14ac:dyDescent="0.2">
      <c r="B84" s="228" t="s">
        <v>226</v>
      </c>
    </row>
    <row r="85" spans="2:22" ht="13.5" thickBot="1" x14ac:dyDescent="0.25">
      <c r="B85" s="153" t="s">
        <v>406</v>
      </c>
    </row>
    <row r="86" spans="2:22" ht="33" thickTop="1" thickBot="1" x14ac:dyDescent="0.25">
      <c r="B86" s="482" t="s">
        <v>158</v>
      </c>
      <c r="C86" s="506" t="s">
        <v>227</v>
      </c>
      <c r="D86" s="509" t="s">
        <v>45</v>
      </c>
      <c r="E86" s="509" t="s">
        <v>159</v>
      </c>
      <c r="F86" s="509" t="s">
        <v>236</v>
      </c>
      <c r="G86" s="509" t="s">
        <v>161</v>
      </c>
      <c r="H86" s="555"/>
    </row>
    <row r="87" spans="2:22" ht="16.5" thickBot="1" x14ac:dyDescent="0.25">
      <c r="B87" s="513" t="str">
        <f>DataIn!B73</f>
        <v>Jordan Lake Allocation</v>
      </c>
      <c r="C87" s="515" t="str">
        <f>DataIn!C73</f>
        <v>New Facilities at Jordan Lake</v>
      </c>
      <c r="D87" s="557" t="str">
        <f>DataIn!E73</f>
        <v>Haw (2-1)</v>
      </c>
      <c r="E87" s="517" t="str">
        <f>DataIn!F73</f>
        <v xml:space="preserve">WS-IV, B, NSW, CA </v>
      </c>
      <c r="F87" s="507">
        <f>DataIn!H73</f>
        <v>2020</v>
      </c>
      <c r="G87" s="508">
        <f>DataIn!I73</f>
        <v>6.5</v>
      </c>
      <c r="H87" s="556"/>
    </row>
    <row r="88" spans="2:22" ht="16.5" thickBot="1" x14ac:dyDescent="0.25">
      <c r="B88" s="513" t="str">
        <f>DataIn!B74</f>
        <v>Teer Quarry</v>
      </c>
      <c r="C88" s="515" t="str">
        <f>DataIn!C74</f>
        <v>Offline Quarry Storage</v>
      </c>
      <c r="D88" s="406" t="str">
        <f>DataIn!E74</f>
        <v>Neuse (10-1)</v>
      </c>
      <c r="E88" s="518" t="str">
        <f>DataIn!F74</f>
        <v>WS-IV, NSW, CA</v>
      </c>
      <c r="F88" s="380">
        <f>DataIn!H74</f>
        <v>2020</v>
      </c>
      <c r="G88" s="251">
        <f>DataIn!I74</f>
        <v>5.2</v>
      </c>
      <c r="H88" s="556"/>
    </row>
    <row r="89" spans="2:22" ht="16.5" thickBot="1" x14ac:dyDescent="0.25">
      <c r="B89" s="513" t="str">
        <f>DataIn!B75</f>
        <v>Raise Lake Michie to 365 MSL</v>
      </c>
      <c r="C89" s="515" t="str">
        <f>DataIn!C75</f>
        <v>Modify Existing Reservoir</v>
      </c>
      <c r="D89" s="406" t="str">
        <f>DataIn!E75</f>
        <v>Neuse (10-1)</v>
      </c>
      <c r="E89" s="518" t="str">
        <f>DataIn!F75</f>
        <v xml:space="preserve">WS-III, NSW, CA </v>
      </c>
      <c r="F89" s="380">
        <f>DataIn!H75</f>
        <v>2030</v>
      </c>
      <c r="G89" s="251">
        <f>DataIn!I75</f>
        <v>12</v>
      </c>
      <c r="H89" s="556"/>
    </row>
    <row r="90" spans="2:22" ht="16.5" thickBot="1" x14ac:dyDescent="0.25">
      <c r="B90" s="513" t="str">
        <f>DataIn!B76</f>
        <v>Raise Lake Michie to 380 MSL</v>
      </c>
      <c r="C90" s="515" t="str">
        <f>DataIn!C76</f>
        <v>Modify Existing Reservoir</v>
      </c>
      <c r="D90" s="406" t="str">
        <f>DataIn!E76</f>
        <v>Neuse (10-1)</v>
      </c>
      <c r="E90" s="518" t="str">
        <f>DataIn!F76</f>
        <v xml:space="preserve">WS-III, NSW, CA </v>
      </c>
      <c r="F90" s="380">
        <f>DataIn!H76</f>
        <v>2030</v>
      </c>
      <c r="G90" s="251">
        <f>DataIn!I76</f>
        <v>26</v>
      </c>
      <c r="H90" s="556"/>
    </row>
    <row r="91" spans="2:22" ht="29.25" thickBot="1" x14ac:dyDescent="0.25">
      <c r="B91" s="513" t="str">
        <f>DataIn!B77</f>
        <v>Reclaimed Water (RCW) Initial Implementation</v>
      </c>
      <c r="C91" s="515" t="str">
        <f>DataIn!C77</f>
        <v>Non-Potable Reuse of WWTP Effluent</v>
      </c>
      <c r="D91" s="406" t="str">
        <f>DataIn!E77</f>
        <v>Neuse (10-1)</v>
      </c>
      <c r="E91" s="406" t="str">
        <f>DataIn!F77</f>
        <v>N/A</v>
      </c>
      <c r="F91" s="380">
        <f>DataIn!H77</f>
        <v>2020</v>
      </c>
      <c r="G91" s="251">
        <f>DataIn!I77</f>
        <v>2.2000000000000002</v>
      </c>
      <c r="H91" s="556"/>
    </row>
    <row r="92" spans="2:22" ht="29.25" thickBot="1" x14ac:dyDescent="0.25">
      <c r="B92" s="514" t="str">
        <f>DataIn!B78</f>
        <v xml:space="preserve">Reclaimed Water (RCW) Initial + Assertive Implementation </v>
      </c>
      <c r="C92" s="516" t="str">
        <f>DataIn!C78</f>
        <v>Non-Potable Reuse of WWTP Effluent</v>
      </c>
      <c r="D92" s="510" t="str">
        <f>DataIn!E78</f>
        <v>Neuse (10-1)</v>
      </c>
      <c r="E92" s="510" t="str">
        <f>DataIn!F78</f>
        <v>N/A</v>
      </c>
      <c r="F92" s="511">
        <f>DataIn!H78</f>
        <v>2030</v>
      </c>
      <c r="G92" s="512">
        <f>DataIn!I78</f>
        <v>11.3</v>
      </c>
      <c r="H92" s="556"/>
    </row>
    <row r="93" spans="2:22" ht="13.5" thickTop="1" x14ac:dyDescent="0.2"/>
    <row r="94" spans="2:22" x14ac:dyDescent="0.2">
      <c r="B94" s="153" t="s">
        <v>407</v>
      </c>
    </row>
    <row r="95" spans="2:22" x14ac:dyDescent="0.2">
      <c r="B95" s="153"/>
    </row>
    <row r="96" spans="2:22" ht="13.5" thickBot="1" x14ac:dyDescent="0.25">
      <c r="B96" s="153" t="s">
        <v>408</v>
      </c>
    </row>
    <row r="97" spans="2:10" ht="33" thickTop="1" thickBot="1" x14ac:dyDescent="0.25">
      <c r="B97" s="459" t="s">
        <v>310</v>
      </c>
      <c r="C97" s="150" t="s">
        <v>96</v>
      </c>
      <c r="D97" s="150" t="s">
        <v>97</v>
      </c>
      <c r="E97" s="150" t="s">
        <v>98</v>
      </c>
      <c r="F97" s="150" t="s">
        <v>99</v>
      </c>
      <c r="G97" s="460" t="s">
        <v>100</v>
      </c>
    </row>
    <row r="98" spans="2:10" ht="17.25" thickTop="1" thickBot="1" x14ac:dyDescent="0.25">
      <c r="B98" s="571" t="s">
        <v>308</v>
      </c>
      <c r="C98" s="377">
        <f>'Population&amp;Demand Projections'!$J$118</f>
        <v>2.0749999999999957</v>
      </c>
      <c r="D98" s="377">
        <f>'Population&amp;Demand Projections'!$J$118</f>
        <v>2.0749999999999957</v>
      </c>
      <c r="E98" s="377">
        <f>'Population&amp;Demand Projections'!$J$118</f>
        <v>2.0749999999999957</v>
      </c>
      <c r="F98" s="377">
        <f>'Population&amp;Demand Projections'!$J$118</f>
        <v>2.0749999999999957</v>
      </c>
      <c r="G98" s="572">
        <f>'Population&amp;Demand Projections'!$J$118</f>
        <v>2.0749999999999957</v>
      </c>
    </row>
    <row r="99" spans="2:10" ht="16.5" thickBot="1" x14ac:dyDescent="0.25">
      <c r="B99" s="573" t="s">
        <v>309</v>
      </c>
      <c r="C99" s="378">
        <f>'Population&amp;Demand Projections'!$M$118</f>
        <v>6.4699999999999989</v>
      </c>
      <c r="D99" s="378">
        <f>'Population&amp;Demand Projections'!$M$118</f>
        <v>6.4699999999999989</v>
      </c>
      <c r="E99" s="378">
        <f>'Population&amp;Demand Projections'!$M$118</f>
        <v>6.4699999999999989</v>
      </c>
      <c r="F99" s="378">
        <f>'Population&amp;Demand Projections'!$M$118</f>
        <v>6.4699999999999989</v>
      </c>
      <c r="G99" s="574">
        <f>'Population&amp;Demand Projections'!$M$118</f>
        <v>6.4699999999999989</v>
      </c>
    </row>
    <row r="100" spans="2:10" ht="16.5" thickBot="1" x14ac:dyDescent="0.25">
      <c r="B100" s="575" t="s">
        <v>277</v>
      </c>
      <c r="C100" s="259"/>
      <c r="D100" s="259"/>
      <c r="E100" s="259"/>
      <c r="F100" s="259"/>
      <c r="G100" s="576"/>
    </row>
    <row r="101" spans="2:10" ht="16.5" thickBot="1" x14ac:dyDescent="0.25">
      <c r="B101" s="577" t="s">
        <v>311</v>
      </c>
      <c r="C101" s="251">
        <f>IF('Supply Alternative 1'!$A23&gt;0,'Supply Alternative 1'!$G23,0)</f>
        <v>6.5</v>
      </c>
      <c r="D101" s="251">
        <f>IF('Supply Alternative 2'!$A23&gt;0,'Supply Alternative 2'!$G23,0)</f>
        <v>0</v>
      </c>
      <c r="E101" s="251">
        <f>IF('Supply Alternative 3'!$A23&gt;0,'Supply Alternative 3'!$G23,0)</f>
        <v>0</v>
      </c>
      <c r="F101" s="251">
        <f>IF('Supply Alternative 4'!$A23&gt;0,'Supply Alternative 4'!$G23,0)</f>
        <v>0</v>
      </c>
      <c r="G101" s="578">
        <f>IF('Supply Alternative 5'!$A23&gt;0,'Supply Alternative 5'!$G23,0)</f>
        <v>0</v>
      </c>
      <c r="J101" s="228" t="s">
        <v>409</v>
      </c>
    </row>
    <row r="102" spans="2:10" ht="16.5" thickBot="1" x14ac:dyDescent="0.25">
      <c r="B102" s="577" t="str">
        <f>B88</f>
        <v>Teer Quarry</v>
      </c>
      <c r="C102" s="251">
        <f>IF('Supply Alternative 1'!$A24&gt;0,'Supply Alternative 1'!$G24,0)</f>
        <v>0</v>
      </c>
      <c r="D102" s="251">
        <f>IF('Supply Alternative 2'!$A24&gt;0,'Supply Alternative 2'!$G24,0)</f>
        <v>5.2</v>
      </c>
      <c r="E102" s="251">
        <f>IF('Supply Alternative 3'!$A24&gt;0,'Supply Alternative 3'!$G24,0)</f>
        <v>0</v>
      </c>
      <c r="F102" s="251">
        <f>IF('Supply Alternative 4'!$A24&gt;0,'Supply Alternative 4'!$G24,0)</f>
        <v>0</v>
      </c>
      <c r="G102" s="578">
        <f>IF('Supply Alternative 5'!$A24&gt;0,'Supply Alternative 5'!$G24,0)</f>
        <v>0</v>
      </c>
    </row>
    <row r="103" spans="2:10" ht="16.5" thickBot="1" x14ac:dyDescent="0.25">
      <c r="B103" s="577" t="str">
        <f>B89</f>
        <v>Raise Lake Michie to 365 MSL</v>
      </c>
      <c r="C103" s="251">
        <f>IF('Supply Alternative 1'!$A25&gt;0,'Supply Alternative 1'!$G25,0)</f>
        <v>0</v>
      </c>
      <c r="D103" s="251">
        <f>IF('Supply Alternative 2'!$A25&gt;0,'Supply Alternative 2'!$G25,0)</f>
        <v>0</v>
      </c>
      <c r="E103" s="251">
        <f>IF('Supply Alternative 3'!$A25&gt;0,'Supply Alternative 3'!$G25,0)</f>
        <v>12</v>
      </c>
      <c r="F103" s="251">
        <f>IF('Supply Alternative 4'!$A25&gt;0,'Supply Alternative 4'!$G25,0)</f>
        <v>0</v>
      </c>
      <c r="G103" s="578">
        <f>IF('Supply Alternative 5'!$A25&gt;0,'Supply Alternative 5'!$G25,0)</f>
        <v>0</v>
      </c>
    </row>
    <row r="104" spans="2:10" ht="16.5" thickBot="1" x14ac:dyDescent="0.25">
      <c r="B104" s="577" t="str">
        <f>B90</f>
        <v>Raise Lake Michie to 380 MSL</v>
      </c>
      <c r="C104" s="251">
        <f>IF('Supply Alternative 1'!$A26&gt;0,'Supply Alternative 1'!$G26,0)</f>
        <v>0</v>
      </c>
      <c r="D104" s="251">
        <f>IF('Supply Alternative 2'!$A26&gt;0,'Supply Alternative 2'!$G26,0)</f>
        <v>0</v>
      </c>
      <c r="E104" s="251">
        <f>IF('Supply Alternative 3'!$A26&gt;0,'Supply Alternative 3'!$G26,0)</f>
        <v>0</v>
      </c>
      <c r="F104" s="251">
        <f>IF('Supply Alternative 4'!$A26&gt;0,'Supply Alternative 4'!$G26,0)</f>
        <v>26</v>
      </c>
      <c r="G104" s="578">
        <f>IF('Supply Alternative 5'!$A26&gt;0,'Supply Alternative 5'!$G26,0)</f>
        <v>0</v>
      </c>
    </row>
    <row r="105" spans="2:10" ht="29.25" thickBot="1" x14ac:dyDescent="0.25">
      <c r="B105" s="577" t="str">
        <f>B91</f>
        <v>Reclaimed Water (RCW) Initial Implementation</v>
      </c>
      <c r="C105" s="251">
        <f>IF('Supply Alternative 1'!$A27&gt;0,'Supply Alternative 1'!$G27,0)</f>
        <v>0</v>
      </c>
      <c r="D105" s="251">
        <f>IF('Supply Alternative 2'!$A27&gt;0,'Supply Alternative 2'!$G27,0)</f>
        <v>2.2000000000000002</v>
      </c>
      <c r="E105" s="251">
        <f>IF('Supply Alternative 3'!$A27&gt;0,'Supply Alternative 3'!$G27,0)</f>
        <v>0</v>
      </c>
      <c r="F105" s="251">
        <f>IF('Supply Alternative 4'!$A27&gt;0,'Supply Alternative 4'!$G27,0)</f>
        <v>0</v>
      </c>
      <c r="G105" s="578">
        <f>IF('Supply Alternative 5'!$A27&gt;0,'Supply Alternative 5'!$G27,0)</f>
        <v>0</v>
      </c>
    </row>
    <row r="106" spans="2:10" ht="29.25" thickBot="1" x14ac:dyDescent="0.25">
      <c r="B106" s="579" t="str">
        <f>B92</f>
        <v xml:space="preserve">Reclaimed Water (RCW) Initial + Assertive Implementation </v>
      </c>
      <c r="C106" s="512">
        <f>IF('Supply Alternative 1'!$A28&gt;0,'Supply Alternative 1'!$G28,0)</f>
        <v>0</v>
      </c>
      <c r="D106" s="512">
        <f>IF('Supply Alternative 2'!$A28&gt;0,'Supply Alternative 2'!$G28,0)</f>
        <v>0</v>
      </c>
      <c r="E106" s="512">
        <f>IF('Supply Alternative 3'!$A28&gt;0,'Supply Alternative 3'!$G28,0)</f>
        <v>0</v>
      </c>
      <c r="F106" s="512">
        <f>IF('Supply Alternative 4'!$A28&gt;0,'Supply Alternative 4'!$G28,0)</f>
        <v>0</v>
      </c>
      <c r="G106" s="580">
        <f>IF('Supply Alternative 5'!$A28&gt;0,'Supply Alternative 5'!$G28,0)</f>
        <v>11.3</v>
      </c>
    </row>
    <row r="107" spans="2:10" ht="20.25" thickTop="1" thickBot="1" x14ac:dyDescent="0.25">
      <c r="B107" s="581" t="s">
        <v>278</v>
      </c>
      <c r="C107" s="582">
        <f t="shared" ref="C107:G107" si="3">SUM(C101:C106)</f>
        <v>6.5</v>
      </c>
      <c r="D107" s="582">
        <f t="shared" si="3"/>
        <v>7.4</v>
      </c>
      <c r="E107" s="582">
        <f t="shared" si="3"/>
        <v>12</v>
      </c>
      <c r="F107" s="582">
        <f t="shared" si="3"/>
        <v>26</v>
      </c>
      <c r="G107" s="583">
        <f t="shared" si="3"/>
        <v>11.3</v>
      </c>
      <c r="H107" s="570"/>
    </row>
    <row r="108" spans="2:10" ht="13.5" thickTop="1" x14ac:dyDescent="0.2"/>
    <row r="110" spans="2:10" ht="13.5" thickBot="1" x14ac:dyDescent="0.25">
      <c r="B110" s="153" t="s">
        <v>410</v>
      </c>
    </row>
    <row r="111" spans="2:10" ht="48.75" thickTop="1" thickBot="1" x14ac:dyDescent="0.25">
      <c r="B111" s="149" t="s">
        <v>19</v>
      </c>
      <c r="C111" s="150" t="s">
        <v>563</v>
      </c>
      <c r="D111" s="150" t="s">
        <v>566</v>
      </c>
      <c r="E111" s="150" t="s">
        <v>522</v>
      </c>
      <c r="F111" s="150" t="s">
        <v>523</v>
      </c>
      <c r="G111" s="150" t="s">
        <v>526</v>
      </c>
    </row>
    <row r="112" spans="2:10" ht="14.25" thickTop="1" thickBot="1" x14ac:dyDescent="0.25">
      <c r="B112" s="383" t="s">
        <v>312</v>
      </c>
      <c r="C112" s="384">
        <f>'Supply Alternatives Summary'!B15</f>
        <v>6.5</v>
      </c>
      <c r="D112" s="384">
        <f>'Supply Alternatives Summary'!C15</f>
        <v>0</v>
      </c>
      <c r="E112" s="384">
        <f>'Supply Alternatives Summary'!D15</f>
        <v>0</v>
      </c>
      <c r="F112" s="384">
        <f>'Supply Alternatives Summary'!E15</f>
        <v>0</v>
      </c>
      <c r="G112" s="384">
        <f>'Supply Alternatives Summary'!E15</f>
        <v>0</v>
      </c>
      <c r="I112" s="269" t="s">
        <v>249</v>
      </c>
    </row>
    <row r="113" spans="2:9" ht="13.5" thickBot="1" x14ac:dyDescent="0.25">
      <c r="B113" s="383" t="s">
        <v>564</v>
      </c>
      <c r="C113" s="385">
        <f>'Supply Alternatives Summary'!B16</f>
        <v>6.5</v>
      </c>
      <c r="D113" s="385">
        <f>'Supply Alternatives Summary'!C16</f>
        <v>7.4</v>
      </c>
      <c r="E113" s="385">
        <f>'Supply Alternatives Summary'!D16</f>
        <v>12</v>
      </c>
      <c r="F113" s="385">
        <f>'Supply Alternatives Summary'!E16</f>
        <v>26</v>
      </c>
      <c r="G113" s="385">
        <f>'Supply Alternatives Summary'!F16</f>
        <v>11.3</v>
      </c>
      <c r="I113" s="228" t="s">
        <v>457</v>
      </c>
    </row>
    <row r="114" spans="2:9" ht="13.5" thickBot="1" x14ac:dyDescent="0.25">
      <c r="B114" s="383" t="s">
        <v>101</v>
      </c>
      <c r="C114" s="386" t="s">
        <v>565</v>
      </c>
      <c r="D114" s="386" t="str">
        <f>'Supply Alternatives Summary'!C17</f>
        <v>More Than</v>
      </c>
      <c r="E114" s="386" t="str">
        <f>'Supply Alternatives Summary'!D17</f>
        <v>More Than</v>
      </c>
      <c r="F114" s="386" t="str">
        <f>'Supply Alternatives Summary'!E17</f>
        <v>More Than</v>
      </c>
      <c r="G114" s="386" t="str">
        <f>'Supply Alternatives Summary'!E17</f>
        <v>More Than</v>
      </c>
    </row>
    <row r="115" spans="2:9" ht="13.5" thickBot="1" x14ac:dyDescent="0.25">
      <c r="B115" s="383" t="s">
        <v>102</v>
      </c>
      <c r="C115" s="386" t="str">
        <f>'Supply Alternatives Summary'!B18</f>
        <v xml:space="preserve">WS-IV, B, NSW, CA </v>
      </c>
      <c r="D115" s="386" t="str">
        <f>'Supply Alternatives Summary'!C18</f>
        <v xml:space="preserve">WS-IV NSW </v>
      </c>
      <c r="E115" s="386" t="str">
        <f>'Supply Alternatives Summary'!D18</f>
        <v>WS-III, NSW, CA</v>
      </c>
      <c r="F115" s="387" t="str">
        <f>'Supply Alternatives Summary'!E18</f>
        <v>WS-III, NSW, CA</v>
      </c>
      <c r="G115" s="387" t="str">
        <f>'Supply Alternatives Summary'!F18</f>
        <v>N/A</v>
      </c>
    </row>
    <row r="116" spans="2:9" ht="13.5" thickBot="1" x14ac:dyDescent="0.25">
      <c r="B116" s="383" t="s">
        <v>364</v>
      </c>
      <c r="C116" s="386" t="str">
        <f>'Supply Alternatives Summary'!B19</f>
        <v>Yes</v>
      </c>
      <c r="D116" s="386" t="str">
        <f>'Supply Alternatives Summary'!C19</f>
        <v>Yes</v>
      </c>
      <c r="E116" s="386" t="str">
        <f>'Supply Alternatives Summary'!D19</f>
        <v>Yes</v>
      </c>
      <c r="F116" s="387" t="str">
        <f>'Supply Alternatives Summary'!E19</f>
        <v>Yes</v>
      </c>
      <c r="G116" s="387" t="str">
        <f>'Supply Alternatives Summary'!F19</f>
        <v>Yes</v>
      </c>
    </row>
    <row r="117" spans="2:9" ht="26.25" thickBot="1" x14ac:dyDescent="0.25">
      <c r="B117" s="383" t="s">
        <v>577</v>
      </c>
      <c r="C117" s="386" t="str">
        <f>'Supply Alternatives Summary'!B20</f>
        <v>None</v>
      </c>
      <c r="D117" s="386" t="str">
        <f>'Supply Alternatives Summary'!C20</f>
        <v>1.9 mgd in 2020, 3.5 in 2045</v>
      </c>
      <c r="E117" s="386" t="str">
        <f>'Supply Alternatives Summary'!D20</f>
        <v>4.2 mgd in 2030, 8.1 in 2045</v>
      </c>
      <c r="F117" s="386" t="str">
        <f>'Supply Alternatives Summary'!E20</f>
        <v>4.2 mgd in 2030, 8.1 in 2045</v>
      </c>
      <c r="G117" s="386" t="str">
        <f>'Supply Alternatives Summary'!F20</f>
        <v>4.2 mgd in 2030, 7.0 in 2045</v>
      </c>
    </row>
    <row r="118" spans="2:9" ht="13.5" thickBot="1" x14ac:dyDescent="0.25">
      <c r="B118" s="383" t="s">
        <v>103</v>
      </c>
      <c r="C118" s="386" t="str">
        <f>'Supply Alternatives Summary'!B21</f>
        <v>Yes, JLP</v>
      </c>
      <c r="D118" s="386" t="str">
        <f>'Supply Alternatives Summary'!C21</f>
        <v>None</v>
      </c>
      <c r="E118" s="386" t="str">
        <f>'Supply Alternatives Summary'!D21</f>
        <v>Potential with Raleigh</v>
      </c>
      <c r="F118" s="387" t="str">
        <f>'Supply Alternatives Summary'!E21</f>
        <v>Potential with Raleigh</v>
      </c>
      <c r="G118" s="387" t="str">
        <f>'Supply Alternatives Summary'!F21</f>
        <v>None</v>
      </c>
    </row>
    <row r="119" spans="2:9" ht="13.5" thickBot="1" x14ac:dyDescent="0.25">
      <c r="B119" s="383" t="s">
        <v>104</v>
      </c>
      <c r="C119" s="386" t="str">
        <f>'Supply Alternatives Summary'!B22</f>
        <v>Complex</v>
      </c>
      <c r="D119" s="386" t="str">
        <f>'Supply Alternatives Summary'!C22</f>
        <v>Complex</v>
      </c>
      <c r="E119" s="386" t="str">
        <f>'Supply Alternatives Summary'!D22</f>
        <v>Complex</v>
      </c>
      <c r="F119" s="386" t="str">
        <f>'Supply Alternatives Summary'!E22</f>
        <v>Complex</v>
      </c>
      <c r="G119" s="386" t="str">
        <f>'Supply Alternatives Summary'!F22</f>
        <v>Very Complex</v>
      </c>
    </row>
    <row r="120" spans="2:9" ht="13.5" thickBot="1" x14ac:dyDescent="0.25">
      <c r="B120" s="383" t="s">
        <v>105</v>
      </c>
      <c r="C120" s="386" t="str">
        <f>'Supply Alternatives Summary'!B23</f>
        <v>Complex</v>
      </c>
      <c r="D120" s="386" t="str">
        <f>'Supply Alternatives Summary'!C23</f>
        <v>Complex</v>
      </c>
      <c r="E120" s="386" t="str">
        <f>'Supply Alternatives Summary'!D23</f>
        <v>Very Complex</v>
      </c>
      <c r="F120" s="386" t="str">
        <f>'Supply Alternatives Summary'!E23</f>
        <v>Very Complex</v>
      </c>
      <c r="G120" s="386" t="str">
        <f>'Supply Alternatives Summary'!F23</f>
        <v>Complex</v>
      </c>
    </row>
    <row r="121" spans="2:9" ht="13.5" thickBot="1" x14ac:dyDescent="0.25">
      <c r="B121" s="383" t="s">
        <v>106</v>
      </c>
      <c r="C121" s="386" t="str">
        <f>'Supply Alternatives Summary'!B24</f>
        <v>Complex</v>
      </c>
      <c r="D121" s="386" t="str">
        <f>'Supply Alternatives Summary'!C24</f>
        <v>Complex</v>
      </c>
      <c r="E121" s="386" t="str">
        <f>'Supply Alternatives Summary'!D24</f>
        <v>Very Complex</v>
      </c>
      <c r="F121" s="386" t="str">
        <f>'Supply Alternatives Summary'!E24</f>
        <v>Very Complex</v>
      </c>
      <c r="G121" s="386" t="str">
        <f>'Supply Alternatives Summary'!E24</f>
        <v>Very Complex</v>
      </c>
    </row>
    <row r="122" spans="2:9" ht="13.5" thickBot="1" x14ac:dyDescent="0.25">
      <c r="B122" s="383" t="s">
        <v>107</v>
      </c>
      <c r="C122" s="386" t="str">
        <f>'Supply Alternatives Summary'!B25</f>
        <v>Few</v>
      </c>
      <c r="D122" s="386" t="str">
        <f>'Supply Alternatives Summary'!C25</f>
        <v>None</v>
      </c>
      <c r="E122" s="386" t="str">
        <f>'Supply Alternatives Summary'!D25</f>
        <v>Few</v>
      </c>
      <c r="F122" s="387" t="str">
        <f>'Supply Alternatives Summary'!E25</f>
        <v>Few</v>
      </c>
      <c r="G122" s="387" t="str">
        <f>'Supply Alternatives Summary'!F25</f>
        <v>Few</v>
      </c>
    </row>
    <row r="123" spans="2:9" ht="13.5" thickBot="1" x14ac:dyDescent="0.25">
      <c r="B123" s="383" t="s">
        <v>108</v>
      </c>
      <c r="C123" s="386" t="str">
        <f>'Supply Alternatives Summary'!B26</f>
        <v>Yes</v>
      </c>
      <c r="D123" s="386" t="str">
        <f>'Supply Alternatives Summary'!C26</f>
        <v>Yes</v>
      </c>
      <c r="E123" s="386" t="str">
        <f>'Supply Alternatives Summary'!D26</f>
        <v>Yes</v>
      </c>
      <c r="F123" s="387" t="str">
        <f>'Supply Alternatives Summary'!E26</f>
        <v>Yes</v>
      </c>
      <c r="G123" s="387" t="str">
        <f>'Supply Alternatives Summary'!F26</f>
        <v>Yes</v>
      </c>
    </row>
    <row r="124" spans="2:9" ht="13.5" thickBot="1" x14ac:dyDescent="0.25">
      <c r="B124" s="383" t="s">
        <v>533</v>
      </c>
      <c r="C124" s="525" t="str">
        <f>'Supply Alternatives Summary'!B27</f>
        <v>$111.10B</v>
      </c>
      <c r="D124" s="525" t="str">
        <f>'Supply Alternatives Summary'!C27</f>
        <v>$50.1C</v>
      </c>
      <c r="E124" s="525" t="str">
        <f>'Supply Alternatives Summary'!D27</f>
        <v>$158.3D</v>
      </c>
      <c r="F124" s="525" t="str">
        <f>'Supply Alternatives Summary'!E27</f>
        <v>$203.3D</v>
      </c>
      <c r="G124" s="525" t="str">
        <f>'Supply Alternatives Summary'!F27</f>
        <v>$104.4C</v>
      </c>
    </row>
    <row r="125" spans="2:9" ht="13.5" thickBot="1" x14ac:dyDescent="0.25">
      <c r="B125" s="383" t="s">
        <v>534</v>
      </c>
      <c r="C125" s="388" t="str">
        <f>'Supply Alternatives Summary'!B28</f>
        <v>$6.97B</v>
      </c>
      <c r="D125" s="525" t="str">
        <f>'Supply Alternatives Summary'!C28</f>
        <v>$6.77C</v>
      </c>
      <c r="E125" s="525" t="str">
        <f>'Supply Alternatives Summary'!D28</f>
        <v>$13.19D</v>
      </c>
      <c r="F125" s="525" t="str">
        <f>'Supply Alternatives Summary'!E28</f>
        <v>$7.82D</v>
      </c>
      <c r="G125" s="525" t="str">
        <f>'Supply Alternatives Summary'!F28</f>
        <v>$9.24C</v>
      </c>
    </row>
    <row r="126" spans="2:9" ht="20.25" thickTop="1" thickBot="1" x14ac:dyDescent="0.25">
      <c r="B126" s="237" t="s">
        <v>237</v>
      </c>
      <c r="C126" s="199">
        <v>1</v>
      </c>
      <c r="D126" s="199"/>
      <c r="E126" s="199"/>
      <c r="F126" s="199"/>
      <c r="G126" s="199"/>
    </row>
    <row r="127" spans="2:9" ht="13.5" thickTop="1" x14ac:dyDescent="0.2"/>
    <row r="128" spans="2:9" ht="14.25" x14ac:dyDescent="0.2">
      <c r="B128" s="587" t="s">
        <v>573</v>
      </c>
    </row>
    <row r="129" spans="1:26" ht="14.25" x14ac:dyDescent="0.2">
      <c r="B129" s="587" t="s">
        <v>574</v>
      </c>
    </row>
    <row r="130" spans="1:26" ht="14.25" x14ac:dyDescent="0.2">
      <c r="B130" s="587" t="s">
        <v>575</v>
      </c>
    </row>
    <row r="131" spans="1:26" ht="14.25" x14ac:dyDescent="0.2">
      <c r="B131" s="587" t="s">
        <v>576</v>
      </c>
    </row>
    <row r="136" spans="1:26" x14ac:dyDescent="0.2">
      <c r="A136" s="268"/>
      <c r="B136" s="242" t="s">
        <v>371</v>
      </c>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542"/>
    </row>
    <row r="138" spans="1:26" ht="13.5" thickBot="1" x14ac:dyDescent="0.25">
      <c r="B138" s="153" t="s">
        <v>411</v>
      </c>
    </row>
    <row r="139" spans="1:26" ht="16.5" customHeight="1" thickTop="1" x14ac:dyDescent="0.2">
      <c r="B139" s="228" t="s">
        <v>412</v>
      </c>
      <c r="I139" s="597" t="s">
        <v>158</v>
      </c>
      <c r="J139" s="595" t="s">
        <v>349</v>
      </c>
      <c r="K139" s="595">
        <v>2010</v>
      </c>
      <c r="L139" s="595">
        <v>2015</v>
      </c>
      <c r="M139" s="595">
        <v>2020</v>
      </c>
      <c r="N139" s="595">
        <v>2025</v>
      </c>
      <c r="O139" s="595">
        <v>2030</v>
      </c>
      <c r="P139" s="595">
        <v>2035</v>
      </c>
      <c r="Q139" s="595">
        <v>2040</v>
      </c>
      <c r="R139" s="595">
        <v>2045</v>
      </c>
      <c r="S139" s="595">
        <v>2050</v>
      </c>
      <c r="T139" s="595">
        <v>2055</v>
      </c>
      <c r="U139" s="595">
        <v>2060</v>
      </c>
    </row>
    <row r="140" spans="1:26" ht="13.5" thickBot="1" x14ac:dyDescent="0.25">
      <c r="I140" s="598"/>
      <c r="J140" s="596"/>
      <c r="K140" s="596"/>
      <c r="L140" s="596"/>
      <c r="M140" s="596"/>
      <c r="N140" s="596"/>
      <c r="O140" s="596"/>
      <c r="P140" s="596"/>
      <c r="Q140" s="596"/>
      <c r="R140" s="596"/>
      <c r="S140" s="596"/>
      <c r="T140" s="596"/>
      <c r="U140" s="596"/>
    </row>
    <row r="141" spans="1:26" ht="20.25" customHeight="1" thickTop="1" thickBot="1" x14ac:dyDescent="0.25">
      <c r="I141" s="404" t="str">
        <f>VLOOKUP(1,'Supply Alternative 1'!$A$23:$I$28,2)</f>
        <v>Jordan Lake Allocation</v>
      </c>
      <c r="J141" s="270">
        <f>VLOOKUP(1,'Supply Alternative 1'!$A$23:$I$28,9)</f>
        <v>2020</v>
      </c>
      <c r="K141" s="389">
        <f>'Supply Alternative 1'!C8</f>
        <v>0</v>
      </c>
      <c r="L141" s="389">
        <f>'Supply Alternative 1'!D8</f>
        <v>0</v>
      </c>
      <c r="M141" s="389">
        <f>'Supply Alternative 1'!E8</f>
        <v>6.5</v>
      </c>
      <c r="N141" s="389">
        <f>'Supply Alternative 1'!F8</f>
        <v>6.5</v>
      </c>
      <c r="O141" s="389">
        <f>'Supply Alternative 1'!G8</f>
        <v>6.5</v>
      </c>
      <c r="P141" s="389">
        <f>'Supply Alternative 1'!H8</f>
        <v>6.5</v>
      </c>
      <c r="Q141" s="389">
        <f>'Supply Alternative 1'!I8</f>
        <v>6.5</v>
      </c>
      <c r="R141" s="389">
        <f>'Supply Alternative 1'!J8</f>
        <v>6.5</v>
      </c>
      <c r="S141" s="389">
        <f>'Supply Alternative 1'!K8</f>
        <v>6.5</v>
      </c>
      <c r="T141" s="389">
        <f>'Supply Alternative 1'!L8</f>
        <v>6.5</v>
      </c>
      <c r="U141" s="389">
        <f>'Supply Alternative 1'!M8</f>
        <v>6.5</v>
      </c>
    </row>
    <row r="142" spans="1:26" ht="17.25" thickBot="1" x14ac:dyDescent="0.25">
      <c r="I142" s="404" t="str">
        <f>VLOOKUP(2,'Supply Alternative 1'!$A$23:$I$28,2)</f>
        <v>Jordan Lake Allocation</v>
      </c>
      <c r="J142" s="270" t="e">
        <f>VLOOKUP(2,'Supply Alternative 1'!$A$23:$I$28,9, FALSE)</f>
        <v>#N/A</v>
      </c>
      <c r="K142" s="390">
        <f>'Supply Alternative 1'!C9</f>
        <v>0</v>
      </c>
      <c r="L142" s="390">
        <f>'Supply Alternative 1'!D9</f>
        <v>0</v>
      </c>
      <c r="M142" s="390">
        <f>'Supply Alternative 1'!E9</f>
        <v>0</v>
      </c>
      <c r="N142" s="390">
        <f>'Supply Alternative 1'!F9</f>
        <v>0</v>
      </c>
      <c r="O142" s="390">
        <f>'Supply Alternative 1'!G9</f>
        <v>0</v>
      </c>
      <c r="P142" s="390">
        <f>'Supply Alternative 1'!H9</f>
        <v>0</v>
      </c>
      <c r="Q142" s="390">
        <f>'Supply Alternative 1'!I9</f>
        <v>0</v>
      </c>
      <c r="R142" s="390">
        <f>'Supply Alternative 1'!J9</f>
        <v>0</v>
      </c>
      <c r="S142" s="390">
        <f>'Supply Alternative 1'!K9</f>
        <v>0</v>
      </c>
      <c r="T142" s="390">
        <f>'Supply Alternative 1'!L9</f>
        <v>0</v>
      </c>
      <c r="U142" s="390">
        <f>'Supply Alternative 1'!M9</f>
        <v>0</v>
      </c>
    </row>
    <row r="143" spans="1:26" ht="17.25" thickBot="1" x14ac:dyDescent="0.25">
      <c r="I143" s="404" t="str">
        <f>VLOOKUP(3,'Supply Alternative 1'!$A$23:$I$28,2)</f>
        <v>Jordan Lake Allocation</v>
      </c>
      <c r="J143" s="270" t="e">
        <f>VLOOKUP(3,'Supply Alternative 1'!$A$23:$I$28,9,FALSE)</f>
        <v>#N/A</v>
      </c>
      <c r="K143" s="391">
        <f>'Supply Alternative 1'!C10</f>
        <v>0</v>
      </c>
      <c r="L143" s="391">
        <f>'Supply Alternative 1'!D10</f>
        <v>0</v>
      </c>
      <c r="M143" s="391">
        <f>'Supply Alternative 1'!E10</f>
        <v>0</v>
      </c>
      <c r="N143" s="391">
        <f>'Supply Alternative 1'!F10</f>
        <v>0</v>
      </c>
      <c r="O143" s="391">
        <f>'Supply Alternative 1'!G10</f>
        <v>0</v>
      </c>
      <c r="P143" s="391">
        <f>'Supply Alternative 1'!H10</f>
        <v>0</v>
      </c>
      <c r="Q143" s="391">
        <f>'Supply Alternative 1'!I10</f>
        <v>0</v>
      </c>
      <c r="R143" s="391">
        <f>'Supply Alternative 1'!J10</f>
        <v>0</v>
      </c>
      <c r="S143" s="391">
        <f>'Supply Alternative 1'!K10</f>
        <v>0</v>
      </c>
      <c r="T143" s="391">
        <f>'Supply Alternative 1'!L10</f>
        <v>0</v>
      </c>
      <c r="U143" s="391">
        <f>'Supply Alternative 1'!M10</f>
        <v>0</v>
      </c>
      <c r="W143" s="228" t="s">
        <v>459</v>
      </c>
    </row>
    <row r="144" spans="1:26" ht="17.25" thickBot="1" x14ac:dyDescent="0.25">
      <c r="I144" s="405" t="e">
        <f>VLOOKUP(4,'Supply Alternative 1'!$A$23:$I$28,2,FALSE)</f>
        <v>#N/A</v>
      </c>
      <c r="J144" s="381" t="e">
        <f>VLOOKUP(4,'Supply Alternative 1'!$A$23:$I$28,9,FALSE)</f>
        <v>#N/A</v>
      </c>
      <c r="K144" s="382"/>
      <c r="L144" s="382"/>
      <c r="M144" s="382"/>
      <c r="N144" s="382"/>
      <c r="O144" s="382"/>
      <c r="P144" s="382"/>
      <c r="Q144" s="382"/>
      <c r="R144" s="382"/>
      <c r="S144" s="382"/>
      <c r="T144" s="382"/>
      <c r="U144" s="382"/>
    </row>
    <row r="145" spans="2:21" ht="17.25" thickTop="1" thickBot="1" x14ac:dyDescent="0.25">
      <c r="I145" s="392" t="s">
        <v>460</v>
      </c>
      <c r="J145" s="199"/>
      <c r="K145" s="199">
        <f t="shared" ref="K145:U145" si="4">SUM(K141:K144)</f>
        <v>0</v>
      </c>
      <c r="L145" s="199">
        <f t="shared" si="4"/>
        <v>0</v>
      </c>
      <c r="M145" s="199">
        <f t="shared" si="4"/>
        <v>6.5</v>
      </c>
      <c r="N145" s="199">
        <f t="shared" si="4"/>
        <v>6.5</v>
      </c>
      <c r="O145" s="199">
        <f t="shared" si="4"/>
        <v>6.5</v>
      </c>
      <c r="P145" s="199">
        <f t="shared" si="4"/>
        <v>6.5</v>
      </c>
      <c r="Q145" s="199">
        <f t="shared" si="4"/>
        <v>6.5</v>
      </c>
      <c r="R145" s="199">
        <f t="shared" si="4"/>
        <v>6.5</v>
      </c>
      <c r="S145" s="199">
        <f t="shared" si="4"/>
        <v>6.5</v>
      </c>
      <c r="T145" s="199">
        <f t="shared" si="4"/>
        <v>6.5</v>
      </c>
      <c r="U145" s="199">
        <f t="shared" si="4"/>
        <v>6.5</v>
      </c>
    </row>
    <row r="146" spans="2:21" ht="13.5" thickTop="1" x14ac:dyDescent="0.2"/>
    <row r="152" spans="2:21" x14ac:dyDescent="0.2">
      <c r="B152" s="153" t="s">
        <v>413</v>
      </c>
    </row>
    <row r="153" spans="2:21" x14ac:dyDescent="0.2">
      <c r="B153" s="228" t="s">
        <v>414</v>
      </c>
    </row>
    <row r="155" spans="2:21" x14ac:dyDescent="0.2">
      <c r="B155" s="153" t="s">
        <v>415</v>
      </c>
    </row>
    <row r="156" spans="2:21" x14ac:dyDescent="0.2">
      <c r="B156" s="228" t="s">
        <v>416</v>
      </c>
    </row>
  </sheetData>
  <mergeCells count="39">
    <mergeCell ref="C8:H8"/>
    <mergeCell ref="C9:H9"/>
    <mergeCell ref="B16:B22"/>
    <mergeCell ref="C18:C22"/>
    <mergeCell ref="D18:H22"/>
    <mergeCell ref="C10:H10"/>
    <mergeCell ref="G63:G64"/>
    <mergeCell ref="D16:H16"/>
    <mergeCell ref="D17:H17"/>
    <mergeCell ref="B14:B15"/>
    <mergeCell ref="B10:B11"/>
    <mergeCell ref="B12:B13"/>
    <mergeCell ref="C11:H11"/>
    <mergeCell ref="C15:H15"/>
    <mergeCell ref="V33:V34"/>
    <mergeCell ref="J33:J34"/>
    <mergeCell ref="L33:L34"/>
    <mergeCell ref="M33:M34"/>
    <mergeCell ref="N33:N34"/>
    <mergeCell ref="O33:O34"/>
    <mergeCell ref="P33:P34"/>
    <mergeCell ref="R33:R34"/>
    <mergeCell ref="S33:S34"/>
    <mergeCell ref="T33:T34"/>
    <mergeCell ref="U33:U34"/>
    <mergeCell ref="Q33:Q34"/>
    <mergeCell ref="U139:U140"/>
    <mergeCell ref="I139:I140"/>
    <mergeCell ref="K139:K140"/>
    <mergeCell ref="P139:P140"/>
    <mergeCell ref="Q139:Q140"/>
    <mergeCell ref="R139:R140"/>
    <mergeCell ref="S139:S140"/>
    <mergeCell ref="T139:T140"/>
    <mergeCell ref="J139:J140"/>
    <mergeCell ref="L139:L140"/>
    <mergeCell ref="M139:M140"/>
    <mergeCell ref="N139:N140"/>
    <mergeCell ref="O139:O140"/>
  </mergeCells>
  <conditionalFormatting sqref="C126">
    <cfRule type="iconSet" priority="27">
      <iconSet iconSet="3Symbols2" showValue="0">
        <cfvo type="percent" val="0"/>
        <cfvo type="percent" val="33"/>
        <cfvo type="percent" val="67"/>
      </iconSet>
    </cfRule>
  </conditionalFormatting>
  <conditionalFormatting sqref="C119:F121">
    <cfRule type="cellIs" dxfId="124" priority="25" operator="equal">
      <formula>"Not Complex"</formula>
    </cfRule>
    <cfRule type="cellIs" dxfId="123" priority="26" operator="equal">
      <formula>"Complex"</formula>
    </cfRule>
  </conditionalFormatting>
  <conditionalFormatting sqref="C119:F121">
    <cfRule type="cellIs" dxfId="122" priority="24" operator="equal">
      <formula>"Very Complex"</formula>
    </cfRule>
  </conditionalFormatting>
  <conditionalFormatting sqref="C114:F114">
    <cfRule type="cellIs" dxfId="121" priority="22" operator="equal">
      <formula>"Less Than"</formula>
    </cfRule>
    <cfRule type="cellIs" dxfId="120" priority="23" operator="equal">
      <formula>"The Same"</formula>
    </cfRule>
  </conditionalFormatting>
  <conditionalFormatting sqref="C114:F114">
    <cfRule type="cellIs" dxfId="119" priority="21" operator="equal">
      <formula>"More Than"</formula>
    </cfRule>
  </conditionalFormatting>
  <conditionalFormatting sqref="K76:U76">
    <cfRule type="cellIs" dxfId="118" priority="19" operator="greaterThan">
      <formula>1</formula>
    </cfRule>
    <cfRule type="cellIs" dxfId="117" priority="20" operator="between">
      <formula>0.8</formula>
      <formula>0.9999</formula>
    </cfRule>
  </conditionalFormatting>
  <conditionalFormatting sqref="C101:G106">
    <cfRule type="cellIs" dxfId="116" priority="18" operator="equal">
      <formula>0</formula>
    </cfRule>
  </conditionalFormatting>
  <conditionalFormatting sqref="K141:U144">
    <cfRule type="cellIs" dxfId="115" priority="8" operator="equal">
      <formula>0</formula>
    </cfRule>
  </conditionalFormatting>
  <conditionalFormatting sqref="L141:U141">
    <cfRule type="expression" dxfId="114" priority="16">
      <formula>L141&gt;K141</formula>
    </cfRule>
  </conditionalFormatting>
  <conditionalFormatting sqref="K141:U141">
    <cfRule type="expression" dxfId="113" priority="15">
      <formula>U141=T141</formula>
    </cfRule>
  </conditionalFormatting>
  <conditionalFormatting sqref="K143:U143">
    <cfRule type="expression" dxfId="112" priority="9">
      <formula>U143&gt;T143</formula>
    </cfRule>
    <cfRule type="expression" dxfId="111" priority="13">
      <formula>K143=J143</formula>
    </cfRule>
  </conditionalFormatting>
  <conditionalFormatting sqref="K142:U142">
    <cfRule type="expression" dxfId="110" priority="10">
      <formula>K142&gt;J142</formula>
    </cfRule>
    <cfRule type="expression" dxfId="109" priority="12">
      <formula>U142=T142</formula>
    </cfRule>
  </conditionalFormatting>
  <conditionalFormatting sqref="G119:G121">
    <cfRule type="cellIs" dxfId="108" priority="5" operator="equal">
      <formula>"Not Complex"</formula>
    </cfRule>
    <cfRule type="cellIs" dxfId="107" priority="6" operator="equal">
      <formula>"Complex"</formula>
    </cfRule>
  </conditionalFormatting>
  <conditionalFormatting sqref="G119:G121">
    <cfRule type="cellIs" dxfId="106" priority="4" operator="equal">
      <formula>"Very Complex"</formula>
    </cfRule>
  </conditionalFormatting>
  <conditionalFormatting sqref="G114">
    <cfRule type="cellIs" dxfId="105" priority="2" operator="equal">
      <formula>"Less Than"</formula>
    </cfRule>
    <cfRule type="cellIs" dxfId="104" priority="3" operator="equal">
      <formula>"The Same"</formula>
    </cfRule>
  </conditionalFormatting>
  <conditionalFormatting sqref="G114">
    <cfRule type="cellIs" dxfId="103" priority="1" operator="equal">
      <formula>"More Than"</formula>
    </cfRule>
  </conditionalFormatting>
  <hyperlinks>
    <hyperlink ref="K63" r:id="rId1"/>
  </hyperlinks>
  <pageMargins left="0.7" right="0.7" top="0.75" bottom="0.75" header="0.3" footer="0.3"/>
  <pageSetup orientation="portrait"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sheetPr>
  <dimension ref="A2:Z120"/>
  <sheetViews>
    <sheetView topLeftCell="A94" zoomScale="115" zoomScaleNormal="115" workbookViewId="0">
      <selection activeCell="I29" sqref="I29"/>
    </sheetView>
  </sheetViews>
  <sheetFormatPr defaultRowHeight="12.75" x14ac:dyDescent="0.2"/>
  <cols>
    <col min="8" max="8" width="15.140625" customWidth="1"/>
    <col min="9" max="9" width="13.42578125" customWidth="1"/>
  </cols>
  <sheetData>
    <row r="2" spans="1:26" x14ac:dyDescent="0.2">
      <c r="A2" s="187" t="s">
        <v>128</v>
      </c>
      <c r="B2" s="188"/>
      <c r="C2" s="188"/>
      <c r="D2" s="188"/>
      <c r="E2" s="188"/>
      <c r="F2" s="188"/>
      <c r="G2" s="188"/>
      <c r="H2" s="188"/>
      <c r="I2" s="188"/>
      <c r="J2" s="188"/>
      <c r="K2" s="188"/>
      <c r="L2" s="188"/>
      <c r="M2" s="188"/>
      <c r="N2" s="188"/>
      <c r="O2" s="188"/>
      <c r="P2" s="188"/>
      <c r="Q2" s="188"/>
      <c r="R2" s="188"/>
      <c r="S2" s="188"/>
      <c r="T2" s="188"/>
      <c r="U2" s="188"/>
      <c r="V2" s="188"/>
      <c r="W2" s="188"/>
      <c r="X2" s="188"/>
      <c r="Y2" s="188"/>
      <c r="Z2" s="188"/>
    </row>
    <row r="3" spans="1:26" x14ac:dyDescent="0.2">
      <c r="A3" s="153"/>
    </row>
    <row r="4" spans="1:26" x14ac:dyDescent="0.2">
      <c r="A4" s="153" t="s">
        <v>200</v>
      </c>
    </row>
    <row r="5" spans="1:26" x14ac:dyDescent="0.2">
      <c r="A5" s="153"/>
    </row>
    <row r="6" spans="1:26" x14ac:dyDescent="0.2">
      <c r="A6" s="153"/>
    </row>
    <row r="7" spans="1:26" x14ac:dyDescent="0.2">
      <c r="A7" s="153"/>
    </row>
    <row r="8" spans="1:26" x14ac:dyDescent="0.2">
      <c r="A8" s="153"/>
    </row>
    <row r="9" spans="1:26" x14ac:dyDescent="0.2">
      <c r="A9" s="153"/>
    </row>
    <row r="10" spans="1:26" x14ac:dyDescent="0.2">
      <c r="A10" s="153"/>
    </row>
    <row r="11" spans="1:26" x14ac:dyDescent="0.2">
      <c r="A11" s="153"/>
    </row>
    <row r="12" spans="1:26" x14ac:dyDescent="0.2">
      <c r="A12" s="153"/>
    </row>
    <row r="13" spans="1:26" x14ac:dyDescent="0.2">
      <c r="A13" s="153"/>
    </row>
    <row r="14" spans="1:26" x14ac:dyDescent="0.2">
      <c r="A14" s="153"/>
    </row>
    <row r="15" spans="1:26" x14ac:dyDescent="0.2">
      <c r="A15" s="153"/>
    </row>
    <row r="16" spans="1:26" x14ac:dyDescent="0.2">
      <c r="A16" s="153"/>
    </row>
    <row r="17" spans="1:2" x14ac:dyDescent="0.2">
      <c r="A17" s="153"/>
    </row>
    <row r="18" spans="1:2" x14ac:dyDescent="0.2">
      <c r="A18" s="153"/>
    </row>
    <row r="19" spans="1:2" x14ac:dyDescent="0.2">
      <c r="A19" s="153"/>
    </row>
    <row r="20" spans="1:2" x14ac:dyDescent="0.2">
      <c r="A20" s="153"/>
    </row>
    <row r="21" spans="1:2" x14ac:dyDescent="0.2">
      <c r="A21" s="153"/>
    </row>
    <row r="22" spans="1:2" x14ac:dyDescent="0.2">
      <c r="A22" s="153"/>
    </row>
    <row r="23" spans="1:2" x14ac:dyDescent="0.2">
      <c r="A23" s="153"/>
    </row>
    <row r="24" spans="1:2" x14ac:dyDescent="0.2">
      <c r="A24" s="153"/>
    </row>
    <row r="25" spans="1:2" x14ac:dyDescent="0.2">
      <c r="A25" s="153"/>
    </row>
    <row r="26" spans="1:2" x14ac:dyDescent="0.2">
      <c r="A26" s="153"/>
    </row>
    <row r="27" spans="1:2" x14ac:dyDescent="0.2">
      <c r="A27" s="153"/>
    </row>
    <row r="28" spans="1:2" x14ac:dyDescent="0.2">
      <c r="A28" s="153"/>
      <c r="B28" s="148"/>
    </row>
    <row r="29" spans="1:2" x14ac:dyDescent="0.2">
      <c r="A29" s="153"/>
    </row>
    <row r="30" spans="1:2" x14ac:dyDescent="0.2">
      <c r="A30" s="153"/>
    </row>
    <row r="31" spans="1:2" x14ac:dyDescent="0.2">
      <c r="A31" s="153"/>
    </row>
    <row r="32" spans="1:2" x14ac:dyDescent="0.2">
      <c r="A32" s="153"/>
    </row>
    <row r="33" spans="1:13" x14ac:dyDescent="0.2">
      <c r="A33" s="153"/>
    </row>
    <row r="35" spans="1:13" x14ac:dyDescent="0.2">
      <c r="A35" s="153" t="s">
        <v>199</v>
      </c>
      <c r="L35" s="148" t="s">
        <v>201</v>
      </c>
      <c r="M35" s="148" t="s">
        <v>186</v>
      </c>
    </row>
    <row r="58" spans="1:26" x14ac:dyDescent="0.2">
      <c r="A58" s="189" t="s">
        <v>149</v>
      </c>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row>
    <row r="60" spans="1:26" x14ac:dyDescent="0.2">
      <c r="B60" s="148" t="s">
        <v>202</v>
      </c>
    </row>
    <row r="63" spans="1:26" x14ac:dyDescent="0.2">
      <c r="A63" s="189" t="s">
        <v>150</v>
      </c>
      <c r="B63" s="188"/>
      <c r="C63" s="188"/>
      <c r="D63" s="188"/>
      <c r="E63" s="188"/>
      <c r="F63" s="188"/>
      <c r="G63" s="188"/>
      <c r="H63" s="188"/>
      <c r="I63" s="188"/>
      <c r="J63" s="188"/>
      <c r="K63" s="188"/>
      <c r="L63" s="188"/>
      <c r="M63" s="188"/>
      <c r="N63" s="188"/>
      <c r="O63" s="188"/>
      <c r="P63" s="188"/>
      <c r="Q63" s="188"/>
      <c r="R63" s="188"/>
      <c r="S63" s="188"/>
      <c r="T63" s="188"/>
      <c r="U63" s="188"/>
      <c r="V63" s="188"/>
      <c r="W63" s="188"/>
      <c r="X63" s="188"/>
      <c r="Y63" s="188"/>
      <c r="Z63" s="188"/>
    </row>
    <row r="65" spans="1:26" x14ac:dyDescent="0.2">
      <c r="A65" s="148" t="s">
        <v>151</v>
      </c>
    </row>
    <row r="66" spans="1:26" x14ac:dyDescent="0.2">
      <c r="A66" s="148" t="s">
        <v>152</v>
      </c>
    </row>
    <row r="68" spans="1:26" x14ac:dyDescent="0.2">
      <c r="A68" s="236" t="s">
        <v>371</v>
      </c>
      <c r="B68" s="188"/>
      <c r="C68" s="188"/>
      <c r="D68" s="188"/>
      <c r="E68" s="188"/>
      <c r="F68" s="188"/>
      <c r="G68" s="188"/>
      <c r="H68" s="188"/>
      <c r="I68" s="188"/>
      <c r="J68" s="188"/>
      <c r="K68" s="188"/>
      <c r="L68" s="188"/>
      <c r="M68" s="188"/>
      <c r="N68" s="188"/>
      <c r="O68" s="188"/>
      <c r="P68" s="188"/>
      <c r="Q68" s="188"/>
      <c r="R68" s="188"/>
      <c r="S68" s="188"/>
      <c r="T68" s="188"/>
      <c r="U68" s="188"/>
      <c r="V68" s="188"/>
      <c r="W68" s="188"/>
      <c r="X68" s="188"/>
      <c r="Y68" s="188"/>
      <c r="Z68" s="188"/>
    </row>
    <row r="69" spans="1:26" x14ac:dyDescent="0.2">
      <c r="B69" s="148" t="s">
        <v>202</v>
      </c>
    </row>
    <row r="70" spans="1:26" x14ac:dyDescent="0.2">
      <c r="A70" s="228" t="s">
        <v>475</v>
      </c>
      <c r="B70" s="228" t="s">
        <v>476</v>
      </c>
    </row>
    <row r="71" spans="1:26" x14ac:dyDescent="0.2">
      <c r="B71" s="148"/>
      <c r="J71">
        <v>2010</v>
      </c>
      <c r="K71">
        <v>2015</v>
      </c>
      <c r="L71">
        <v>2020</v>
      </c>
      <c r="M71">
        <v>2025</v>
      </c>
      <c r="N71">
        <v>2030</v>
      </c>
      <c r="O71">
        <v>2035</v>
      </c>
      <c r="P71">
        <v>2040</v>
      </c>
      <c r="Q71">
        <v>2045</v>
      </c>
      <c r="R71">
        <v>2050</v>
      </c>
      <c r="S71">
        <v>2055</v>
      </c>
      <c r="T71">
        <v>2060</v>
      </c>
    </row>
    <row r="72" spans="1:26" x14ac:dyDescent="0.2">
      <c r="B72" s="148"/>
      <c r="I72" s="228" t="s">
        <v>472</v>
      </c>
      <c r="J72" s="424">
        <f>'Population&amp;Demand Projections'!C107</f>
        <v>37.9</v>
      </c>
      <c r="K72" s="424">
        <f>'Population&amp;Demand Projections'!D107</f>
        <v>37.9</v>
      </c>
      <c r="L72" s="424">
        <f>'Population&amp;Demand Projections'!E107</f>
        <v>37.9</v>
      </c>
      <c r="M72" s="424">
        <f>'Population&amp;Demand Projections'!F107</f>
        <v>37.9</v>
      </c>
      <c r="N72" s="424">
        <f>'Population&amp;Demand Projections'!G107</f>
        <v>37.9</v>
      </c>
      <c r="O72" s="424">
        <f>'Population&amp;Demand Projections'!H107</f>
        <v>37.9</v>
      </c>
      <c r="P72" s="424">
        <f>'Population&amp;Demand Projections'!I107</f>
        <v>37.9</v>
      </c>
      <c r="Q72" s="424">
        <f>'Population&amp;Demand Projections'!J107</f>
        <v>37.9</v>
      </c>
      <c r="R72" s="424">
        <f>'Population&amp;Demand Projections'!K107</f>
        <v>37.9</v>
      </c>
      <c r="S72" s="424">
        <f>'Population&amp;Demand Projections'!L107</f>
        <v>37.9</v>
      </c>
      <c r="T72" s="424">
        <f>'Population&amp;Demand Projections'!M107</f>
        <v>37.9</v>
      </c>
    </row>
    <row r="73" spans="1:26" x14ac:dyDescent="0.2">
      <c r="B73" s="148"/>
      <c r="I73" s="228" t="s">
        <v>473</v>
      </c>
      <c r="J73">
        <f>'Population&amp;Demand Projections'!$C$117</f>
        <v>25.27</v>
      </c>
      <c r="K73">
        <f>'Population&amp;Demand Projections'!$C$117</f>
        <v>25.27</v>
      </c>
      <c r="L73">
        <f>'Population&amp;Demand Projections'!$C$117</f>
        <v>25.27</v>
      </c>
      <c r="M73">
        <f>'Population&amp;Demand Projections'!$C$117</f>
        <v>25.27</v>
      </c>
      <c r="N73">
        <f>'Population&amp;Demand Projections'!$C$117</f>
        <v>25.27</v>
      </c>
      <c r="O73">
        <f>'Population&amp;Demand Projections'!$C$117</f>
        <v>25.27</v>
      </c>
      <c r="P73">
        <f>'Population&amp;Demand Projections'!$C$117</f>
        <v>25.27</v>
      </c>
      <c r="Q73">
        <f>'Population&amp;Demand Projections'!$C$117</f>
        <v>25.27</v>
      </c>
      <c r="R73">
        <f>'Population&amp;Demand Projections'!$C$117</f>
        <v>25.27</v>
      </c>
      <c r="S73">
        <f>'Population&amp;Demand Projections'!$C$117</f>
        <v>25.27</v>
      </c>
      <c r="T73">
        <f>'Population&amp;Demand Projections'!$C$117</f>
        <v>25.27</v>
      </c>
    </row>
    <row r="74" spans="1:26" x14ac:dyDescent="0.2">
      <c r="B74" s="148"/>
      <c r="I74" s="228" t="s">
        <v>474</v>
      </c>
      <c r="J74" s="424">
        <f>MIN('Population&amp;Demand Projections'!C117-ReportFigures!J73,ReportFigures!J72-ReportFigures!J73)</f>
        <v>0</v>
      </c>
      <c r="K74" s="424">
        <f>MIN('Population&amp;Demand Projections'!D117-ReportFigures!K73,ReportFigures!K72-ReportFigures!K73)</f>
        <v>2.6950000000000003</v>
      </c>
      <c r="L74" s="424">
        <f>MIN('Population&amp;Demand Projections'!E117-ReportFigures!L73,ReportFigures!L72-ReportFigures!L73)</f>
        <v>5.3900000000000006</v>
      </c>
      <c r="M74" s="424">
        <f>MIN('Population&amp;Demand Projections'!F117-ReportFigures!M73,ReportFigures!M72-ReportFigures!M73)</f>
        <v>7.129999999999999</v>
      </c>
      <c r="N74" s="424">
        <f>MIN('Population&amp;Demand Projections'!G117-ReportFigures!N73,ReportFigures!N72-ReportFigures!N73)</f>
        <v>8.870000000000001</v>
      </c>
      <c r="O74" s="424">
        <f>MIN('Population&amp;Demand Projections'!H117-ReportFigures!O73,ReportFigures!O72-ReportFigures!O73)</f>
        <v>10.849999999999998</v>
      </c>
      <c r="P74" s="424">
        <f>MIN('Population&amp;Demand Projections'!I117-ReportFigures!P73,ReportFigures!P72-ReportFigures!P73)</f>
        <v>12.629999999999999</v>
      </c>
      <c r="Q74" s="424">
        <f>MIN('Population&amp;Demand Projections'!J117-ReportFigures!Q73,ReportFigures!Q72-ReportFigures!Q73)</f>
        <v>12.629999999999999</v>
      </c>
      <c r="R74" s="424">
        <f>MIN('Population&amp;Demand Projections'!K117-ReportFigures!R73,ReportFigures!R72-ReportFigures!R73)</f>
        <v>12.629999999999999</v>
      </c>
      <c r="S74" s="424">
        <f>MIN('Population&amp;Demand Projections'!L117-ReportFigures!S73,ReportFigures!S72-ReportFigures!S73)</f>
        <v>12.629999999999999</v>
      </c>
      <c r="T74" s="424">
        <f>MIN('Population&amp;Demand Projections'!M117-ReportFigures!T73,ReportFigures!T72-ReportFigures!T73)</f>
        <v>12.629999999999999</v>
      </c>
    </row>
    <row r="75" spans="1:26" x14ac:dyDescent="0.2">
      <c r="B75" s="148"/>
      <c r="I75" s="228" t="s">
        <v>398</v>
      </c>
      <c r="J75" s="424">
        <f>MAX('Population&amp;Demand Projections'!C117-J72,0)</f>
        <v>0</v>
      </c>
      <c r="K75" s="424">
        <f>MAX('Population&amp;Demand Projections'!D117-K72,0)</f>
        <v>0</v>
      </c>
      <c r="L75" s="424">
        <f>MAX('Population&amp;Demand Projections'!E117-L72,0)</f>
        <v>0</v>
      </c>
      <c r="M75" s="424">
        <f>MAX('Population&amp;Demand Projections'!F117-M72,0)</f>
        <v>0</v>
      </c>
      <c r="N75" s="424">
        <f>MAX('Population&amp;Demand Projections'!G117-N72,0)</f>
        <v>0</v>
      </c>
      <c r="O75" s="424">
        <f>MAX('Population&amp;Demand Projections'!H117-O72,0)</f>
        <v>0</v>
      </c>
      <c r="P75" s="424">
        <f>MAX('Population&amp;Demand Projections'!I117-P72,0)</f>
        <v>0.19999999999999574</v>
      </c>
      <c r="Q75" s="424">
        <f>MAX('Population&amp;Demand Projections'!J117-Q72,0)</f>
        <v>2.0749999999999957</v>
      </c>
      <c r="R75" s="424">
        <f>MAX('Population&amp;Demand Projections'!K117-R72,0)</f>
        <v>3.9500000000000028</v>
      </c>
      <c r="S75" s="424">
        <f>MAX('Population&amp;Demand Projections'!L117-S72,0)</f>
        <v>5.2100000000000009</v>
      </c>
      <c r="T75" s="424">
        <f>MAX('Population&amp;Demand Projections'!M117-T72,0)</f>
        <v>6.4699999999999989</v>
      </c>
    </row>
    <row r="76" spans="1:26" x14ac:dyDescent="0.2">
      <c r="B76" s="148"/>
    </row>
    <row r="77" spans="1:26" x14ac:dyDescent="0.2">
      <c r="B77" s="148"/>
    </row>
    <row r="78" spans="1:26" x14ac:dyDescent="0.2">
      <c r="B78" s="148"/>
    </row>
    <row r="79" spans="1:26" x14ac:dyDescent="0.2">
      <c r="B79" s="148"/>
    </row>
    <row r="80" spans="1:26" x14ac:dyDescent="0.2">
      <c r="B80" s="148"/>
    </row>
    <row r="81" spans="1:26" x14ac:dyDescent="0.2">
      <c r="B81" s="148"/>
    </row>
    <row r="82" spans="1:26" x14ac:dyDescent="0.2">
      <c r="B82" s="148"/>
    </row>
    <row r="83" spans="1:26" x14ac:dyDescent="0.2">
      <c r="B83" s="148"/>
    </row>
    <row r="84" spans="1:26" x14ac:dyDescent="0.2">
      <c r="B84" s="148"/>
    </row>
    <row r="85" spans="1:26" x14ac:dyDescent="0.2">
      <c r="B85" s="148"/>
    </row>
    <row r="86" spans="1:26" x14ac:dyDescent="0.2">
      <c r="B86" s="148"/>
    </row>
    <row r="87" spans="1:26" x14ac:dyDescent="0.2">
      <c r="B87" s="148"/>
    </row>
    <row r="89" spans="1:26" x14ac:dyDescent="0.2">
      <c r="A89" s="242" t="s">
        <v>370</v>
      </c>
      <c r="B89" s="268"/>
      <c r="C89" s="268"/>
      <c r="D89" s="268"/>
      <c r="E89" s="268"/>
      <c r="F89" s="268"/>
      <c r="G89" s="268"/>
      <c r="H89" s="268"/>
      <c r="I89" s="268"/>
      <c r="J89" s="268"/>
      <c r="K89" s="268"/>
      <c r="L89" s="268"/>
      <c r="M89" s="268"/>
      <c r="N89" s="268"/>
      <c r="O89" s="268"/>
      <c r="P89" s="268"/>
      <c r="Q89" s="268"/>
      <c r="R89" s="268"/>
      <c r="S89" s="268"/>
      <c r="T89" s="268"/>
      <c r="U89" s="268"/>
      <c r="V89" s="268"/>
      <c r="W89" s="268"/>
      <c r="X89" s="268"/>
      <c r="Y89" s="268"/>
      <c r="Z89" s="268"/>
    </row>
    <row r="91" spans="1:26" ht="15" x14ac:dyDescent="0.2">
      <c r="A91" s="358" t="s">
        <v>373</v>
      </c>
      <c r="G91" s="228" t="s">
        <v>374</v>
      </c>
    </row>
    <row r="92" spans="1:26" ht="15" x14ac:dyDescent="0.2">
      <c r="A92" s="358"/>
      <c r="G92" s="228"/>
    </row>
    <row r="94" spans="1:26" ht="15" x14ac:dyDescent="0.2">
      <c r="A94" s="358" t="s">
        <v>372</v>
      </c>
      <c r="I94" s="228" t="s">
        <v>375</v>
      </c>
    </row>
    <row r="96" spans="1:26" x14ac:dyDescent="0.2">
      <c r="J96">
        <v>2010</v>
      </c>
      <c r="K96">
        <v>2015</v>
      </c>
      <c r="L96">
        <v>2020</v>
      </c>
      <c r="M96">
        <v>2025</v>
      </c>
      <c r="N96">
        <v>2030</v>
      </c>
      <c r="O96">
        <v>2035</v>
      </c>
      <c r="P96">
        <v>2040</v>
      </c>
      <c r="Q96">
        <v>2045</v>
      </c>
      <c r="R96">
        <v>2050</v>
      </c>
      <c r="S96">
        <v>2055</v>
      </c>
      <c r="T96">
        <v>2060</v>
      </c>
    </row>
    <row r="97" spans="9:20" x14ac:dyDescent="0.2">
      <c r="I97" s="228" t="s">
        <v>180</v>
      </c>
      <c r="J97" s="424">
        <f>MAX('Population&amp;Demand Projections'!C$118,0)</f>
        <v>0</v>
      </c>
      <c r="K97" s="424">
        <f>MAX('Population&amp;Demand Projections'!D$118,0)</f>
        <v>0</v>
      </c>
      <c r="L97" s="424">
        <f>MAX('Population&amp;Demand Projections'!E$118,0)</f>
        <v>0</v>
      </c>
      <c r="M97" s="424">
        <f>MAX('Population&amp;Demand Projections'!F$118,0)</f>
        <v>0</v>
      </c>
      <c r="N97" s="424">
        <f>MAX('Population&amp;Demand Projections'!G$118,0)</f>
        <v>0</v>
      </c>
      <c r="O97" s="424">
        <f>MAX('Population&amp;Demand Projections'!H$118,0)</f>
        <v>0</v>
      </c>
      <c r="P97" s="424">
        <f>MAX('Population&amp;Demand Projections'!I$118,0)</f>
        <v>0.19999999999999574</v>
      </c>
      <c r="Q97" s="424">
        <f>MAX('Population&amp;Demand Projections'!J$118,0)</f>
        <v>2.0749999999999957</v>
      </c>
      <c r="R97" s="424">
        <f>MAX('Population&amp;Demand Projections'!K$118,0)</f>
        <v>3.9500000000000028</v>
      </c>
      <c r="S97" s="424">
        <f>MAX('Population&amp;Demand Projections'!L$118,0)</f>
        <v>5.2100000000000009</v>
      </c>
      <c r="T97" s="424">
        <f>MAX('Population&amp;Demand Projections'!M$118,0)</f>
        <v>6.4699999999999989</v>
      </c>
    </row>
    <row r="98" spans="9:20" x14ac:dyDescent="0.2">
      <c r="I98" s="228" t="s">
        <v>365</v>
      </c>
      <c r="J98">
        <f>SUM('Supply Alternative 1'!C$8:C$10)</f>
        <v>0</v>
      </c>
      <c r="K98">
        <f>SUM('Supply Alternative 1'!D$8:D$10)</f>
        <v>0</v>
      </c>
      <c r="L98">
        <f>SUM('Supply Alternative 1'!E$8:E$10)</f>
        <v>6.5</v>
      </c>
      <c r="M98">
        <f>SUM('Supply Alternative 1'!F$8:F$10)</f>
        <v>6.5</v>
      </c>
      <c r="N98">
        <f>SUM('Supply Alternative 1'!G$8:G$10)</f>
        <v>6.5</v>
      </c>
      <c r="O98">
        <f>SUM('Supply Alternative 1'!H$8:H$10)</f>
        <v>6.5</v>
      </c>
      <c r="P98">
        <f>SUM('Supply Alternative 1'!I$8:I$10)</f>
        <v>6.5</v>
      </c>
      <c r="Q98">
        <f>SUM('Supply Alternative 1'!J$8:J$10)</f>
        <v>6.5</v>
      </c>
      <c r="R98">
        <f>SUM('Supply Alternative 1'!K$8:K$10)</f>
        <v>6.5</v>
      </c>
      <c r="S98">
        <f>SUM('Supply Alternative 1'!L$8:L$10)</f>
        <v>6.5</v>
      </c>
      <c r="T98">
        <f>SUM('Supply Alternative 1'!M$8:M$10)</f>
        <v>6.5</v>
      </c>
    </row>
    <row r="99" spans="9:20" x14ac:dyDescent="0.2">
      <c r="I99" s="228" t="s">
        <v>366</v>
      </c>
      <c r="J99">
        <f>SUM('Supply Alternative 2'!C$8:C$10)</f>
        <v>0</v>
      </c>
      <c r="K99">
        <f>SUM('Supply Alternative 2'!D$8:D$10)</f>
        <v>0</v>
      </c>
      <c r="L99">
        <f>SUM('Supply Alternative 2'!E$8:E$10)</f>
        <v>7.4</v>
      </c>
      <c r="M99">
        <f>SUM('Supply Alternative 2'!F$8:F$10)</f>
        <v>7.4</v>
      </c>
      <c r="N99">
        <f>SUM('Supply Alternative 2'!G$8:G$10)</f>
        <v>7.4</v>
      </c>
      <c r="O99">
        <f>SUM('Supply Alternative 2'!H$8:H$10)</f>
        <v>7.4</v>
      </c>
      <c r="P99">
        <f>SUM('Supply Alternative 2'!I$8:I$10)</f>
        <v>7.4</v>
      </c>
      <c r="Q99">
        <f>SUM('Supply Alternative 2'!J$8:J$10)</f>
        <v>7.4</v>
      </c>
      <c r="R99">
        <f>SUM('Supply Alternative 2'!K$8:K$10)</f>
        <v>7.4</v>
      </c>
      <c r="S99">
        <f>SUM('Supply Alternative 2'!L$8:L$10)</f>
        <v>7.4</v>
      </c>
      <c r="T99">
        <f>SUM('Supply Alternative 2'!M$8:M$10)</f>
        <v>7.4</v>
      </c>
    </row>
    <row r="100" spans="9:20" x14ac:dyDescent="0.2">
      <c r="I100" s="228" t="s">
        <v>367</v>
      </c>
      <c r="J100">
        <f>SUM('Supply Alternative 3'!C$8:C$10)</f>
        <v>0</v>
      </c>
      <c r="K100">
        <f>SUM('Supply Alternative 3'!D$8:D$10)</f>
        <v>0</v>
      </c>
      <c r="L100">
        <f>SUM('Supply Alternative 3'!E$8:E$10)</f>
        <v>0</v>
      </c>
      <c r="M100">
        <f>SUM('Supply Alternative 3'!F$8:F$10)</f>
        <v>0</v>
      </c>
      <c r="N100">
        <f>SUM('Supply Alternative 3'!G$8:G$10)</f>
        <v>12</v>
      </c>
      <c r="O100">
        <f>SUM('Supply Alternative 3'!H$8:H$10)</f>
        <v>12</v>
      </c>
      <c r="P100">
        <f>SUM('Supply Alternative 3'!I$8:I$10)</f>
        <v>12</v>
      </c>
      <c r="Q100">
        <f>SUM('Supply Alternative 3'!J$8:J$10)</f>
        <v>12</v>
      </c>
      <c r="R100">
        <f>SUM('Supply Alternative 3'!K$8:K$10)</f>
        <v>12</v>
      </c>
      <c r="S100">
        <f>SUM('Supply Alternative 3'!L$8:L$10)</f>
        <v>12</v>
      </c>
      <c r="T100">
        <f>SUM('Supply Alternative 3'!M$8:M$10)</f>
        <v>12</v>
      </c>
    </row>
    <row r="101" spans="9:20" x14ac:dyDescent="0.2">
      <c r="I101" s="228" t="s">
        <v>368</v>
      </c>
      <c r="J101">
        <f>SUM('Supply Alternative 4'!C$8:C$10)</f>
        <v>0</v>
      </c>
      <c r="K101">
        <f>SUM('Supply Alternative 4'!D$8:D$10)</f>
        <v>0</v>
      </c>
      <c r="L101">
        <f>SUM('Supply Alternative 4'!E$8:E$10)</f>
        <v>0</v>
      </c>
      <c r="M101">
        <f>SUM('Supply Alternative 4'!F$8:F$10)</f>
        <v>0</v>
      </c>
      <c r="N101">
        <f>SUM('Supply Alternative 4'!G$8:G$10)</f>
        <v>26</v>
      </c>
      <c r="O101">
        <f>SUM('Supply Alternative 4'!H$8:H$10)</f>
        <v>26</v>
      </c>
      <c r="P101">
        <f>SUM('Supply Alternative 4'!I$8:I$10)</f>
        <v>26</v>
      </c>
      <c r="Q101">
        <f>SUM('Supply Alternative 4'!J$8:J$10)</f>
        <v>26</v>
      </c>
      <c r="R101">
        <f>SUM('Supply Alternative 4'!K$8:K$10)</f>
        <v>26</v>
      </c>
      <c r="S101">
        <f>SUM('Supply Alternative 4'!L$8:L$10)</f>
        <v>26</v>
      </c>
      <c r="T101">
        <f>SUM('Supply Alternative 4'!M$8:M$10)</f>
        <v>26</v>
      </c>
    </row>
    <row r="102" spans="9:20" x14ac:dyDescent="0.2">
      <c r="I102" s="228" t="s">
        <v>369</v>
      </c>
      <c r="J102">
        <f>SUM('Supply Alternative 5'!C$8:C$10)</f>
        <v>0</v>
      </c>
      <c r="K102">
        <f>SUM('Supply Alternative 5'!D$8:D$10)</f>
        <v>0</v>
      </c>
      <c r="L102">
        <f>SUM('Supply Alternative 5'!E$8:E$10)</f>
        <v>0</v>
      </c>
      <c r="M102">
        <f>SUM('Supply Alternative 5'!F$8:F$10)</f>
        <v>0</v>
      </c>
      <c r="N102">
        <f>SUM('Supply Alternative 5'!G$8:G$10)</f>
        <v>11.3</v>
      </c>
      <c r="O102">
        <f>SUM('Supply Alternative 5'!H$8:H$10)</f>
        <v>11.3</v>
      </c>
      <c r="P102">
        <f>SUM('Supply Alternative 5'!I$8:I$10)</f>
        <v>11.3</v>
      </c>
      <c r="Q102">
        <f>SUM('Supply Alternative 5'!J$8:J$10)</f>
        <v>11.3</v>
      </c>
      <c r="R102">
        <f>SUM('Supply Alternative 5'!K$8:K$10)</f>
        <v>11.3</v>
      </c>
      <c r="S102">
        <f>SUM('Supply Alternative 5'!L$8:L$10)</f>
        <v>11.3</v>
      </c>
      <c r="T102">
        <f>SUM('Supply Alternative 5'!M$8:M$10)</f>
        <v>11.3</v>
      </c>
    </row>
    <row r="115" spans="1:26" x14ac:dyDescent="0.2">
      <c r="A115" s="153" t="s">
        <v>419</v>
      </c>
    </row>
    <row r="116" spans="1:26" x14ac:dyDescent="0.2">
      <c r="B116" s="228" t="s">
        <v>418</v>
      </c>
    </row>
    <row r="118" spans="1:26" x14ac:dyDescent="0.2">
      <c r="A118" s="236" t="s">
        <v>376</v>
      </c>
      <c r="B118" s="188"/>
      <c r="C118" s="188"/>
      <c r="D118" s="188"/>
      <c r="E118" s="188"/>
      <c r="F118" s="188"/>
      <c r="G118" s="188"/>
      <c r="H118" s="188"/>
      <c r="I118" s="188"/>
      <c r="J118" s="188"/>
      <c r="K118" s="188"/>
      <c r="L118" s="188"/>
      <c r="M118" s="188"/>
      <c r="N118" s="188"/>
      <c r="O118" s="188"/>
      <c r="P118" s="188"/>
      <c r="Q118" s="188"/>
      <c r="R118" s="188"/>
      <c r="S118" s="188"/>
      <c r="T118" s="188"/>
      <c r="U118" s="188"/>
      <c r="V118" s="188"/>
      <c r="W118" s="188"/>
      <c r="X118" s="188"/>
      <c r="Y118" s="188"/>
      <c r="Z118" s="188"/>
    </row>
    <row r="120" spans="1:26" x14ac:dyDescent="0.2">
      <c r="A120" s="228"/>
      <c r="B120" s="148" t="s">
        <v>202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4:AA36"/>
  <sheetViews>
    <sheetView topLeftCell="A4" workbookViewId="0">
      <selection activeCell="P6" sqref="P6"/>
    </sheetView>
  </sheetViews>
  <sheetFormatPr defaultRowHeight="12.75" x14ac:dyDescent="0.2"/>
  <cols>
    <col min="2" max="2" width="16.140625" customWidth="1"/>
    <col min="3" max="3" width="17.28515625" customWidth="1"/>
    <col min="4" max="14" width="5.42578125" customWidth="1"/>
    <col min="16" max="16" width="27" customWidth="1"/>
    <col min="17" max="27" width="6.7109375" customWidth="1"/>
  </cols>
  <sheetData>
    <row r="4" spans="2:27" x14ac:dyDescent="0.2">
      <c r="B4" s="148" t="s">
        <v>184</v>
      </c>
    </row>
    <row r="5" spans="2:27" ht="13.5" thickBot="1" x14ac:dyDescent="0.25"/>
    <row r="6" spans="2:27" ht="21.95" customHeight="1" thickTop="1" thickBot="1" x14ac:dyDescent="0.25">
      <c r="C6" s="526" t="s">
        <v>122</v>
      </c>
      <c r="D6" s="150">
        <v>2010</v>
      </c>
      <c r="E6" s="150">
        <v>2015</v>
      </c>
      <c r="F6" s="150">
        <v>2020</v>
      </c>
      <c r="G6" s="150">
        <v>2025</v>
      </c>
      <c r="H6" s="150">
        <v>2030</v>
      </c>
      <c r="I6" s="150">
        <v>2035</v>
      </c>
      <c r="J6" s="150">
        <v>2040</v>
      </c>
      <c r="K6" s="150">
        <v>2045</v>
      </c>
      <c r="L6" s="150">
        <v>2050</v>
      </c>
      <c r="M6" s="150">
        <v>2055</v>
      </c>
      <c r="N6" s="460">
        <v>2060</v>
      </c>
      <c r="P6" s="539" t="s">
        <v>122</v>
      </c>
      <c r="Q6" s="150">
        <v>2010</v>
      </c>
      <c r="R6" s="150">
        <v>2015</v>
      </c>
      <c r="S6" s="150">
        <v>2020</v>
      </c>
      <c r="T6" s="150">
        <v>2025</v>
      </c>
      <c r="U6" s="150">
        <v>2030</v>
      </c>
      <c r="V6" s="150">
        <v>2035</v>
      </c>
      <c r="W6" s="150">
        <v>2040</v>
      </c>
      <c r="X6" s="150">
        <v>2045</v>
      </c>
      <c r="Y6" s="150">
        <v>2050</v>
      </c>
      <c r="Z6" s="150">
        <v>2055</v>
      </c>
      <c r="AA6" s="460">
        <v>2060</v>
      </c>
    </row>
    <row r="7" spans="2:27" ht="21.95" customHeight="1" thickTop="1" thickBot="1" x14ac:dyDescent="0.25">
      <c r="C7" s="527" t="str">
        <f>DataIn!C19</f>
        <v>Residential</v>
      </c>
      <c r="D7" s="372">
        <f>DataIn!D19</f>
        <v>13.24</v>
      </c>
      <c r="E7" s="372">
        <f>DataIn!E19</f>
        <v>14.355</v>
      </c>
      <c r="F7" s="372">
        <f>DataIn!F19</f>
        <v>15.47</v>
      </c>
      <c r="G7" s="372">
        <f>DataIn!G19</f>
        <v>16.465</v>
      </c>
      <c r="H7" s="372">
        <f>DataIn!H19</f>
        <v>17.46</v>
      </c>
      <c r="I7" s="372">
        <f>DataIn!I19</f>
        <v>18.414999999999999</v>
      </c>
      <c r="J7" s="372">
        <f>DataIn!J19</f>
        <v>19.37</v>
      </c>
      <c r="K7" s="372">
        <f>DataIn!K19</f>
        <v>20.28</v>
      </c>
      <c r="L7" s="372">
        <f>DataIn!L19</f>
        <v>21.19</v>
      </c>
      <c r="M7" s="372">
        <f>DataIn!M19</f>
        <v>22.055</v>
      </c>
      <c r="N7" s="461">
        <f>DataIn!N19</f>
        <v>22.92</v>
      </c>
      <c r="P7" s="513" t="s">
        <v>114</v>
      </c>
      <c r="Q7" s="533">
        <v>13.24</v>
      </c>
      <c r="R7" s="533">
        <v>14.355</v>
      </c>
      <c r="S7" s="533">
        <v>15.47</v>
      </c>
      <c r="T7" s="533">
        <v>16.465</v>
      </c>
      <c r="U7" s="533">
        <v>17.46</v>
      </c>
      <c r="V7" s="533">
        <v>18.414999999999999</v>
      </c>
      <c r="W7" s="533">
        <v>19.37</v>
      </c>
      <c r="X7" s="533">
        <v>20.28</v>
      </c>
      <c r="Y7" s="533">
        <v>21.19</v>
      </c>
      <c r="Z7" s="533">
        <v>22.055</v>
      </c>
      <c r="AA7" s="534">
        <v>22.92</v>
      </c>
    </row>
    <row r="8" spans="2:27" ht="21.95" customHeight="1" thickBot="1" x14ac:dyDescent="0.25">
      <c r="C8" s="527" t="str">
        <f>DataIn!C20</f>
        <v>Commercial</v>
      </c>
      <c r="D8" s="373">
        <f>DataIn!D20</f>
        <v>6.62</v>
      </c>
      <c r="E8" s="373">
        <f>DataIn!E20</f>
        <v>6.9050000000000002</v>
      </c>
      <c r="F8" s="373">
        <f>DataIn!F20</f>
        <v>7.19</v>
      </c>
      <c r="G8" s="373">
        <f>DataIn!G20</f>
        <v>7.7949999999999999</v>
      </c>
      <c r="H8" s="373">
        <f>DataIn!H20</f>
        <v>8.4</v>
      </c>
      <c r="I8" s="373">
        <f>DataIn!I20</f>
        <v>8.9499999999999993</v>
      </c>
      <c r="J8" s="373">
        <f>DataIn!J20</f>
        <v>9.5</v>
      </c>
      <c r="K8" s="373">
        <f>DataIn!K20</f>
        <v>10.015000000000001</v>
      </c>
      <c r="L8" s="373">
        <f>DataIn!L20</f>
        <v>10.53</v>
      </c>
      <c r="M8" s="373">
        <f>DataIn!M20</f>
        <v>11.01</v>
      </c>
      <c r="N8" s="462">
        <f>DataIn!N20</f>
        <v>11.49</v>
      </c>
      <c r="P8" s="513" t="s">
        <v>115</v>
      </c>
      <c r="Q8" s="535">
        <v>6.62</v>
      </c>
      <c r="R8" s="535">
        <v>6.9050000000000002</v>
      </c>
      <c r="S8" s="535">
        <v>7.19</v>
      </c>
      <c r="T8" s="535">
        <v>7.7949999999999999</v>
      </c>
      <c r="U8" s="535">
        <v>8.4</v>
      </c>
      <c r="V8" s="535">
        <v>8.9499999999999993</v>
      </c>
      <c r="W8" s="535">
        <v>9.5</v>
      </c>
      <c r="X8" s="535">
        <v>10.015000000000001</v>
      </c>
      <c r="Y8" s="535">
        <v>10.53</v>
      </c>
      <c r="Z8" s="535">
        <v>11.01</v>
      </c>
      <c r="AA8" s="536">
        <v>11.49</v>
      </c>
    </row>
    <row r="9" spans="2:27" ht="21.95" customHeight="1" thickBot="1" x14ac:dyDescent="0.25">
      <c r="C9" s="527" t="str">
        <f>DataIn!C21</f>
        <v>Industrial</v>
      </c>
      <c r="D9" s="373">
        <f>DataIn!D21</f>
        <v>1.31</v>
      </c>
      <c r="E9" s="373">
        <f>DataIn!E21</f>
        <v>1.2749999999999999</v>
      </c>
      <c r="F9" s="373">
        <f>DataIn!F21</f>
        <v>1.24</v>
      </c>
      <c r="G9" s="373">
        <f>DataIn!G21</f>
        <v>1.355</v>
      </c>
      <c r="H9" s="373">
        <f>DataIn!H21</f>
        <v>1.47</v>
      </c>
      <c r="I9" s="373">
        <f>DataIn!I21</f>
        <v>1.575</v>
      </c>
      <c r="J9" s="373">
        <f>DataIn!J21</f>
        <v>1.68</v>
      </c>
      <c r="K9" s="373">
        <f>DataIn!K21</f>
        <v>1.7849999999999999</v>
      </c>
      <c r="L9" s="373">
        <f>DataIn!L21</f>
        <v>1.89</v>
      </c>
      <c r="M9" s="373">
        <f>DataIn!M21</f>
        <v>1.98</v>
      </c>
      <c r="N9" s="462">
        <f>DataIn!N21</f>
        <v>2.0699999999999998</v>
      </c>
      <c r="P9" s="513" t="s">
        <v>116</v>
      </c>
      <c r="Q9" s="535">
        <v>1.31</v>
      </c>
      <c r="R9" s="535">
        <v>1.2749999999999999</v>
      </c>
      <c r="S9" s="535">
        <v>1.24</v>
      </c>
      <c r="T9" s="535">
        <v>1.355</v>
      </c>
      <c r="U9" s="535">
        <v>1.47</v>
      </c>
      <c r="V9" s="535">
        <v>1.575</v>
      </c>
      <c r="W9" s="535">
        <v>1.68</v>
      </c>
      <c r="X9" s="535">
        <v>1.7849999999999999</v>
      </c>
      <c r="Y9" s="535">
        <v>1.89</v>
      </c>
      <c r="Z9" s="535">
        <v>1.98</v>
      </c>
      <c r="AA9" s="536">
        <v>2.0699999999999998</v>
      </c>
    </row>
    <row r="10" spans="2:27" ht="21.95" customHeight="1" thickBot="1" x14ac:dyDescent="0.25">
      <c r="C10" s="527" t="str">
        <f>DataIn!C22</f>
        <v>Institutional</v>
      </c>
      <c r="D10" s="373">
        <f>DataIn!D22</f>
        <v>2.73</v>
      </c>
      <c r="E10" s="373">
        <f>DataIn!E22</f>
        <v>2.46</v>
      </c>
      <c r="F10" s="373">
        <f>DataIn!F22</f>
        <v>2.19</v>
      </c>
      <c r="G10" s="373">
        <f>DataIn!G22</f>
        <v>2.2999999999999998</v>
      </c>
      <c r="H10" s="373">
        <f>DataIn!H22</f>
        <v>2.41</v>
      </c>
      <c r="I10" s="373">
        <f>DataIn!I22</f>
        <v>2.52</v>
      </c>
      <c r="J10" s="373">
        <f>DataIn!J22</f>
        <v>2.63</v>
      </c>
      <c r="K10" s="373">
        <f>DataIn!K22</f>
        <v>2.7349999999999999</v>
      </c>
      <c r="L10" s="373">
        <f>DataIn!L22</f>
        <v>2.84</v>
      </c>
      <c r="M10" s="373">
        <f>DataIn!M22</f>
        <v>2.9449999999999998</v>
      </c>
      <c r="N10" s="462">
        <f>DataIn!N22</f>
        <v>3.05</v>
      </c>
      <c r="P10" s="513" t="s">
        <v>117</v>
      </c>
      <c r="Q10" s="535">
        <v>2.73</v>
      </c>
      <c r="R10" s="535">
        <v>2.46</v>
      </c>
      <c r="S10" s="535">
        <v>2.19</v>
      </c>
      <c r="T10" s="535">
        <v>2.2999999999999998</v>
      </c>
      <c r="U10" s="535">
        <v>2.41</v>
      </c>
      <c r="V10" s="535">
        <v>2.52</v>
      </c>
      <c r="W10" s="535">
        <v>2.63</v>
      </c>
      <c r="X10" s="535">
        <v>2.7349999999999999</v>
      </c>
      <c r="Y10" s="535">
        <v>2.84</v>
      </c>
      <c r="Z10" s="535">
        <v>2.9449999999999998</v>
      </c>
      <c r="AA10" s="536">
        <v>3.05</v>
      </c>
    </row>
    <row r="11" spans="2:27" ht="21.95" customHeight="1" thickBot="1" x14ac:dyDescent="0.25">
      <c r="C11" s="527" t="str">
        <f>DataIn!C23</f>
        <v>Distribution System Process</v>
      </c>
      <c r="D11" s="647" t="str">
        <f>DataIn!D23</f>
        <v>(Included in Other Non-Revenue)</v>
      </c>
      <c r="E11" s="648"/>
      <c r="F11" s="648"/>
      <c r="G11" s="648"/>
      <c r="H11" s="648"/>
      <c r="I11" s="648"/>
      <c r="J11" s="648"/>
      <c r="K11" s="648"/>
      <c r="L11" s="648"/>
      <c r="M11" s="648"/>
      <c r="N11" s="649"/>
      <c r="P11" s="513" t="s">
        <v>470</v>
      </c>
      <c r="Q11" s="650" t="s">
        <v>478</v>
      </c>
      <c r="R11" s="651"/>
      <c r="S11" s="651"/>
      <c r="T11" s="651"/>
      <c r="U11" s="651"/>
      <c r="V11" s="651"/>
      <c r="W11" s="651"/>
      <c r="X11" s="651"/>
      <c r="Y11" s="651"/>
      <c r="Z11" s="651"/>
      <c r="AA11" s="652"/>
    </row>
    <row r="12" spans="2:27" ht="21.95" customHeight="1" thickBot="1" x14ac:dyDescent="0.25">
      <c r="C12" s="527" t="str">
        <f>DataIn!C24</f>
        <v>WTP Process</v>
      </c>
      <c r="D12" s="373">
        <f>DataIn!D24</f>
        <v>0.86</v>
      </c>
      <c r="E12" s="373">
        <f>DataIn!E24</f>
        <v>0.95</v>
      </c>
      <c r="F12" s="373">
        <f>DataIn!F24</f>
        <v>1.04</v>
      </c>
      <c r="G12" s="373">
        <f>DataIn!G24</f>
        <v>1.1000000000000001</v>
      </c>
      <c r="H12" s="373">
        <f>DataIn!H24</f>
        <v>1.1599999999999999</v>
      </c>
      <c r="I12" s="373">
        <f>DataIn!I24</f>
        <v>1.23</v>
      </c>
      <c r="J12" s="373">
        <f>DataIn!J24</f>
        <v>1.3</v>
      </c>
      <c r="K12" s="373">
        <f>DataIn!K24</f>
        <v>1.3599999999999999</v>
      </c>
      <c r="L12" s="373">
        <f>DataIn!L24</f>
        <v>1.42</v>
      </c>
      <c r="M12" s="373">
        <f>DataIn!M24</f>
        <v>1.4649999999999999</v>
      </c>
      <c r="N12" s="462">
        <f>DataIn!N24</f>
        <v>1.51</v>
      </c>
      <c r="P12" s="513" t="s">
        <v>126</v>
      </c>
      <c r="Q12" s="535">
        <v>0.86</v>
      </c>
      <c r="R12" s="535">
        <v>0.95</v>
      </c>
      <c r="S12" s="535">
        <v>1.04</v>
      </c>
      <c r="T12" s="535">
        <v>1.1000000000000001</v>
      </c>
      <c r="U12" s="535">
        <v>1.1599999999999999</v>
      </c>
      <c r="V12" s="535">
        <v>1.23</v>
      </c>
      <c r="W12" s="535">
        <v>1.3</v>
      </c>
      <c r="X12" s="535">
        <v>1.3599999999999999</v>
      </c>
      <c r="Y12" s="535">
        <v>1.42</v>
      </c>
      <c r="Z12" s="535">
        <v>1.4649999999999999</v>
      </c>
      <c r="AA12" s="536">
        <v>1.51</v>
      </c>
    </row>
    <row r="13" spans="2:27" ht="21.95" customHeight="1" thickBot="1" x14ac:dyDescent="0.25">
      <c r="C13" s="528" t="str">
        <f>DataIn!C25</f>
        <v>Other Non-Revenue</v>
      </c>
      <c r="D13" s="373">
        <f>DataIn!D25</f>
        <v>0.51</v>
      </c>
      <c r="E13" s="373">
        <f>DataIn!E25</f>
        <v>2.02</v>
      </c>
      <c r="F13" s="373">
        <f>DataIn!F25</f>
        <v>3.53</v>
      </c>
      <c r="G13" s="373">
        <f>DataIn!G25</f>
        <v>3.3849999999999998</v>
      </c>
      <c r="H13" s="373">
        <f>DataIn!H25</f>
        <v>3.24</v>
      </c>
      <c r="I13" s="373">
        <f>DataIn!I25</f>
        <v>3.43</v>
      </c>
      <c r="J13" s="373">
        <f>DataIn!J25</f>
        <v>3.62</v>
      </c>
      <c r="K13" s="373">
        <f>DataIn!K25</f>
        <v>3.8</v>
      </c>
      <c r="L13" s="373">
        <f>DataIn!L25</f>
        <v>3.98</v>
      </c>
      <c r="M13" s="373">
        <f>DataIn!M25</f>
        <v>3.6550000000000002</v>
      </c>
      <c r="N13" s="462">
        <f>DataIn!N25</f>
        <v>3.33</v>
      </c>
      <c r="P13" s="531" t="s">
        <v>127</v>
      </c>
      <c r="Q13" s="535">
        <v>0.51</v>
      </c>
      <c r="R13" s="535">
        <v>2.02</v>
      </c>
      <c r="S13" s="535">
        <v>3.53</v>
      </c>
      <c r="T13" s="535">
        <v>3.3849999999999998</v>
      </c>
      <c r="U13" s="535">
        <v>3.24</v>
      </c>
      <c r="V13" s="535">
        <v>3.43</v>
      </c>
      <c r="W13" s="535">
        <v>3.62</v>
      </c>
      <c r="X13" s="535">
        <v>3.8</v>
      </c>
      <c r="Y13" s="535">
        <v>3.98</v>
      </c>
      <c r="Z13" s="535">
        <v>3.6550000000000002</v>
      </c>
      <c r="AA13" s="536">
        <v>3.33</v>
      </c>
    </row>
    <row r="14" spans="2:27" ht="21.95" customHeight="1" thickTop="1" thickBot="1" x14ac:dyDescent="0.25">
      <c r="C14" s="463" t="s">
        <v>130</v>
      </c>
      <c r="D14" s="529">
        <f>SUM(D7:D13)</f>
        <v>25.27</v>
      </c>
      <c r="E14" s="529">
        <f t="shared" ref="E14:N14" si="0">SUM(E7:E13)</f>
        <v>27.965</v>
      </c>
      <c r="F14" s="529">
        <f t="shared" si="0"/>
        <v>30.66</v>
      </c>
      <c r="G14" s="529">
        <f t="shared" si="0"/>
        <v>32.4</v>
      </c>
      <c r="H14" s="529">
        <f t="shared" si="0"/>
        <v>34.14</v>
      </c>
      <c r="I14" s="529">
        <f t="shared" si="0"/>
        <v>36.119999999999997</v>
      </c>
      <c r="J14" s="529">
        <f t="shared" si="0"/>
        <v>38.099999999999994</v>
      </c>
      <c r="K14" s="529">
        <f t="shared" si="0"/>
        <v>39.974999999999994</v>
      </c>
      <c r="L14" s="529">
        <f t="shared" si="0"/>
        <v>41.85</v>
      </c>
      <c r="M14" s="529">
        <f t="shared" si="0"/>
        <v>43.11</v>
      </c>
      <c r="N14" s="530">
        <f t="shared" si="0"/>
        <v>44.37</v>
      </c>
      <c r="P14" s="463" t="s">
        <v>130</v>
      </c>
      <c r="Q14" s="537">
        <v>25.27</v>
      </c>
      <c r="R14" s="537">
        <v>27.965</v>
      </c>
      <c r="S14" s="537">
        <v>30.66</v>
      </c>
      <c r="T14" s="537">
        <v>32.4</v>
      </c>
      <c r="U14" s="537">
        <v>34.14</v>
      </c>
      <c r="V14" s="537">
        <v>36.119999999999997</v>
      </c>
      <c r="W14" s="537">
        <v>38.099999999999994</v>
      </c>
      <c r="X14" s="537">
        <v>39.974999999999994</v>
      </c>
      <c r="Y14" s="537">
        <v>41.85</v>
      </c>
      <c r="Z14" s="537">
        <v>43.11</v>
      </c>
      <c r="AA14" s="538">
        <v>44.37</v>
      </c>
    </row>
    <row r="15" spans="2:27" ht="13.5" thickTop="1" x14ac:dyDescent="0.2"/>
    <row r="18" spans="1:10" x14ac:dyDescent="0.2">
      <c r="B18" s="148" t="s">
        <v>185</v>
      </c>
    </row>
    <row r="21" spans="1:10" ht="15.75" x14ac:dyDescent="0.25">
      <c r="A21" s="155"/>
      <c r="B21" s="156"/>
      <c r="C21" s="157"/>
      <c r="D21" s="183" t="s">
        <v>135</v>
      </c>
      <c r="E21" s="184"/>
      <c r="F21" s="184"/>
      <c r="G21" s="184"/>
      <c r="H21" s="184"/>
      <c r="I21" s="184"/>
      <c r="J21" s="185"/>
    </row>
    <row r="22" spans="1:10" ht="15.75" x14ac:dyDescent="0.25">
      <c r="A22" s="155"/>
      <c r="B22" s="166" t="s">
        <v>122</v>
      </c>
      <c r="C22" s="166" t="s">
        <v>123</v>
      </c>
      <c r="D22" s="179" t="s">
        <v>136</v>
      </c>
      <c r="E22" s="180" t="s">
        <v>137</v>
      </c>
      <c r="F22" s="180" t="s">
        <v>138</v>
      </c>
      <c r="G22" s="180" t="s">
        <v>139</v>
      </c>
      <c r="H22" s="181" t="s">
        <v>140</v>
      </c>
      <c r="I22" s="180" t="s">
        <v>141</v>
      </c>
      <c r="J22" s="182" t="s">
        <v>142</v>
      </c>
    </row>
    <row r="23" spans="1:10" ht="16.5" x14ac:dyDescent="0.3">
      <c r="A23" s="155"/>
      <c r="B23" s="160" t="s">
        <v>114</v>
      </c>
      <c r="C23" s="163" t="s">
        <v>114</v>
      </c>
      <c r="D23" s="167">
        <v>1</v>
      </c>
      <c r="E23" s="168">
        <v>2</v>
      </c>
      <c r="F23" s="168">
        <v>3</v>
      </c>
      <c r="G23" s="168">
        <v>4</v>
      </c>
      <c r="H23" s="176">
        <v>4.5</v>
      </c>
      <c r="I23" s="168">
        <v>5</v>
      </c>
      <c r="J23" s="173">
        <v>6</v>
      </c>
    </row>
    <row r="24" spans="1:10" ht="16.5" x14ac:dyDescent="0.3">
      <c r="A24" s="155"/>
      <c r="B24" s="161" t="s">
        <v>115</v>
      </c>
      <c r="C24" s="163" t="s">
        <v>115</v>
      </c>
      <c r="D24" s="167">
        <v>1</v>
      </c>
      <c r="E24" s="168">
        <v>1</v>
      </c>
      <c r="F24" s="168">
        <v>1</v>
      </c>
      <c r="G24" s="168">
        <v>1</v>
      </c>
      <c r="H24" s="176">
        <v>1</v>
      </c>
      <c r="I24" s="168">
        <v>1</v>
      </c>
      <c r="J24" s="173">
        <v>1</v>
      </c>
    </row>
    <row r="25" spans="1:10" ht="16.5" x14ac:dyDescent="0.3">
      <c r="A25" s="155"/>
      <c r="B25" s="161" t="s">
        <v>116</v>
      </c>
      <c r="C25" s="163" t="s">
        <v>116</v>
      </c>
      <c r="D25" s="167">
        <v>1</v>
      </c>
      <c r="E25" s="168">
        <v>1.5</v>
      </c>
      <c r="F25" s="168">
        <v>1.5</v>
      </c>
      <c r="G25" s="168">
        <v>2</v>
      </c>
      <c r="H25" s="176">
        <v>2</v>
      </c>
      <c r="I25" s="168">
        <v>2</v>
      </c>
      <c r="J25" s="173">
        <v>2</v>
      </c>
    </row>
    <row r="26" spans="1:10" ht="16.5" x14ac:dyDescent="0.3">
      <c r="A26" s="155"/>
      <c r="B26" s="161" t="s">
        <v>117</v>
      </c>
      <c r="C26" s="163" t="s">
        <v>117</v>
      </c>
      <c r="D26" s="167">
        <v>1</v>
      </c>
      <c r="E26" s="168">
        <v>1</v>
      </c>
      <c r="F26" s="168">
        <v>1</v>
      </c>
      <c r="G26" s="168">
        <v>1</v>
      </c>
      <c r="H26" s="176">
        <v>1</v>
      </c>
      <c r="I26" s="168">
        <v>1</v>
      </c>
      <c r="J26" s="173">
        <v>1</v>
      </c>
    </row>
    <row r="27" spans="1:10" ht="16.5" x14ac:dyDescent="0.3">
      <c r="A27" s="155"/>
      <c r="B27" s="161" t="s">
        <v>125</v>
      </c>
      <c r="C27" s="163" t="s">
        <v>127</v>
      </c>
      <c r="D27" s="167">
        <v>1</v>
      </c>
      <c r="E27" s="168">
        <v>1</v>
      </c>
      <c r="F27" s="168">
        <v>1</v>
      </c>
      <c r="G27" s="168">
        <v>1</v>
      </c>
      <c r="H27" s="176">
        <v>1</v>
      </c>
      <c r="I27" s="168">
        <v>1</v>
      </c>
      <c r="J27" s="173">
        <v>1</v>
      </c>
    </row>
    <row r="28" spans="1:10" ht="16.5" x14ac:dyDescent="0.3">
      <c r="A28" s="155"/>
      <c r="B28" s="162" t="s">
        <v>124</v>
      </c>
      <c r="C28" s="186" t="s">
        <v>124</v>
      </c>
      <c r="D28" s="167">
        <v>1</v>
      </c>
      <c r="E28" s="168">
        <v>1</v>
      </c>
      <c r="F28" s="168">
        <v>1</v>
      </c>
      <c r="G28" s="168">
        <v>1</v>
      </c>
      <c r="H28" s="176">
        <v>1</v>
      </c>
      <c r="I28" s="168">
        <v>1</v>
      </c>
      <c r="J28" s="173">
        <v>1</v>
      </c>
    </row>
    <row r="29" spans="1:10" ht="17.25" thickBot="1" x14ac:dyDescent="0.35">
      <c r="A29" s="155"/>
      <c r="B29" s="165"/>
      <c r="C29" s="164" t="s">
        <v>126</v>
      </c>
      <c r="D29" s="169">
        <v>1</v>
      </c>
      <c r="E29" s="170">
        <v>1</v>
      </c>
      <c r="F29" s="170">
        <v>1</v>
      </c>
      <c r="G29" s="170">
        <v>1</v>
      </c>
      <c r="H29" s="177">
        <v>1</v>
      </c>
      <c r="I29" s="170">
        <v>1</v>
      </c>
      <c r="J29" s="174">
        <v>1</v>
      </c>
    </row>
    <row r="30" spans="1:10" ht="17.25" thickTop="1" x14ac:dyDescent="0.3">
      <c r="A30" s="155"/>
      <c r="B30" s="158" t="s">
        <v>130</v>
      </c>
      <c r="C30" s="159"/>
      <c r="D30" s="171">
        <v>7</v>
      </c>
      <c r="E30" s="172">
        <v>8.5</v>
      </c>
      <c r="F30" s="172">
        <v>9.5</v>
      </c>
      <c r="G30" s="172">
        <v>11</v>
      </c>
      <c r="H30" s="178">
        <v>11.5</v>
      </c>
      <c r="I30" s="172">
        <v>12</v>
      </c>
      <c r="J30" s="175">
        <v>13</v>
      </c>
    </row>
    <row r="35" ht="13.5" thickBot="1" x14ac:dyDescent="0.25"/>
    <row r="36" ht="13.5" thickTop="1" x14ac:dyDescent="0.2"/>
  </sheetData>
  <mergeCells count="2">
    <mergeCell ref="D11:N11"/>
    <mergeCell ref="Q11:AA11"/>
  </mergeCells>
  <pageMargins left="0.7" right="0.7" top="0.75" bottom="0.75" header="0.3" footer="0.3"/>
  <pageSetup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D42"/>
  <sheetViews>
    <sheetView zoomScaleNormal="100" workbookViewId="0">
      <selection activeCell="D20" sqref="D20"/>
    </sheetView>
  </sheetViews>
  <sheetFormatPr defaultRowHeight="12.75" x14ac:dyDescent="0.2"/>
  <cols>
    <col min="2" max="2" width="23.85546875" customWidth="1"/>
    <col min="3" max="3" width="25.85546875" customWidth="1"/>
    <col min="4" max="4" width="70" customWidth="1"/>
  </cols>
  <sheetData>
    <row r="2" spans="2:4" ht="15.75" x14ac:dyDescent="0.25">
      <c r="B2" s="47" t="s">
        <v>289</v>
      </c>
      <c r="C2" s="153"/>
    </row>
    <row r="3" spans="2:4" x14ac:dyDescent="0.2">
      <c r="B3" s="266" t="s">
        <v>290</v>
      </c>
      <c r="C3" s="267" t="str">
        <f>DataIn!C1</f>
        <v>Durham</v>
      </c>
    </row>
    <row r="4" spans="2:4" x14ac:dyDescent="0.2">
      <c r="B4" s="266" t="s">
        <v>291</v>
      </c>
      <c r="C4" s="267" t="str">
        <f>DataIn!C2</f>
        <v>03-32-010</v>
      </c>
    </row>
    <row r="5" spans="2:4" x14ac:dyDescent="0.2">
      <c r="B5" s="266" t="s">
        <v>292</v>
      </c>
      <c r="C5" s="267" t="s">
        <v>502</v>
      </c>
    </row>
    <row r="6" spans="2:4" x14ac:dyDescent="0.2">
      <c r="B6" s="266" t="s">
        <v>293</v>
      </c>
      <c r="C6" s="267" t="s">
        <v>503</v>
      </c>
    </row>
    <row r="7" spans="2:4" x14ac:dyDescent="0.2">
      <c r="B7" s="266" t="s">
        <v>294</v>
      </c>
      <c r="C7" s="451" t="s">
        <v>505</v>
      </c>
    </row>
    <row r="8" spans="2:4" x14ac:dyDescent="0.2">
      <c r="B8" s="266" t="s">
        <v>295</v>
      </c>
      <c r="C8" s="267" t="s">
        <v>504</v>
      </c>
    </row>
    <row r="9" spans="2:4" x14ac:dyDescent="0.2">
      <c r="B9" s="266" t="s">
        <v>296</v>
      </c>
      <c r="C9" s="267"/>
    </row>
    <row r="10" spans="2:4" x14ac:dyDescent="0.2">
      <c r="B10" s="266"/>
      <c r="C10" s="267"/>
    </row>
    <row r="11" spans="2:4" x14ac:dyDescent="0.2">
      <c r="B11" s="266"/>
      <c r="C11" s="267"/>
    </row>
    <row r="16" spans="2:4" ht="15.75" x14ac:dyDescent="0.25">
      <c r="B16" s="133" t="s">
        <v>119</v>
      </c>
      <c r="C16" s="131"/>
      <c r="D16" s="131"/>
    </row>
    <row r="17" spans="2:4" ht="13.5" thickBot="1" x14ac:dyDescent="0.25">
      <c r="B17" s="131"/>
      <c r="C17" s="131"/>
      <c r="D17" s="131"/>
    </row>
    <row r="18" spans="2:4" ht="17.25" thickTop="1" thickBot="1" x14ac:dyDescent="0.25">
      <c r="B18" s="149" t="s">
        <v>111</v>
      </c>
      <c r="C18" s="150" t="s">
        <v>112</v>
      </c>
      <c r="D18" s="150" t="s">
        <v>113</v>
      </c>
    </row>
    <row r="19" spans="2:4" ht="16.5" customHeight="1" thickTop="1" thickBot="1" x14ac:dyDescent="0.25">
      <c r="B19" s="452" t="s">
        <v>114</v>
      </c>
      <c r="C19" s="423"/>
      <c r="D19" s="414" t="s">
        <v>515</v>
      </c>
    </row>
    <row r="20" spans="2:4" ht="15.75" x14ac:dyDescent="0.2">
      <c r="B20" s="661" t="s">
        <v>115</v>
      </c>
      <c r="C20" s="417" t="s">
        <v>511</v>
      </c>
      <c r="D20" s="416"/>
    </row>
    <row r="21" spans="2:4" ht="16.5" thickBot="1" x14ac:dyDescent="0.25">
      <c r="B21" s="662"/>
      <c r="C21" s="418" t="s">
        <v>512</v>
      </c>
      <c r="D21" s="416"/>
    </row>
    <row r="22" spans="2:4" ht="15.75" customHeight="1" x14ac:dyDescent="0.2">
      <c r="B22" s="663" t="s">
        <v>116</v>
      </c>
      <c r="C22" s="421" t="s">
        <v>513</v>
      </c>
      <c r="D22" s="415"/>
    </row>
    <row r="23" spans="2:4" ht="16.5" thickBot="1" x14ac:dyDescent="0.25">
      <c r="B23" s="662"/>
      <c r="C23" s="422" t="s">
        <v>514</v>
      </c>
      <c r="D23" s="415"/>
    </row>
    <row r="24" spans="2:4" ht="15.75" x14ac:dyDescent="0.2">
      <c r="B24" s="664" t="s">
        <v>117</v>
      </c>
      <c r="C24" s="419" t="s">
        <v>509</v>
      </c>
      <c r="D24" s="416"/>
    </row>
    <row r="25" spans="2:4" ht="16.5" thickBot="1" x14ac:dyDescent="0.25">
      <c r="B25" s="662"/>
      <c r="C25" s="420" t="s">
        <v>510</v>
      </c>
      <c r="D25" s="454"/>
    </row>
    <row r="26" spans="2:4" ht="17.25" thickTop="1" thickBot="1" x14ac:dyDescent="0.3">
      <c r="B26" s="659" t="s">
        <v>125</v>
      </c>
      <c r="C26" s="457" t="s">
        <v>470</v>
      </c>
      <c r="D26" s="453" t="s">
        <v>507</v>
      </c>
    </row>
    <row r="27" spans="2:4" ht="17.25" thickTop="1" thickBot="1" x14ac:dyDescent="0.3">
      <c r="B27" s="660"/>
      <c r="C27" s="455" t="s">
        <v>471</v>
      </c>
      <c r="D27" s="456" t="s">
        <v>506</v>
      </c>
    </row>
    <row r="28" spans="2:4" ht="19.5" customHeight="1" thickTop="1" x14ac:dyDescent="0.2">
      <c r="B28" s="660"/>
      <c r="C28" s="656" t="s">
        <v>127</v>
      </c>
      <c r="D28" s="653" t="s">
        <v>508</v>
      </c>
    </row>
    <row r="29" spans="2:4" x14ac:dyDescent="0.2">
      <c r="B29" s="660"/>
      <c r="C29" s="657"/>
      <c r="D29" s="654"/>
    </row>
    <row r="30" spans="2:4" ht="13.5" thickBot="1" x14ac:dyDescent="0.25">
      <c r="B30" s="660"/>
      <c r="C30" s="658"/>
      <c r="D30" s="655"/>
    </row>
    <row r="31" spans="2:4" ht="13.5" thickTop="1" x14ac:dyDescent="0.2">
      <c r="B31" s="131"/>
      <c r="C31" s="131"/>
      <c r="D31" s="131"/>
    </row>
    <row r="32" spans="2:4" x14ac:dyDescent="0.2">
      <c r="B32" s="131"/>
      <c r="C32" s="131"/>
      <c r="D32" s="131"/>
    </row>
    <row r="33" spans="2:4" x14ac:dyDescent="0.2">
      <c r="B33" s="131"/>
      <c r="C33" s="131"/>
      <c r="D33" s="131"/>
    </row>
    <row r="34" spans="2:4" ht="15.75" x14ac:dyDescent="0.25">
      <c r="B34" s="132" t="s">
        <v>118</v>
      </c>
      <c r="C34" s="131"/>
      <c r="D34" s="131"/>
    </row>
    <row r="35" spans="2:4" x14ac:dyDescent="0.2">
      <c r="B35" s="131"/>
      <c r="C35" s="131"/>
      <c r="D35" s="131"/>
    </row>
    <row r="36" spans="2:4" x14ac:dyDescent="0.2">
      <c r="B36" s="131"/>
      <c r="C36" s="131"/>
      <c r="D36" s="131"/>
    </row>
    <row r="37" spans="2:4" x14ac:dyDescent="0.2">
      <c r="B37" s="131"/>
      <c r="C37" s="131"/>
      <c r="D37" s="131"/>
    </row>
    <row r="38" spans="2:4" x14ac:dyDescent="0.2">
      <c r="B38" s="131"/>
      <c r="C38" s="131"/>
      <c r="D38" s="131"/>
    </row>
    <row r="39" spans="2:4" x14ac:dyDescent="0.2">
      <c r="B39" s="131"/>
      <c r="C39" s="131"/>
      <c r="D39" s="131"/>
    </row>
    <row r="40" spans="2:4" x14ac:dyDescent="0.2">
      <c r="B40" s="131"/>
      <c r="C40" s="131"/>
      <c r="D40" s="131"/>
    </row>
    <row r="41" spans="2:4" x14ac:dyDescent="0.2">
      <c r="B41" s="131"/>
      <c r="C41" s="131"/>
      <c r="D41" s="131"/>
    </row>
    <row r="42" spans="2:4" x14ac:dyDescent="0.2">
      <c r="B42" s="131"/>
      <c r="C42" s="131"/>
      <c r="D42" s="131"/>
    </row>
  </sheetData>
  <mergeCells count="6">
    <mergeCell ref="D28:D30"/>
    <mergeCell ref="C28:C30"/>
    <mergeCell ref="B26:B30"/>
    <mergeCell ref="B20:B21"/>
    <mergeCell ref="B22:B23"/>
    <mergeCell ref="B24:B25"/>
  </mergeCells>
  <hyperlinks>
    <hyperlink ref="C7" r:id="rId1"/>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66"/>
    <pageSetUpPr fitToPage="1"/>
  </sheetPr>
  <dimension ref="B2:N119"/>
  <sheetViews>
    <sheetView topLeftCell="A37" zoomScale="80" zoomScaleNormal="80" workbookViewId="0">
      <selection activeCell="G4" sqref="G4"/>
    </sheetView>
  </sheetViews>
  <sheetFormatPr defaultRowHeight="15.95" customHeight="1" x14ac:dyDescent="0.2"/>
  <cols>
    <col min="1" max="1" width="1.85546875" style="27" customWidth="1"/>
    <col min="2" max="2" width="54.140625" style="27" customWidth="1"/>
    <col min="3" max="3" width="17.28515625" style="31" customWidth="1"/>
    <col min="4" max="14" width="16.7109375" style="31" customWidth="1"/>
    <col min="15" max="16384" width="9.140625" style="27"/>
  </cols>
  <sheetData>
    <row r="2" spans="2:14" ht="15.95" customHeight="1" x14ac:dyDescent="0.25">
      <c r="B2" s="47" t="s">
        <v>73</v>
      </c>
    </row>
    <row r="3" spans="2:14" ht="15.95" customHeight="1" x14ac:dyDescent="0.25">
      <c r="B3" s="94" t="s">
        <v>43</v>
      </c>
      <c r="C3" s="89" t="str">
        <f>DataIn!C1</f>
        <v>Durham</v>
      </c>
      <c r="D3" s="90"/>
      <c r="E3" s="91"/>
    </row>
    <row r="4" spans="2:14" ht="15.95" customHeight="1" x14ac:dyDescent="0.25">
      <c r="B4" s="94" t="s">
        <v>44</v>
      </c>
      <c r="C4" s="92">
        <f>DataIn!F1</f>
        <v>41711</v>
      </c>
      <c r="D4" s="90"/>
      <c r="E4" s="91"/>
    </row>
    <row r="5" spans="2:14" ht="15.95" customHeight="1" x14ac:dyDescent="0.25">
      <c r="B5" s="94"/>
      <c r="C5" s="106"/>
      <c r="D5" s="32"/>
      <c r="E5" s="32"/>
    </row>
    <row r="6" spans="2:14" s="107" customFormat="1" ht="24" customHeight="1" x14ac:dyDescent="0.2">
      <c r="B6" s="108" t="s">
        <v>68</v>
      </c>
      <c r="C6" s="109"/>
      <c r="D6" s="109"/>
      <c r="E6" s="109"/>
      <c r="F6" s="109"/>
      <c r="G6" s="109"/>
      <c r="H6" s="109"/>
      <c r="I6" s="109"/>
      <c r="J6" s="109"/>
      <c r="K6" s="109"/>
      <c r="L6" s="109"/>
      <c r="M6" s="109"/>
      <c r="N6" s="109"/>
    </row>
    <row r="7" spans="2:14" ht="15.95" customHeight="1" x14ac:dyDescent="0.25">
      <c r="B7" s="141" t="s">
        <v>69</v>
      </c>
      <c r="C7" s="142"/>
      <c r="D7" s="142"/>
      <c r="E7" s="142"/>
      <c r="F7" s="142"/>
      <c r="G7" s="142"/>
      <c r="H7" s="142"/>
      <c r="I7" s="142"/>
      <c r="J7" s="142"/>
      <c r="K7" s="142"/>
      <c r="L7" s="142"/>
      <c r="M7" s="142"/>
      <c r="N7" s="143"/>
    </row>
    <row r="8" spans="2:14" ht="15.95" customHeight="1" x14ac:dyDescent="0.25">
      <c r="B8" s="144"/>
      <c r="C8" s="145"/>
      <c r="D8" s="146">
        <v>2010</v>
      </c>
      <c r="E8" s="147">
        <v>2015</v>
      </c>
      <c r="F8" s="147">
        <v>2020</v>
      </c>
      <c r="G8" s="147">
        <v>2025</v>
      </c>
      <c r="H8" s="147">
        <v>2030</v>
      </c>
      <c r="I8" s="147">
        <v>2035</v>
      </c>
      <c r="J8" s="147">
        <v>2040</v>
      </c>
      <c r="K8" s="147">
        <v>2045</v>
      </c>
      <c r="L8" s="147">
        <v>2050</v>
      </c>
      <c r="M8" s="147">
        <v>2055</v>
      </c>
      <c r="N8" s="147">
        <v>2060</v>
      </c>
    </row>
    <row r="9" spans="2:14" ht="15.95" customHeight="1" x14ac:dyDescent="0.25">
      <c r="B9" s="136" t="s">
        <v>120</v>
      </c>
      <c r="C9" s="137"/>
      <c r="D9" s="137">
        <f>DataIn!D36</f>
        <v>246180</v>
      </c>
      <c r="E9" s="137">
        <f>DataIn!E36</f>
        <v>266299.5</v>
      </c>
      <c r="F9" s="137">
        <f>DataIn!F36</f>
        <v>286419</v>
      </c>
      <c r="G9" s="137">
        <f>DataIn!G36</f>
        <v>307920</v>
      </c>
      <c r="H9" s="137">
        <f>DataIn!H36</f>
        <v>329421</v>
      </c>
      <c r="I9" s="137">
        <f>DataIn!I36</f>
        <v>350922</v>
      </c>
      <c r="J9" s="137">
        <f>DataIn!J36</f>
        <v>372423</v>
      </c>
      <c r="K9" s="137">
        <f>DataIn!K36</f>
        <v>393924</v>
      </c>
      <c r="L9" s="137">
        <f>DataIn!L36</f>
        <v>415425</v>
      </c>
      <c r="M9" s="137">
        <f>DataIn!M36</f>
        <v>436925.5</v>
      </c>
      <c r="N9" s="137">
        <f>DataIn!N36</f>
        <v>458426</v>
      </c>
    </row>
    <row r="10" spans="2:14" ht="15.95" customHeight="1" x14ac:dyDescent="0.25">
      <c r="B10" s="138" t="s">
        <v>121</v>
      </c>
      <c r="C10" s="137"/>
      <c r="D10" s="137"/>
      <c r="E10" s="137"/>
      <c r="F10" s="137"/>
      <c r="G10" s="137"/>
      <c r="H10" s="137"/>
      <c r="I10" s="137"/>
      <c r="J10" s="137"/>
      <c r="K10" s="137"/>
      <c r="L10" s="137"/>
      <c r="M10" s="137"/>
      <c r="N10" s="137"/>
    </row>
    <row r="11" spans="2:14" ht="15.95" customHeight="1" x14ac:dyDescent="0.25">
      <c r="B11" s="139" t="s">
        <v>54</v>
      </c>
      <c r="C11" s="140"/>
      <c r="D11" s="140"/>
      <c r="E11" s="140"/>
      <c r="F11" s="140"/>
      <c r="G11" s="140"/>
      <c r="H11" s="140"/>
      <c r="I11" s="140"/>
      <c r="J11" s="140"/>
      <c r="K11" s="140"/>
      <c r="L11" s="140"/>
      <c r="M11" s="140"/>
      <c r="N11" s="140"/>
    </row>
    <row r="12" spans="2:14" s="28" customFormat="1" ht="15.95" customHeight="1" x14ac:dyDescent="0.25">
      <c r="B12" s="134"/>
      <c r="C12" s="135" t="s">
        <v>55</v>
      </c>
      <c r="D12" s="135" t="s">
        <v>56</v>
      </c>
      <c r="E12" s="135" t="s">
        <v>66</v>
      </c>
      <c r="F12" s="135" t="s">
        <v>65</v>
      </c>
      <c r="G12" s="135" t="s">
        <v>64</v>
      </c>
      <c r="H12" s="135" t="s">
        <v>63</v>
      </c>
      <c r="I12" s="135" t="s">
        <v>62</v>
      </c>
      <c r="J12" s="135" t="s">
        <v>61</v>
      </c>
      <c r="K12" s="135" t="s">
        <v>60</v>
      </c>
      <c r="L12" s="135" t="s">
        <v>59</v>
      </c>
      <c r="M12" s="135" t="s">
        <v>58</v>
      </c>
      <c r="N12" s="135" t="s">
        <v>57</v>
      </c>
    </row>
    <row r="14" spans="2:14" ht="15.95" customHeight="1" x14ac:dyDescent="0.25">
      <c r="B14" s="35" t="s">
        <v>70</v>
      </c>
      <c r="C14" s="36"/>
      <c r="D14" s="64"/>
      <c r="E14" s="64"/>
      <c r="F14" s="64"/>
      <c r="G14" s="64"/>
      <c r="H14" s="64"/>
      <c r="I14" s="64"/>
      <c r="J14" s="64"/>
      <c r="K14" s="64"/>
      <c r="L14" s="64"/>
      <c r="M14" s="64"/>
      <c r="N14" s="65"/>
    </row>
    <row r="15" spans="2:14" ht="15.95" customHeight="1" x14ac:dyDescent="0.25">
      <c r="B15" s="37"/>
      <c r="C15" s="38"/>
      <c r="D15" s="66">
        <v>2010</v>
      </c>
      <c r="E15" s="67">
        <v>2015</v>
      </c>
      <c r="F15" s="67">
        <v>2020</v>
      </c>
      <c r="G15" s="67">
        <v>2025</v>
      </c>
      <c r="H15" s="67">
        <v>2030</v>
      </c>
      <c r="I15" s="67">
        <v>2035</v>
      </c>
      <c r="J15" s="67">
        <v>2040</v>
      </c>
      <c r="K15" s="67">
        <v>2045</v>
      </c>
      <c r="L15" s="67">
        <v>2050</v>
      </c>
      <c r="M15" s="67">
        <v>2055</v>
      </c>
      <c r="N15" s="67">
        <v>2060</v>
      </c>
    </row>
    <row r="16" spans="2:14" ht="15.95" customHeight="1" x14ac:dyDescent="0.25">
      <c r="B16" s="34" t="s">
        <v>0</v>
      </c>
      <c r="C16" s="39"/>
      <c r="D16" s="83">
        <f>DataIn!D19</f>
        <v>13.24</v>
      </c>
      <c r="E16" s="83">
        <f>DataIn!E19</f>
        <v>14.355</v>
      </c>
      <c r="F16" s="83">
        <f>DataIn!F19</f>
        <v>15.47</v>
      </c>
      <c r="G16" s="83">
        <f>DataIn!G19</f>
        <v>16.465</v>
      </c>
      <c r="H16" s="83">
        <f>DataIn!H19</f>
        <v>17.46</v>
      </c>
      <c r="I16" s="83">
        <f>DataIn!I19</f>
        <v>18.414999999999999</v>
      </c>
      <c r="J16" s="83">
        <f>DataIn!J19</f>
        <v>19.37</v>
      </c>
      <c r="K16" s="83">
        <f>DataIn!K19</f>
        <v>20.28</v>
      </c>
      <c r="L16" s="83">
        <f>DataIn!L19</f>
        <v>21.19</v>
      </c>
      <c r="M16" s="83">
        <f>DataIn!M19</f>
        <v>22.055</v>
      </c>
      <c r="N16" s="83">
        <f>DataIn!N19</f>
        <v>22.92</v>
      </c>
    </row>
    <row r="17" spans="2:14" ht="15.95" customHeight="1" x14ac:dyDescent="0.25">
      <c r="B17" s="63"/>
      <c r="C17" s="39"/>
      <c r="D17" s="83"/>
      <c r="E17" s="40"/>
      <c r="F17" s="40"/>
      <c r="G17" s="40"/>
      <c r="H17" s="40"/>
      <c r="I17" s="40"/>
      <c r="J17" s="40"/>
      <c r="K17" s="40"/>
      <c r="L17" s="40"/>
      <c r="M17" s="68"/>
      <c r="N17" s="68"/>
    </row>
    <row r="18" spans="2:14" ht="15.95" customHeight="1" x14ac:dyDescent="0.25">
      <c r="B18" s="63"/>
      <c r="C18" s="39"/>
      <c r="D18" s="83"/>
      <c r="E18" s="40"/>
      <c r="F18" s="40"/>
      <c r="G18" s="40"/>
      <c r="H18" s="40"/>
      <c r="I18" s="40"/>
      <c r="J18" s="40"/>
      <c r="K18" s="40"/>
      <c r="L18" s="40"/>
      <c r="M18" s="68"/>
      <c r="N18" s="68"/>
    </row>
    <row r="19" spans="2:14" ht="15.95" customHeight="1" x14ac:dyDescent="0.25">
      <c r="B19" s="63"/>
      <c r="C19" s="39"/>
      <c r="D19" s="83"/>
      <c r="E19" s="40"/>
      <c r="F19" s="40"/>
      <c r="G19" s="40"/>
      <c r="H19" s="40"/>
      <c r="I19" s="40"/>
      <c r="J19" s="40"/>
      <c r="K19" s="40"/>
      <c r="L19" s="40"/>
      <c r="M19" s="68"/>
      <c r="N19" s="68"/>
    </row>
    <row r="20" spans="2:14" ht="15.95" customHeight="1" x14ac:dyDescent="0.25">
      <c r="B20" s="37"/>
      <c r="C20" s="39"/>
      <c r="D20" s="83"/>
      <c r="E20" s="40"/>
      <c r="F20" s="40"/>
      <c r="G20" s="40"/>
      <c r="H20" s="40"/>
      <c r="I20" s="40"/>
      <c r="J20" s="40"/>
      <c r="K20" s="40"/>
      <c r="L20" s="40"/>
      <c r="M20" s="68"/>
      <c r="N20" s="68"/>
    </row>
    <row r="21" spans="2:14" ht="15.95" customHeight="1" x14ac:dyDescent="0.25">
      <c r="B21" s="37" t="s">
        <v>1</v>
      </c>
      <c r="C21" s="39"/>
      <c r="D21" s="83">
        <f>DataIn!D20</f>
        <v>6.62</v>
      </c>
      <c r="E21" s="83">
        <f>DataIn!E20</f>
        <v>6.9050000000000002</v>
      </c>
      <c r="F21" s="83">
        <f>DataIn!F20</f>
        <v>7.19</v>
      </c>
      <c r="G21" s="83">
        <f>DataIn!G20</f>
        <v>7.7949999999999999</v>
      </c>
      <c r="H21" s="83">
        <f>DataIn!H20</f>
        <v>8.4</v>
      </c>
      <c r="I21" s="83">
        <f>DataIn!I20</f>
        <v>8.9499999999999993</v>
      </c>
      <c r="J21" s="83">
        <f>DataIn!J20</f>
        <v>9.5</v>
      </c>
      <c r="K21" s="83">
        <f>DataIn!K20</f>
        <v>10.015000000000001</v>
      </c>
      <c r="L21" s="83">
        <f>DataIn!L20</f>
        <v>10.53</v>
      </c>
      <c r="M21" s="83">
        <f>DataIn!M20</f>
        <v>11.01</v>
      </c>
      <c r="N21" s="83">
        <f>DataIn!N20</f>
        <v>11.49</v>
      </c>
    </row>
    <row r="22" spans="2:14" ht="15.95" customHeight="1" x14ac:dyDescent="0.25">
      <c r="B22" s="63"/>
      <c r="C22" s="39"/>
      <c r="D22" s="83"/>
      <c r="E22" s="40"/>
      <c r="F22" s="40"/>
      <c r="G22" s="40"/>
      <c r="H22" s="40"/>
      <c r="I22" s="40"/>
      <c r="J22" s="40"/>
      <c r="K22" s="40"/>
      <c r="L22" s="40"/>
      <c r="M22" s="68"/>
      <c r="N22" s="68"/>
    </row>
    <row r="23" spans="2:14" ht="15.95" customHeight="1" x14ac:dyDescent="0.25">
      <c r="B23" s="63"/>
      <c r="C23" s="39"/>
      <c r="D23" s="83"/>
      <c r="E23" s="40"/>
      <c r="F23" s="40"/>
      <c r="G23" s="40"/>
      <c r="H23" s="40"/>
      <c r="I23" s="40"/>
      <c r="J23" s="40"/>
      <c r="K23" s="40"/>
      <c r="L23" s="40"/>
      <c r="M23" s="68"/>
      <c r="N23" s="68"/>
    </row>
    <row r="24" spans="2:14" ht="15.95" customHeight="1" x14ac:dyDescent="0.25">
      <c r="B24" s="63"/>
      <c r="C24" s="39"/>
      <c r="D24" s="83"/>
      <c r="E24" s="40"/>
      <c r="F24" s="40"/>
      <c r="G24" s="40"/>
      <c r="H24" s="40"/>
      <c r="I24" s="40"/>
      <c r="J24" s="40"/>
      <c r="K24" s="40"/>
      <c r="L24" s="40"/>
      <c r="M24" s="68"/>
      <c r="N24" s="68"/>
    </row>
    <row r="25" spans="2:14" ht="15.95" customHeight="1" x14ac:dyDescent="0.25">
      <c r="B25" s="37"/>
      <c r="C25" s="39"/>
      <c r="D25" s="83"/>
      <c r="E25" s="40"/>
      <c r="F25" s="40"/>
      <c r="G25" s="40"/>
      <c r="H25" s="40"/>
      <c r="I25" s="40"/>
      <c r="J25" s="40"/>
      <c r="K25" s="40"/>
      <c r="L25" s="40"/>
      <c r="M25" s="68"/>
      <c r="N25" s="68"/>
    </row>
    <row r="26" spans="2:14" ht="15.95" customHeight="1" x14ac:dyDescent="0.25">
      <c r="B26" s="37" t="s">
        <v>2</v>
      </c>
      <c r="C26" s="39"/>
      <c r="D26" s="83">
        <f>DataIn!D21</f>
        <v>1.31</v>
      </c>
      <c r="E26" s="83">
        <f>DataIn!E21</f>
        <v>1.2749999999999999</v>
      </c>
      <c r="F26" s="83">
        <f>DataIn!F21</f>
        <v>1.24</v>
      </c>
      <c r="G26" s="83">
        <f>DataIn!G21</f>
        <v>1.355</v>
      </c>
      <c r="H26" s="83">
        <f>DataIn!H21</f>
        <v>1.47</v>
      </c>
      <c r="I26" s="83">
        <f>DataIn!I21</f>
        <v>1.575</v>
      </c>
      <c r="J26" s="83">
        <f>DataIn!J21</f>
        <v>1.68</v>
      </c>
      <c r="K26" s="83">
        <f>DataIn!K21</f>
        <v>1.7849999999999999</v>
      </c>
      <c r="L26" s="83">
        <f>DataIn!L21</f>
        <v>1.89</v>
      </c>
      <c r="M26" s="83">
        <f>DataIn!M21</f>
        <v>1.98</v>
      </c>
      <c r="N26" s="83">
        <f>DataIn!N21</f>
        <v>2.0699999999999998</v>
      </c>
    </row>
    <row r="27" spans="2:14" ht="15.95" customHeight="1" x14ac:dyDescent="0.25">
      <c r="B27" s="63"/>
      <c r="C27" s="39"/>
      <c r="D27" s="83"/>
      <c r="E27" s="40"/>
      <c r="F27" s="40"/>
      <c r="G27" s="40"/>
      <c r="H27" s="40"/>
      <c r="I27" s="40"/>
      <c r="J27" s="40"/>
      <c r="K27" s="40"/>
      <c r="L27" s="40"/>
      <c r="M27" s="68"/>
      <c r="N27" s="68"/>
    </row>
    <row r="28" spans="2:14" ht="15.95" customHeight="1" x14ac:dyDescent="0.25">
      <c r="B28" s="63"/>
      <c r="C28" s="39"/>
      <c r="D28" s="83"/>
      <c r="E28" s="40"/>
      <c r="F28" s="40"/>
      <c r="G28" s="40"/>
      <c r="H28" s="40"/>
      <c r="I28" s="40"/>
      <c r="J28" s="40"/>
      <c r="K28" s="40"/>
      <c r="L28" s="40"/>
      <c r="M28" s="68"/>
      <c r="N28" s="68"/>
    </row>
    <row r="29" spans="2:14" ht="15.95" customHeight="1" x14ac:dyDescent="0.25">
      <c r="B29" s="63"/>
      <c r="C29" s="39"/>
      <c r="D29" s="83"/>
      <c r="E29" s="40"/>
      <c r="F29" s="40"/>
      <c r="G29" s="40"/>
      <c r="H29" s="40"/>
      <c r="I29" s="40"/>
      <c r="J29" s="40"/>
      <c r="K29" s="40"/>
      <c r="L29" s="40"/>
      <c r="M29" s="68"/>
      <c r="N29" s="68"/>
    </row>
    <row r="30" spans="2:14" ht="15.95" customHeight="1" x14ac:dyDescent="0.25">
      <c r="B30" s="37"/>
      <c r="C30" s="39"/>
      <c r="D30" s="83"/>
      <c r="E30" s="40"/>
      <c r="F30" s="40"/>
      <c r="G30" s="40"/>
      <c r="H30" s="40"/>
      <c r="I30" s="40"/>
      <c r="J30" s="40"/>
      <c r="K30" s="40"/>
      <c r="L30" s="40"/>
      <c r="M30" s="68"/>
      <c r="N30" s="68"/>
    </row>
    <row r="31" spans="2:14" ht="15.95" customHeight="1" x14ac:dyDescent="0.25">
      <c r="B31" s="37" t="s">
        <v>3</v>
      </c>
      <c r="C31" s="39"/>
      <c r="D31" s="83">
        <f>DataIn!D22</f>
        <v>2.73</v>
      </c>
      <c r="E31" s="83">
        <f>DataIn!E22</f>
        <v>2.46</v>
      </c>
      <c r="F31" s="83">
        <f>DataIn!F22</f>
        <v>2.19</v>
      </c>
      <c r="G31" s="83">
        <f>DataIn!G22</f>
        <v>2.2999999999999998</v>
      </c>
      <c r="H31" s="83">
        <f>DataIn!H22</f>
        <v>2.41</v>
      </c>
      <c r="I31" s="83">
        <f>DataIn!I22</f>
        <v>2.52</v>
      </c>
      <c r="J31" s="83">
        <f>DataIn!J22</f>
        <v>2.63</v>
      </c>
      <c r="K31" s="83">
        <f>DataIn!K22</f>
        <v>2.7349999999999999</v>
      </c>
      <c r="L31" s="83">
        <f>DataIn!L22</f>
        <v>2.84</v>
      </c>
      <c r="M31" s="83">
        <f>DataIn!M22</f>
        <v>2.9449999999999998</v>
      </c>
      <c r="N31" s="83">
        <f>DataIn!N22</f>
        <v>3.05</v>
      </c>
    </row>
    <row r="32" spans="2:14" ht="15.95" customHeight="1" x14ac:dyDescent="0.25">
      <c r="B32" s="63"/>
      <c r="C32" s="39"/>
      <c r="D32" s="83"/>
      <c r="E32" s="40"/>
      <c r="F32" s="40"/>
      <c r="G32" s="40"/>
      <c r="H32" s="40"/>
      <c r="I32" s="40"/>
      <c r="J32" s="40"/>
      <c r="K32" s="40"/>
      <c r="L32" s="40"/>
      <c r="M32" s="68"/>
      <c r="N32" s="68"/>
    </row>
    <row r="33" spans="2:14" ht="15.95" customHeight="1" x14ac:dyDescent="0.25">
      <c r="B33" s="63"/>
      <c r="C33" s="39"/>
      <c r="D33" s="83"/>
      <c r="E33" s="40"/>
      <c r="F33" s="40"/>
      <c r="G33" s="40"/>
      <c r="H33" s="40"/>
      <c r="I33" s="40"/>
      <c r="J33" s="40"/>
      <c r="K33" s="40"/>
      <c r="L33" s="40"/>
      <c r="M33" s="68"/>
      <c r="N33" s="68"/>
    </row>
    <row r="34" spans="2:14" ht="15.95" customHeight="1" x14ac:dyDescent="0.25">
      <c r="B34" s="63"/>
      <c r="C34" s="39"/>
      <c r="D34" s="83"/>
      <c r="E34" s="40"/>
      <c r="F34" s="40"/>
      <c r="G34" s="40"/>
      <c r="H34" s="40"/>
      <c r="I34" s="40"/>
      <c r="J34" s="40"/>
      <c r="K34" s="40"/>
      <c r="L34" s="40"/>
      <c r="M34" s="68"/>
      <c r="N34" s="68"/>
    </row>
    <row r="35" spans="2:14" ht="15.95" customHeight="1" x14ac:dyDescent="0.25">
      <c r="B35" s="37"/>
      <c r="C35" s="39"/>
      <c r="D35" s="84"/>
      <c r="E35" s="76"/>
      <c r="F35" s="76"/>
      <c r="G35" s="76"/>
      <c r="H35" s="76"/>
      <c r="I35" s="76"/>
      <c r="J35" s="76"/>
      <c r="K35" s="76"/>
      <c r="L35" s="76"/>
      <c r="M35" s="77"/>
      <c r="N35" s="77"/>
    </row>
    <row r="36" spans="2:14" ht="15.95" customHeight="1" x14ac:dyDescent="0.2">
      <c r="B36" s="261" t="s">
        <v>47</v>
      </c>
      <c r="C36" s="262"/>
      <c r="D36" s="263">
        <f>SUM(D16:D35)</f>
        <v>23.9</v>
      </c>
      <c r="E36" s="263">
        <f t="shared" ref="E36:N36" si="0">SUM(E16:E35)</f>
        <v>24.995000000000001</v>
      </c>
      <c r="F36" s="263">
        <f t="shared" si="0"/>
        <v>26.09</v>
      </c>
      <c r="G36" s="263">
        <f t="shared" si="0"/>
        <v>27.914999999999999</v>
      </c>
      <c r="H36" s="263">
        <f t="shared" si="0"/>
        <v>29.74</v>
      </c>
      <c r="I36" s="263">
        <f t="shared" si="0"/>
        <v>31.459999999999997</v>
      </c>
      <c r="J36" s="263">
        <f t="shared" si="0"/>
        <v>33.18</v>
      </c>
      <c r="K36" s="263">
        <f t="shared" si="0"/>
        <v>34.814999999999998</v>
      </c>
      <c r="L36" s="263">
        <f>SUM(L16:L35)</f>
        <v>36.450000000000003</v>
      </c>
      <c r="M36" s="263">
        <f t="shared" si="0"/>
        <v>37.989999999999995</v>
      </c>
      <c r="N36" s="263">
        <f t="shared" si="0"/>
        <v>39.53</v>
      </c>
    </row>
    <row r="37" spans="2:14" ht="15.95" customHeight="1" x14ac:dyDescent="0.25">
      <c r="B37" s="37" t="s">
        <v>173</v>
      </c>
      <c r="C37" s="81">
        <v>0.03</v>
      </c>
      <c r="D37" s="400" t="str">
        <f>DataIn!D23</f>
        <v>(Included in Other Non-Revenue)</v>
      </c>
      <c r="E37" s="400">
        <f>DataIn!E23</f>
        <v>0</v>
      </c>
      <c r="F37" s="400">
        <f>DataIn!F23</f>
        <v>0</v>
      </c>
      <c r="G37" s="400">
        <f>DataIn!G23</f>
        <v>0</v>
      </c>
      <c r="H37" s="400">
        <f>DataIn!H23</f>
        <v>0</v>
      </c>
      <c r="I37" s="400">
        <f>DataIn!I23</f>
        <v>0</v>
      </c>
      <c r="J37" s="400">
        <f>DataIn!J23</f>
        <v>0</v>
      </c>
      <c r="K37" s="400">
        <f>DataIn!K23</f>
        <v>0</v>
      </c>
      <c r="L37" s="400">
        <f>DataIn!L23</f>
        <v>0</v>
      </c>
      <c r="M37" s="400">
        <f>DataIn!M23</f>
        <v>0</v>
      </c>
      <c r="N37" s="400">
        <f>DataIn!N23</f>
        <v>0</v>
      </c>
    </row>
    <row r="38" spans="2:14" ht="15.95" customHeight="1" x14ac:dyDescent="0.25">
      <c r="B38" s="37" t="s">
        <v>174</v>
      </c>
      <c r="C38" s="81"/>
      <c r="D38" s="400">
        <f>DataIn!D24</f>
        <v>0.86</v>
      </c>
      <c r="E38" s="400">
        <f>DataIn!E24</f>
        <v>0.95</v>
      </c>
      <c r="F38" s="400">
        <f>DataIn!F24</f>
        <v>1.04</v>
      </c>
      <c r="G38" s="400">
        <f>DataIn!G24</f>
        <v>1.1000000000000001</v>
      </c>
      <c r="H38" s="400">
        <f>DataIn!H24</f>
        <v>1.1599999999999999</v>
      </c>
      <c r="I38" s="400">
        <f>DataIn!I24</f>
        <v>1.23</v>
      </c>
      <c r="J38" s="400">
        <f>DataIn!J24</f>
        <v>1.3</v>
      </c>
      <c r="K38" s="400">
        <f>DataIn!K24</f>
        <v>1.3599999999999999</v>
      </c>
      <c r="L38" s="400">
        <f>DataIn!L24</f>
        <v>1.42</v>
      </c>
      <c r="M38" s="400">
        <f>DataIn!M24</f>
        <v>1.4649999999999999</v>
      </c>
      <c r="N38" s="400">
        <f>DataIn!N24</f>
        <v>1.51</v>
      </c>
    </row>
    <row r="39" spans="2:14" ht="15.95" customHeight="1" x14ac:dyDescent="0.25">
      <c r="B39" s="37" t="s">
        <v>175</v>
      </c>
      <c r="C39" s="81">
        <v>0.05</v>
      </c>
      <c r="D39" s="400">
        <f>DataIn!D25</f>
        <v>0.51</v>
      </c>
      <c r="E39" s="400">
        <f>DataIn!E25</f>
        <v>2.02</v>
      </c>
      <c r="F39" s="400">
        <f>DataIn!F25</f>
        <v>3.53</v>
      </c>
      <c r="G39" s="400">
        <f>DataIn!G25</f>
        <v>3.3849999999999998</v>
      </c>
      <c r="H39" s="400">
        <f>DataIn!H25</f>
        <v>3.24</v>
      </c>
      <c r="I39" s="400">
        <f>DataIn!I25</f>
        <v>3.43</v>
      </c>
      <c r="J39" s="400">
        <f>DataIn!J25</f>
        <v>3.62</v>
      </c>
      <c r="K39" s="400">
        <f>DataIn!K25</f>
        <v>3.8</v>
      </c>
      <c r="L39" s="400">
        <f>DataIn!L25</f>
        <v>3.98</v>
      </c>
      <c r="M39" s="400">
        <f>DataIn!M25</f>
        <v>3.6550000000000002</v>
      </c>
      <c r="N39" s="400">
        <f>DataIn!N25</f>
        <v>3.33</v>
      </c>
    </row>
    <row r="40" spans="2:14" ht="15.95" customHeight="1" x14ac:dyDescent="0.25">
      <c r="B40" s="37"/>
      <c r="C40" s="81"/>
      <c r="D40" s="400"/>
      <c r="E40" s="81"/>
      <c r="F40" s="81"/>
      <c r="G40" s="81"/>
      <c r="H40" s="81"/>
      <c r="I40" s="81"/>
      <c r="J40" s="81"/>
      <c r="K40" s="81"/>
      <c r="L40" s="81"/>
      <c r="M40" s="401"/>
      <c r="N40" s="401"/>
    </row>
    <row r="41" spans="2:14" s="28" customFormat="1" ht="15.95" customHeight="1" x14ac:dyDescent="0.25">
      <c r="B41" s="37" t="s">
        <v>4</v>
      </c>
      <c r="C41" s="39"/>
      <c r="D41" s="400">
        <f>SUM(D36:D39)</f>
        <v>25.27</v>
      </c>
      <c r="E41" s="402">
        <f t="shared" ref="E41:N41" si="1">SUM(E36:E39)</f>
        <v>27.965</v>
      </c>
      <c r="F41" s="402">
        <f t="shared" si="1"/>
        <v>30.66</v>
      </c>
      <c r="G41" s="402">
        <f t="shared" si="1"/>
        <v>32.4</v>
      </c>
      <c r="H41" s="402">
        <f t="shared" si="1"/>
        <v>34.14</v>
      </c>
      <c r="I41" s="402">
        <f t="shared" si="1"/>
        <v>36.119999999999997</v>
      </c>
      <c r="J41" s="402">
        <f t="shared" si="1"/>
        <v>38.099999999999994</v>
      </c>
      <c r="K41" s="402">
        <f t="shared" si="1"/>
        <v>39.974999999999994</v>
      </c>
      <c r="L41" s="402">
        <f t="shared" si="1"/>
        <v>41.85</v>
      </c>
      <c r="M41" s="402">
        <f t="shared" si="1"/>
        <v>43.11</v>
      </c>
      <c r="N41" s="402">
        <f t="shared" si="1"/>
        <v>44.37</v>
      </c>
    </row>
    <row r="42" spans="2:14" s="28" customFormat="1" ht="15.95" customHeight="1" x14ac:dyDescent="0.25">
      <c r="B42" s="110"/>
      <c r="C42" s="111"/>
      <c r="D42" s="112"/>
      <c r="E42" s="112"/>
      <c r="F42" s="112"/>
      <c r="G42" s="112"/>
      <c r="H42" s="112"/>
      <c r="I42" s="112"/>
      <c r="J42" s="112"/>
      <c r="K42" s="112"/>
      <c r="L42" s="112"/>
      <c r="M42" s="112"/>
      <c r="N42" s="112"/>
    </row>
    <row r="43" spans="2:14" ht="15.95" customHeight="1" x14ac:dyDescent="0.25">
      <c r="B43" s="41" t="s">
        <v>49</v>
      </c>
      <c r="C43" s="42"/>
      <c r="D43" s="49">
        <v>2010</v>
      </c>
      <c r="E43" s="49">
        <v>2015</v>
      </c>
      <c r="F43" s="49">
        <v>2020</v>
      </c>
      <c r="G43" s="49">
        <v>2025</v>
      </c>
      <c r="H43" s="49">
        <v>2030</v>
      </c>
      <c r="I43" s="49">
        <v>2035</v>
      </c>
      <c r="J43" s="49">
        <v>2040</v>
      </c>
      <c r="K43" s="49">
        <v>2045</v>
      </c>
      <c r="L43" s="49">
        <v>2050</v>
      </c>
      <c r="M43" s="49">
        <v>2055</v>
      </c>
      <c r="N43" s="49">
        <v>2060</v>
      </c>
    </row>
    <row r="44" spans="2:14" ht="15.95" customHeight="1" x14ac:dyDescent="0.25">
      <c r="B44" s="43" t="s">
        <v>67</v>
      </c>
      <c r="C44" s="69"/>
      <c r="D44" s="45"/>
      <c r="E44" s="45"/>
      <c r="F44" s="45"/>
      <c r="G44" s="45"/>
      <c r="H44" s="45"/>
      <c r="I44" s="45"/>
      <c r="J44" s="45"/>
      <c r="K44" s="45"/>
      <c r="L44" s="45"/>
      <c r="M44" s="45"/>
      <c r="N44" s="69"/>
    </row>
    <row r="45" spans="2:14" ht="15.95" customHeight="1" x14ac:dyDescent="0.25">
      <c r="B45" s="43" t="e">
        <f>DataIn!#REF!</f>
        <v>#REF!</v>
      </c>
      <c r="C45" s="69"/>
      <c r="D45" s="45"/>
      <c r="E45" s="45"/>
      <c r="F45" s="45"/>
      <c r="G45" s="45"/>
      <c r="H45" s="45"/>
      <c r="I45" s="45"/>
      <c r="J45" s="45"/>
      <c r="K45" s="45"/>
      <c r="L45" s="45"/>
      <c r="M45" s="45"/>
      <c r="N45" s="69"/>
    </row>
    <row r="46" spans="2:14" ht="15.95" customHeight="1" x14ac:dyDescent="0.25">
      <c r="B46" s="43"/>
      <c r="C46" s="69"/>
      <c r="D46" s="45"/>
      <c r="E46" s="45"/>
      <c r="F46" s="45"/>
      <c r="G46" s="45"/>
      <c r="H46" s="45"/>
      <c r="I46" s="45"/>
      <c r="J46" s="45"/>
      <c r="K46" s="45"/>
      <c r="L46" s="45"/>
      <c r="M46" s="45"/>
      <c r="N46" s="69"/>
    </row>
    <row r="47" spans="2:14" ht="15.95" customHeight="1" x14ac:dyDescent="0.25">
      <c r="B47" s="43"/>
      <c r="C47" s="69"/>
      <c r="D47" s="45"/>
      <c r="E47" s="45"/>
      <c r="F47" s="45"/>
      <c r="G47" s="45"/>
      <c r="H47" s="45"/>
      <c r="I47" s="45"/>
      <c r="J47" s="45"/>
      <c r="K47" s="45"/>
      <c r="L47" s="45"/>
      <c r="M47" s="45"/>
      <c r="N47" s="69"/>
    </row>
    <row r="48" spans="2:14" ht="15.95" customHeight="1" x14ac:dyDescent="0.25">
      <c r="B48" s="43"/>
      <c r="C48" s="69"/>
      <c r="D48" s="45"/>
      <c r="E48" s="45"/>
      <c r="F48" s="45"/>
      <c r="G48" s="45"/>
      <c r="H48" s="45"/>
      <c r="I48" s="45"/>
      <c r="J48" s="45"/>
      <c r="K48" s="45"/>
      <c r="L48" s="45"/>
      <c r="M48" s="45"/>
      <c r="N48" s="69"/>
    </row>
    <row r="49" spans="2:14" ht="15.95" customHeight="1" x14ac:dyDescent="0.25">
      <c r="B49" s="43" t="s">
        <v>51</v>
      </c>
      <c r="C49" s="69"/>
      <c r="D49" s="45"/>
      <c r="E49" s="45"/>
      <c r="F49" s="45"/>
      <c r="G49" s="45"/>
      <c r="H49" s="45"/>
      <c r="I49" s="45"/>
      <c r="J49" s="45"/>
      <c r="K49" s="45"/>
      <c r="L49" s="45"/>
      <c r="M49" s="45"/>
      <c r="N49" s="69"/>
    </row>
    <row r="50" spans="2:14" ht="15.95" customHeight="1" x14ac:dyDescent="0.25">
      <c r="B50" s="43"/>
      <c r="C50" s="69"/>
      <c r="D50" s="45"/>
      <c r="E50" s="45"/>
      <c r="F50" s="45"/>
      <c r="G50" s="45"/>
      <c r="H50" s="45"/>
      <c r="I50" s="45"/>
      <c r="J50" s="45"/>
      <c r="K50" s="45"/>
      <c r="L50" s="45"/>
      <c r="M50" s="45"/>
      <c r="N50" s="69"/>
    </row>
    <row r="51" spans="2:14" ht="15.95" customHeight="1" x14ac:dyDescent="0.25">
      <c r="B51" s="43"/>
      <c r="C51" s="69"/>
      <c r="D51" s="45"/>
      <c r="E51" s="45"/>
      <c r="F51" s="45"/>
      <c r="G51" s="45"/>
      <c r="H51" s="45"/>
      <c r="I51" s="45"/>
      <c r="J51" s="45"/>
      <c r="K51" s="45"/>
      <c r="L51" s="45"/>
      <c r="M51" s="45"/>
      <c r="N51" s="69"/>
    </row>
    <row r="52" spans="2:14" ht="15.95" customHeight="1" x14ac:dyDescent="0.25">
      <c r="B52" s="43"/>
      <c r="C52" s="69"/>
      <c r="D52" s="45"/>
      <c r="E52" s="45"/>
      <c r="F52" s="45"/>
      <c r="G52" s="45"/>
      <c r="H52" s="45"/>
      <c r="I52" s="45"/>
      <c r="J52" s="45"/>
      <c r="K52" s="45"/>
      <c r="L52" s="45"/>
      <c r="M52" s="45"/>
      <c r="N52" s="69"/>
    </row>
    <row r="53" spans="2:14" ht="15.95" customHeight="1" x14ac:dyDescent="0.25">
      <c r="B53" s="43"/>
      <c r="C53" s="69"/>
      <c r="D53" s="45"/>
      <c r="E53" s="45"/>
      <c r="F53" s="45"/>
      <c r="G53" s="45"/>
      <c r="H53" s="45"/>
      <c r="I53" s="45"/>
      <c r="J53" s="45"/>
      <c r="K53" s="45"/>
      <c r="L53" s="45"/>
      <c r="M53" s="45"/>
      <c r="N53" s="69"/>
    </row>
    <row r="54" spans="2:14" ht="15.95" customHeight="1" x14ac:dyDescent="0.25">
      <c r="B54" s="43" t="s">
        <v>48</v>
      </c>
      <c r="C54" s="44"/>
      <c r="D54" s="78">
        <f>SUM(D44:D53)</f>
        <v>0</v>
      </c>
      <c r="E54" s="78">
        <f t="shared" ref="E54:N54" si="2">SUM(E44:E53)</f>
        <v>0</v>
      </c>
      <c r="F54" s="78">
        <f t="shared" si="2"/>
        <v>0</v>
      </c>
      <c r="G54" s="78">
        <f t="shared" si="2"/>
        <v>0</v>
      </c>
      <c r="H54" s="78">
        <f t="shared" si="2"/>
        <v>0</v>
      </c>
      <c r="I54" s="78">
        <f t="shared" si="2"/>
        <v>0</v>
      </c>
      <c r="J54" s="78">
        <f t="shared" si="2"/>
        <v>0</v>
      </c>
      <c r="K54" s="78">
        <f t="shared" si="2"/>
        <v>0</v>
      </c>
      <c r="L54" s="78">
        <f>SUM(L44:L53)</f>
        <v>0</v>
      </c>
      <c r="M54" s="78">
        <f t="shared" si="2"/>
        <v>0</v>
      </c>
      <c r="N54" s="78">
        <f t="shared" si="2"/>
        <v>0</v>
      </c>
    </row>
    <row r="55" spans="2:14" s="28" customFormat="1" ht="15.95" customHeight="1" x14ac:dyDescent="0.25">
      <c r="B55" s="43" t="s">
        <v>50</v>
      </c>
      <c r="C55" s="46"/>
      <c r="D55" s="82">
        <f>D41+D54</f>
        <v>25.27</v>
      </c>
      <c r="E55" s="82">
        <f t="shared" ref="E55:N55" si="3">E41+E54</f>
        <v>27.965</v>
      </c>
      <c r="F55" s="82">
        <f t="shared" si="3"/>
        <v>30.66</v>
      </c>
      <c r="G55" s="82">
        <f t="shared" si="3"/>
        <v>32.4</v>
      </c>
      <c r="H55" s="82">
        <f t="shared" si="3"/>
        <v>34.14</v>
      </c>
      <c r="I55" s="82">
        <f t="shared" si="3"/>
        <v>36.119999999999997</v>
      </c>
      <c r="J55" s="82">
        <f t="shared" si="3"/>
        <v>38.099999999999994</v>
      </c>
      <c r="K55" s="82">
        <f t="shared" si="3"/>
        <v>39.974999999999994</v>
      </c>
      <c r="L55" s="82">
        <f>L41+L54</f>
        <v>41.85</v>
      </c>
      <c r="M55" s="82">
        <f t="shared" si="3"/>
        <v>43.11</v>
      </c>
      <c r="N55" s="82">
        <f t="shared" si="3"/>
        <v>44.37</v>
      </c>
    </row>
    <row r="56" spans="2:14" ht="15.95" customHeight="1" x14ac:dyDescent="0.25">
      <c r="B56" s="47"/>
      <c r="C56" s="48"/>
      <c r="D56" s="54">
        <v>2010</v>
      </c>
      <c r="E56" s="55">
        <v>2015</v>
      </c>
      <c r="F56" s="55">
        <v>2020</v>
      </c>
      <c r="G56" s="55">
        <v>2025</v>
      </c>
      <c r="H56" s="55">
        <v>2030</v>
      </c>
      <c r="I56" s="55">
        <v>2035</v>
      </c>
      <c r="J56" s="55">
        <v>2040</v>
      </c>
      <c r="K56" s="55">
        <v>2045</v>
      </c>
      <c r="L56" s="55">
        <v>2050</v>
      </c>
      <c r="M56" s="55">
        <v>2055</v>
      </c>
      <c r="N56" s="55">
        <v>2060</v>
      </c>
    </row>
    <row r="58" spans="2:14" ht="15.95" customHeight="1" thickBot="1" x14ac:dyDescent="0.25"/>
    <row r="59" spans="2:14" ht="15.95" customHeight="1" thickBot="1" x14ac:dyDescent="0.3">
      <c r="B59" s="28"/>
      <c r="H59" s="33"/>
      <c r="I59" s="85"/>
    </row>
    <row r="60" spans="2:14" ht="15.95" customHeight="1" x14ac:dyDescent="0.25">
      <c r="B60" s="28"/>
      <c r="I60" s="32"/>
      <c r="J60" s="32"/>
    </row>
    <row r="61" spans="2:14" ht="15.95" customHeight="1" x14ac:dyDescent="0.25">
      <c r="B61" s="28"/>
      <c r="I61" s="32"/>
      <c r="J61" s="32"/>
    </row>
    <row r="62" spans="2:14" ht="15.95" customHeight="1" x14ac:dyDescent="0.25">
      <c r="B62" s="28"/>
      <c r="I62" s="32"/>
      <c r="J62" s="32"/>
    </row>
    <row r="63" spans="2:14" ht="15.95" customHeight="1" x14ac:dyDescent="0.25">
      <c r="B63" s="28"/>
      <c r="I63" s="32"/>
      <c r="J63" s="32"/>
    </row>
    <row r="64" spans="2:14" ht="15.95" customHeight="1" x14ac:dyDescent="0.25">
      <c r="B64" s="28"/>
      <c r="I64" s="32"/>
      <c r="J64" s="32"/>
    </row>
    <row r="65" spans="2:14" ht="15.95" customHeight="1" x14ac:dyDescent="0.25">
      <c r="B65" s="28"/>
      <c r="I65" s="32"/>
      <c r="J65" s="32"/>
    </row>
    <row r="66" spans="2:14" ht="15.95" customHeight="1" x14ac:dyDescent="0.25">
      <c r="B66" s="28"/>
      <c r="I66" s="32"/>
      <c r="J66" s="32"/>
    </row>
    <row r="67" spans="2:14" ht="15.95" customHeight="1" x14ac:dyDescent="0.25">
      <c r="B67" s="28"/>
      <c r="I67" s="32"/>
      <c r="J67" s="32"/>
    </row>
    <row r="68" spans="2:14" ht="15.95" customHeight="1" x14ac:dyDescent="0.25">
      <c r="B68" s="28"/>
      <c r="I68" s="32"/>
      <c r="J68" s="32"/>
    </row>
    <row r="69" spans="2:14" ht="15.95" customHeight="1" x14ac:dyDescent="0.25">
      <c r="B69" s="28"/>
      <c r="I69" s="32"/>
      <c r="J69" s="32"/>
    </row>
    <row r="70" spans="2:14" ht="15.95" customHeight="1" x14ac:dyDescent="0.25">
      <c r="B70" s="28"/>
      <c r="I70" s="32"/>
      <c r="J70" s="32"/>
    </row>
    <row r="71" spans="2:14" ht="15.95" customHeight="1" x14ac:dyDescent="0.25">
      <c r="B71" s="28"/>
      <c r="I71" s="32"/>
      <c r="J71" s="32"/>
    </row>
    <row r="72" spans="2:14" ht="15.95" customHeight="1" x14ac:dyDescent="0.25">
      <c r="B72" s="28"/>
      <c r="I72" s="32"/>
      <c r="J72" s="32"/>
    </row>
    <row r="77" spans="2:14" s="47" customFormat="1" ht="15.95" customHeight="1" x14ac:dyDescent="0.25">
      <c r="B77" s="41" t="s">
        <v>71</v>
      </c>
      <c r="C77" s="42"/>
      <c r="D77" s="42"/>
      <c r="E77" s="42"/>
      <c r="F77" s="42"/>
      <c r="G77" s="42"/>
      <c r="H77" s="53"/>
      <c r="I77" s="86"/>
      <c r="J77" s="86"/>
      <c r="K77" s="86"/>
      <c r="L77" s="86"/>
      <c r="M77" s="86"/>
      <c r="N77" s="86"/>
    </row>
    <row r="78" spans="2:14" s="47" customFormat="1" ht="15.95" customHeight="1" x14ac:dyDescent="0.25">
      <c r="B78" s="665" t="s">
        <v>26</v>
      </c>
      <c r="C78" s="666"/>
      <c r="D78" s="665" t="s">
        <v>27</v>
      </c>
      <c r="E78" s="667"/>
      <c r="F78" s="667"/>
      <c r="G78" s="87" t="s">
        <v>31</v>
      </c>
      <c r="H78" s="87" t="s">
        <v>33</v>
      </c>
      <c r="I78" s="86"/>
      <c r="J78" s="86"/>
      <c r="K78" s="86"/>
      <c r="L78" s="86"/>
      <c r="M78" s="86"/>
      <c r="N78" s="86"/>
    </row>
    <row r="79" spans="2:14" s="47" customFormat="1" ht="15.95" customHeight="1" x14ac:dyDescent="0.25">
      <c r="B79" s="48" t="s">
        <v>28</v>
      </c>
      <c r="C79" s="48" t="s">
        <v>15</v>
      </c>
      <c r="D79" s="48" t="s">
        <v>25</v>
      </c>
      <c r="E79" s="48" t="s">
        <v>29</v>
      </c>
      <c r="F79" s="48" t="s">
        <v>30</v>
      </c>
      <c r="G79" s="88" t="s">
        <v>32</v>
      </c>
      <c r="H79" s="88" t="s">
        <v>34</v>
      </c>
      <c r="I79" s="86"/>
      <c r="J79" s="86"/>
      <c r="K79" s="86"/>
      <c r="L79" s="86"/>
      <c r="M79" s="86"/>
      <c r="N79" s="86"/>
    </row>
    <row r="80" spans="2:14" ht="15.95" customHeight="1" x14ac:dyDescent="0.2">
      <c r="B80" s="29"/>
      <c r="C80" s="30"/>
      <c r="D80" s="30"/>
      <c r="E80" s="30"/>
      <c r="F80" s="30"/>
      <c r="G80" s="30"/>
      <c r="H80" s="30"/>
    </row>
    <row r="81" spans="2:14" ht="15.95" customHeight="1" x14ac:dyDescent="0.2">
      <c r="B81" s="29"/>
      <c r="C81" s="30"/>
      <c r="D81" s="30"/>
      <c r="E81" s="30"/>
      <c r="F81" s="30"/>
      <c r="G81" s="30"/>
      <c r="H81" s="30"/>
    </row>
    <row r="82" spans="2:14" ht="15.95" customHeight="1" x14ac:dyDescent="0.2">
      <c r="B82" s="29"/>
      <c r="C82" s="30"/>
      <c r="D82" s="30"/>
      <c r="E82" s="30"/>
      <c r="F82" s="30"/>
      <c r="G82" s="30"/>
      <c r="H82" s="30"/>
    </row>
    <row r="83" spans="2:14" ht="15.95" customHeight="1" x14ac:dyDescent="0.2">
      <c r="B83" s="29"/>
      <c r="C83" s="30"/>
      <c r="D83" s="30"/>
      <c r="E83" s="30"/>
      <c r="F83" s="30"/>
      <c r="G83" s="30"/>
      <c r="H83" s="30"/>
    </row>
    <row r="84" spans="2:14" ht="15.95" customHeight="1" x14ac:dyDescent="0.2">
      <c r="B84" s="29"/>
      <c r="C84" s="30"/>
      <c r="D84" s="30"/>
      <c r="E84" s="30"/>
      <c r="F84" s="30"/>
      <c r="G84" s="30"/>
      <c r="H84" s="30"/>
    </row>
    <row r="85" spans="2:14" ht="15.95" customHeight="1" x14ac:dyDescent="0.2">
      <c r="B85" s="29"/>
      <c r="C85" s="30"/>
      <c r="D85" s="30"/>
      <c r="E85" s="30"/>
      <c r="F85" s="30"/>
      <c r="G85" s="30"/>
      <c r="H85" s="30"/>
    </row>
    <row r="86" spans="2:14" ht="15.95" customHeight="1" x14ac:dyDescent="0.2">
      <c r="B86" s="29"/>
      <c r="C86" s="30"/>
      <c r="D86" s="30"/>
      <c r="E86" s="30"/>
      <c r="F86" s="30"/>
      <c r="G86" s="30"/>
      <c r="H86" s="30"/>
    </row>
    <row r="87" spans="2:14" ht="15.95" customHeight="1" x14ac:dyDescent="0.2">
      <c r="B87" s="105"/>
      <c r="C87" s="71"/>
      <c r="D87" s="71"/>
      <c r="E87" s="71"/>
      <c r="F87" s="71"/>
      <c r="G87" s="71"/>
      <c r="H87" s="71"/>
    </row>
    <row r="89" spans="2:14" s="47" customFormat="1" ht="15.95" customHeight="1" x14ac:dyDescent="0.25">
      <c r="B89" s="95" t="s">
        <v>72</v>
      </c>
      <c r="C89" s="96"/>
      <c r="D89" s="96"/>
      <c r="E89" s="96"/>
      <c r="F89" s="96"/>
      <c r="G89" s="96"/>
      <c r="H89" s="96"/>
      <c r="I89" s="97"/>
      <c r="J89" s="86"/>
      <c r="K89" s="86"/>
      <c r="L89" s="86"/>
      <c r="M89" s="86"/>
      <c r="N89" s="86"/>
    </row>
    <row r="90" spans="2:14" s="47" customFormat="1" ht="15.95" customHeight="1" x14ac:dyDescent="0.25">
      <c r="B90" s="98" t="s">
        <v>14</v>
      </c>
      <c r="C90" s="99" t="s">
        <v>15</v>
      </c>
      <c r="D90" s="100" t="s">
        <v>16</v>
      </c>
      <c r="E90" s="99" t="s">
        <v>17</v>
      </c>
      <c r="F90" s="100" t="s">
        <v>18</v>
      </c>
      <c r="G90" s="99" t="s">
        <v>81</v>
      </c>
      <c r="H90" s="100" t="s">
        <v>21</v>
      </c>
      <c r="I90" s="99" t="s">
        <v>23</v>
      </c>
      <c r="J90" s="86"/>
      <c r="K90" s="86"/>
      <c r="L90" s="86"/>
      <c r="M90" s="86"/>
      <c r="N90" s="86"/>
    </row>
    <row r="91" spans="2:14" s="47" customFormat="1" ht="15.95" customHeight="1" x14ac:dyDescent="0.25">
      <c r="B91" s="101"/>
      <c r="C91" s="102"/>
      <c r="D91" s="100"/>
      <c r="E91" s="102"/>
      <c r="F91" s="100" t="s">
        <v>19</v>
      </c>
      <c r="G91" s="102" t="s">
        <v>20</v>
      </c>
      <c r="H91" s="100" t="s">
        <v>22</v>
      </c>
      <c r="I91" s="102" t="s">
        <v>24</v>
      </c>
      <c r="J91" s="86"/>
      <c r="K91" s="86"/>
      <c r="L91" s="86"/>
      <c r="M91" s="86"/>
      <c r="N91" s="86"/>
    </row>
    <row r="92" spans="2:14" ht="15.95" customHeight="1" x14ac:dyDescent="0.25">
      <c r="B92" s="103"/>
      <c r="C92" s="104"/>
      <c r="D92" s="104"/>
      <c r="E92" s="104"/>
      <c r="F92" s="104"/>
      <c r="G92" s="357"/>
      <c r="H92" s="104"/>
      <c r="I92" s="357"/>
    </row>
    <row r="93" spans="2:14" ht="15.95" customHeight="1" x14ac:dyDescent="0.25">
      <c r="B93" s="103"/>
      <c r="C93" s="104"/>
      <c r="D93" s="104"/>
      <c r="E93" s="104"/>
      <c r="F93" s="104"/>
      <c r="G93" s="357"/>
      <c r="H93" s="104"/>
      <c r="I93" s="357"/>
    </row>
    <row r="94" spans="2:14" ht="15.95" customHeight="1" x14ac:dyDescent="0.25">
      <c r="B94" s="103"/>
      <c r="C94" s="104"/>
      <c r="D94" s="104"/>
      <c r="E94" s="104"/>
      <c r="F94" s="104"/>
      <c r="G94" s="357"/>
      <c r="H94" s="104"/>
      <c r="I94" s="357"/>
    </row>
    <row r="95" spans="2:14" ht="15.95" customHeight="1" x14ac:dyDescent="0.25">
      <c r="B95" s="103"/>
      <c r="C95" s="104"/>
      <c r="D95" s="104"/>
      <c r="E95" s="104"/>
      <c r="F95" s="104"/>
      <c r="G95" s="357"/>
      <c r="H95" s="104"/>
      <c r="I95" s="357"/>
    </row>
    <row r="96" spans="2:14" ht="15.95" customHeight="1" x14ac:dyDescent="0.25">
      <c r="B96" s="103"/>
      <c r="C96" s="104"/>
      <c r="D96" s="104"/>
      <c r="E96" s="104"/>
      <c r="F96" s="104"/>
      <c r="G96" s="357"/>
      <c r="H96" s="104"/>
      <c r="I96" s="357"/>
    </row>
    <row r="97" spans="2:14" ht="15.95" customHeight="1" x14ac:dyDescent="0.25">
      <c r="B97" s="103"/>
      <c r="C97" s="104"/>
      <c r="D97" s="104"/>
      <c r="E97" s="104"/>
      <c r="F97" s="104"/>
      <c r="G97" s="357"/>
      <c r="H97" s="104"/>
      <c r="I97" s="357"/>
    </row>
    <row r="98" spans="2:14" ht="15.95" customHeight="1" x14ac:dyDescent="0.25">
      <c r="B98" s="103"/>
      <c r="C98" s="104"/>
      <c r="D98" s="104"/>
      <c r="E98" s="104"/>
      <c r="F98" s="104"/>
      <c r="G98" s="357"/>
      <c r="H98" s="104"/>
      <c r="I98" s="357"/>
    </row>
    <row r="100" spans="2:14" ht="15.95" customHeight="1" x14ac:dyDescent="0.2">
      <c r="N100" s="71"/>
    </row>
    <row r="101" spans="2:14" s="28" customFormat="1" ht="27" customHeight="1" x14ac:dyDescent="0.25">
      <c r="B101" s="113" t="s">
        <v>74</v>
      </c>
      <c r="C101" s="53"/>
      <c r="D101" s="42"/>
      <c r="E101" s="42"/>
      <c r="F101" s="42"/>
      <c r="G101" s="42"/>
      <c r="H101" s="42"/>
      <c r="I101" s="42"/>
      <c r="J101" s="42"/>
      <c r="K101" s="42"/>
      <c r="L101" s="42"/>
      <c r="M101" s="53"/>
      <c r="N101" s="72"/>
    </row>
    <row r="102" spans="2:14" s="28" customFormat="1" ht="15.95" customHeight="1" x14ac:dyDescent="0.25">
      <c r="B102" s="50" t="s">
        <v>6</v>
      </c>
      <c r="C102" s="49">
        <v>2010</v>
      </c>
      <c r="D102" s="55">
        <v>2015</v>
      </c>
      <c r="E102" s="55">
        <v>2020</v>
      </c>
      <c r="F102" s="55">
        <v>2025</v>
      </c>
      <c r="G102" s="55">
        <v>2030</v>
      </c>
      <c r="H102" s="55">
        <v>2035</v>
      </c>
      <c r="I102" s="55">
        <v>2040</v>
      </c>
      <c r="J102" s="55">
        <v>2045</v>
      </c>
      <c r="K102" s="55">
        <v>2050</v>
      </c>
      <c r="L102" s="62">
        <v>2055</v>
      </c>
      <c r="M102" s="49">
        <v>2060</v>
      </c>
      <c r="N102" s="72"/>
    </row>
    <row r="103" spans="2:14" s="28" customFormat="1" ht="15.95" customHeight="1" x14ac:dyDescent="0.25">
      <c r="B103" s="56" t="s">
        <v>75</v>
      </c>
      <c r="C103" s="397">
        <f>ReportTables!K75</f>
        <v>37.9</v>
      </c>
      <c r="D103" s="397">
        <f>ReportTables!L75</f>
        <v>37.9</v>
      </c>
      <c r="E103" s="397">
        <f>ReportTables!M75</f>
        <v>37.9</v>
      </c>
      <c r="F103" s="397">
        <f>ReportTables!N75</f>
        <v>37.9</v>
      </c>
      <c r="G103" s="397">
        <f>ReportTables!O75</f>
        <v>37.9</v>
      </c>
      <c r="H103" s="397">
        <f>ReportTables!P75</f>
        <v>37.9</v>
      </c>
      <c r="I103" s="397">
        <f>ReportTables!Q75</f>
        <v>37.9</v>
      </c>
      <c r="J103" s="397">
        <f>ReportTables!R75</f>
        <v>37.9</v>
      </c>
      <c r="K103" s="397">
        <f>ReportTables!S75</f>
        <v>37.9</v>
      </c>
      <c r="L103" s="397">
        <f>ReportTables!T75</f>
        <v>37.9</v>
      </c>
      <c r="M103" s="397">
        <f>ReportTables!U75</f>
        <v>37.9</v>
      </c>
      <c r="N103" s="73"/>
    </row>
    <row r="104" spans="2:14" s="28" customFormat="1" ht="15.95" customHeight="1" x14ac:dyDescent="0.25">
      <c r="B104" s="56" t="s">
        <v>76</v>
      </c>
      <c r="C104" s="397"/>
      <c r="D104" s="397"/>
      <c r="E104" s="397"/>
      <c r="F104" s="397"/>
      <c r="G104" s="397"/>
      <c r="H104" s="397"/>
      <c r="I104" s="397"/>
      <c r="J104" s="397"/>
      <c r="K104" s="397"/>
      <c r="L104" s="398"/>
      <c r="M104" s="397"/>
      <c r="N104" s="73"/>
    </row>
    <row r="105" spans="2:14" s="28" customFormat="1" ht="15.95" customHeight="1" x14ac:dyDescent="0.25">
      <c r="B105" s="56" t="s">
        <v>77</v>
      </c>
      <c r="C105" s="397">
        <f>ReportTables!$I$57</f>
        <v>0</v>
      </c>
      <c r="D105" s="397">
        <f>ReportTables!$I$57</f>
        <v>0</v>
      </c>
      <c r="E105" s="397">
        <f>ReportTables!$I$57</f>
        <v>0</v>
      </c>
      <c r="F105" s="397">
        <f>ReportTables!$I$57</f>
        <v>0</v>
      </c>
      <c r="G105" s="397">
        <f>ReportTables!$I$57</f>
        <v>0</v>
      </c>
      <c r="H105" s="397">
        <f>ReportTables!$I$57</f>
        <v>0</v>
      </c>
      <c r="I105" s="397">
        <f>ReportTables!$I$57</f>
        <v>0</v>
      </c>
      <c r="J105" s="397">
        <f>ReportTables!$I$57</f>
        <v>0</v>
      </c>
      <c r="K105" s="397">
        <f>ReportTables!$I$57</f>
        <v>0</v>
      </c>
      <c r="L105" s="397">
        <f>ReportTables!$I$57</f>
        <v>0</v>
      </c>
      <c r="M105" s="397">
        <f>ReportTables!$I$57</f>
        <v>0</v>
      </c>
      <c r="N105" s="73"/>
    </row>
    <row r="106" spans="2:14" s="28" customFormat="1" ht="15.95" customHeight="1" x14ac:dyDescent="0.25">
      <c r="B106" s="56" t="s">
        <v>78</v>
      </c>
      <c r="C106" s="397">
        <f>SUMIF($I$92:$I$98,"&lt;="&amp;C102,$G$92:$G$98)</f>
        <v>0</v>
      </c>
      <c r="D106" s="397">
        <f t="shared" ref="D106:M106" si="4">SUMIF($I$92:$I$98,"&lt;="&amp;D102,$G$92:$G$98)</f>
        <v>0</v>
      </c>
      <c r="E106" s="397">
        <f t="shared" si="4"/>
        <v>0</v>
      </c>
      <c r="F106" s="397">
        <f t="shared" si="4"/>
        <v>0</v>
      </c>
      <c r="G106" s="397">
        <f t="shared" si="4"/>
        <v>0</v>
      </c>
      <c r="H106" s="397">
        <f t="shared" si="4"/>
        <v>0</v>
      </c>
      <c r="I106" s="397">
        <f t="shared" si="4"/>
        <v>0</v>
      </c>
      <c r="J106" s="397">
        <f t="shared" si="4"/>
        <v>0</v>
      </c>
      <c r="K106" s="397">
        <f t="shared" si="4"/>
        <v>0</v>
      </c>
      <c r="L106" s="397">
        <f t="shared" si="4"/>
        <v>0</v>
      </c>
      <c r="M106" s="397">
        <f t="shared" si="4"/>
        <v>0</v>
      </c>
      <c r="N106" s="73"/>
    </row>
    <row r="107" spans="2:14" s="28" customFormat="1" ht="15.95" customHeight="1" x14ac:dyDescent="0.25">
      <c r="B107" s="51" t="s">
        <v>5</v>
      </c>
      <c r="C107" s="399">
        <f>SUM(C103:C106)</f>
        <v>37.9</v>
      </c>
      <c r="D107" s="399">
        <f>SUM(D103:D106)</f>
        <v>37.9</v>
      </c>
      <c r="E107" s="399">
        <f t="shared" ref="E107:M107" si="5">SUM(E103:E106)</f>
        <v>37.9</v>
      </c>
      <c r="F107" s="399">
        <f t="shared" si="5"/>
        <v>37.9</v>
      </c>
      <c r="G107" s="399">
        <f t="shared" si="5"/>
        <v>37.9</v>
      </c>
      <c r="H107" s="399">
        <f t="shared" si="5"/>
        <v>37.9</v>
      </c>
      <c r="I107" s="399">
        <f t="shared" si="5"/>
        <v>37.9</v>
      </c>
      <c r="J107" s="399">
        <f t="shared" si="5"/>
        <v>37.9</v>
      </c>
      <c r="K107" s="399">
        <f t="shared" si="5"/>
        <v>37.9</v>
      </c>
      <c r="L107" s="399">
        <f t="shared" si="5"/>
        <v>37.9</v>
      </c>
      <c r="M107" s="399">
        <f t="shared" si="5"/>
        <v>37.9</v>
      </c>
      <c r="N107" s="73"/>
    </row>
    <row r="108" spans="2:14" s="28" customFormat="1" ht="15.95" customHeight="1" x14ac:dyDescent="0.25">
      <c r="B108" s="56" t="s">
        <v>7</v>
      </c>
      <c r="C108" s="397">
        <f>D41</f>
        <v>25.27</v>
      </c>
      <c r="D108" s="397">
        <f t="shared" ref="D108:M108" si="6">E41</f>
        <v>27.965</v>
      </c>
      <c r="E108" s="397">
        <f t="shared" si="6"/>
        <v>30.66</v>
      </c>
      <c r="F108" s="397">
        <f t="shared" si="6"/>
        <v>32.4</v>
      </c>
      <c r="G108" s="397">
        <f t="shared" si="6"/>
        <v>34.14</v>
      </c>
      <c r="H108" s="397">
        <f t="shared" si="6"/>
        <v>36.119999999999997</v>
      </c>
      <c r="I108" s="397">
        <f t="shared" si="6"/>
        <v>38.099999999999994</v>
      </c>
      <c r="J108" s="397">
        <f t="shared" si="6"/>
        <v>39.974999999999994</v>
      </c>
      <c r="K108" s="397">
        <f t="shared" si="6"/>
        <v>41.85</v>
      </c>
      <c r="L108" s="397">
        <f t="shared" si="6"/>
        <v>43.11</v>
      </c>
      <c r="M108" s="397">
        <f t="shared" si="6"/>
        <v>44.37</v>
      </c>
      <c r="N108" s="73"/>
    </row>
    <row r="109" spans="2:14" s="28" customFormat="1" ht="15.95" customHeight="1" x14ac:dyDescent="0.25">
      <c r="B109" s="56" t="s">
        <v>79</v>
      </c>
      <c r="C109" s="397">
        <f>SUM(D45:D48)</f>
        <v>0</v>
      </c>
      <c r="D109" s="397">
        <f t="shared" ref="D109:M109" si="7">SUM(E45:E48)</f>
        <v>0</v>
      </c>
      <c r="E109" s="397">
        <f t="shared" si="7"/>
        <v>0</v>
      </c>
      <c r="F109" s="397">
        <f t="shared" si="7"/>
        <v>0</v>
      </c>
      <c r="G109" s="397">
        <f t="shared" si="7"/>
        <v>0</v>
      </c>
      <c r="H109" s="397">
        <f t="shared" si="7"/>
        <v>0</v>
      </c>
      <c r="I109" s="397">
        <f t="shared" si="7"/>
        <v>0</v>
      </c>
      <c r="J109" s="397">
        <f t="shared" si="7"/>
        <v>0</v>
      </c>
      <c r="K109" s="397">
        <f t="shared" si="7"/>
        <v>0</v>
      </c>
      <c r="L109" s="397">
        <f t="shared" si="7"/>
        <v>0</v>
      </c>
      <c r="M109" s="397">
        <f t="shared" si="7"/>
        <v>0</v>
      </c>
      <c r="N109" s="73"/>
    </row>
    <row r="110" spans="2:14" s="28" customFormat="1" ht="15.95" customHeight="1" x14ac:dyDescent="0.25">
      <c r="B110" s="56" t="s">
        <v>80</v>
      </c>
      <c r="C110" s="397">
        <f>SUM(D50:D53)</f>
        <v>0</v>
      </c>
      <c r="D110" s="397">
        <f t="shared" ref="D110:M110" si="8">SUM(E50:E53)</f>
        <v>0</v>
      </c>
      <c r="E110" s="397">
        <f t="shared" si="8"/>
        <v>0</v>
      </c>
      <c r="F110" s="397">
        <f t="shared" si="8"/>
        <v>0</v>
      </c>
      <c r="G110" s="397">
        <f t="shared" si="8"/>
        <v>0</v>
      </c>
      <c r="H110" s="397">
        <f t="shared" si="8"/>
        <v>0</v>
      </c>
      <c r="I110" s="397">
        <f t="shared" si="8"/>
        <v>0</v>
      </c>
      <c r="J110" s="397">
        <f t="shared" si="8"/>
        <v>0</v>
      </c>
      <c r="K110" s="397">
        <f t="shared" si="8"/>
        <v>0</v>
      </c>
      <c r="L110" s="397">
        <f t="shared" si="8"/>
        <v>0</v>
      </c>
      <c r="M110" s="397">
        <f t="shared" si="8"/>
        <v>0</v>
      </c>
      <c r="N110" s="73"/>
    </row>
    <row r="111" spans="2:14" s="28" customFormat="1" ht="15.95" customHeight="1" x14ac:dyDescent="0.25">
      <c r="B111" s="51" t="s">
        <v>8</v>
      </c>
      <c r="C111" s="399">
        <f>SUM(C108:C110)</f>
        <v>25.27</v>
      </c>
      <c r="D111" s="399">
        <f>SUM(D108:D110)</f>
        <v>27.965</v>
      </c>
      <c r="E111" s="399">
        <f t="shared" ref="E111:M111" si="9">SUM(E108:E110)</f>
        <v>30.66</v>
      </c>
      <c r="F111" s="399">
        <f t="shared" si="9"/>
        <v>32.4</v>
      </c>
      <c r="G111" s="399">
        <f t="shared" si="9"/>
        <v>34.14</v>
      </c>
      <c r="H111" s="399">
        <f t="shared" si="9"/>
        <v>36.119999999999997</v>
      </c>
      <c r="I111" s="399">
        <f t="shared" si="9"/>
        <v>38.099999999999994</v>
      </c>
      <c r="J111" s="399">
        <f t="shared" si="9"/>
        <v>39.974999999999994</v>
      </c>
      <c r="K111" s="399">
        <f t="shared" si="9"/>
        <v>41.85</v>
      </c>
      <c r="L111" s="399">
        <f>SUM(L108:L110)</f>
        <v>43.11</v>
      </c>
      <c r="M111" s="399">
        <f t="shared" si="9"/>
        <v>44.37</v>
      </c>
      <c r="N111" s="73"/>
    </row>
    <row r="112" spans="2:14" s="28" customFormat="1" ht="18" x14ac:dyDescent="0.25">
      <c r="B112" s="56" t="s">
        <v>9</v>
      </c>
      <c r="C112" s="260">
        <f>(C111/C107)</f>
        <v>0.66675461741424802</v>
      </c>
      <c r="D112" s="260">
        <f>(D111/D107)</f>
        <v>0.73786279683377309</v>
      </c>
      <c r="E112" s="260">
        <f t="shared" ref="E112:M112" si="10">(E111/E107)</f>
        <v>0.80897097625329817</v>
      </c>
      <c r="F112" s="260">
        <f t="shared" si="10"/>
        <v>0.85488126649076512</v>
      </c>
      <c r="G112" s="260">
        <f t="shared" si="10"/>
        <v>0.90079155672823219</v>
      </c>
      <c r="H112" s="260">
        <f t="shared" si="10"/>
        <v>0.95303430079155671</v>
      </c>
      <c r="I112" s="260">
        <f t="shared" si="10"/>
        <v>1.0052770448548811</v>
      </c>
      <c r="J112" s="260">
        <f t="shared" si="10"/>
        <v>1.0547493403693931</v>
      </c>
      <c r="K112" s="260">
        <f t="shared" si="10"/>
        <v>1.104221635883905</v>
      </c>
      <c r="L112" s="260">
        <f>(L111/L107)</f>
        <v>1.1374670184696569</v>
      </c>
      <c r="M112" s="260">
        <f t="shared" si="10"/>
        <v>1.1707124010554089</v>
      </c>
      <c r="N112" s="74"/>
    </row>
    <row r="113" spans="2:14" s="28" customFormat="1" ht="7.5" customHeight="1" x14ac:dyDescent="0.25">
      <c r="B113" s="56"/>
      <c r="C113" s="57"/>
      <c r="D113" s="57"/>
      <c r="E113" s="57"/>
      <c r="F113" s="57"/>
      <c r="G113" s="57"/>
      <c r="H113" s="57"/>
      <c r="I113" s="57"/>
      <c r="J113" s="57"/>
      <c r="K113" s="57"/>
      <c r="L113" s="57"/>
      <c r="M113" s="45"/>
      <c r="N113" s="72"/>
    </row>
    <row r="114" spans="2:14" s="28" customFormat="1" ht="15.95" customHeight="1" x14ac:dyDescent="0.25">
      <c r="B114" s="52" t="s">
        <v>10</v>
      </c>
      <c r="C114" s="58"/>
      <c r="D114" s="59"/>
      <c r="E114" s="59"/>
      <c r="F114" s="59"/>
      <c r="G114" s="59"/>
      <c r="H114" s="59"/>
      <c r="I114" s="59"/>
      <c r="J114" s="59"/>
      <c r="K114" s="59"/>
      <c r="L114" s="59"/>
      <c r="M114" s="75"/>
      <c r="N114" s="72"/>
    </row>
    <row r="115" spans="2:14" s="28" customFormat="1" ht="15.95" customHeight="1" x14ac:dyDescent="0.25">
      <c r="B115" s="60" t="s">
        <v>11</v>
      </c>
      <c r="C115" s="396">
        <f>C109</f>
        <v>0</v>
      </c>
      <c r="D115" s="396">
        <f t="shared" ref="D115:M115" si="11">D109</f>
        <v>0</v>
      </c>
      <c r="E115" s="396">
        <f t="shared" si="11"/>
        <v>0</v>
      </c>
      <c r="F115" s="396">
        <f t="shared" si="11"/>
        <v>0</v>
      </c>
      <c r="G115" s="396">
        <f t="shared" si="11"/>
        <v>0</v>
      </c>
      <c r="H115" s="396">
        <f t="shared" si="11"/>
        <v>0</v>
      </c>
      <c r="I115" s="396">
        <f t="shared" si="11"/>
        <v>0</v>
      </c>
      <c r="J115" s="396">
        <f t="shared" si="11"/>
        <v>0</v>
      </c>
      <c r="K115" s="396">
        <f t="shared" si="11"/>
        <v>0</v>
      </c>
      <c r="L115" s="396">
        <f t="shared" si="11"/>
        <v>0</v>
      </c>
      <c r="M115" s="396">
        <f t="shared" si="11"/>
        <v>0</v>
      </c>
      <c r="N115" s="72"/>
    </row>
    <row r="116" spans="2:14" s="28" customFormat="1" ht="15.95" customHeight="1" x14ac:dyDescent="0.25">
      <c r="B116" s="61" t="s">
        <v>12</v>
      </c>
      <c r="C116" s="396">
        <f>C109</f>
        <v>0</v>
      </c>
      <c r="D116" s="396">
        <f t="shared" ref="D116:M116" si="12">D109</f>
        <v>0</v>
      </c>
      <c r="E116" s="396">
        <f t="shared" si="12"/>
        <v>0</v>
      </c>
      <c r="F116" s="396">
        <f t="shared" si="12"/>
        <v>0</v>
      </c>
      <c r="G116" s="396">
        <f t="shared" si="12"/>
        <v>0</v>
      </c>
      <c r="H116" s="396">
        <f t="shared" si="12"/>
        <v>0</v>
      </c>
      <c r="I116" s="396">
        <f t="shared" si="12"/>
        <v>0</v>
      </c>
      <c r="J116" s="396">
        <f t="shared" si="12"/>
        <v>0</v>
      </c>
      <c r="K116" s="396">
        <f t="shared" si="12"/>
        <v>0</v>
      </c>
      <c r="L116" s="396">
        <f t="shared" si="12"/>
        <v>0</v>
      </c>
      <c r="M116" s="396">
        <f t="shared" si="12"/>
        <v>0</v>
      </c>
      <c r="N116" s="72"/>
    </row>
    <row r="117" spans="2:14" s="28" customFormat="1" ht="15.95" customHeight="1" x14ac:dyDescent="0.25">
      <c r="B117" s="61" t="s">
        <v>13</v>
      </c>
      <c r="C117" s="396">
        <f>(C108+C115+C116)</f>
        <v>25.27</v>
      </c>
      <c r="D117" s="396">
        <f>(D108+D115+D116)</f>
        <v>27.965</v>
      </c>
      <c r="E117" s="396">
        <f t="shared" ref="E117:M117" si="13">(E108+E115+E116)</f>
        <v>30.66</v>
      </c>
      <c r="F117" s="396">
        <f t="shared" si="13"/>
        <v>32.4</v>
      </c>
      <c r="G117" s="396">
        <f t="shared" si="13"/>
        <v>34.14</v>
      </c>
      <c r="H117" s="396">
        <f t="shared" si="13"/>
        <v>36.119999999999997</v>
      </c>
      <c r="I117" s="396">
        <f t="shared" si="13"/>
        <v>38.099999999999994</v>
      </c>
      <c r="J117" s="396">
        <f t="shared" si="13"/>
        <v>39.974999999999994</v>
      </c>
      <c r="K117" s="396">
        <f t="shared" si="13"/>
        <v>41.85</v>
      </c>
      <c r="L117" s="396">
        <f>(L108+L115+L116)</f>
        <v>43.11</v>
      </c>
      <c r="M117" s="396">
        <f t="shared" si="13"/>
        <v>44.37</v>
      </c>
      <c r="N117" s="72"/>
    </row>
    <row r="118" spans="2:14" s="28" customFormat="1" ht="15.95" customHeight="1" x14ac:dyDescent="0.25">
      <c r="B118" s="114" t="s">
        <v>93</v>
      </c>
      <c r="C118" s="80">
        <f>(C117-C107)</f>
        <v>-12.629999999999999</v>
      </c>
      <c r="D118" s="80">
        <f t="shared" ref="D118:M118" si="14">(D117-D107)</f>
        <v>-9.9349999999999987</v>
      </c>
      <c r="E118" s="80">
        <f t="shared" si="14"/>
        <v>-7.2399999999999984</v>
      </c>
      <c r="F118" s="80">
        <f t="shared" si="14"/>
        <v>-5.5</v>
      </c>
      <c r="G118" s="80">
        <f t="shared" si="14"/>
        <v>-3.759999999999998</v>
      </c>
      <c r="H118" s="80">
        <f t="shared" si="14"/>
        <v>-1.7800000000000011</v>
      </c>
      <c r="I118" s="80">
        <f t="shared" si="14"/>
        <v>0.19999999999999574</v>
      </c>
      <c r="J118" s="80">
        <f t="shared" si="14"/>
        <v>2.0749999999999957</v>
      </c>
      <c r="K118" s="80">
        <f t="shared" si="14"/>
        <v>3.9500000000000028</v>
      </c>
      <c r="L118" s="80">
        <f t="shared" si="14"/>
        <v>5.2100000000000009</v>
      </c>
      <c r="M118" s="80">
        <f t="shared" si="14"/>
        <v>6.4699999999999989</v>
      </c>
      <c r="N118" s="73"/>
    </row>
    <row r="119" spans="2:14" ht="15.95" customHeight="1" x14ac:dyDescent="0.2">
      <c r="N119" s="70"/>
    </row>
  </sheetData>
  <mergeCells count="2">
    <mergeCell ref="B78:C78"/>
    <mergeCell ref="D78:F78"/>
  </mergeCells>
  <phoneticPr fontId="5" type="noConversion"/>
  <conditionalFormatting sqref="C103:M106">
    <cfRule type="cellIs" dxfId="19" priority="2" operator="equal">
      <formula>0</formula>
    </cfRule>
  </conditionalFormatting>
  <conditionalFormatting sqref="C108:M110">
    <cfRule type="cellIs" dxfId="18" priority="1" operator="equal">
      <formula>0</formula>
    </cfRule>
  </conditionalFormatting>
  <pageMargins left="0.7" right="0.7" top="0.75" bottom="0.75" header="0.3" footer="0.3"/>
  <pageSetup paperSize="3" scale="61"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O30"/>
  <sheetViews>
    <sheetView workbookViewId="0">
      <selection activeCell="E8" sqref="E8"/>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5" ht="12.75" thickBot="1" x14ac:dyDescent="0.25">
      <c r="B1" s="25" t="str">
        <f>'Population&amp;Demand Projections'!C3</f>
        <v>Durham</v>
      </c>
      <c r="C1" s="1" t="s">
        <v>43</v>
      </c>
    </row>
    <row r="2" spans="2:15" ht="12.75" thickBot="1" x14ac:dyDescent="0.25">
      <c r="B2" s="93">
        <f>'Population&amp;Demand Projections'!$C$4</f>
        <v>41711</v>
      </c>
      <c r="C2" s="330" t="s">
        <v>44</v>
      </c>
    </row>
    <row r="3" spans="2:15" x14ac:dyDescent="0.2">
      <c r="B3" s="331" t="s">
        <v>363</v>
      </c>
      <c r="C3" s="332"/>
      <c r="D3" s="333"/>
      <c r="E3" s="333"/>
      <c r="F3" s="333"/>
      <c r="G3" s="333"/>
      <c r="H3" s="333"/>
      <c r="I3" s="333"/>
      <c r="J3" s="333"/>
      <c r="K3" s="333"/>
      <c r="L3" s="333"/>
      <c r="M3" s="334"/>
    </row>
    <row r="4" spans="2:15" ht="12.75" thickBot="1" x14ac:dyDescent="0.25">
      <c r="B4" s="335" t="s">
        <v>83</v>
      </c>
      <c r="C4" s="336"/>
      <c r="D4" s="336"/>
      <c r="E4" s="336"/>
      <c r="F4" s="336"/>
      <c r="G4" s="336"/>
      <c r="H4" s="336"/>
      <c r="I4" s="336" t="s">
        <v>53</v>
      </c>
      <c r="J4" s="336"/>
      <c r="K4" s="336"/>
      <c r="L4" s="336"/>
      <c r="M4" s="337"/>
    </row>
    <row r="5" spans="2:15" ht="13.5" customHeight="1" x14ac:dyDescent="0.2">
      <c r="B5" s="362" t="s">
        <v>524</v>
      </c>
      <c r="C5" s="9" t="s">
        <v>35</v>
      </c>
      <c r="D5" s="9"/>
      <c r="E5" s="9"/>
      <c r="F5" s="9"/>
      <c r="G5" s="9"/>
      <c r="H5" s="9"/>
      <c r="I5" s="9"/>
      <c r="J5" s="9"/>
      <c r="K5" s="9"/>
      <c r="L5" s="9"/>
      <c r="M5" s="10"/>
    </row>
    <row r="6" spans="2:15" ht="12.75" thickBot="1" x14ac:dyDescent="0.25">
      <c r="B6" s="11"/>
      <c r="C6" s="24">
        <v>2010</v>
      </c>
      <c r="D6" s="12">
        <v>2015</v>
      </c>
      <c r="E6" s="12">
        <v>2020</v>
      </c>
      <c r="F6" s="12">
        <v>2025</v>
      </c>
      <c r="G6" s="12">
        <v>2030</v>
      </c>
      <c r="H6" s="12">
        <v>2035</v>
      </c>
      <c r="I6" s="12">
        <v>2040</v>
      </c>
      <c r="J6" s="12">
        <v>2045</v>
      </c>
      <c r="K6" s="12">
        <v>2050</v>
      </c>
      <c r="L6" s="5">
        <v>2055</v>
      </c>
      <c r="M6" s="12">
        <v>2060</v>
      </c>
    </row>
    <row r="7" spans="2:15" x14ac:dyDescent="0.2">
      <c r="B7" s="79" t="s">
        <v>82</v>
      </c>
      <c r="C7" s="393">
        <f>'Population&amp;Demand Projections'!C118</f>
        <v>-12.629999999999999</v>
      </c>
      <c r="D7" s="393">
        <f>'Population&amp;Demand Projections'!D118</f>
        <v>-9.9349999999999987</v>
      </c>
      <c r="E7" s="393">
        <f>'Population&amp;Demand Projections'!E118</f>
        <v>-7.2399999999999984</v>
      </c>
      <c r="F7" s="393">
        <f>'Population&amp;Demand Projections'!F118</f>
        <v>-5.5</v>
      </c>
      <c r="G7" s="393">
        <f>'Population&amp;Demand Projections'!G118</f>
        <v>-3.759999999999998</v>
      </c>
      <c r="H7" s="393">
        <f>'Population&amp;Demand Projections'!H118</f>
        <v>-1.7800000000000011</v>
      </c>
      <c r="I7" s="393">
        <f>'Population&amp;Demand Projections'!I118</f>
        <v>0.19999999999999574</v>
      </c>
      <c r="J7" s="393">
        <f>'Population&amp;Demand Projections'!J118</f>
        <v>2.0749999999999957</v>
      </c>
      <c r="K7" s="393">
        <f>'Population&amp;Demand Projections'!K118</f>
        <v>3.9500000000000028</v>
      </c>
      <c r="L7" s="393">
        <f>'Population&amp;Demand Projections'!L118</f>
        <v>5.2100000000000009</v>
      </c>
      <c r="M7" s="393">
        <f>'Population&amp;Demand Projections'!M118</f>
        <v>6.4699999999999989</v>
      </c>
    </row>
    <row r="8" spans="2:15" x14ac:dyDescent="0.2">
      <c r="B8" s="20" t="str">
        <f>"(2)        Available supply from "&amp;IF(ISNA(VLOOKUP(1,$A$23:$I$28,2,FALSE))," project 1",VLOOKUP(1,$A$23:$I$28,2,FALSE))</f>
        <v>(2)        Available supply from Jordan Lake Allocation</v>
      </c>
      <c r="C8" s="394">
        <f t="shared" ref="C8:M8" si="0">SUMIFS($G$23:$G$28,$A$23:$A$28,1,$I$23:$I$28,"&lt;="&amp;C6,$I$23:$I$28,"&gt;0")</f>
        <v>0</v>
      </c>
      <c r="D8" s="394">
        <f t="shared" si="0"/>
        <v>0</v>
      </c>
      <c r="E8" s="394">
        <f t="shared" si="0"/>
        <v>6.5</v>
      </c>
      <c r="F8" s="394">
        <f t="shared" si="0"/>
        <v>6.5</v>
      </c>
      <c r="G8" s="394">
        <f t="shared" si="0"/>
        <v>6.5</v>
      </c>
      <c r="H8" s="394">
        <f t="shared" si="0"/>
        <v>6.5</v>
      </c>
      <c r="I8" s="394">
        <f t="shared" si="0"/>
        <v>6.5</v>
      </c>
      <c r="J8" s="394">
        <f t="shared" si="0"/>
        <v>6.5</v>
      </c>
      <c r="K8" s="394">
        <f t="shared" si="0"/>
        <v>6.5</v>
      </c>
      <c r="L8" s="394">
        <f t="shared" si="0"/>
        <v>6.5</v>
      </c>
      <c r="M8" s="394">
        <f t="shared" si="0"/>
        <v>6.5</v>
      </c>
    </row>
    <row r="9" spans="2:15" x14ac:dyDescent="0.2">
      <c r="B9" s="20" t="str">
        <f>"           Available supply from "&amp;IF(ISNA(VLOOKUP(2,$A$23:$I$28,2,FALSE)),"project 2",VLOOKUP(2,$A$23:$I$28,2,FALSE))</f>
        <v xml:space="preserve">           Available supply from project 2</v>
      </c>
      <c r="C9" s="394">
        <f t="shared" ref="C9:M9" si="1">SUMIFS($G$23:$G$28,$A$23:$A$28,2,$I$23:$I$28,"&lt;="&amp;C$6,$I$23:$I$28,"&gt;0")</f>
        <v>0</v>
      </c>
      <c r="D9" s="394">
        <f t="shared" si="1"/>
        <v>0</v>
      </c>
      <c r="E9" s="394">
        <f t="shared" si="1"/>
        <v>0</v>
      </c>
      <c r="F9" s="394">
        <f t="shared" si="1"/>
        <v>0</v>
      </c>
      <c r="G9" s="394">
        <f t="shared" si="1"/>
        <v>0</v>
      </c>
      <c r="H9" s="394">
        <f t="shared" si="1"/>
        <v>0</v>
      </c>
      <c r="I9" s="394">
        <f t="shared" si="1"/>
        <v>0</v>
      </c>
      <c r="J9" s="394">
        <f t="shared" si="1"/>
        <v>0</v>
      </c>
      <c r="K9" s="394">
        <f t="shared" si="1"/>
        <v>0</v>
      </c>
      <c r="L9" s="394">
        <f t="shared" si="1"/>
        <v>0</v>
      </c>
      <c r="M9" s="394">
        <f t="shared" si="1"/>
        <v>0</v>
      </c>
    </row>
    <row r="10" spans="2:15" x14ac:dyDescent="0.2">
      <c r="B10" s="20" t="str">
        <f>"           Available supply from "&amp;IF(ISNA(VLOOKUP(3,$A$23:$I$28,2,FALSE)),"project 3",VLOOKUP(3,$A$23:$I$28,2,FALSE))</f>
        <v xml:space="preserve">           Available supply from project 3</v>
      </c>
      <c r="C10" s="394">
        <f t="shared" ref="C10:M10" si="2">SUMIFS($G$23:$G$28,$A$23:$A$28,3,$I$23:$I$28,"&lt;="&amp;C$6,$I$23:$I$28,"&gt;0")</f>
        <v>0</v>
      </c>
      <c r="D10" s="394">
        <f t="shared" si="2"/>
        <v>0</v>
      </c>
      <c r="E10" s="394">
        <f t="shared" si="2"/>
        <v>0</v>
      </c>
      <c r="F10" s="394">
        <f t="shared" si="2"/>
        <v>0</v>
      </c>
      <c r="G10" s="394">
        <f t="shared" si="2"/>
        <v>0</v>
      </c>
      <c r="H10" s="394">
        <f t="shared" si="2"/>
        <v>0</v>
      </c>
      <c r="I10" s="394">
        <f t="shared" si="2"/>
        <v>0</v>
      </c>
      <c r="J10" s="394">
        <f t="shared" si="2"/>
        <v>0</v>
      </c>
      <c r="K10" s="394">
        <f t="shared" si="2"/>
        <v>0</v>
      </c>
      <c r="L10" s="394">
        <f t="shared" si="2"/>
        <v>0</v>
      </c>
      <c r="M10" s="394">
        <f t="shared" si="2"/>
        <v>0</v>
      </c>
      <c r="O10" s="1" t="s">
        <v>458</v>
      </c>
    </row>
    <row r="11" spans="2:15" s="2" customFormat="1" x14ac:dyDescent="0.2">
      <c r="B11" s="4" t="s">
        <v>88</v>
      </c>
      <c r="C11" s="395">
        <f>SUM(C8:C10)-C7</f>
        <v>12.629999999999999</v>
      </c>
      <c r="D11" s="395">
        <f t="shared" ref="D11:M11" si="3">SUM(D8:D10)-D7</f>
        <v>9.9349999999999987</v>
      </c>
      <c r="E11" s="395">
        <f t="shared" si="3"/>
        <v>13.739999999999998</v>
      </c>
      <c r="F11" s="395">
        <f t="shared" si="3"/>
        <v>12</v>
      </c>
      <c r="G11" s="395">
        <f t="shared" si="3"/>
        <v>10.259999999999998</v>
      </c>
      <c r="H11" s="395">
        <f t="shared" si="3"/>
        <v>8.2800000000000011</v>
      </c>
      <c r="I11" s="395">
        <f t="shared" si="3"/>
        <v>6.3000000000000043</v>
      </c>
      <c r="J11" s="395">
        <f t="shared" si="3"/>
        <v>4.4250000000000043</v>
      </c>
      <c r="K11" s="395">
        <f t="shared" si="3"/>
        <v>2.5499999999999972</v>
      </c>
      <c r="L11" s="395">
        <f t="shared" si="3"/>
        <v>1.2899999999999991</v>
      </c>
      <c r="M11" s="395">
        <f t="shared" si="3"/>
        <v>3.0000000000001137E-2</v>
      </c>
    </row>
    <row r="12" spans="2:15" x14ac:dyDescent="0.2">
      <c r="B12" s="3"/>
      <c r="C12" s="22"/>
      <c r="D12" s="22"/>
      <c r="E12" s="22"/>
      <c r="F12" s="22"/>
      <c r="G12" s="22"/>
      <c r="H12" s="22"/>
      <c r="I12" s="22"/>
      <c r="J12" s="22"/>
      <c r="K12" s="22"/>
      <c r="L12" s="22"/>
      <c r="M12" s="23"/>
    </row>
    <row r="13" spans="2:15" x14ac:dyDescent="0.2">
      <c r="B13" s="20" t="s">
        <v>87</v>
      </c>
      <c r="C13" s="7"/>
      <c r="D13" s="7"/>
      <c r="E13" s="7"/>
      <c r="F13" s="7"/>
      <c r="G13" s="7"/>
      <c r="H13" s="7"/>
      <c r="I13" s="7"/>
      <c r="J13" s="7"/>
      <c r="K13" s="7"/>
      <c r="L13" s="7"/>
      <c r="M13" s="7"/>
      <c r="O13" s="1" t="s">
        <v>420</v>
      </c>
    </row>
    <row r="14" spans="2:15" x14ac:dyDescent="0.2">
      <c r="B14" s="20" t="s">
        <v>86</v>
      </c>
      <c r="C14" s="7"/>
      <c r="D14" s="7"/>
      <c r="E14" s="7"/>
      <c r="F14" s="7"/>
      <c r="G14" s="7"/>
      <c r="H14" s="7"/>
      <c r="I14" s="7"/>
      <c r="J14" s="7"/>
      <c r="K14" s="7"/>
      <c r="L14" s="7"/>
      <c r="M14" s="7"/>
    </row>
    <row r="15" spans="2:15" x14ac:dyDescent="0.2">
      <c r="B15" s="20" t="s">
        <v>85</v>
      </c>
      <c r="C15" s="7"/>
      <c r="D15" s="7"/>
      <c r="E15" s="7"/>
      <c r="F15" s="7"/>
      <c r="G15" s="7"/>
      <c r="H15" s="7"/>
      <c r="I15" s="7"/>
      <c r="J15" s="7"/>
      <c r="K15" s="7"/>
      <c r="L15" s="7"/>
      <c r="M15" s="7"/>
    </row>
    <row r="16" spans="2:15"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328" t="s">
        <v>40</v>
      </c>
      <c r="H21" s="18" t="s">
        <v>21</v>
      </c>
      <c r="I21" s="328" t="s">
        <v>42</v>
      </c>
    </row>
    <row r="22" spans="1:13" x14ac:dyDescent="0.2">
      <c r="A22" s="327" t="s">
        <v>247</v>
      </c>
      <c r="B22" s="19"/>
      <c r="C22" s="6"/>
      <c r="D22" s="18"/>
      <c r="E22" s="6" t="s">
        <v>45</v>
      </c>
      <c r="F22" s="18" t="s">
        <v>19</v>
      </c>
      <c r="G22" s="329" t="s">
        <v>52</v>
      </c>
      <c r="H22" s="18" t="s">
        <v>41</v>
      </c>
      <c r="I22" s="329" t="s">
        <v>24</v>
      </c>
      <c r="J22" s="1" t="s">
        <v>361</v>
      </c>
    </row>
    <row r="23" spans="1:13" x14ac:dyDescent="0.2">
      <c r="A23" s="326">
        <v>1</v>
      </c>
      <c r="B23" s="7" t="str">
        <f>DataIn!B73</f>
        <v>Jordan Lake Allocation</v>
      </c>
      <c r="C23" s="7" t="str">
        <f>DataIn!$C$2</f>
        <v>03-32-010</v>
      </c>
      <c r="D23" s="7" t="str">
        <f>DataIn!D73</f>
        <v>SW</v>
      </c>
      <c r="E23" s="7" t="str">
        <f>DataIn!E73</f>
        <v>Haw (2-1)</v>
      </c>
      <c r="F23" s="7" t="str">
        <f>DataIn!F73</f>
        <v xml:space="preserve">WS-IV, B, NSW, CA </v>
      </c>
      <c r="G23" s="7">
        <f>DataIn!I73</f>
        <v>6.5</v>
      </c>
      <c r="H23" s="7">
        <f>DataIn!G73</f>
        <v>5</v>
      </c>
      <c r="I23" s="7">
        <f>DataIn!H73</f>
        <v>2020</v>
      </c>
    </row>
    <row r="24" spans="1:13" x14ac:dyDescent="0.2">
      <c r="A24" s="326"/>
      <c r="B24" s="7" t="str">
        <f>DataIn!B74</f>
        <v>Teer Quarry</v>
      </c>
      <c r="C24" s="7" t="str">
        <f>DataIn!$C$2</f>
        <v>03-32-010</v>
      </c>
      <c r="D24" s="7" t="str">
        <f>DataIn!D74</f>
        <v>SW</v>
      </c>
      <c r="E24" s="7" t="str">
        <f>DataIn!E74</f>
        <v>Neuse (10-1)</v>
      </c>
      <c r="F24" s="7" t="str">
        <f>DataIn!F74</f>
        <v>WS-IV, NSW, CA</v>
      </c>
      <c r="G24" s="7">
        <f>DataIn!I74</f>
        <v>5.2</v>
      </c>
      <c r="H24" s="7">
        <f>DataIn!G74</f>
        <v>5</v>
      </c>
      <c r="I24" s="7">
        <f>DataIn!H74</f>
        <v>2020</v>
      </c>
    </row>
    <row r="25" spans="1:13" x14ac:dyDescent="0.2">
      <c r="A25" s="326"/>
      <c r="B25" s="7" t="str">
        <f>DataIn!B75</f>
        <v>Raise Lake Michie to 365 MSL</v>
      </c>
      <c r="C25" s="7" t="str">
        <f>DataIn!$C$2</f>
        <v>03-32-010</v>
      </c>
      <c r="D25" s="7" t="str">
        <f>DataIn!D75</f>
        <v>SW</v>
      </c>
      <c r="E25" s="7" t="str">
        <f>DataIn!E75</f>
        <v>Neuse (10-1)</v>
      </c>
      <c r="F25" s="7" t="str">
        <f>DataIn!F75</f>
        <v xml:space="preserve">WS-III, NSW, CA </v>
      </c>
      <c r="G25" s="7">
        <f>DataIn!I75</f>
        <v>12</v>
      </c>
      <c r="H25" s="7">
        <f>DataIn!G75</f>
        <v>15</v>
      </c>
      <c r="I25" s="7">
        <f>DataIn!H75</f>
        <v>2030</v>
      </c>
    </row>
    <row r="26" spans="1:13" x14ac:dyDescent="0.2">
      <c r="A26" s="326"/>
      <c r="B26" s="7" t="str">
        <f>DataIn!B76</f>
        <v>Raise Lake Michie to 380 MSL</v>
      </c>
      <c r="C26" s="7" t="str">
        <f>DataIn!$C$2</f>
        <v>03-32-010</v>
      </c>
      <c r="D26" s="7" t="str">
        <f>DataIn!D76</f>
        <v>SW</v>
      </c>
      <c r="E26" s="7" t="str">
        <f>DataIn!E76</f>
        <v>Neuse (10-1)</v>
      </c>
      <c r="F26" s="7" t="str">
        <f>DataIn!F76</f>
        <v xml:space="preserve">WS-III, NSW, CA </v>
      </c>
      <c r="G26" s="7">
        <f>DataIn!I76</f>
        <v>26</v>
      </c>
      <c r="H26" s="7">
        <f>DataIn!G76</f>
        <v>15</v>
      </c>
      <c r="I26" s="7">
        <f>DataIn!H76</f>
        <v>2030</v>
      </c>
    </row>
    <row r="27" spans="1:13" x14ac:dyDescent="0.2">
      <c r="A27" s="326"/>
      <c r="B27" s="7" t="str">
        <f>DataIn!B77</f>
        <v>Reclaimed Water (RCW) Initial Implementation</v>
      </c>
      <c r="C27" s="7" t="str">
        <f>DataIn!$C$2</f>
        <v>03-32-010</v>
      </c>
      <c r="D27" s="7" t="str">
        <f>DataIn!D77</f>
        <v>N/A</v>
      </c>
      <c r="E27" s="7" t="str">
        <f>DataIn!E77</f>
        <v>Neuse (10-1)</v>
      </c>
      <c r="F27" s="7" t="str">
        <f>DataIn!F77</f>
        <v>N/A</v>
      </c>
      <c r="G27" s="7">
        <f>DataIn!I77</f>
        <v>2.2000000000000002</v>
      </c>
      <c r="H27" s="7">
        <f>DataIn!G77</f>
        <v>5</v>
      </c>
      <c r="I27" s="7">
        <f>DataIn!H77</f>
        <v>2020</v>
      </c>
    </row>
    <row r="28" spans="1:13" x14ac:dyDescent="0.2">
      <c r="A28" s="326"/>
      <c r="B28" s="7" t="str">
        <f>DataIn!B78</f>
        <v xml:space="preserve">Reclaimed Water (RCW) Initial + Assertive Implementation </v>
      </c>
      <c r="C28" s="7" t="str">
        <f>DataIn!$C$2</f>
        <v>03-32-010</v>
      </c>
      <c r="D28" s="7" t="str">
        <f>DataIn!D78</f>
        <v>N/A</v>
      </c>
      <c r="E28" s="7" t="str">
        <f>DataIn!E78</f>
        <v>Neuse (10-1)</v>
      </c>
      <c r="F28" s="7" t="str">
        <f>DataIn!F78</f>
        <v>N/A</v>
      </c>
      <c r="G28" s="7">
        <f>DataIn!I78</f>
        <v>11.3</v>
      </c>
      <c r="H28" s="7">
        <f>DataIn!G78</f>
        <v>15</v>
      </c>
      <c r="I28" s="7">
        <f>DataIn!H78</f>
        <v>2030</v>
      </c>
    </row>
    <row r="30" spans="1:13" x14ac:dyDescent="0.2">
      <c r="C30" s="1" t="s">
        <v>362</v>
      </c>
    </row>
  </sheetData>
  <phoneticPr fontId="5" type="noConversion"/>
  <conditionalFormatting sqref="B23:I28">
    <cfRule type="expression" dxfId="17" priority="3">
      <formula>VALUE($A23)=0</formula>
    </cfRule>
  </conditionalFormatting>
  <conditionalFormatting sqref="C11:M11">
    <cfRule type="cellIs" dxfId="16" priority="1" operator="lessThan">
      <formula>0</formula>
    </cfRule>
    <cfRule type="cellIs" dxfId="15"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JLPData</vt:lpstr>
      <vt:lpstr>DataIn</vt:lpstr>
      <vt:lpstr>ReportTables</vt:lpstr>
      <vt:lpstr>ReportFigures</vt:lpstr>
      <vt:lpstr>DemandTables</vt:lpstr>
      <vt:lpstr>ContactInfo_Use Sector Desc</vt:lpstr>
      <vt:lpstr>Population&amp;Demand Projections</vt:lpstr>
      <vt:lpstr>Supply Alternative 1</vt:lpstr>
      <vt:lpstr>Supply Alternative 2</vt:lpstr>
      <vt:lpstr>Supply Alternative 3</vt:lpstr>
      <vt:lpstr>Supply Alternative 4</vt:lpstr>
      <vt:lpstr>Supply Alternative 5</vt:lpstr>
      <vt:lpstr>Supply Alternative 6</vt:lpstr>
      <vt:lpstr>Supply Alternatives Summary</vt:lpstr>
      <vt:lpstr>Example Data</vt:lpstr>
    </vt:vector>
  </TitlesOfParts>
  <Company>NC Division of Water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J. Rayno</dc:creator>
  <cp:lastModifiedBy>VickiW</cp:lastModifiedBy>
  <cp:lastPrinted>2014-03-13T14:27:02Z</cp:lastPrinted>
  <dcterms:created xsi:type="dcterms:W3CDTF">2000-10-23T21:54:55Z</dcterms:created>
  <dcterms:modified xsi:type="dcterms:W3CDTF">2014-11-14T00:46:43Z</dcterms:modified>
</cp:coreProperties>
</file>