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4.xml" ContentType="application/vnd.openxmlformats-officedocument.drawing+xml"/>
  <Override PartName="/xl/comments3.xml" ContentType="application/vnd.openxmlformats-officedocument.spreadsheetml.comments+xml"/>
  <Override PartName="/xl/charts/chart7.xml" ContentType="application/vnd.openxmlformats-officedocument.drawingml.chart+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 yWindow="165" windowWidth="18870" windowHeight="10680" tabRatio="707" activeTab="6"/>
  </bookViews>
  <sheets>
    <sheet name="Instructions" sheetId="14" r:id="rId1"/>
    <sheet name="JLPData" sheetId="13" r:id="rId2"/>
    <sheet name="Example Data" sheetId="15" r:id="rId3"/>
    <sheet name="DataIn" sheetId="9" r:id="rId4"/>
    <sheet name="ReportTables" sheetId="10" r:id="rId5"/>
    <sheet name="ReportFigures" sheetId="12" r:id="rId6"/>
    <sheet name="DemandTables" sheetId="11" r:id="rId7"/>
    <sheet name="ContactInfo_Use Sector Desc" sheetId="8" r:id="rId8"/>
    <sheet name="Population&amp;Demand Projections" sheetId="1" r:id="rId9"/>
    <sheet name="Supply Alternative 1" sheetId="2" r:id="rId10"/>
    <sheet name="Supply Alternative 2" sheetId="3" r:id="rId11"/>
    <sheet name="Supply Alternatives Summary" sheetId="7" r:id="rId12"/>
    <sheet name="Sheet1" sheetId="16" r:id="rId13"/>
  </sheets>
  <calcPr calcId="145621"/>
</workbook>
</file>

<file path=xl/calcChain.xml><?xml version="1.0" encoding="utf-8"?>
<calcChain xmlns="http://schemas.openxmlformats.org/spreadsheetml/2006/main">
  <c r="E13" i="11" l="1"/>
  <c r="F13" i="11"/>
  <c r="G13" i="11"/>
  <c r="H13" i="11"/>
  <c r="I13" i="11"/>
  <c r="J13" i="11"/>
  <c r="K13" i="11"/>
  <c r="L13" i="11"/>
  <c r="M13" i="11"/>
  <c r="N13" i="11"/>
  <c r="D13" i="11"/>
  <c r="E11" i="11"/>
  <c r="F11" i="11"/>
  <c r="G11" i="11"/>
  <c r="H11" i="11"/>
  <c r="I11" i="11"/>
  <c r="J11" i="11"/>
  <c r="K11" i="11"/>
  <c r="L11" i="11"/>
  <c r="M11" i="11"/>
  <c r="N11" i="11"/>
  <c r="D11" i="11"/>
  <c r="D10" i="11"/>
  <c r="E10" i="11"/>
  <c r="F10" i="11"/>
  <c r="G10" i="11"/>
  <c r="H10" i="11"/>
  <c r="I10" i="11"/>
  <c r="J10" i="11"/>
  <c r="K10" i="11"/>
  <c r="L10" i="11"/>
  <c r="M10" i="11"/>
  <c r="N10" i="11"/>
  <c r="B10" i="11"/>
  <c r="C25" i="7" l="1"/>
  <c r="B25" i="7"/>
  <c r="J102" i="12" l="1"/>
  <c r="J101" i="12"/>
  <c r="T100" i="12"/>
  <c r="S100" i="12"/>
  <c r="R100" i="12"/>
  <c r="Q100" i="12"/>
  <c r="P100" i="12"/>
  <c r="O100" i="12"/>
  <c r="N100" i="12"/>
  <c r="M100" i="12"/>
  <c r="L100" i="12"/>
  <c r="K100" i="12"/>
  <c r="J100" i="12"/>
  <c r="C90" i="10" l="1"/>
  <c r="D90" i="10"/>
  <c r="C91" i="10"/>
  <c r="D91" i="10"/>
  <c r="B24" i="2"/>
  <c r="C24" i="2"/>
  <c r="D24" i="2"/>
  <c r="E24" i="2"/>
  <c r="F24" i="2"/>
  <c r="G24" i="2"/>
  <c r="H24" i="2"/>
  <c r="I24" i="2"/>
  <c r="C9" i="2"/>
  <c r="C92" i="10" l="1"/>
  <c r="D92" i="10"/>
  <c r="M16" i="2"/>
  <c r="M15" i="2"/>
  <c r="K16" i="2"/>
  <c r="K15" i="2" s="1"/>
  <c r="I16" i="2"/>
  <c r="I15" i="2"/>
  <c r="G16" i="2"/>
  <c r="F16" i="2" s="1"/>
  <c r="L16" i="2"/>
  <c r="J16" i="2"/>
  <c r="E15" i="2"/>
  <c r="E16" i="2"/>
  <c r="H16" i="2"/>
  <c r="D16" i="2"/>
  <c r="M14" i="2"/>
  <c r="M13" i="2"/>
  <c r="K14" i="2"/>
  <c r="L14" i="2" s="1"/>
  <c r="I14" i="2"/>
  <c r="J14" i="2" s="1"/>
  <c r="I13" i="2"/>
  <c r="G14" i="2"/>
  <c r="H14" i="2" s="1"/>
  <c r="E14" i="2"/>
  <c r="F14" i="2" s="1"/>
  <c r="D9" i="2"/>
  <c r="F9" i="2"/>
  <c r="G9" i="2"/>
  <c r="H9" i="2"/>
  <c r="I9" i="2"/>
  <c r="J9" i="2"/>
  <c r="K9" i="2"/>
  <c r="L9" i="2"/>
  <c r="M9" i="2"/>
  <c r="E9" i="2"/>
  <c r="B30" i="2"/>
  <c r="B9" i="2" s="1"/>
  <c r="C30" i="2"/>
  <c r="D30" i="2"/>
  <c r="E30" i="2"/>
  <c r="F30" i="2"/>
  <c r="H30" i="2"/>
  <c r="F32" i="7"/>
  <c r="F33" i="7"/>
  <c r="F31" i="7"/>
  <c r="J13" i="2" l="1"/>
  <c r="D14" i="2"/>
  <c r="G13" i="2"/>
  <c r="H13" i="2" s="1"/>
  <c r="K13" i="2"/>
  <c r="L13" i="2" s="1"/>
  <c r="G15" i="2"/>
  <c r="E13" i="2"/>
  <c r="L15" i="2"/>
  <c r="J15" i="2"/>
  <c r="H15" i="2"/>
  <c r="F15" i="2"/>
  <c r="D15" i="2"/>
  <c r="D13" i="2" l="1"/>
  <c r="F13" i="2"/>
  <c r="G10" i="9"/>
  <c r="J17" i="9" s="1"/>
  <c r="N15" i="9"/>
  <c r="J15" i="9"/>
  <c r="F15" i="9"/>
  <c r="L14" i="9"/>
  <c r="J14" i="9"/>
  <c r="I8" i="9"/>
  <c r="I7" i="9"/>
  <c r="H8" i="9"/>
  <c r="L15" i="9" s="1"/>
  <c r="H7" i="9"/>
  <c r="G8" i="9"/>
  <c r="G7" i="9"/>
  <c r="F8" i="9"/>
  <c r="F9" i="9" s="1"/>
  <c r="H16" i="9" s="1"/>
  <c r="F7" i="9"/>
  <c r="F10" i="9" s="1"/>
  <c r="H17" i="9" s="1"/>
  <c r="G9" i="9"/>
  <c r="J16" i="9" s="1"/>
  <c r="H9" i="9"/>
  <c r="L16" i="9" s="1"/>
  <c r="E8" i="9"/>
  <c r="E7" i="9"/>
  <c r="D8" i="9"/>
  <c r="D15" i="9" s="1"/>
  <c r="D7" i="9"/>
  <c r="D9" i="9" s="1"/>
  <c r="D16" i="9" s="1"/>
  <c r="J38" i="1" l="1"/>
  <c r="E10" i="9"/>
  <c r="F17" i="9" s="1"/>
  <c r="H38" i="1"/>
  <c r="I17" i="9"/>
  <c r="I38" i="1" s="1"/>
  <c r="J18" i="9"/>
  <c r="D10" i="9"/>
  <c r="D17" i="9" s="1"/>
  <c r="H10" i="9"/>
  <c r="L17" i="9" s="1"/>
  <c r="E9" i="9"/>
  <c r="F16" i="9" s="1"/>
  <c r="I9" i="9"/>
  <c r="N16" i="9" s="1"/>
  <c r="F14" i="9"/>
  <c r="F18" i="9" s="1"/>
  <c r="N14" i="9"/>
  <c r="H15" i="9"/>
  <c r="D14" i="9"/>
  <c r="D18" i="9" s="1"/>
  <c r="H14" i="9"/>
  <c r="H18" i="9" s="1"/>
  <c r="K13" i="10"/>
  <c r="L13" i="10"/>
  <c r="M13" i="10"/>
  <c r="N13" i="10"/>
  <c r="O13" i="10"/>
  <c r="P13" i="10"/>
  <c r="Q13" i="10"/>
  <c r="R13" i="10"/>
  <c r="S13" i="10"/>
  <c r="T13" i="10"/>
  <c r="U13" i="10"/>
  <c r="K14" i="10"/>
  <c r="L14" i="10"/>
  <c r="M14" i="10"/>
  <c r="N14" i="10"/>
  <c r="O14" i="10"/>
  <c r="P14" i="10"/>
  <c r="Q14" i="10"/>
  <c r="R14" i="10"/>
  <c r="S14" i="10"/>
  <c r="T14" i="10"/>
  <c r="U14" i="10"/>
  <c r="K42" i="10"/>
  <c r="K41" i="10"/>
  <c r="D10" i="3"/>
  <c r="E10" i="3"/>
  <c r="F10" i="3"/>
  <c r="G10" i="3"/>
  <c r="H10" i="3"/>
  <c r="I10" i="3"/>
  <c r="J10" i="3"/>
  <c r="K10" i="3"/>
  <c r="L10" i="3"/>
  <c r="M10" i="3"/>
  <c r="C10" i="3"/>
  <c r="J127" i="10"/>
  <c r="I127" i="10"/>
  <c r="I10" i="9" l="1"/>
  <c r="N17" i="9" s="1"/>
  <c r="L38" i="1"/>
  <c r="M17" i="9"/>
  <c r="M38" i="1" s="1"/>
  <c r="K17" i="9"/>
  <c r="D38" i="1"/>
  <c r="E17" i="9"/>
  <c r="E38" i="1" s="1"/>
  <c r="F38" i="1"/>
  <c r="G17" i="9"/>
  <c r="L18" i="9"/>
  <c r="C3" i="8"/>
  <c r="C4" i="8"/>
  <c r="H22" i="15"/>
  <c r="G22" i="15"/>
  <c r="F22" i="15"/>
  <c r="E22" i="15"/>
  <c r="D22" i="15"/>
  <c r="C22" i="15"/>
  <c r="E17" i="15"/>
  <c r="D17" i="15"/>
  <c r="D16" i="15" s="1"/>
  <c r="C15" i="15"/>
  <c r="D15" i="15"/>
  <c r="E15" i="15"/>
  <c r="E16" i="15" s="1"/>
  <c r="F15" i="15"/>
  <c r="F17" i="15" s="1"/>
  <c r="G15" i="15"/>
  <c r="G17" i="15" s="1"/>
  <c r="H15" i="15"/>
  <c r="H17" i="15" s="1"/>
  <c r="H16" i="15" s="1"/>
  <c r="B3" i="7"/>
  <c r="C101" i="10"/>
  <c r="D101" i="10"/>
  <c r="D25" i="2"/>
  <c r="D26" i="2"/>
  <c r="D27" i="2"/>
  <c r="D28" i="2"/>
  <c r="D29" i="2"/>
  <c r="D23" i="2"/>
  <c r="N18" i="9" l="1"/>
  <c r="N38" i="1"/>
  <c r="G38" i="1"/>
  <c r="K38" i="1"/>
  <c r="C17" i="15"/>
  <c r="C16" i="15" s="1"/>
  <c r="G16" i="15"/>
  <c r="F16" i="15"/>
  <c r="C107" i="1"/>
  <c r="G19" i="13"/>
  <c r="F19" i="13"/>
  <c r="E19" i="13"/>
  <c r="D19" i="13"/>
  <c r="C19" i="13"/>
  <c r="B19" i="13"/>
  <c r="B10" i="3" l="1"/>
  <c r="C17" i="3"/>
  <c r="D17" i="3"/>
  <c r="B43" i="1"/>
  <c r="I23" i="2" l="1"/>
  <c r="J124" i="10" s="1"/>
  <c r="I113" i="1"/>
  <c r="G114" i="1"/>
  <c r="K114" i="1"/>
  <c r="M114" i="1"/>
  <c r="C114" i="1"/>
  <c r="C113" i="1"/>
  <c r="D108" i="1"/>
  <c r="E108" i="1"/>
  <c r="F108" i="1"/>
  <c r="G108" i="1"/>
  <c r="H108" i="1"/>
  <c r="I108" i="1"/>
  <c r="J108" i="1"/>
  <c r="K108" i="1"/>
  <c r="L108" i="1"/>
  <c r="M108" i="1"/>
  <c r="C108" i="1"/>
  <c r="D107" i="1"/>
  <c r="D113" i="1" s="1"/>
  <c r="E107" i="1"/>
  <c r="E114" i="1" s="1"/>
  <c r="F107" i="1"/>
  <c r="F113" i="1" s="1"/>
  <c r="G107" i="1"/>
  <c r="G113" i="1" s="1"/>
  <c r="H107" i="1"/>
  <c r="H113" i="1" s="1"/>
  <c r="I107" i="1"/>
  <c r="I114" i="1" s="1"/>
  <c r="J107" i="1"/>
  <c r="J113" i="1" s="1"/>
  <c r="K107" i="1"/>
  <c r="K113" i="1" s="1"/>
  <c r="L107" i="1"/>
  <c r="L113" i="1" s="1"/>
  <c r="M107" i="1"/>
  <c r="M113" i="1" s="1"/>
  <c r="I29" i="3"/>
  <c r="H29" i="3"/>
  <c r="G29" i="3"/>
  <c r="F29" i="3"/>
  <c r="E29" i="3"/>
  <c r="D29" i="3"/>
  <c r="C29" i="3"/>
  <c r="B29" i="3"/>
  <c r="I28" i="3"/>
  <c r="H28" i="3"/>
  <c r="G28" i="3"/>
  <c r="F28" i="3"/>
  <c r="E28" i="3"/>
  <c r="D28" i="3"/>
  <c r="C28" i="3"/>
  <c r="B28" i="3"/>
  <c r="I27" i="3"/>
  <c r="H27" i="3"/>
  <c r="G27" i="3"/>
  <c r="F27" i="3"/>
  <c r="E27" i="3"/>
  <c r="D27" i="3"/>
  <c r="C27" i="3"/>
  <c r="B27" i="3"/>
  <c r="I26" i="3"/>
  <c r="H26" i="3"/>
  <c r="G26" i="3"/>
  <c r="F26" i="3"/>
  <c r="E26" i="3"/>
  <c r="D26" i="3"/>
  <c r="C26" i="3"/>
  <c r="B26" i="3"/>
  <c r="B9" i="3" s="1"/>
  <c r="I25" i="3"/>
  <c r="H25" i="3"/>
  <c r="G25" i="3"/>
  <c r="F25" i="3"/>
  <c r="E25" i="3"/>
  <c r="D25" i="3"/>
  <c r="C25" i="3"/>
  <c r="B25" i="3"/>
  <c r="B8" i="3" s="1"/>
  <c r="I24" i="3"/>
  <c r="H24" i="3"/>
  <c r="G24" i="3"/>
  <c r="F24" i="3"/>
  <c r="E24" i="3"/>
  <c r="D24" i="3"/>
  <c r="C24" i="3"/>
  <c r="B24" i="3"/>
  <c r="I23" i="3"/>
  <c r="H23" i="3"/>
  <c r="F23" i="3"/>
  <c r="E23" i="3"/>
  <c r="D23" i="3"/>
  <c r="C23" i="3"/>
  <c r="B23" i="3"/>
  <c r="C25" i="2"/>
  <c r="C26" i="2"/>
  <c r="C27" i="2"/>
  <c r="C28" i="2"/>
  <c r="C29" i="2"/>
  <c r="C23" i="2"/>
  <c r="F114" i="1" l="1"/>
  <c r="E113" i="1"/>
  <c r="J114" i="1"/>
  <c r="E8" i="3"/>
  <c r="I8" i="3"/>
  <c r="M8" i="3"/>
  <c r="C8" i="3"/>
  <c r="F8" i="3"/>
  <c r="J8" i="3"/>
  <c r="G8" i="3"/>
  <c r="K8" i="3"/>
  <c r="D8" i="3"/>
  <c r="H8" i="3"/>
  <c r="L8" i="3"/>
  <c r="G9" i="3"/>
  <c r="K9" i="3"/>
  <c r="D9" i="3"/>
  <c r="H9" i="3"/>
  <c r="L9" i="3"/>
  <c r="E9" i="3"/>
  <c r="I9" i="3"/>
  <c r="M9" i="3"/>
  <c r="F9" i="3"/>
  <c r="J9" i="3"/>
  <c r="C9" i="3"/>
  <c r="L114" i="1"/>
  <c r="H114" i="1"/>
  <c r="D114" i="1"/>
  <c r="C8" i="2"/>
  <c r="K124" i="10" s="1"/>
  <c r="B25" i="2" l="1"/>
  <c r="E25" i="2"/>
  <c r="F25" i="2"/>
  <c r="G25" i="2"/>
  <c r="H25" i="2"/>
  <c r="I25" i="2"/>
  <c r="J125" i="10" s="1"/>
  <c r="B26" i="2"/>
  <c r="I126" i="10" s="1"/>
  <c r="E26" i="2"/>
  <c r="F26" i="2"/>
  <c r="G26" i="2"/>
  <c r="H26" i="2"/>
  <c r="I26" i="2"/>
  <c r="J126" i="10" s="1"/>
  <c r="B27" i="2"/>
  <c r="E27" i="2"/>
  <c r="F27" i="2"/>
  <c r="G27" i="2"/>
  <c r="H27" i="2"/>
  <c r="I27" i="2"/>
  <c r="B28" i="2"/>
  <c r="E28" i="2"/>
  <c r="F28" i="2"/>
  <c r="G28" i="2"/>
  <c r="H28" i="2"/>
  <c r="I28" i="2"/>
  <c r="B29" i="2"/>
  <c r="E29" i="2"/>
  <c r="F29" i="2"/>
  <c r="G29" i="2"/>
  <c r="H29" i="2"/>
  <c r="I29" i="2"/>
  <c r="H23" i="2"/>
  <c r="F23" i="2"/>
  <c r="E23" i="2"/>
  <c r="B23" i="2"/>
  <c r="I125" i="10" l="1"/>
  <c r="B8" i="2"/>
  <c r="I124" i="10"/>
  <c r="G8" i="2"/>
  <c r="I8" i="2"/>
  <c r="Q124" i="10" s="1"/>
  <c r="H8" i="2"/>
  <c r="P124" i="10" s="1"/>
  <c r="F8" i="2"/>
  <c r="N124" i="10" s="1"/>
  <c r="L8" i="2"/>
  <c r="T124" i="10" s="1"/>
  <c r="J8" i="2"/>
  <c r="R124" i="10" s="1"/>
  <c r="K8" i="2"/>
  <c r="S124" i="10" s="1"/>
  <c r="M8" i="2"/>
  <c r="U124" i="10" s="1"/>
  <c r="D8" i="2"/>
  <c r="L124" i="10" s="1"/>
  <c r="E8" i="2"/>
  <c r="M124" i="10" s="1"/>
  <c r="G10" i="2"/>
  <c r="O126" i="10" s="1"/>
  <c r="K10" i="2"/>
  <c r="S126" i="10" s="1"/>
  <c r="I10" i="2"/>
  <c r="Q126" i="10" s="1"/>
  <c r="D10" i="2"/>
  <c r="L126" i="10" s="1"/>
  <c r="H10" i="2"/>
  <c r="P126" i="10" s="1"/>
  <c r="L10" i="2"/>
  <c r="T126" i="10" s="1"/>
  <c r="F10" i="2"/>
  <c r="N126" i="10" s="1"/>
  <c r="J10" i="2"/>
  <c r="R126" i="10" s="1"/>
  <c r="C10" i="2"/>
  <c r="K126" i="10" s="1"/>
  <c r="E10" i="2"/>
  <c r="M126" i="10" s="1"/>
  <c r="M10" i="2"/>
  <c r="U126" i="10" s="1"/>
  <c r="B10" i="2"/>
  <c r="O125" i="10"/>
  <c r="S125" i="10"/>
  <c r="M125" i="10"/>
  <c r="L125" i="10"/>
  <c r="P125" i="10"/>
  <c r="T125" i="10"/>
  <c r="Q125" i="10"/>
  <c r="U125" i="10"/>
  <c r="N125" i="10"/>
  <c r="R125" i="10"/>
  <c r="C107" i="10"/>
  <c r="D107" i="10"/>
  <c r="C108" i="10"/>
  <c r="D108" i="10"/>
  <c r="C106" i="10"/>
  <c r="D106" i="10"/>
  <c r="B75" i="10"/>
  <c r="B76" i="10"/>
  <c r="B77" i="10"/>
  <c r="B78" i="10"/>
  <c r="B79" i="10"/>
  <c r="B80" i="10"/>
  <c r="B81" i="10"/>
  <c r="B74" i="10"/>
  <c r="C75" i="10"/>
  <c r="C76" i="10"/>
  <c r="C77" i="10"/>
  <c r="C78" i="10"/>
  <c r="C79" i="10"/>
  <c r="C80" i="10"/>
  <c r="C81" i="10"/>
  <c r="C74" i="10"/>
  <c r="D74" i="10"/>
  <c r="D75" i="10"/>
  <c r="E75" i="10"/>
  <c r="D76" i="10"/>
  <c r="E76" i="10"/>
  <c r="D77" i="10"/>
  <c r="E77" i="10"/>
  <c r="D78" i="10"/>
  <c r="E78" i="10"/>
  <c r="D79" i="10"/>
  <c r="E79" i="10"/>
  <c r="D80" i="10"/>
  <c r="E80" i="10"/>
  <c r="F75" i="10"/>
  <c r="F76" i="10"/>
  <c r="F77" i="10"/>
  <c r="F78" i="10"/>
  <c r="F79" i="10"/>
  <c r="F80" i="10"/>
  <c r="F74" i="10"/>
  <c r="G74" i="10"/>
  <c r="H74" i="10"/>
  <c r="U128" i="10" l="1"/>
  <c r="N128" i="10"/>
  <c r="S128" i="10"/>
  <c r="P128" i="10"/>
  <c r="J75" i="12"/>
  <c r="K125" i="10"/>
  <c r="K128" i="10" s="1"/>
  <c r="M128" i="10"/>
  <c r="Q128" i="10"/>
  <c r="R128" i="10"/>
  <c r="L128" i="10"/>
  <c r="T128" i="10"/>
  <c r="O124" i="10"/>
  <c r="O128" i="10" s="1"/>
  <c r="T75" i="12"/>
  <c r="S75" i="12"/>
  <c r="R75" i="12"/>
  <c r="D104" i="1"/>
  <c r="E104" i="1"/>
  <c r="F104" i="1"/>
  <c r="G104" i="1"/>
  <c r="H104" i="1"/>
  <c r="I104" i="1"/>
  <c r="J104" i="1"/>
  <c r="K104" i="1"/>
  <c r="L104" i="1"/>
  <c r="M104" i="1"/>
  <c r="C104" i="1"/>
  <c r="H75" i="10"/>
  <c r="H76" i="10"/>
  <c r="H77" i="10"/>
  <c r="H78" i="10"/>
  <c r="H79" i="10"/>
  <c r="H80" i="10"/>
  <c r="C4" i="1"/>
  <c r="B4" i="7" s="1"/>
  <c r="C3" i="1"/>
  <c r="D105" i="10"/>
  <c r="C105" i="10"/>
  <c r="D104" i="10"/>
  <c r="C104" i="10"/>
  <c r="D103" i="10"/>
  <c r="C103" i="10"/>
  <c r="D102" i="10"/>
  <c r="C102" i="10"/>
  <c r="D100" i="10"/>
  <c r="C100" i="10"/>
  <c r="D99" i="10"/>
  <c r="C99" i="10"/>
  <c r="D98" i="10"/>
  <c r="C98" i="10"/>
  <c r="D97" i="10"/>
  <c r="C97" i="10"/>
  <c r="C110" i="10"/>
  <c r="D110" i="10"/>
  <c r="C109" i="10"/>
  <c r="D109" i="10"/>
  <c r="G77" i="10" l="1"/>
  <c r="G78" i="10"/>
  <c r="G79" i="10"/>
  <c r="G80" i="10"/>
  <c r="G76" i="10"/>
  <c r="G75" i="10"/>
  <c r="C36" i="13"/>
  <c r="D36" i="13"/>
  <c r="E36" i="13"/>
  <c r="F36" i="13"/>
  <c r="G36" i="13"/>
  <c r="B36" i="13"/>
  <c r="I43" i="10" l="1"/>
  <c r="F49" i="10"/>
  <c r="F50" i="10"/>
  <c r="F51" i="10"/>
  <c r="G50" i="10"/>
  <c r="G51" i="10"/>
  <c r="C50" i="10"/>
  <c r="E50" i="10"/>
  <c r="B51" i="10"/>
  <c r="C51" i="10"/>
  <c r="D51" i="10"/>
  <c r="E51" i="10"/>
  <c r="E49" i="10"/>
  <c r="D49" i="10"/>
  <c r="B49" i="10"/>
  <c r="C49" i="10"/>
  <c r="G103" i="1" l="1"/>
  <c r="K103" i="1"/>
  <c r="D103" i="1"/>
  <c r="H103" i="1"/>
  <c r="L103" i="1"/>
  <c r="F103" i="1"/>
  <c r="J103" i="1"/>
  <c r="C103" i="1"/>
  <c r="E103" i="1"/>
  <c r="I103" i="1"/>
  <c r="M103" i="1"/>
  <c r="G53" i="10"/>
  <c r="E101" i="1" s="1"/>
  <c r="K58" i="10"/>
  <c r="N37" i="9"/>
  <c r="U12" i="10" s="1"/>
  <c r="U15" i="10" s="1"/>
  <c r="L37" i="9"/>
  <c r="L9" i="1" s="1"/>
  <c r="J37" i="9"/>
  <c r="Q12" i="10" s="1"/>
  <c r="Q15" i="10" s="1"/>
  <c r="H37" i="9"/>
  <c r="H9" i="1" s="1"/>
  <c r="F37" i="9"/>
  <c r="M12" i="10" s="1"/>
  <c r="M15" i="10" s="1"/>
  <c r="D37" i="9"/>
  <c r="K12" i="10" s="1"/>
  <c r="K15" i="10" s="1"/>
  <c r="B15" i="9"/>
  <c r="B8" i="11" s="1"/>
  <c r="B16" i="9"/>
  <c r="B9" i="11" s="1"/>
  <c r="C15" i="9"/>
  <c r="C8" i="11" s="1"/>
  <c r="C16" i="9"/>
  <c r="C9" i="11" s="1"/>
  <c r="C14" i="9"/>
  <c r="C7" i="11" s="1"/>
  <c r="B14" i="9"/>
  <c r="B7" i="11" s="1"/>
  <c r="M17" i="3"/>
  <c r="L17" i="3"/>
  <c r="K17" i="3"/>
  <c r="J17" i="3"/>
  <c r="I17" i="3"/>
  <c r="H17" i="3"/>
  <c r="G17" i="3"/>
  <c r="F17" i="3"/>
  <c r="E17" i="3"/>
  <c r="B2" i="3"/>
  <c r="B1" i="3"/>
  <c r="B2" i="2"/>
  <c r="B1" i="2"/>
  <c r="C17" i="2"/>
  <c r="D17" i="2"/>
  <c r="E17" i="2"/>
  <c r="F17" i="2"/>
  <c r="G17" i="2"/>
  <c r="H17" i="2"/>
  <c r="I17" i="2"/>
  <c r="J17" i="2"/>
  <c r="K17" i="2"/>
  <c r="L17" i="2"/>
  <c r="M17" i="2"/>
  <c r="D52" i="1"/>
  <c r="E52" i="1"/>
  <c r="F52" i="1"/>
  <c r="G52" i="1"/>
  <c r="H52" i="1"/>
  <c r="I52" i="1"/>
  <c r="J52" i="1"/>
  <c r="K52" i="1"/>
  <c r="L52" i="1"/>
  <c r="M52" i="1"/>
  <c r="N52" i="1"/>
  <c r="G16" i="9" l="1"/>
  <c r="G37" i="1" s="1"/>
  <c r="D9" i="1"/>
  <c r="I14" i="9"/>
  <c r="M62" i="10"/>
  <c r="E105" i="1"/>
  <c r="N49" i="12" s="1"/>
  <c r="E15" i="9"/>
  <c r="E8" i="11" s="1"/>
  <c r="I16" i="9"/>
  <c r="I9" i="11" s="1"/>
  <c r="L16" i="1"/>
  <c r="L7" i="11"/>
  <c r="J8" i="11"/>
  <c r="J21" i="1"/>
  <c r="N7" i="11"/>
  <c r="N16" i="1"/>
  <c r="G37" i="9"/>
  <c r="H7" i="11"/>
  <c r="H16" i="1"/>
  <c r="M16" i="9"/>
  <c r="N37" i="1"/>
  <c r="N9" i="11"/>
  <c r="F37" i="1"/>
  <c r="F9" i="11"/>
  <c r="L21" i="1"/>
  <c r="L8" i="11"/>
  <c r="G15" i="9"/>
  <c r="F8" i="11"/>
  <c r="F21" i="1"/>
  <c r="E37" i="9"/>
  <c r="E9" i="1" s="1"/>
  <c r="K37" i="9"/>
  <c r="R12" i="10" s="1"/>
  <c r="R15" i="10" s="1"/>
  <c r="S12" i="10"/>
  <c r="S15" i="10" s="1"/>
  <c r="F9" i="1"/>
  <c r="D16" i="1"/>
  <c r="D7" i="11"/>
  <c r="J9" i="11"/>
  <c r="J37" i="1"/>
  <c r="K14" i="9"/>
  <c r="K16" i="9"/>
  <c r="E14" i="9"/>
  <c r="F7" i="11"/>
  <c r="F16" i="1"/>
  <c r="H9" i="11"/>
  <c r="H37" i="1"/>
  <c r="M15" i="9"/>
  <c r="N8" i="11"/>
  <c r="N21" i="1"/>
  <c r="H8" i="11"/>
  <c r="H21" i="1"/>
  <c r="M14" i="9"/>
  <c r="I15" i="9"/>
  <c r="J7" i="11"/>
  <c r="J16" i="1"/>
  <c r="L9" i="11"/>
  <c r="L37" i="1"/>
  <c r="E16" i="9"/>
  <c r="D9" i="11"/>
  <c r="D37" i="1"/>
  <c r="K15" i="9"/>
  <c r="D21" i="1"/>
  <c r="D8" i="11"/>
  <c r="O12" i="10"/>
  <c r="O15" i="10" s="1"/>
  <c r="I101" i="1"/>
  <c r="Q62" i="10" s="1"/>
  <c r="F101" i="1"/>
  <c r="N62" i="10" s="1"/>
  <c r="L101" i="1"/>
  <c r="T62" i="10" s="1"/>
  <c r="J101" i="1"/>
  <c r="R62" i="10" s="1"/>
  <c r="D101" i="1"/>
  <c r="G101" i="1"/>
  <c r="O62" i="10" s="1"/>
  <c r="M101" i="1"/>
  <c r="U62" i="10" s="1"/>
  <c r="C101" i="1"/>
  <c r="C105" i="1" s="1"/>
  <c r="L49" i="12" s="1"/>
  <c r="H101" i="1"/>
  <c r="K101" i="1"/>
  <c r="G14" i="9"/>
  <c r="G18" i="9" s="1"/>
  <c r="I37" i="9"/>
  <c r="N9" i="1"/>
  <c r="J9" i="1"/>
  <c r="M37" i="9"/>
  <c r="I16" i="1" l="1"/>
  <c r="I18" i="9"/>
  <c r="E18" i="9"/>
  <c r="M18" i="9"/>
  <c r="K18" i="9"/>
  <c r="D36" i="1"/>
  <c r="D39" i="1" s="1"/>
  <c r="K9" i="1"/>
  <c r="G9" i="11"/>
  <c r="I7" i="11"/>
  <c r="E21" i="1"/>
  <c r="I37" i="1"/>
  <c r="L12" i="10"/>
  <c r="L15" i="10" s="1"/>
  <c r="J36" i="1"/>
  <c r="M8" i="11"/>
  <c r="M21" i="1"/>
  <c r="E7" i="11"/>
  <c r="E16" i="1"/>
  <c r="K37" i="1"/>
  <c r="K9" i="11"/>
  <c r="E37" i="1"/>
  <c r="E9" i="11"/>
  <c r="K16" i="1"/>
  <c r="K7" i="11"/>
  <c r="K8" i="11"/>
  <c r="K21" i="1"/>
  <c r="F36" i="1"/>
  <c r="G8" i="11"/>
  <c r="G21" i="1"/>
  <c r="M37" i="1"/>
  <c r="M9" i="11"/>
  <c r="N36" i="1"/>
  <c r="L36" i="1"/>
  <c r="G7" i="11"/>
  <c r="G16" i="1"/>
  <c r="I21" i="1"/>
  <c r="I8" i="11"/>
  <c r="M7" i="11"/>
  <c r="M16" i="1"/>
  <c r="H36" i="1"/>
  <c r="N12" i="10"/>
  <c r="N15" i="10" s="1"/>
  <c r="G9" i="1"/>
  <c r="F105" i="1"/>
  <c r="O49" i="12" s="1"/>
  <c r="K62" i="10"/>
  <c r="L105" i="1"/>
  <c r="U49" i="12" s="1"/>
  <c r="I105" i="1"/>
  <c r="R49" i="12" s="1"/>
  <c r="J105" i="1"/>
  <c r="S49" i="12" s="1"/>
  <c r="G105" i="1"/>
  <c r="P49" i="12" s="1"/>
  <c r="M105" i="1"/>
  <c r="V49" i="12" s="1"/>
  <c r="L62" i="10"/>
  <c r="D105" i="1"/>
  <c r="M49" i="12" s="1"/>
  <c r="S62" i="10"/>
  <c r="K105" i="1"/>
  <c r="T49" i="12" s="1"/>
  <c r="P62" i="10"/>
  <c r="H105" i="1"/>
  <c r="Q49" i="12" s="1"/>
  <c r="I9" i="1"/>
  <c r="P12" i="10"/>
  <c r="P15" i="10" s="1"/>
  <c r="M9" i="1"/>
  <c r="T12" i="10"/>
  <c r="T15" i="10" s="1"/>
  <c r="L39" i="1" l="1"/>
  <c r="K106" i="1" s="1"/>
  <c r="J39" i="1"/>
  <c r="J53" i="1" s="1"/>
  <c r="H39" i="1"/>
  <c r="G106" i="1" s="1"/>
  <c r="N39" i="1"/>
  <c r="M106" i="1" s="1"/>
  <c r="F39" i="1"/>
  <c r="E106" i="1" s="1"/>
  <c r="K36" i="1"/>
  <c r="K39" i="1" s="1"/>
  <c r="I36" i="1"/>
  <c r="D53" i="1"/>
  <c r="C106" i="1"/>
  <c r="M36" i="1"/>
  <c r="E36" i="1"/>
  <c r="E39" i="1" s="1"/>
  <c r="G36" i="1"/>
  <c r="G39" i="1" s="1"/>
  <c r="N53" i="1"/>
  <c r="G109" i="1" l="1"/>
  <c r="G110" i="1" s="1"/>
  <c r="G115" i="1"/>
  <c r="P52" i="12" s="1"/>
  <c r="E109" i="1"/>
  <c r="E110" i="1" s="1"/>
  <c r="E115" i="1"/>
  <c r="N52" i="12" s="1"/>
  <c r="M39" i="1"/>
  <c r="L106" i="1" s="1"/>
  <c r="F53" i="1"/>
  <c r="I39" i="1"/>
  <c r="H106" i="1" s="1"/>
  <c r="I106" i="1"/>
  <c r="L53" i="1"/>
  <c r="H53" i="1"/>
  <c r="O61" i="10"/>
  <c r="O63" i="10" s="1"/>
  <c r="I53" i="1"/>
  <c r="K53" i="1"/>
  <c r="J106" i="1"/>
  <c r="G53" i="1"/>
  <c r="F106" i="1"/>
  <c r="C109" i="1"/>
  <c r="C110" i="1" s="1"/>
  <c r="C115" i="1"/>
  <c r="E53" i="1"/>
  <c r="D106" i="1"/>
  <c r="G116" i="1"/>
  <c r="M61" i="10"/>
  <c r="E116" i="1"/>
  <c r="L74" i="12" s="1"/>
  <c r="M115" i="1"/>
  <c r="V52" i="12" s="1"/>
  <c r="M109" i="1"/>
  <c r="M110" i="1" s="1"/>
  <c r="K115" i="1"/>
  <c r="T52" i="12" s="1"/>
  <c r="K109" i="1"/>
  <c r="K110" i="1" s="1"/>
  <c r="H115" i="1" l="1"/>
  <c r="Q52" i="12" s="1"/>
  <c r="H109" i="1"/>
  <c r="H110" i="1" s="1"/>
  <c r="L115" i="1"/>
  <c r="U52" i="12" s="1"/>
  <c r="L109" i="1"/>
  <c r="L110" i="1" s="1"/>
  <c r="O64" i="10"/>
  <c r="I109" i="1"/>
  <c r="I110" i="1" s="1"/>
  <c r="I115" i="1"/>
  <c r="M53" i="1"/>
  <c r="O50" i="12"/>
  <c r="S50" i="12"/>
  <c r="L50" i="12"/>
  <c r="L52" i="12"/>
  <c r="P50" i="12"/>
  <c r="P51" i="12" s="1"/>
  <c r="T50" i="12"/>
  <c r="T51" i="12" s="1"/>
  <c r="L51" i="12"/>
  <c r="M50" i="12"/>
  <c r="Q50" i="12"/>
  <c r="Q51" i="12" s="1"/>
  <c r="U50" i="12"/>
  <c r="U51" i="12" s="1"/>
  <c r="N50" i="12"/>
  <c r="N51" i="12" s="1"/>
  <c r="R50" i="12"/>
  <c r="R51" i="12" s="1"/>
  <c r="V50" i="12"/>
  <c r="V51" i="12" s="1"/>
  <c r="N74" i="12"/>
  <c r="J109" i="1"/>
  <c r="J110" i="1" s="1"/>
  <c r="J115" i="1"/>
  <c r="S52" i="12" s="1"/>
  <c r="D115" i="1"/>
  <c r="D109" i="1"/>
  <c r="D110" i="1" s="1"/>
  <c r="F109" i="1"/>
  <c r="F110" i="1" s="1"/>
  <c r="F115" i="1"/>
  <c r="O52" i="12" s="1"/>
  <c r="K61" i="10"/>
  <c r="C116" i="1"/>
  <c r="J74" i="12" s="1"/>
  <c r="G7" i="3"/>
  <c r="G7" i="2"/>
  <c r="G11" i="2" s="1"/>
  <c r="H116" i="1"/>
  <c r="O74" i="12" s="1"/>
  <c r="U61" i="10"/>
  <c r="M116" i="1"/>
  <c r="E7" i="2"/>
  <c r="E11" i="2" s="1"/>
  <c r="E7" i="3"/>
  <c r="M64" i="10"/>
  <c r="M63" i="10"/>
  <c r="S61" i="10"/>
  <c r="K116" i="1"/>
  <c r="R74" i="12" s="1"/>
  <c r="T61" i="10"/>
  <c r="L116" i="1"/>
  <c r="S74" i="12" s="1"/>
  <c r="T74" i="12" l="1"/>
  <c r="C88" i="10"/>
  <c r="D88" i="10"/>
  <c r="P61" i="10"/>
  <c r="P63" i="10" s="1"/>
  <c r="R52" i="12"/>
  <c r="I116" i="1"/>
  <c r="Q61" i="10"/>
  <c r="S51" i="12"/>
  <c r="O51" i="12"/>
  <c r="M51" i="12"/>
  <c r="M52" i="12"/>
  <c r="E11" i="3"/>
  <c r="G11" i="3"/>
  <c r="K64" i="10"/>
  <c r="K63" i="10"/>
  <c r="C7" i="3"/>
  <c r="C7" i="2"/>
  <c r="C11" i="2" s="1"/>
  <c r="F116" i="1"/>
  <c r="M74" i="12" s="1"/>
  <c r="N61" i="10"/>
  <c r="R61" i="10"/>
  <c r="J116" i="1"/>
  <c r="L61" i="10"/>
  <c r="D116" i="1"/>
  <c r="K74" i="12" s="1"/>
  <c r="S64" i="10"/>
  <c r="S63" i="10"/>
  <c r="M7" i="2"/>
  <c r="M11" i="2" s="1"/>
  <c r="M7" i="3"/>
  <c r="L7" i="2"/>
  <c r="L11" i="2" s="1"/>
  <c r="L7" i="3"/>
  <c r="U63" i="10"/>
  <c r="U64" i="10"/>
  <c r="T64" i="10"/>
  <c r="T63" i="10"/>
  <c r="H7" i="2"/>
  <c r="H11" i="2" s="1"/>
  <c r="H7" i="3"/>
  <c r="K7" i="2"/>
  <c r="K11" i="2" s="1"/>
  <c r="K7" i="3"/>
  <c r="Q74" i="12" l="1"/>
  <c r="C87" i="10"/>
  <c r="D87" i="10"/>
  <c r="P64" i="10"/>
  <c r="Q63" i="10"/>
  <c r="Q64" i="10"/>
  <c r="P74" i="12"/>
  <c r="I7" i="2"/>
  <c r="I11" i="2" s="1"/>
  <c r="I7" i="3"/>
  <c r="I11" i="3" s="1"/>
  <c r="H11" i="3"/>
  <c r="K11" i="3"/>
  <c r="L11" i="3"/>
  <c r="C11" i="3"/>
  <c r="M11" i="3"/>
  <c r="F7" i="3"/>
  <c r="F7" i="2"/>
  <c r="F11" i="2" s="1"/>
  <c r="J7" i="3"/>
  <c r="J7" i="2"/>
  <c r="J11" i="2" s="1"/>
  <c r="R64" i="10"/>
  <c r="R63" i="10"/>
  <c r="L64" i="10"/>
  <c r="L63" i="10"/>
  <c r="D7" i="2"/>
  <c r="D11" i="2" s="1"/>
  <c r="D7" i="3"/>
  <c r="N63" i="10"/>
  <c r="N64" i="10"/>
  <c r="J76" i="12" l="1"/>
  <c r="T76" i="12"/>
  <c r="S76" i="12"/>
  <c r="R76" i="12"/>
  <c r="F11" i="3"/>
  <c r="D11" i="3"/>
  <c r="J11" i="3"/>
</calcChain>
</file>

<file path=xl/comments1.xml><?xml version="1.0" encoding="utf-8"?>
<comments xmlns="http://schemas.openxmlformats.org/spreadsheetml/2006/main">
  <authors>
    <author>lsh1</author>
  </authors>
  <commentList>
    <comment ref="C72" authorId="0">
      <text>
        <r>
          <rPr>
            <b/>
            <sz val="9"/>
            <color indexed="81"/>
            <rFont val="Tahoma"/>
            <family val="2"/>
          </rPr>
          <t>TJCOG:
Possible Responses.</t>
        </r>
        <r>
          <rPr>
            <sz val="9"/>
            <color indexed="81"/>
            <rFont val="Tahoma"/>
            <family val="2"/>
          </rPr>
          <t xml:space="preserve">
</t>
        </r>
      </text>
    </comment>
    <comment ref="D72" authorId="0">
      <text>
        <r>
          <rPr>
            <b/>
            <sz val="9"/>
            <color indexed="81"/>
            <rFont val="Tahoma"/>
            <family val="2"/>
          </rPr>
          <t>TJCOG:
All should be surface water.</t>
        </r>
        <r>
          <rPr>
            <sz val="9"/>
            <color indexed="81"/>
            <rFont val="Tahoma"/>
            <family val="2"/>
          </rPr>
          <t xml:space="preserve">
</t>
        </r>
      </text>
    </comment>
    <comment ref="I72" authorId="0">
      <text>
        <r>
          <rPr>
            <b/>
            <sz val="9"/>
            <color indexed="81"/>
            <rFont val="Tahoma"/>
            <family val="2"/>
          </rPr>
          <t>TJCOG:</t>
        </r>
        <r>
          <rPr>
            <sz val="9"/>
            <color indexed="81"/>
            <rFont val="Tahoma"/>
            <family val="2"/>
          </rPr>
          <t xml:space="preserve">
List the most appropriate supply for the default option for Alternative 1.</t>
        </r>
      </text>
    </comment>
    <comment ref="J72" authorId="0">
      <text>
        <r>
          <rPr>
            <b/>
            <sz val="9"/>
            <color indexed="81"/>
            <rFont val="Tahoma"/>
            <family val="2"/>
          </rPr>
          <t>TJCOG:</t>
        </r>
        <r>
          <rPr>
            <sz val="9"/>
            <color indexed="81"/>
            <rFont val="Tahoma"/>
            <family val="2"/>
          </rPr>
          <t xml:space="preserve">
Add a range if the source can be configured several ways.  </t>
        </r>
      </text>
    </comment>
  </commentList>
</comments>
</file>

<file path=xl/comments2.xml><?xml version="1.0" encoding="utf-8"?>
<comments xmlns="http://schemas.openxmlformats.org/spreadsheetml/2006/main">
  <authors>
    <author>lsh1</author>
  </authors>
  <commentList>
    <comment ref="J11" authorId="0">
      <text>
        <r>
          <rPr>
            <b/>
            <sz val="9"/>
            <color indexed="81"/>
            <rFont val="Tahoma"/>
            <family val="2"/>
          </rPr>
          <t xml:space="preserve">TJCOG:  Only need to include this portion if you have distinct service area populations you'd like to break out.
</t>
        </r>
        <r>
          <rPr>
            <sz val="9"/>
            <color indexed="81"/>
            <rFont val="Tahoma"/>
            <family val="2"/>
          </rPr>
          <t xml:space="preserve">
</t>
        </r>
      </text>
    </comment>
  </commentList>
</comments>
</file>

<file path=xl/comments3.xml><?xml version="1.0" encoding="utf-8"?>
<comments xmlns="http://schemas.openxmlformats.org/spreadsheetml/2006/main">
  <authors>
    <author>Donald Rayno</author>
  </authors>
  <commentList>
    <comment ref="C37" authorId="0">
      <text>
        <r>
          <rPr>
            <b/>
            <sz val="8"/>
            <color indexed="81"/>
            <rFont val="Tahoma"/>
            <family val="2"/>
          </rPr>
          <t>Donald Rayno:</t>
        </r>
        <r>
          <rPr>
            <sz val="8"/>
            <color indexed="81"/>
            <rFont val="Tahoma"/>
            <family val="2"/>
          </rPr>
          <t xml:space="preserve">
The number in this cell is  calculated from the data entered for 2010.
If it is not appropriate to use this value for estimating this category in future years enter a recommended value in this cell. If this value is changed explain why in the application.</t>
        </r>
      </text>
    </comment>
  </commentList>
</comments>
</file>

<file path=xl/comments4.xml><?xml version="1.0" encoding="utf-8"?>
<comments xmlns="http://schemas.openxmlformats.org/spreadsheetml/2006/main">
  <authors>
    <author>lsh1</author>
  </authors>
  <commentList>
    <comment ref="A22" authorId="0">
      <text>
        <r>
          <rPr>
            <b/>
            <sz val="9"/>
            <color indexed="81"/>
            <rFont val="Tahoma"/>
            <family val="2"/>
          </rPr>
          <t xml:space="preserve">TJCOG:
Enter numbers here for projects 1, 2, and 3 above.  </t>
        </r>
        <r>
          <rPr>
            <sz val="9"/>
            <color indexed="81"/>
            <rFont val="Tahoma"/>
            <family val="2"/>
          </rPr>
          <t xml:space="preserve">
</t>
        </r>
      </text>
    </comment>
  </commentList>
</comments>
</file>

<file path=xl/comments5.xml><?xml version="1.0" encoding="utf-8"?>
<comments xmlns="http://schemas.openxmlformats.org/spreadsheetml/2006/main">
  <authors>
    <author>lsh1</author>
  </authors>
  <commentList>
    <comment ref="A22" authorId="0">
      <text>
        <r>
          <rPr>
            <b/>
            <sz val="9"/>
            <color indexed="81"/>
            <rFont val="Tahoma"/>
            <family val="2"/>
          </rPr>
          <t xml:space="preserve">TJCOG:
Enter numbers here for projects 1, 2, and 3 above.  </t>
        </r>
        <r>
          <rPr>
            <sz val="9"/>
            <color indexed="81"/>
            <rFont val="Tahoma"/>
            <family val="2"/>
          </rPr>
          <t xml:space="preserve">
</t>
        </r>
      </text>
    </comment>
  </commentList>
</comments>
</file>

<file path=xl/sharedStrings.xml><?xml version="1.0" encoding="utf-8"?>
<sst xmlns="http://schemas.openxmlformats.org/spreadsheetml/2006/main" count="1063" uniqueCount="530">
  <si>
    <t>(1) Residential</t>
  </si>
  <si>
    <t>(2) Commercial</t>
  </si>
  <si>
    <t>(3) Industrial</t>
  </si>
  <si>
    <t>(4) Institutional</t>
  </si>
  <si>
    <t xml:space="preserve">(5) Total Available Supply </t>
  </si>
  <si>
    <t>Available Supply , MGD</t>
  </si>
  <si>
    <t>(6) Service Area Demand</t>
  </si>
  <si>
    <t>(9) Total Average Daily Demand</t>
  </si>
  <si>
    <t>(10) Demand as Percent of Supply</t>
  </si>
  <si>
    <t>Additional Information for J.L. Allocation</t>
  </si>
  <si>
    <t>(12) Sales Under Existing Contracts</t>
  </si>
  <si>
    <t>(13) Expected Sales Under Future Contracts</t>
  </si>
  <si>
    <t>(14) Demand in Each Planning Period</t>
  </si>
  <si>
    <t>Source or Facility Name</t>
  </si>
  <si>
    <t>PWSID</t>
  </si>
  <si>
    <t>SW or GW</t>
  </si>
  <si>
    <t>Sub-Basin</t>
  </si>
  <si>
    <t xml:space="preserve">Wat Qual </t>
  </si>
  <si>
    <t>Classification</t>
  </si>
  <si>
    <t>Supply</t>
  </si>
  <si>
    <t>Development</t>
  </si>
  <si>
    <t>Time</t>
  </si>
  <si>
    <t xml:space="preserve">Year </t>
  </si>
  <si>
    <t>Online</t>
  </si>
  <si>
    <t>MGD</t>
  </si>
  <si>
    <t>Water Supplied to:</t>
  </si>
  <si>
    <t>Contract Amount and Duration</t>
  </si>
  <si>
    <t>System Name</t>
  </si>
  <si>
    <t>Year Begin</t>
  </si>
  <si>
    <t>Year End</t>
  </si>
  <si>
    <t>Pipe Size</t>
  </si>
  <si>
    <t>(inches)</t>
  </si>
  <si>
    <t>Regular or</t>
  </si>
  <si>
    <t>Emergency</t>
  </si>
  <si>
    <t>(label the alternative presented in this table)</t>
  </si>
  <si>
    <t>(8)     Amount NOT returned to Source Basin</t>
  </si>
  <si>
    <t>List details of the future supply options included in this alternative scenario</t>
  </si>
  <si>
    <t>Future Source</t>
  </si>
  <si>
    <t>Wat. Qual</t>
  </si>
  <si>
    <t>Additional</t>
  </si>
  <si>
    <t>Time (years)</t>
  </si>
  <si>
    <t>Year</t>
  </si>
  <si>
    <t>Applicant</t>
  </si>
  <si>
    <t>Date</t>
  </si>
  <si>
    <t>Basin</t>
  </si>
  <si>
    <t>GS 143-215.22G</t>
  </si>
  <si>
    <t>Sub-total</t>
  </si>
  <si>
    <t>Total Sales Contracts</t>
  </si>
  <si>
    <t>Sales Commitments</t>
  </si>
  <si>
    <t>Total System Demand</t>
  </si>
  <si>
    <t>Existing commitments for additional Future Sales (list buyer)</t>
  </si>
  <si>
    <t>Supply mgd</t>
  </si>
  <si>
    <t>Show all water volumes in millions of gallons per day</t>
  </si>
  <si>
    <t>Indicate months of seasonal use</t>
  </si>
  <si>
    <t>Jan</t>
  </si>
  <si>
    <t>Feb</t>
  </si>
  <si>
    <t>Dec</t>
  </si>
  <si>
    <t>Nov</t>
  </si>
  <si>
    <t>Oct</t>
  </si>
  <si>
    <t>Sept</t>
  </si>
  <si>
    <t>Aug</t>
  </si>
  <si>
    <t>Jul</t>
  </si>
  <si>
    <t>June</t>
  </si>
  <si>
    <t>May</t>
  </si>
  <si>
    <t>Apr</t>
  </si>
  <si>
    <t>Mar</t>
  </si>
  <si>
    <r>
      <t xml:space="preserve">Existing Sales Contracts </t>
    </r>
    <r>
      <rPr>
        <b/>
        <sz val="10"/>
        <rFont val="Arial"/>
        <family val="2"/>
      </rPr>
      <t xml:space="preserve"> (list buyer and years covered by contract)</t>
    </r>
  </si>
  <si>
    <t>Projections</t>
  </si>
  <si>
    <t>Type of Population to be Served</t>
  </si>
  <si>
    <r>
      <t>Type of Use (</t>
    </r>
    <r>
      <rPr>
        <b/>
        <sz val="10"/>
        <rFont val="Arial"/>
        <family val="2"/>
      </rPr>
      <t>Average Daily Service Area Demand in Million Gallons per Day (MGD)  Do not include sales to other systems</t>
    </r>
    <r>
      <rPr>
        <b/>
        <sz val="12"/>
        <rFont val="Arial"/>
        <family val="2"/>
      </rPr>
      <t>)</t>
    </r>
  </si>
  <si>
    <t>Future Sales Contracts that have already been agreed to.</t>
  </si>
  <si>
    <t>Future Supplies  List all new supplies or facilities which were under development as of July 1, 2012</t>
  </si>
  <si>
    <t>Local Water Supply Plan  supplemental information  for Jordan Lake Allocation Application</t>
  </si>
  <si>
    <t xml:space="preserve"> Demand - Supply  Comparison  (Show all quantities in Million Gallons per Day )</t>
  </si>
  <si>
    <t>(1) Existing Surface Water Supply</t>
  </si>
  <si>
    <t>(2) Existing Ground Water Supply</t>
  </si>
  <si>
    <t xml:space="preserve">(3) Existing Purchase Contracts </t>
  </si>
  <si>
    <t xml:space="preserve">(4) Future Supplies                      </t>
  </si>
  <si>
    <t xml:space="preserve">(7) Existing Sales Contracts       </t>
  </si>
  <si>
    <t xml:space="preserve">(8) Contracts for Future Sales </t>
  </si>
  <si>
    <t>Expected</t>
  </si>
  <si>
    <t>(1) Line (15) From Demand - Supply Comparison Table</t>
  </si>
  <si>
    <t>List the Components of each alternative scenario including the expected period when each component will come online.</t>
  </si>
  <si>
    <t>(7)         Consumptive Use in Receiving Basin</t>
  </si>
  <si>
    <t>(6)              Total discharge to Receiving Basin</t>
  </si>
  <si>
    <t>(5)              Consumptive Use in Source Basin</t>
  </si>
  <si>
    <t>(4)                   Total discharge to Source Basin</t>
  </si>
  <si>
    <t>(3)               Supply Available for future needs</t>
  </si>
  <si>
    <t>Future Supply Alternative 2</t>
  </si>
  <si>
    <t>(15) Supply Deficit    (Demand minus Supply)</t>
  </si>
  <si>
    <t>Alternatives</t>
  </si>
  <si>
    <t>Alternative 1</t>
  </si>
  <si>
    <t>Alternative 2</t>
  </si>
  <si>
    <t>Total Supply (MGD)</t>
  </si>
  <si>
    <t>Environmental Impacts</t>
  </si>
  <si>
    <t>Water Quality Classification</t>
  </si>
  <si>
    <t>Interbasin Transfer (MGD)</t>
  </si>
  <si>
    <t>Regional Partnerships</t>
  </si>
  <si>
    <t>Technical Complexity</t>
  </si>
  <si>
    <t>Institutional Complexity</t>
  </si>
  <si>
    <t>Political Complexity</t>
  </si>
  <si>
    <t>Public Benefits</t>
  </si>
  <si>
    <t>Consistency with local plans</t>
  </si>
  <si>
    <t>Total Cost ($ millions)</t>
  </si>
  <si>
    <t>Unit Cost ($/1000 gallons)</t>
  </si>
  <si>
    <t>Allocation Request (% of storage)</t>
  </si>
  <si>
    <t>Jordan Lake Allocation</t>
  </si>
  <si>
    <t>Use Sector</t>
  </si>
  <si>
    <t>Use Sub-sector</t>
  </si>
  <si>
    <t>Description</t>
  </si>
  <si>
    <t>Residential</t>
  </si>
  <si>
    <t>Commercial</t>
  </si>
  <si>
    <t>Industrial</t>
  </si>
  <si>
    <t>Institutional</t>
  </si>
  <si>
    <t>Unique</t>
  </si>
  <si>
    <t>Insert more rows as needed</t>
  </si>
  <si>
    <t>Provide a description of the groups of customers included in each use sector or sub-sector</t>
  </si>
  <si>
    <t>Year-round population</t>
  </si>
  <si>
    <t>Seasonal Population (if applicable)</t>
  </si>
  <si>
    <t>Sector</t>
  </si>
  <si>
    <t>Subsector</t>
  </si>
  <si>
    <t>System Process</t>
  </si>
  <si>
    <t>Non-Revenue</t>
  </si>
  <si>
    <t>WTP Process</t>
  </si>
  <si>
    <t>Other Non-Revenue</t>
  </si>
  <si>
    <t xml:space="preserve">Section I </t>
  </si>
  <si>
    <t>Table I.1 - Title</t>
  </si>
  <si>
    <t>TOTAL</t>
  </si>
  <si>
    <t>Partner</t>
  </si>
  <si>
    <t>Source Name</t>
  </si>
  <si>
    <t>Demand Projections</t>
  </si>
  <si>
    <t>Population Table</t>
  </si>
  <si>
    <t>General Tables Here</t>
  </si>
  <si>
    <t>Timeline Tables here</t>
  </si>
  <si>
    <t>Table I.1 - Use Sector Descriptions</t>
  </si>
  <si>
    <t>(See "Use Sector Descriptions" tab)</t>
  </si>
  <si>
    <t>See Table at right</t>
  </si>
  <si>
    <t>Table I.2 - Population Projections 2010 - 2060</t>
  </si>
  <si>
    <t xml:space="preserve">Section II </t>
  </si>
  <si>
    <t>Section III</t>
  </si>
  <si>
    <t xml:space="preserve">Figure III.1 - Map of Water Sources and Treatment Plants </t>
  </si>
  <si>
    <t xml:space="preserve">   (Recommended that partners add a map of water sources and treatment plants)</t>
  </si>
  <si>
    <t>Section II</t>
  </si>
  <si>
    <t>No tables are set for all partners.  Partners are encouraged to add tables as necessary to support their applications/</t>
  </si>
  <si>
    <t>Table III.1 - Source Summary of [Partner's] Existing Water Supply Sources</t>
  </si>
  <si>
    <t>Table IV.1 - Water Supply Needs</t>
  </si>
  <si>
    <t>See Timeline table at Right</t>
  </si>
  <si>
    <t>Source</t>
  </si>
  <si>
    <t>WQ Classification</t>
  </si>
  <si>
    <t>Sales</t>
  </si>
  <si>
    <t>Available Supply (MGD)</t>
  </si>
  <si>
    <t>http://www.ncwater.org/water_supply_planning/local_water_supply_plan/docs/river_basin_map.pdf</t>
  </si>
  <si>
    <t>Basins</t>
  </si>
  <si>
    <t>Haw (2-1)</t>
  </si>
  <si>
    <t>Deep (2-2)</t>
  </si>
  <si>
    <t>Cape Fear (2-3)</t>
  </si>
  <si>
    <t>Neuse (10-1)</t>
  </si>
  <si>
    <t>Contentnea (10-2)</t>
  </si>
  <si>
    <t>WQ Classifications:</t>
  </si>
  <si>
    <t>http://portal.ncdenr.org/web/wq/ps/csu/classifications</t>
  </si>
  <si>
    <t>SW</t>
  </si>
  <si>
    <t>00-00-000</t>
  </si>
  <si>
    <t>Table III Notes, References</t>
  </si>
  <si>
    <t>Sources - Existing</t>
  </si>
  <si>
    <t>Supply (MGD)</t>
  </si>
  <si>
    <t>WS-II</t>
  </si>
  <si>
    <t>Demand</t>
  </si>
  <si>
    <t>Need</t>
  </si>
  <si>
    <t>Demand % of Supply</t>
  </si>
  <si>
    <t>Enter Population projection:</t>
  </si>
  <si>
    <t xml:space="preserve">Table I.3 - Demand Projections </t>
  </si>
  <si>
    <t>Option1 - Full Table</t>
  </si>
  <si>
    <t>Demand Projection Percentages (Optional)</t>
  </si>
  <si>
    <t>Supplier</t>
  </si>
  <si>
    <t>Begin Year</t>
  </si>
  <si>
    <t>End Year</t>
  </si>
  <si>
    <t>Equiv. Supply (MGD)</t>
  </si>
  <si>
    <t>Regular or Emergency</t>
  </si>
  <si>
    <t>Pipe Size (in.)</t>
  </si>
  <si>
    <t>Table III.1X - Purchase Contracts  (use for regular purchases, or if no sources)</t>
  </si>
  <si>
    <t>Regular</t>
  </si>
  <si>
    <t>Note: Equivalent supply may be what you rate the purchase contract to be able to provide on an average day basis, if the contract amount is fixed.</t>
  </si>
  <si>
    <t>Contract Amount (MGD)</t>
  </si>
  <si>
    <t>Town A - Water System</t>
  </si>
  <si>
    <t>Sum of Equiv. Supply shouild only include Regular contracts.</t>
  </si>
  <si>
    <t>Section V</t>
  </si>
  <si>
    <t>Figure I.X2  - Demand Projections by Sector</t>
  </si>
  <si>
    <t>Figure I.1 - Map of Service Area</t>
  </si>
  <si>
    <t>Figure I.X2b</t>
  </si>
  <si>
    <t>Partners include a map of their service area.</t>
  </si>
  <si>
    <t>No set figures.  Partners may add figures as they wish to support this section.</t>
  </si>
  <si>
    <t>Jursidiction</t>
  </si>
  <si>
    <t>Apex</t>
  </si>
  <si>
    <t>Cary incl. Morrisville</t>
  </si>
  <si>
    <t>Chatham County N</t>
  </si>
  <si>
    <t>Durham</t>
  </si>
  <si>
    <t>Hillsborough</t>
  </si>
  <si>
    <t>Holly Springs</t>
  </si>
  <si>
    <t>Orange County</t>
  </si>
  <si>
    <t>OWASA</t>
  </si>
  <si>
    <t>Pittsboro</t>
  </si>
  <si>
    <t>Raleigh</t>
  </si>
  <si>
    <t>Sanford</t>
  </si>
  <si>
    <t>RTP South</t>
  </si>
  <si>
    <t>TOTALS</t>
  </si>
  <si>
    <t>Proposed 5-year projections</t>
  </si>
  <si>
    <t>PWSID (supplier)</t>
  </si>
  <si>
    <t>Table I.2 - Population Projections --&gt;</t>
  </si>
  <si>
    <t>Section IV  - Water Supply Need</t>
  </si>
  <si>
    <t>Source Options - Future</t>
  </si>
  <si>
    <t xml:space="preserve">Responses </t>
  </si>
  <si>
    <t>Use a single number</t>
  </si>
  <si>
    <t xml:space="preserve">More Than/The Same/Less than </t>
  </si>
  <si>
    <t xml:space="preserve"> (See Demand Tables Tab)</t>
  </si>
  <si>
    <t>Source Options</t>
  </si>
  <si>
    <t>Type</t>
  </si>
  <si>
    <t>Earliest Year Online</t>
  </si>
  <si>
    <t>MGD or None</t>
  </si>
  <si>
    <t>Use WQ Classification of the Source that provides the most yield</t>
  </si>
  <si>
    <t>Identify "Yes, JLP*" for alternative 1</t>
  </si>
  <si>
    <t>Not Complex/Complex/Very Complex</t>
  </si>
  <si>
    <t>None/Few/Many</t>
  </si>
  <si>
    <t>$ Millions (Capital+O&amp;M, NPV 2010 to 2060, 2010$)</t>
  </si>
  <si>
    <t>$/ 1000 gallon supply</t>
  </si>
  <si>
    <t>Year Online (earliest)</t>
  </si>
  <si>
    <t>Selected Alternative</t>
  </si>
  <si>
    <t>Not Complex</t>
  </si>
  <si>
    <t>Less Than</t>
  </si>
  <si>
    <t>More Than</t>
  </si>
  <si>
    <t>Supply Range (MGD)</t>
  </si>
  <si>
    <t>Supply Range</t>
  </si>
  <si>
    <t>Modify Reservoir</t>
  </si>
  <si>
    <t>Stream Withdrawal</t>
  </si>
  <si>
    <t>Storage Allocation</t>
  </si>
  <si>
    <t>Purchase</t>
  </si>
  <si>
    <t>Jordan Lake</t>
  </si>
  <si>
    <t>Other</t>
  </si>
  <si>
    <t>Quarry/Raw Transfer</t>
  </si>
  <si>
    <t xml:space="preserve">&lt;-- Always include Jordan Lake first.  Don't differentiate LI, LII here.  </t>
  </si>
  <si>
    <t xml:space="preserve">Include all source options under consideration.  List Jordan Lake first.  </t>
  </si>
  <si>
    <t>#</t>
  </si>
  <si>
    <t>Development Time (yrs)</t>
  </si>
  <si>
    <t>Fill out Values in "Supply Alternatives Summary Table"</t>
  </si>
  <si>
    <t>Tab</t>
  </si>
  <si>
    <t>Instructions</t>
  </si>
  <si>
    <t>JLPData</t>
  </si>
  <si>
    <t>This tab will contain a wealth of JLP Data related especially to population, demand projections, source information, and need. Find your system's information here if you don't have it handy.</t>
  </si>
  <si>
    <t>DataIn</t>
  </si>
  <si>
    <t>Put the appropriate data in the Green cells.  This data will be used by the rest of the work book.</t>
  </si>
  <si>
    <t>ReportTables</t>
  </si>
  <si>
    <t xml:space="preserve">These tables are organized by section of the report, and are mostly self populating from the DataIn tab or other tabs.  These tables are preformatted, and can be dropped into the report (some resizing of fonts, and rows and columns may be needed).  </t>
  </si>
  <si>
    <t>ReportFigures</t>
  </si>
  <si>
    <t>This section contain charts and graphs that are pre-generated (mostly from the DataIn tab).  Copy and paste (recommend pasting as image) into the allocation.</t>
  </si>
  <si>
    <t>Demand Tables</t>
  </si>
  <si>
    <t xml:space="preserve">These tables are a bit more complicated, so tables related to sector demand are here.  </t>
  </si>
  <si>
    <t>Existing Portions of Draft JLA4 Workbook</t>
  </si>
  <si>
    <t>Population and Demand Projections</t>
  </si>
  <si>
    <t>Supply Alternatives</t>
  </si>
  <si>
    <t>Supply Alternative 1</t>
  </si>
  <si>
    <t>Supply Alternative 2</t>
  </si>
  <si>
    <t>Supply Alternative 3</t>
  </si>
  <si>
    <t>Supply Alternative 4</t>
  </si>
  <si>
    <t>Supply Alternative 5</t>
  </si>
  <si>
    <t>Supply Alternatives Summary</t>
  </si>
  <si>
    <t>These sheets are where you fill in basic information about the Alternatives</t>
  </si>
  <si>
    <t>Other Alternative.</t>
  </si>
  <si>
    <t>This is the Jordan Lake RWSP Alternative.</t>
  </si>
  <si>
    <t>Support for your Allocation</t>
  </si>
  <si>
    <t xml:space="preserve">Table I.4 - Sales Contracts  </t>
  </si>
  <si>
    <t>Sources:</t>
  </si>
  <si>
    <t>Total New Supply (MGD)</t>
  </si>
  <si>
    <t>Other Notes:</t>
  </si>
  <si>
    <t xml:space="preserve">Purchase Contracts- Existing </t>
  </si>
  <si>
    <t>Sales Contracts</t>
  </si>
  <si>
    <t>Purchaser</t>
  </si>
  <si>
    <t>Residential/Commercial/Etc</t>
  </si>
  <si>
    <t>5-yr demand projections -</t>
  </si>
  <si>
    <t>&lt;-- Calculated from above, but feel free to replace as appropriate with more accurate 5-year projections.</t>
  </si>
  <si>
    <t>5-yr population projections</t>
  </si>
  <si>
    <t xml:space="preserve">  (or else, paste into the "Sales Commitments" of the Population and Demand Projections tab)</t>
  </si>
  <si>
    <t>Contact Information</t>
  </si>
  <si>
    <t>Local Government Entity</t>
  </si>
  <si>
    <t>Water System PWSID #</t>
  </si>
  <si>
    <t xml:space="preserve">Contact Person </t>
  </si>
  <si>
    <t>Title</t>
  </si>
  <si>
    <t>Email</t>
  </si>
  <si>
    <t>Phone 1</t>
  </si>
  <si>
    <t>Phone 2</t>
  </si>
  <si>
    <t>Section V - Alternatives</t>
  </si>
  <si>
    <t>CMR</t>
  </si>
  <si>
    <t>Chatham County</t>
  </si>
  <si>
    <t>River Withdrawal</t>
  </si>
  <si>
    <t>Haw River Withdrawal</t>
  </si>
  <si>
    <t>W. Fork Eno Reservoir Expansion</t>
  </si>
  <si>
    <t>Reservoir Expansion</t>
  </si>
  <si>
    <t>Stone Quarry Expansion</t>
  </si>
  <si>
    <t>Quarry Reservoir</t>
  </si>
  <si>
    <t>Teer Quarry Expansion</t>
  </si>
  <si>
    <t>Town of Mebane Purchase</t>
  </si>
  <si>
    <t>Total Projected Need (2045)</t>
  </si>
  <si>
    <t>Total Projected Need (2060)</t>
  </si>
  <si>
    <t>Need and Source Options</t>
  </si>
  <si>
    <t>Jordan Lake Allocation - Rd 4</t>
  </si>
  <si>
    <t>*</t>
  </si>
  <si>
    <t>Rd. 4 Allocation Request (% of storage)</t>
  </si>
  <si>
    <t>Current Contract</t>
  </si>
  <si>
    <t>[MGD]</t>
  </si>
  <si>
    <t>Subdiv. A</t>
  </si>
  <si>
    <t>Demand in Year:</t>
  </si>
  <si>
    <t>Jurisdiction</t>
  </si>
  <si>
    <t>Cary</t>
  </si>
  <si>
    <t>Morrisville</t>
  </si>
  <si>
    <t>Total</t>
  </si>
  <si>
    <t>Supply Source</t>
  </si>
  <si>
    <t>Sub-basin</t>
  </si>
  <si>
    <t>Avg. day Supply (MGD)</t>
  </si>
  <si>
    <t>Jordan Lake Allocation - Level I</t>
  </si>
  <si>
    <t>L. Michie and Little River Reservoir</t>
  </si>
  <si>
    <t>Reservoir System</t>
  </si>
  <si>
    <t>L. Orange, Ben Johnston, &amp; W. Fk. Eno Res</t>
  </si>
  <si>
    <t>Jordan Lake Allocation - Level II</t>
  </si>
  <si>
    <t>Harnett County - Cape Fear River</t>
  </si>
  <si>
    <t>Town of Mebane - Graham-Mebane Res.</t>
  </si>
  <si>
    <t>Cane Cr. Reservoir and University L.</t>
  </si>
  <si>
    <t>Haw River</t>
  </si>
  <si>
    <t>Falls Lake</t>
  </si>
  <si>
    <t>Falls Lake Allocation</t>
  </si>
  <si>
    <t>Lake Benson and Lake Wheeler</t>
  </si>
  <si>
    <t>Cape Fear River</t>
  </si>
  <si>
    <t>Current Supply Sources</t>
  </si>
  <si>
    <t>WS IV B NSW CA</t>
  </si>
  <si>
    <t>WS-II/HQW/NSW</t>
  </si>
  <si>
    <t>WS-II HQW NSW</t>
  </si>
  <si>
    <t>WS IV NSW</t>
  </si>
  <si>
    <t>WS IV-NSW</t>
  </si>
  <si>
    <t>WS II-NSW</t>
  </si>
  <si>
    <t>WS III NSW CA</t>
  </si>
  <si>
    <t>???</t>
  </si>
  <si>
    <t>WS-IV NSW ?</t>
  </si>
  <si>
    <t>Name</t>
  </si>
  <si>
    <t>Year Online</t>
  </si>
  <si>
    <t>Jordan Lake Allocation Round 4</t>
  </si>
  <si>
    <t xml:space="preserve">Jordan Lake </t>
  </si>
  <si>
    <t>Jordan Lake Allocation - Future</t>
  </si>
  <si>
    <t>Jordan Lake Allocation- Future Rounds</t>
  </si>
  <si>
    <t xml:space="preserve">WS-IV NSW </t>
  </si>
  <si>
    <t>0-2.6</t>
  </si>
  <si>
    <t>Jordan Lake Allocation - Future Round</t>
  </si>
  <si>
    <t>Town of Mebane Purchase (2)</t>
  </si>
  <si>
    <t>Haw River Withdrawal (2)</t>
  </si>
  <si>
    <t>JLP Recommended Alternative Composition, by Partner</t>
  </si>
  <si>
    <t>&lt;-- Manually modify additional supply and Year online if the alternative differs from the default source option.</t>
  </si>
  <si>
    <t>^ PWSID is your system's unless otherwise noted.</t>
  </si>
  <si>
    <t>Future Supply Alternative 1 - JLP Recommended Alternative</t>
  </si>
  <si>
    <t>Timeliness</t>
  </si>
  <si>
    <t>Alt. 1</t>
  </si>
  <si>
    <t>Alt. 2</t>
  </si>
  <si>
    <t xml:space="preserve">Section V </t>
  </si>
  <si>
    <t>Section IV</t>
  </si>
  <si>
    <t>Figure V.2 – Timeline of need versus new water supply for the alternatives</t>
  </si>
  <si>
    <t>Figure V.1 –Map of Water Supply Source Options</t>
  </si>
  <si>
    <t>(optional map.  Re-number if you don't include)</t>
  </si>
  <si>
    <t>(This figure shows the timing of additional sources coming online.)</t>
  </si>
  <si>
    <t>Section VI</t>
  </si>
  <si>
    <t>Instructions:</t>
  </si>
  <si>
    <t>Fill out as much information as you can for the DataIn tab.  Use the JLPData tab to help.</t>
  </si>
  <si>
    <t>1. Fill Out DataIn</t>
  </si>
  <si>
    <t>2. Fill Out Contact Info_Use Sector Desc</t>
  </si>
  <si>
    <t>Fill out your contact info and sector descriptions in the Contact Info_Use Sector Desc tab</t>
  </si>
  <si>
    <t>3. Verify &amp; Complete Population &amp; Demand Projections</t>
  </si>
  <si>
    <t>Open the Population&amp;Demand Projections tab.  Verify that numbers are correct.  Complete the Existing and Future Sales sections, and Future Sources sections if applicable.  Double check all numbers and calculations.</t>
  </si>
  <si>
    <t>5. Construct other supply alternatives</t>
  </si>
  <si>
    <t>4. Construct Supply Alternative 1</t>
  </si>
  <si>
    <t>Go to Supply Alternative 1 tab.  Look to the green cells at bottom left and enter 1, 2, or 3 to activate the source next to the box.  If necessary, manually adjust the Supply or year online.  Use the JLPData tab to verify that Alternative 1 is correct for your system.</t>
  </si>
  <si>
    <t>6. Fill Out Supply Alternatives Summary</t>
  </si>
  <si>
    <t>Fill out Alternative Descriptions and the Alternative Ratings table for all of the Alternatives you are evaluating.</t>
  </si>
  <si>
    <t xml:space="preserve">Go to the ReportTables to find report tables formatted and organized by report section.  </t>
  </si>
  <si>
    <t>Go to the ReportFigures tab to find some of the figures needed for the application organized by section.</t>
  </si>
  <si>
    <t>This include Contact information and Use Sector Descriptions.</t>
  </si>
  <si>
    <t xml:space="preserve">This has the population and demand projections, including information on sources. </t>
  </si>
  <si>
    <t>Contact Info_Use Sector Desc</t>
  </si>
  <si>
    <t xml:space="preserve">If the data format is too confusing, manually enter data wherever you need to, and verify the totals, etc. where needed. </t>
  </si>
  <si>
    <t>These are your worksheets - Adjust as needed.</t>
  </si>
  <si>
    <t>Jurisidiction</t>
  </si>
  <si>
    <t xml:space="preserve">Orange County </t>
  </si>
  <si>
    <t>Projected Need</t>
  </si>
  <si>
    <t>ContactInfo_UseSector Desc</t>
  </si>
  <si>
    <t>Other Data Entry tasks</t>
  </si>
  <si>
    <t>Go to this tab to enter contact information and use sector descriptions.</t>
  </si>
  <si>
    <t>&lt;---Enter your demand data in these rows.  You must enter the correct data in the correct row.</t>
  </si>
  <si>
    <t xml:space="preserve">    for the Population &amp; Demand Projections sheet to work.</t>
  </si>
  <si>
    <t>&lt;-- Enter data on your current sales contracts.</t>
  </si>
  <si>
    <t>Table V.1 Source options descriptions</t>
  </si>
  <si>
    <r>
      <t xml:space="preserve">Table V.2 - Alternatives description  -  </t>
    </r>
    <r>
      <rPr>
        <sz val="10"/>
        <rFont val="Arial"/>
        <family val="2"/>
      </rPr>
      <t>See the Supply Alternatives summary.  Copy and paste text into report's table V.2</t>
    </r>
  </si>
  <si>
    <t>Table V.3 - Source Composition of Supply Alternatives</t>
  </si>
  <si>
    <t>&lt;-- Note: The sources are presented in the same order you place them in the Source options table.</t>
  </si>
  <si>
    <t>Table V.4 - Water Supply Alternatives Ratings</t>
  </si>
  <si>
    <t>Table VI.1 - Implementation timeline</t>
  </si>
  <si>
    <t xml:space="preserve">   (work in progress)</t>
  </si>
  <si>
    <t>Table VI.2 - Jordan Lake Costs</t>
  </si>
  <si>
    <t xml:space="preserve">  (no template provided - see guidance in application guidance.)</t>
  </si>
  <si>
    <t>Table VI.3 - Overall costs for selected alternative</t>
  </si>
  <si>
    <t>(Create your own table to represent your cost data.)</t>
  </si>
  <si>
    <t xml:space="preserve">Sales timeline (optional) Use if desired in report.  </t>
  </si>
  <si>
    <t>Add drawings, maps, schematics, photos as necessary to provide more complete descriptions of the Alternatives.</t>
  </si>
  <si>
    <t>Figures V.X - XX - Source Alternative Figures</t>
  </si>
  <si>
    <t>[Name/Title here]</t>
  </si>
  <si>
    <t>&lt;--- Fill out discharge and Source basin information on your own.</t>
  </si>
  <si>
    <t>Repeat process of activating source by typing 1, 2, or 3 at lower left for the rest of the 'Supply Alternative _' tabs.  Fill out discharge/consumptive use section of upper table on your own.</t>
  </si>
  <si>
    <t xml:space="preserve">This is where you provide a brief description of and rate all of the alternatives.  </t>
  </si>
  <si>
    <t>This tab.  Start here and read below.</t>
  </si>
  <si>
    <t xml:space="preserve">Data entered into tables in DataIn tab </t>
  </si>
  <si>
    <t>Any data already entered into the DataIn tab, or the supply alternatives summary is just to illustrate the data format.  Please delete this data and replace with your own.</t>
  </si>
  <si>
    <t>8. Use ReportFigures for report.</t>
  </si>
  <si>
    <t>7.  Use the ReportTables to fill out report.</t>
  </si>
  <si>
    <t>Population</t>
  </si>
  <si>
    <t>Overall  Demand</t>
  </si>
  <si>
    <t>&lt;-- Enter the date you complete filling out this workbook.</t>
  </si>
  <si>
    <t>Population &amp; Demand Projections</t>
  </si>
  <si>
    <t>Enter data on contracts/sales, and future sources.</t>
  </si>
  <si>
    <t>Enter data on Alternatives: Descriptions and ratings.</t>
  </si>
  <si>
    <t>Supply Alternative _ tabs</t>
  </si>
  <si>
    <t>Enter the sources (type 1, 2, or 3 at lower left).  Adjust supply, year online if necessary.  Fill out return flow/consumption/basin information.</t>
  </si>
  <si>
    <t>Version 1.</t>
  </si>
  <si>
    <t>Last modified 11/11/13</t>
  </si>
  <si>
    <t>Example System</t>
  </si>
  <si>
    <t>03-45-678</t>
  </si>
  <si>
    <t>JorLaPolis</t>
  </si>
  <si>
    <t>Tinyville</t>
  </si>
  <si>
    <t>PWSID (purchaser)</t>
  </si>
  <si>
    <t>03-45-999</t>
  </si>
  <si>
    <t>Neighborville</t>
  </si>
  <si>
    <t>03-45-001</t>
  </si>
  <si>
    <t>Purchase Contracts</t>
  </si>
  <si>
    <t>Big City</t>
  </si>
  <si>
    <t>03-41-000</t>
  </si>
  <si>
    <t>Sources</t>
  </si>
  <si>
    <t>JLP Reservoir</t>
  </si>
  <si>
    <t>Raise JLP Reservoir</t>
  </si>
  <si>
    <t xml:space="preserve"> 1 - 3</t>
  </si>
  <si>
    <t xml:space="preserve"> 0 - 6</t>
  </si>
  <si>
    <t>JorLa Quarry Reservoir</t>
  </si>
  <si>
    <t>Purchase from Big City</t>
  </si>
  <si>
    <t>Muddy Creek Withdrawal</t>
  </si>
  <si>
    <t>Paste this table as a whole into a new blank row in the word document.  Don't try to paste values into existing table.</t>
  </si>
  <si>
    <t>&lt;-- Add lines as needed if more than 3 sources.</t>
  </si>
  <si>
    <t>&lt;-- It's clearer if you make the text after the first instance match the background formatting.</t>
  </si>
  <si>
    <t>TOTAL NEW SUPPLY</t>
  </si>
  <si>
    <t>Delete Data and Replace with your own.</t>
  </si>
  <si>
    <t>This is an example of data for a made up system.  Copy and paste (paste special&gt;values) the data into the relevant tabs on the "DataIn" tab to get an idea how the spreadsheet works.</t>
  </si>
  <si>
    <t>Note: In general, DWR wants to see the entire Contract amount available for supply for both sales and purchase contracts.</t>
  </si>
  <si>
    <t>If you use the equivalent supply column to claim a lower supply than the contract amount, explain why in Section III.</t>
  </si>
  <si>
    <t xml:space="preserve">   Leave off equivalent supply column if it is equivalent to the Contract Amount.</t>
  </si>
  <si>
    <t>Service Area</t>
  </si>
  <si>
    <t>Area A</t>
  </si>
  <si>
    <t>Area B</t>
  </si>
  <si>
    <t>Area C</t>
  </si>
  <si>
    <t xml:space="preserve">&lt;-- Don't include any lines you don't need.  Most applicants can exclude the first column if there is only one set of population figures.  </t>
  </si>
  <si>
    <t>&lt;-- Only include TOTAL row if you have more than one row of population numbers.</t>
  </si>
  <si>
    <t>Distribution System Process</t>
  </si>
  <si>
    <t>Water Treatment Process</t>
  </si>
  <si>
    <t>Current Supply</t>
  </si>
  <si>
    <t>Existing Demand</t>
  </si>
  <si>
    <t>Currently Supportable Demand</t>
  </si>
  <si>
    <t>Optional</t>
  </si>
  <si>
    <t>Figure IV.1 - Projected Demand and Need relative to Current Supply.</t>
  </si>
  <si>
    <t>WS-II HQW NSW CA</t>
  </si>
  <si>
    <t>Time (yrs)</t>
  </si>
  <si>
    <t xml:space="preserve">Year  </t>
  </si>
  <si>
    <t>Section</t>
  </si>
  <si>
    <t>First Draft</t>
  </si>
  <si>
    <t>Final Draft</t>
  </si>
  <si>
    <t>Final</t>
  </si>
  <si>
    <t>Application</t>
  </si>
  <si>
    <t>Jordan Lake Round 4 Allocation Application Division of Responsibility Table</t>
  </si>
  <si>
    <t xml:space="preserve">Responsible  </t>
  </si>
  <si>
    <t>Party</t>
  </si>
  <si>
    <t>Secondary</t>
  </si>
  <si>
    <t>Heading</t>
  </si>
  <si>
    <t>Introduction</t>
  </si>
  <si>
    <t>Water Demand Forecast</t>
  </si>
  <si>
    <t>Conservation and Demand</t>
  </si>
  <si>
    <t>Management</t>
  </si>
  <si>
    <t>Current Water</t>
  </si>
  <si>
    <t>Future Water</t>
  </si>
  <si>
    <t>Supply Needs</t>
  </si>
  <si>
    <t>Alternative Water</t>
  </si>
  <si>
    <t>Supply Options</t>
  </si>
  <si>
    <t>Plans to Use</t>
  </si>
  <si>
    <t>Kevin Lindley</t>
  </si>
  <si>
    <t>Tom Davis</t>
  </si>
  <si>
    <t>TBD</t>
  </si>
  <si>
    <t>Tom Altieri</t>
  </si>
  <si>
    <t>Craig Benedict</t>
  </si>
  <si>
    <t>N/A</t>
  </si>
  <si>
    <t>Commercial/Industrial</t>
  </si>
  <si>
    <t>Conservation</t>
  </si>
  <si>
    <t>City of Mebane</t>
  </si>
  <si>
    <t>Mebane Supply</t>
  </si>
  <si>
    <t>0.25-2.0</t>
  </si>
  <si>
    <t>2.0-4.0</t>
  </si>
  <si>
    <t>Staff Engineer</t>
  </si>
  <si>
    <t>klindley@orangecountync.gov</t>
  </si>
  <si>
    <t>919-245-2583</t>
  </si>
  <si>
    <t>All Residential</t>
  </si>
  <si>
    <t>All residential uses</t>
  </si>
  <si>
    <t xml:space="preserve">All Non-residential  </t>
  </si>
  <si>
    <t>All Non-residential uses</t>
  </si>
  <si>
    <t>All Non-revenue is combined into this one category.</t>
  </si>
  <si>
    <t xml:space="preserve">(8) Total Service Area Demand </t>
  </si>
  <si>
    <t>(6) All Non-revenue water (7.5%)</t>
  </si>
  <si>
    <t>(7) Conservation/Efficiency (-2.85% per decade)</t>
  </si>
  <si>
    <t>Yes, JLP</t>
  </si>
  <si>
    <t>Yes</t>
  </si>
  <si>
    <t>Complex</t>
  </si>
  <si>
    <t>Few</t>
  </si>
  <si>
    <t xml:space="preserve">Yes </t>
  </si>
  <si>
    <t>Alt 2 Cost estimate</t>
  </si>
  <si>
    <t>Based on installing 5-6000 feet of 12" water line to connect the Town of Hillsborough to the OAWS 12 line at Corporation Lake.</t>
  </si>
  <si>
    <t>feet</t>
  </si>
  <si>
    <t>lf</t>
  </si>
  <si>
    <t>These numbers represent the range of $/lf from BM2 bid, Alt. 2</t>
  </si>
  <si>
    <t>City of Mebane Supply</t>
  </si>
  <si>
    <t xml:space="preserve">This alternative is the preferred alternative and was developed in collaboration with, and is supported by the Jordan Lake Partnership.  This option includes requesting a Jordan Lake allocation to cover the future demand from the eastern and central service areas only, which would be served by the distribution systems of City of Durham and Town of Hillsborough, respectively.  The water supply to serve the western service area would come from the City of Mebane. </t>
  </si>
  <si>
    <t>This alternative assumes that 100% of future need is provided through a Jordan Lake allocation.  This would involve a significant investment in upgrading the infrastructure needed to get our allocation to the western service area, along with coordination and interconnection agreements with more water systems than Alternative 1.</t>
  </si>
  <si>
    <t>Alternative 1 Unit Cost</t>
  </si>
  <si>
    <t>Annualized cost of capital and maintenance for the period of record, divided by the expected yield.</t>
  </si>
  <si>
    <t>Cost/Years in period of interest = Annual Cost (A)</t>
  </si>
  <si>
    <t>Unit Cost = A/Number of 1000 gallons per day of yield (N)</t>
  </si>
  <si>
    <t xml:space="preserve">Cost = Distribution/Transmission Capital Cost+Jordan Lake Capital Cost + Annual Jordan Lake Maintenance Payment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</si>
</sst>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_(&quot;$&quot;* \(#,##0.00\);_(&quot;$&quot;* &quot;-&quot;??_);_(@_)"/>
    <numFmt numFmtId="164" formatCode="0.000_);[Red]\(0.000\)"/>
    <numFmt numFmtId="165" formatCode="0.000"/>
    <numFmt numFmtId="166" formatCode="[$-409]d\-mmm\-yy;@"/>
    <numFmt numFmtId="167" formatCode="0.0"/>
    <numFmt numFmtId="168" formatCode="#,##0.0"/>
    <numFmt numFmtId="169" formatCode="0.00_);[Red]\(0.00\)"/>
  </numFmts>
  <fonts count="73" x14ac:knownFonts="1">
    <font>
      <sz val="10"/>
      <name val="Arial"/>
    </font>
    <font>
      <sz val="10"/>
      <name val="Arial"/>
      <family val="2"/>
    </font>
    <font>
      <sz val="9"/>
      <name val="Arial"/>
      <family val="2"/>
    </font>
    <font>
      <b/>
      <sz val="9"/>
      <name val="Arial"/>
      <family val="2"/>
    </font>
    <font>
      <b/>
      <sz val="11"/>
      <name val="Arial"/>
      <family val="2"/>
    </font>
    <font>
      <sz val="8"/>
      <name val="Arial"/>
      <family val="2"/>
    </font>
    <font>
      <sz val="11"/>
      <name val="Arial"/>
      <family val="2"/>
    </font>
    <font>
      <b/>
      <sz val="12"/>
      <name val="Arial"/>
      <family val="2"/>
    </font>
    <font>
      <sz val="12"/>
      <name val="Arial"/>
      <family val="2"/>
    </font>
    <font>
      <sz val="10"/>
      <name val="Arial"/>
      <family val="2"/>
    </font>
    <font>
      <b/>
      <sz val="10"/>
      <name val="Arial"/>
      <family val="2"/>
    </font>
    <font>
      <b/>
      <sz val="14"/>
      <name val="Arial"/>
      <family val="2"/>
    </font>
    <font>
      <sz val="8"/>
      <color indexed="81"/>
      <name val="Tahoma"/>
      <family val="2"/>
    </font>
    <font>
      <b/>
      <sz val="8"/>
      <color indexed="81"/>
      <name val="Tahoma"/>
      <family val="2"/>
    </font>
    <font>
      <b/>
      <sz val="12"/>
      <name val="Calibri"/>
      <family val="2"/>
    </font>
    <font>
      <b/>
      <sz val="12"/>
      <name val="Tw Cen MT Condensed"/>
      <family val="2"/>
    </font>
    <font>
      <sz val="12"/>
      <name val="Arial Narrow"/>
      <family val="2"/>
    </font>
    <font>
      <b/>
      <u/>
      <sz val="10"/>
      <name val="Arial"/>
      <family val="2"/>
    </font>
    <font>
      <b/>
      <sz val="10"/>
      <name val="Arial Narrow"/>
      <family val="2"/>
    </font>
    <font>
      <b/>
      <sz val="12"/>
      <color rgb="FFFF0000"/>
      <name val="Arial"/>
      <family val="2"/>
    </font>
    <font>
      <b/>
      <sz val="12"/>
      <color rgb="FFFFFFFF"/>
      <name val="Tw Cen MT Condensed"/>
      <family val="2"/>
    </font>
    <font>
      <b/>
      <sz val="10"/>
      <color rgb="FF00421E"/>
      <name val="Arial"/>
      <family val="2"/>
    </font>
    <font>
      <b/>
      <sz val="11"/>
      <color theme="0"/>
      <name val="Tw Cen MT Condensed"/>
      <family val="2"/>
    </font>
    <font>
      <b/>
      <sz val="10"/>
      <color rgb="FF003300"/>
      <name val="Arial"/>
      <family val="2"/>
    </font>
    <font>
      <b/>
      <sz val="11"/>
      <name val="Tw Cen MT Condensed"/>
      <family val="2"/>
    </font>
    <font>
      <b/>
      <sz val="11"/>
      <name val="Arial Narrow"/>
      <family val="2"/>
    </font>
    <font>
      <b/>
      <sz val="11"/>
      <color rgb="FFFFFFFF"/>
      <name val="Tw Cen MT Condensed"/>
      <family val="2"/>
    </font>
    <font>
      <u/>
      <sz val="10"/>
      <color theme="10"/>
      <name val="Arial"/>
      <family val="2"/>
    </font>
    <font>
      <b/>
      <sz val="12"/>
      <name val="Arial Narrow"/>
      <family val="2"/>
    </font>
    <font>
      <sz val="12"/>
      <name val="Tw Cen MT Condensed"/>
      <family val="2"/>
    </font>
    <font>
      <u/>
      <sz val="10"/>
      <name val="Arial"/>
      <family val="2"/>
    </font>
    <font>
      <i/>
      <sz val="12"/>
      <name val="Arial Narrow"/>
      <family val="2"/>
    </font>
    <font>
      <sz val="11"/>
      <color rgb="FFFF0000"/>
      <name val="Calibri"/>
      <family val="2"/>
      <scheme val="minor"/>
    </font>
    <font>
      <i/>
      <sz val="11"/>
      <color theme="5" tint="-0.249977111117893"/>
      <name val="Calibri"/>
      <family val="2"/>
      <scheme val="minor"/>
    </font>
    <font>
      <b/>
      <sz val="14"/>
      <name val="Tw Cen MT Condensed"/>
      <family val="2"/>
    </font>
    <font>
      <b/>
      <sz val="10"/>
      <color rgb="FF006600"/>
      <name val="Arial"/>
      <family val="2"/>
    </font>
    <font>
      <sz val="9"/>
      <color indexed="81"/>
      <name val="Tahoma"/>
      <family val="2"/>
    </font>
    <font>
      <b/>
      <sz val="9"/>
      <color indexed="81"/>
      <name val="Tahoma"/>
      <family val="2"/>
    </font>
    <font>
      <b/>
      <sz val="10"/>
      <color theme="0"/>
      <name val="Arial"/>
      <family val="2"/>
    </font>
    <font>
      <b/>
      <i/>
      <sz val="10"/>
      <color rgb="FF006600"/>
      <name val="Arial"/>
      <family val="2"/>
    </font>
    <font>
      <b/>
      <sz val="11"/>
      <color theme="1"/>
      <name val="Calibri"/>
      <family val="2"/>
      <scheme val="minor"/>
    </font>
    <font>
      <b/>
      <i/>
      <sz val="12"/>
      <color rgb="FFC00000"/>
      <name val="Arial Narrow"/>
      <family val="2"/>
    </font>
    <font>
      <b/>
      <u/>
      <sz val="12"/>
      <color rgb="FFFFFFFF"/>
      <name val="Tw Cen MT Condensed"/>
      <family val="2"/>
    </font>
    <font>
      <b/>
      <sz val="14"/>
      <name val="Arial Narrow"/>
      <family val="2"/>
    </font>
    <font>
      <b/>
      <i/>
      <sz val="12"/>
      <name val="Arial"/>
      <family val="2"/>
    </font>
    <font>
      <sz val="24"/>
      <name val="Arial"/>
      <family val="2"/>
    </font>
    <font>
      <b/>
      <sz val="11"/>
      <color rgb="FF000000"/>
      <name val="Calibri"/>
      <family val="2"/>
    </font>
    <font>
      <i/>
      <sz val="11"/>
      <color rgb="FF000000"/>
      <name val="Calibri"/>
      <family val="2"/>
    </font>
    <font>
      <sz val="11"/>
      <color theme="1"/>
      <name val="Calibri"/>
      <family val="2"/>
    </font>
    <font>
      <sz val="11"/>
      <color rgb="FF000000"/>
      <name val="Calibri"/>
      <family val="2"/>
    </font>
    <font>
      <i/>
      <sz val="11"/>
      <color rgb="FF963634"/>
      <name val="Calibri"/>
      <family val="2"/>
    </font>
    <font>
      <b/>
      <i/>
      <sz val="11"/>
      <color rgb="FF963634"/>
      <name val="Calibri"/>
      <family val="2"/>
    </font>
    <font>
      <i/>
      <sz val="11"/>
      <name val="Calibri"/>
      <family val="2"/>
    </font>
    <font>
      <sz val="11"/>
      <name val="Calibri"/>
      <family val="2"/>
    </font>
    <font>
      <i/>
      <sz val="11"/>
      <color theme="1"/>
      <name val="Calibri"/>
      <family val="2"/>
      <scheme val="minor"/>
    </font>
    <font>
      <sz val="11"/>
      <color theme="4" tint="-0.499984740745262"/>
      <name val="Calibri"/>
      <family val="2"/>
      <scheme val="minor"/>
    </font>
    <font>
      <i/>
      <sz val="11"/>
      <color theme="4" tint="-0.499984740745262"/>
      <name val="Calibri"/>
      <family val="2"/>
      <scheme val="minor"/>
    </font>
    <font>
      <sz val="10"/>
      <color theme="0"/>
      <name val="Arial"/>
      <family val="2"/>
    </font>
    <font>
      <b/>
      <sz val="9"/>
      <color rgb="FF006600"/>
      <name val="Arial"/>
      <family val="2"/>
    </font>
    <font>
      <b/>
      <sz val="9"/>
      <color theme="0"/>
      <name val="Arial"/>
      <family val="2"/>
    </font>
    <font>
      <b/>
      <sz val="11"/>
      <color rgb="FF006600"/>
      <name val="Arial"/>
      <family val="2"/>
    </font>
    <font>
      <b/>
      <sz val="11"/>
      <name val="Calibri"/>
      <family val="2"/>
    </font>
    <font>
      <sz val="11"/>
      <name val="Arial Narrow"/>
      <family val="2"/>
    </font>
    <font>
      <sz val="11"/>
      <name val="Tw Cen MT Condensed"/>
      <family val="2"/>
    </font>
    <font>
      <b/>
      <sz val="10"/>
      <color rgb="FFFFFFFF"/>
      <name val="Tw Cen MT Condensed"/>
      <family val="2"/>
    </font>
    <font>
      <sz val="10"/>
      <name val="Tw Cen MT Condensed"/>
      <family val="2"/>
    </font>
    <font>
      <sz val="11"/>
      <color theme="1"/>
      <name val="Arial Narrow"/>
      <family val="2"/>
    </font>
    <font>
      <b/>
      <sz val="10"/>
      <color theme="1"/>
      <name val="Arial"/>
      <family val="2"/>
    </font>
    <font>
      <b/>
      <sz val="14"/>
      <color theme="0"/>
      <name val="Tw Cen MT Condensed"/>
      <family val="2"/>
    </font>
    <font>
      <sz val="14"/>
      <color theme="0"/>
      <name val="Tw Cen MT Condensed"/>
      <family val="2"/>
    </font>
    <font>
      <sz val="11"/>
      <name val="Calibri"/>
      <family val="2"/>
      <scheme val="minor"/>
    </font>
    <font>
      <sz val="10"/>
      <name val="Arial"/>
      <family val="2"/>
    </font>
    <font>
      <u/>
      <sz val="12"/>
      <name val="Arial"/>
      <family val="2"/>
    </font>
  </fonts>
  <fills count="64">
    <fill>
      <patternFill patternType="none"/>
    </fill>
    <fill>
      <patternFill patternType="gray125"/>
    </fill>
    <fill>
      <patternFill patternType="solid">
        <fgColor indexed="43"/>
        <bgColor indexed="64"/>
      </patternFill>
    </fill>
    <fill>
      <patternFill patternType="solid">
        <fgColor indexed="13"/>
        <bgColor indexed="64"/>
      </patternFill>
    </fill>
    <fill>
      <patternFill patternType="solid">
        <fgColor indexed="41"/>
        <bgColor indexed="64"/>
      </patternFill>
    </fill>
    <fill>
      <patternFill patternType="solid">
        <fgColor indexed="15"/>
        <bgColor indexed="64"/>
      </patternFill>
    </fill>
    <fill>
      <patternFill patternType="gray0625">
        <fgColor indexed="8"/>
        <bgColor indexed="41"/>
      </patternFill>
    </fill>
    <fill>
      <patternFill patternType="gray0625">
        <fgColor indexed="8"/>
        <bgColor indexed="43"/>
      </patternFill>
    </fill>
    <fill>
      <patternFill patternType="solid">
        <fgColor indexed="51"/>
        <bgColor indexed="64"/>
      </patternFill>
    </fill>
    <fill>
      <patternFill patternType="solid">
        <fgColor indexed="45"/>
        <bgColor indexed="64"/>
      </patternFill>
    </fill>
    <fill>
      <patternFill patternType="solid">
        <fgColor rgb="FF00FFFF"/>
        <bgColor indexed="64"/>
      </patternFill>
    </fill>
    <fill>
      <patternFill patternType="solid">
        <fgColor rgb="FFCCFFFF"/>
        <bgColor indexed="64"/>
      </patternFill>
    </fill>
    <fill>
      <patternFill patternType="solid">
        <fgColor rgb="FFFFFF99"/>
        <bgColor indexed="64"/>
      </patternFill>
    </fill>
    <fill>
      <patternFill patternType="solid">
        <fgColor theme="7" tint="0.79998168889431442"/>
        <bgColor indexed="64"/>
      </patternFill>
    </fill>
    <fill>
      <patternFill patternType="solid">
        <fgColor rgb="FFFF66FF"/>
        <bgColor indexed="64"/>
      </patternFill>
    </fill>
    <fill>
      <patternFill patternType="solid">
        <fgColor theme="7" tint="0.59999389629810485"/>
        <bgColor indexed="64"/>
      </patternFill>
    </fill>
    <fill>
      <patternFill patternType="solid">
        <fgColor rgb="FF66FFFF"/>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CC66"/>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66FF66"/>
        <bgColor indexed="64"/>
      </patternFill>
    </fill>
    <fill>
      <patternFill patternType="solid">
        <fgColor rgb="FF66FF99"/>
        <bgColor indexed="64"/>
      </patternFill>
    </fill>
    <fill>
      <patternFill patternType="solid">
        <fgColor theme="0" tint="-0.249977111117893"/>
        <bgColor indexed="64"/>
      </patternFill>
    </fill>
    <fill>
      <patternFill patternType="solid">
        <fgColor rgb="FF003399"/>
        <bgColor indexed="64"/>
      </patternFill>
    </fill>
    <fill>
      <patternFill patternType="solid">
        <fgColor rgb="FF003300"/>
        <bgColor indexed="64"/>
      </patternFill>
    </fill>
    <fill>
      <patternFill patternType="solid">
        <fgColor rgb="FF62BA56"/>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1"/>
        <bgColor indexed="64"/>
      </patternFill>
    </fill>
    <fill>
      <patternFill patternType="solid">
        <fgColor rgb="FFFFFF00"/>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rgb="FF00B0F0"/>
        <bgColor indexed="64"/>
      </patternFill>
    </fill>
    <fill>
      <patternFill patternType="solid">
        <fgColor rgb="FF21B2C9"/>
        <bgColor indexed="64"/>
      </patternFill>
    </fill>
    <fill>
      <patternFill patternType="gray0625">
        <fgColor indexed="8"/>
        <bgColor theme="4" tint="0.59999389629810485"/>
      </patternFill>
    </fill>
    <fill>
      <patternFill patternType="solid">
        <fgColor rgb="FFF2F2F2"/>
        <bgColor rgb="FF000000"/>
      </patternFill>
    </fill>
    <fill>
      <patternFill patternType="solid">
        <fgColor theme="0" tint="-0.14999847407452621"/>
        <bgColor theme="4" tint="0.79998168889431442"/>
      </patternFill>
    </fill>
    <fill>
      <patternFill patternType="solid">
        <fgColor theme="0"/>
        <bgColor indexed="64"/>
      </patternFill>
    </fill>
    <fill>
      <patternFill patternType="solid">
        <fgColor rgb="FFE6E17A"/>
        <bgColor indexed="64"/>
      </patternFill>
    </fill>
    <fill>
      <patternFill patternType="solid">
        <fgColor rgb="FF006600"/>
        <bgColor indexed="64"/>
      </patternFill>
    </fill>
    <fill>
      <patternFill patternType="solid">
        <fgColor theme="3" tint="-0.249977111117893"/>
        <bgColor indexed="64"/>
      </patternFill>
    </fill>
    <fill>
      <patternFill patternType="solid">
        <fgColor theme="7" tint="-0.249977111117893"/>
        <bgColor indexed="64"/>
      </patternFill>
    </fill>
    <fill>
      <patternFill patternType="solid">
        <fgColor theme="2" tint="-0.89999084444715716"/>
        <bgColor indexed="64"/>
      </patternFill>
    </fill>
    <fill>
      <patternFill patternType="solid">
        <fgColor rgb="FFC00000"/>
        <bgColor indexed="64"/>
      </patternFill>
    </fill>
    <fill>
      <patternFill patternType="solid">
        <fgColor theme="0" tint="-0.34998626667073579"/>
        <bgColor indexed="64"/>
      </patternFill>
    </fill>
    <fill>
      <patternFill patternType="solid">
        <fgColor theme="1" tint="0.14999847407452621"/>
        <bgColor indexed="64"/>
      </patternFill>
    </fill>
    <fill>
      <patternFill patternType="solid">
        <fgColor theme="3" tint="0.39997558519241921"/>
        <bgColor indexed="64"/>
      </patternFill>
    </fill>
    <fill>
      <patternFill patternType="solid">
        <fgColor theme="2"/>
        <bgColor indexed="64"/>
      </patternFill>
    </fill>
    <fill>
      <patternFill patternType="solid">
        <fgColor rgb="FF0070C0"/>
        <bgColor indexed="64"/>
      </patternFill>
    </fill>
    <fill>
      <patternFill patternType="solid">
        <fgColor theme="2" tint="-0.749992370372631"/>
        <bgColor indexed="64"/>
      </patternFill>
    </fill>
    <fill>
      <patternFill patternType="solid">
        <fgColor theme="5" tint="-0.249977111117893"/>
        <bgColor indexed="64"/>
      </patternFill>
    </fill>
    <fill>
      <patternFill patternType="solid">
        <fgColor rgb="FF9FA301"/>
        <bgColor indexed="64"/>
      </patternFill>
    </fill>
    <fill>
      <patternFill patternType="solid">
        <fgColor rgb="FF5535A5"/>
        <bgColor indexed="64"/>
      </patternFill>
    </fill>
    <fill>
      <patternFill patternType="solid">
        <fgColor rgb="FFBE6402"/>
        <bgColor indexed="64"/>
      </patternFill>
    </fill>
    <fill>
      <patternFill patternType="solid">
        <fgColor rgb="FFEF8585"/>
        <bgColor indexed="64"/>
      </patternFill>
    </fill>
    <fill>
      <patternFill patternType="solid">
        <fgColor rgb="FFB19BD1"/>
        <bgColor indexed="64"/>
      </patternFill>
    </fill>
    <fill>
      <patternFill patternType="solid">
        <fgColor rgb="FFFAAE62"/>
        <bgColor indexed="64"/>
      </patternFill>
    </fill>
    <fill>
      <patternFill patternType="solid">
        <fgColor rgb="FFFFFF33"/>
        <bgColor indexed="64"/>
      </patternFill>
    </fill>
    <fill>
      <patternFill patternType="solid">
        <fgColor rgb="FF4DB3F9"/>
        <bgColor indexed="64"/>
      </patternFill>
    </fill>
  </fills>
  <borders count="77">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top/>
      <bottom style="double">
        <color indexed="64"/>
      </bottom>
      <diagonal/>
    </border>
    <border>
      <left/>
      <right/>
      <top/>
      <bottom style="thick">
        <color indexed="64"/>
      </bottom>
      <diagonal/>
    </border>
    <border>
      <left/>
      <right/>
      <top style="double">
        <color indexed="64"/>
      </top>
      <bottom style="thick">
        <color indexed="64"/>
      </bottom>
      <diagonal/>
    </border>
    <border>
      <left style="medium">
        <color rgb="FFFFFFFF"/>
      </left>
      <right/>
      <top style="thick">
        <color rgb="FF000000"/>
      </top>
      <bottom style="double">
        <color indexed="64"/>
      </bottom>
      <diagonal/>
    </border>
    <border>
      <left/>
      <right/>
      <top style="thick">
        <color rgb="FF000000"/>
      </top>
      <bottom style="double">
        <color indexed="64"/>
      </bottom>
      <diagonal/>
    </border>
    <border>
      <left/>
      <right/>
      <top/>
      <bottom style="medium">
        <color rgb="FFFFFFFF"/>
      </bottom>
      <diagonal/>
    </border>
    <border>
      <left/>
      <right/>
      <top style="medium">
        <color rgb="FFFFFFFF"/>
      </top>
      <bottom style="double">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right/>
      <top style="double">
        <color indexed="64"/>
      </top>
      <bottom style="thin">
        <color theme="0" tint="-0.499984740745262"/>
      </bottom>
      <diagonal/>
    </border>
    <border>
      <left/>
      <right/>
      <top style="thin">
        <color theme="0" tint="-0.499984740745262"/>
      </top>
      <bottom style="thin">
        <color theme="0" tint="-0.499984740745262"/>
      </bottom>
      <diagonal/>
    </border>
    <border>
      <left/>
      <right/>
      <top style="thin">
        <color theme="0" tint="-0.499984740745262"/>
      </top>
      <bottom style="double">
        <color indexed="64"/>
      </bottom>
      <diagonal/>
    </border>
    <border>
      <left/>
      <right/>
      <top/>
      <bottom style="medium">
        <color indexed="64"/>
      </bottom>
      <diagonal/>
    </border>
    <border>
      <left/>
      <right/>
      <top style="thin">
        <color theme="0" tint="-0.499984740745262"/>
      </top>
      <bottom style="medium">
        <color indexed="64"/>
      </bottom>
      <diagonal/>
    </border>
    <border>
      <left/>
      <right/>
      <top style="double">
        <color indexed="64"/>
      </top>
      <bottom style="medium">
        <color theme="0"/>
      </bottom>
      <diagonal/>
    </border>
    <border>
      <left/>
      <right/>
      <top style="medium">
        <color theme="0"/>
      </top>
      <bottom style="medium">
        <color theme="0"/>
      </bottom>
      <diagonal/>
    </border>
    <border>
      <left/>
      <right/>
      <top/>
      <bottom style="medium">
        <color theme="0"/>
      </bottom>
      <diagonal/>
    </border>
    <border>
      <left/>
      <right/>
      <top/>
      <bottom style="thin">
        <color theme="0" tint="-0.499984740745262"/>
      </bottom>
      <diagonal/>
    </border>
    <border>
      <left style="medium">
        <color rgb="FFFFFFFF"/>
      </left>
      <right/>
      <top style="thick">
        <color rgb="FF000000"/>
      </top>
      <bottom/>
      <diagonal/>
    </border>
    <border>
      <left style="medium">
        <color rgb="FFFFFFFF"/>
      </left>
      <right/>
      <top/>
      <bottom style="double">
        <color indexed="64"/>
      </bottom>
      <diagonal/>
    </border>
    <border>
      <left/>
      <right/>
      <top style="thick">
        <color rgb="FF000000"/>
      </top>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medium">
        <color indexed="64"/>
      </bottom>
      <diagonal/>
    </border>
    <border>
      <left style="medium">
        <color indexed="64"/>
      </left>
      <right style="medium">
        <color indexed="64"/>
      </right>
      <top/>
      <bottom/>
      <diagonal/>
    </border>
    <border>
      <left style="thin">
        <color indexed="64"/>
      </left>
      <right/>
      <top/>
      <bottom style="thin">
        <color indexed="64"/>
      </bottom>
      <diagonal/>
    </border>
    <border>
      <left style="medium">
        <color indexed="64"/>
      </left>
      <right/>
      <top/>
      <bottom style="thin">
        <color indexed="64"/>
      </bottom>
      <diagonal/>
    </border>
    <border>
      <left/>
      <right/>
      <top style="double">
        <color indexed="64"/>
      </top>
      <bottom style="thin">
        <color theme="1" tint="0.499984740745262"/>
      </bottom>
      <diagonal/>
    </border>
    <border>
      <left/>
      <right/>
      <top style="thin">
        <color theme="1" tint="0.499984740745262"/>
      </top>
      <bottom style="thin">
        <color theme="1" tint="0.499984740745262"/>
      </bottom>
      <diagonal/>
    </border>
    <border>
      <left/>
      <right/>
      <top style="thin">
        <color theme="1" tint="0.499984740745262"/>
      </top>
      <bottom style="double">
        <color indexed="64"/>
      </bottom>
      <diagonal/>
    </border>
    <border>
      <left/>
      <right/>
      <top style="medium">
        <color theme="0"/>
      </top>
      <bottom/>
      <diagonal/>
    </border>
    <border>
      <left/>
      <right/>
      <top style="double">
        <color indexed="64"/>
      </top>
      <bottom style="thin">
        <color theme="0" tint="-0.34998626667073579"/>
      </bottom>
      <diagonal/>
    </border>
    <border>
      <left/>
      <right/>
      <top style="thin">
        <color theme="0" tint="-0.34998626667073579"/>
      </top>
      <bottom style="thin">
        <color theme="0" tint="-0.34998626667073579"/>
      </bottom>
      <diagonal/>
    </border>
    <border>
      <left/>
      <right/>
      <top style="thin">
        <color theme="0" tint="-0.34998626667073579"/>
      </top>
      <bottom style="medium">
        <color indexed="64"/>
      </bottom>
      <diagonal/>
    </border>
    <border>
      <left/>
      <right/>
      <top style="thin">
        <color theme="0"/>
      </top>
      <bottom style="thin">
        <color theme="0"/>
      </bottom>
      <diagonal/>
    </border>
    <border>
      <left/>
      <right/>
      <top style="thin">
        <color theme="0"/>
      </top>
      <bottom/>
      <diagonal/>
    </border>
    <border>
      <left/>
      <right/>
      <top style="medium">
        <color theme="0"/>
      </top>
      <bottom style="thin">
        <color theme="0"/>
      </bottom>
      <diagonal/>
    </border>
    <border>
      <left/>
      <right/>
      <top style="thin">
        <color theme="0"/>
      </top>
      <bottom style="medium">
        <color indexed="64"/>
      </bottom>
      <diagonal/>
    </border>
    <border>
      <left/>
      <right/>
      <top style="double">
        <color indexed="64"/>
      </top>
      <bottom/>
      <diagonal/>
    </border>
    <border>
      <left/>
      <right/>
      <top style="double">
        <color indexed="64"/>
      </top>
      <bottom style="thin">
        <color theme="0"/>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top style="thin">
        <color indexed="64"/>
      </top>
      <bottom/>
      <diagonal/>
    </border>
  </borders>
  <cellStyleXfs count="4">
    <xf numFmtId="0" fontId="0" fillId="0" borderId="0"/>
    <xf numFmtId="9" fontId="1" fillId="0" borderId="0" applyFont="0" applyFill="0" applyBorder="0" applyAlignment="0" applyProtection="0"/>
    <xf numFmtId="0" fontId="27" fillId="0" borderId="0" applyNumberFormat="0" applyFill="0" applyBorder="0" applyAlignment="0" applyProtection="0"/>
    <xf numFmtId="44" fontId="71" fillId="0" borderId="0" applyFont="0" applyFill="0" applyBorder="0" applyAlignment="0" applyProtection="0"/>
  </cellStyleXfs>
  <cellXfs count="479">
    <xf numFmtId="0" fontId="0" fillId="0" borderId="0" xfId="0"/>
    <xf numFmtId="0" fontId="2" fillId="0" borderId="0" xfId="0" applyFont="1"/>
    <xf numFmtId="0" fontId="3" fillId="0" borderId="0" xfId="0" applyFont="1"/>
    <xf numFmtId="0" fontId="2" fillId="2" borderId="1" xfId="0" applyFont="1" applyFill="1" applyBorder="1"/>
    <xf numFmtId="0" fontId="3" fillId="2" borderId="2" xfId="0" applyFont="1" applyFill="1" applyBorder="1" applyAlignment="1">
      <alignment horizontal="right"/>
    </xf>
    <xf numFmtId="0" fontId="2" fillId="3" borderId="3" xfId="0" applyFont="1" applyFill="1" applyBorder="1" applyAlignment="1">
      <alignment horizontal="center"/>
    </xf>
    <xf numFmtId="0" fontId="2" fillId="3" borderId="4" xfId="0" applyFont="1" applyFill="1" applyBorder="1" applyAlignment="1">
      <alignment horizontal="center"/>
    </xf>
    <xf numFmtId="0" fontId="2" fillId="2" borderId="2" xfId="0" applyFont="1" applyFill="1" applyBorder="1"/>
    <xf numFmtId="0" fontId="2" fillId="0" borderId="0" xfId="0" applyFont="1" applyBorder="1"/>
    <xf numFmtId="0" fontId="2" fillId="3" borderId="0" xfId="0" applyFont="1" applyFill="1" applyBorder="1"/>
    <xf numFmtId="0" fontId="2" fillId="3" borderId="7" xfId="0" applyFont="1" applyFill="1" applyBorder="1"/>
    <xf numFmtId="0" fontId="2" fillId="3" borderId="11" xfId="0" applyFont="1" applyFill="1" applyBorder="1"/>
    <xf numFmtId="0" fontId="2" fillId="3" borderId="3" xfId="0" quotePrefix="1" applyFont="1" applyFill="1" applyBorder="1" applyAlignment="1">
      <alignment horizontal="center"/>
    </xf>
    <xf numFmtId="0" fontId="3" fillId="3" borderId="12" xfId="0" applyFont="1" applyFill="1" applyBorder="1"/>
    <xf numFmtId="0" fontId="3" fillId="3" borderId="13" xfId="0" applyFont="1" applyFill="1" applyBorder="1"/>
    <xf numFmtId="0" fontId="3" fillId="3" borderId="14" xfId="0" applyFont="1" applyFill="1" applyBorder="1"/>
    <xf numFmtId="0" fontId="2" fillId="3" borderId="15" xfId="0" applyFont="1" applyFill="1" applyBorder="1"/>
    <xf numFmtId="0" fontId="2" fillId="3" borderId="15" xfId="0" applyFont="1" applyFill="1" applyBorder="1" applyAlignment="1">
      <alignment horizontal="center"/>
    </xf>
    <xf numFmtId="0" fontId="2" fillId="3" borderId="0" xfId="0" applyFont="1" applyFill="1" applyAlignment="1">
      <alignment horizontal="center"/>
    </xf>
    <xf numFmtId="0" fontId="2" fillId="3" borderId="4" xfId="0" applyFont="1" applyFill="1" applyBorder="1"/>
    <xf numFmtId="0" fontId="2" fillId="2" borderId="2" xfId="0" applyFont="1" applyFill="1" applyBorder="1" applyAlignment="1">
      <alignment horizontal="right"/>
    </xf>
    <xf numFmtId="0" fontId="3" fillId="2" borderId="2" xfId="0" applyFont="1" applyFill="1" applyBorder="1"/>
    <xf numFmtId="0" fontId="2" fillId="2" borderId="0" xfId="0" applyFont="1" applyFill="1" applyBorder="1"/>
    <xf numFmtId="0" fontId="2" fillId="2" borderId="7" xfId="0" applyFont="1" applyFill="1" applyBorder="1"/>
    <xf numFmtId="0" fontId="2" fillId="3" borderId="6" xfId="0" quotePrefix="1" applyFont="1" applyFill="1" applyBorder="1" applyAlignment="1">
      <alignment horizontal="center"/>
    </xf>
    <xf numFmtId="0" fontId="2" fillId="0" borderId="10" xfId="0" applyFont="1" applyBorder="1"/>
    <xf numFmtId="0" fontId="2" fillId="3" borderId="15" xfId="0" applyFont="1" applyFill="1" applyBorder="1" applyAlignment="1">
      <alignment horizontal="center" wrapText="1"/>
    </xf>
    <xf numFmtId="0" fontId="6" fillId="0" borderId="0" xfId="0" applyFont="1"/>
    <xf numFmtId="0" fontId="4" fillId="0" borderId="0" xfId="0" applyFont="1"/>
    <xf numFmtId="0" fontId="6" fillId="2" borderId="2" xfId="0" applyFont="1" applyFill="1" applyBorder="1"/>
    <xf numFmtId="0" fontId="6" fillId="2" borderId="2" xfId="0" applyFont="1" applyFill="1" applyBorder="1" applyAlignment="1">
      <alignment horizontal="center"/>
    </xf>
    <xf numFmtId="0" fontId="6" fillId="0" borderId="0" xfId="0" applyFont="1" applyAlignment="1">
      <alignment horizontal="center"/>
    </xf>
    <xf numFmtId="0" fontId="6" fillId="0" borderId="0" xfId="0" applyFont="1" applyBorder="1" applyAlignment="1">
      <alignment horizontal="center"/>
    </xf>
    <xf numFmtId="0" fontId="6" fillId="0" borderId="16" xfId="0" applyFont="1" applyBorder="1" applyAlignment="1">
      <alignment horizontal="center"/>
    </xf>
    <xf numFmtId="0" fontId="7" fillId="4" borderId="4" xfId="0" applyFont="1" applyFill="1" applyBorder="1"/>
    <xf numFmtId="0" fontId="7" fillId="5" borderId="2" xfId="0" applyFont="1" applyFill="1" applyBorder="1"/>
    <xf numFmtId="0" fontId="8" fillId="5" borderId="5" xfId="0" applyFont="1" applyFill="1" applyBorder="1" applyAlignment="1">
      <alignment horizontal="center"/>
    </xf>
    <xf numFmtId="0" fontId="7" fillId="4" borderId="2" xfId="0" applyFont="1" applyFill="1" applyBorder="1"/>
    <xf numFmtId="0" fontId="7" fillId="5" borderId="6" xfId="0" quotePrefix="1" applyFont="1" applyFill="1" applyBorder="1" applyAlignment="1">
      <alignment horizontal="center"/>
    </xf>
    <xf numFmtId="0" fontId="7" fillId="6" borderId="2" xfId="0" applyFont="1" applyFill="1" applyBorder="1" applyAlignment="1">
      <alignment horizontal="center"/>
    </xf>
    <xf numFmtId="0" fontId="7" fillId="4" borderId="2" xfId="0" applyFont="1" applyFill="1" applyBorder="1" applyAlignment="1">
      <alignment horizontal="center"/>
    </xf>
    <xf numFmtId="0" fontId="7" fillId="3" borderId="12" xfId="0" applyFont="1" applyFill="1" applyBorder="1"/>
    <xf numFmtId="0" fontId="7" fillId="3" borderId="13" xfId="0" applyFont="1" applyFill="1" applyBorder="1" applyAlignment="1">
      <alignment horizontal="center"/>
    </xf>
    <xf numFmtId="0" fontId="7" fillId="2" borderId="2" xfId="0" applyFont="1" applyFill="1" applyBorder="1"/>
    <xf numFmtId="0" fontId="7" fillId="7" borderId="2" xfId="0" applyFont="1" applyFill="1" applyBorder="1" applyAlignment="1">
      <alignment horizontal="center"/>
    </xf>
    <xf numFmtId="0" fontId="7" fillId="2" borderId="2" xfId="0" applyFont="1" applyFill="1" applyBorder="1" applyAlignment="1">
      <alignment horizontal="center"/>
    </xf>
    <xf numFmtId="0" fontId="7" fillId="7" borderId="2" xfId="0" applyFont="1" applyFill="1" applyBorder="1" applyAlignment="1">
      <alignment horizontal="left"/>
    </xf>
    <xf numFmtId="0" fontId="7" fillId="0" borderId="0" xfId="0" applyFont="1"/>
    <xf numFmtId="0" fontId="7" fillId="3" borderId="2" xfId="0" applyFont="1" applyFill="1" applyBorder="1" applyAlignment="1">
      <alignment horizontal="center"/>
    </xf>
    <xf numFmtId="0" fontId="7" fillId="3" borderId="2" xfId="0" quotePrefix="1" applyFont="1" applyFill="1" applyBorder="1" applyAlignment="1">
      <alignment horizontal="center"/>
    </xf>
    <xf numFmtId="0" fontId="7" fillId="2" borderId="1" xfId="0" applyFont="1" applyFill="1" applyBorder="1" applyAlignment="1">
      <alignment horizontal="center"/>
    </xf>
    <xf numFmtId="0" fontId="7" fillId="2" borderId="2" xfId="0" applyFont="1" applyFill="1" applyBorder="1" applyAlignment="1">
      <alignment horizontal="right"/>
    </xf>
    <xf numFmtId="0" fontId="7" fillId="8" borderId="12" xfId="0" applyFont="1" applyFill="1" applyBorder="1"/>
    <xf numFmtId="0" fontId="7" fillId="3" borderId="14" xfId="0" applyFont="1" applyFill="1" applyBorder="1" applyAlignment="1">
      <alignment horizontal="center"/>
    </xf>
    <xf numFmtId="0" fontId="7" fillId="3" borderId="6" xfId="0" quotePrefix="1" applyFont="1" applyFill="1" applyBorder="1" applyAlignment="1">
      <alignment horizontal="center"/>
    </xf>
    <xf numFmtId="0" fontId="7" fillId="3" borderId="3" xfId="0" quotePrefix="1" applyFont="1" applyFill="1" applyBorder="1" applyAlignment="1">
      <alignment horizontal="center"/>
    </xf>
    <xf numFmtId="0" fontId="7" fillId="2" borderId="1" xfId="0" applyFont="1" applyFill="1" applyBorder="1"/>
    <xf numFmtId="0" fontId="7" fillId="2" borderId="3" xfId="0" applyFont="1" applyFill="1" applyBorder="1" applyAlignment="1">
      <alignment horizontal="center"/>
    </xf>
    <xf numFmtId="0" fontId="7" fillId="8" borderId="14" xfId="0" applyFont="1" applyFill="1" applyBorder="1" applyAlignment="1">
      <alignment horizontal="center"/>
    </xf>
    <xf numFmtId="0" fontId="7" fillId="8" borderId="13" xfId="0" applyFont="1" applyFill="1" applyBorder="1" applyAlignment="1">
      <alignment horizontal="center"/>
    </xf>
    <xf numFmtId="0" fontId="7" fillId="9" borderId="3" xfId="0" applyFont="1" applyFill="1" applyBorder="1"/>
    <xf numFmtId="0" fontId="7" fillId="9" borderId="15" xfId="0" applyFont="1" applyFill="1" applyBorder="1"/>
    <xf numFmtId="0" fontId="7" fillId="3" borderId="17" xfId="0" quotePrefix="1" applyFont="1" applyFill="1" applyBorder="1" applyAlignment="1">
      <alignment horizontal="center"/>
    </xf>
    <xf numFmtId="0" fontId="7" fillId="4" borderId="2" xfId="0" applyFont="1" applyFill="1" applyBorder="1" applyAlignment="1">
      <alignment horizontal="right"/>
    </xf>
    <xf numFmtId="0" fontId="8" fillId="10" borderId="5" xfId="0" applyFont="1" applyFill="1" applyBorder="1" applyAlignment="1">
      <alignment horizontal="center"/>
    </xf>
    <xf numFmtId="0" fontId="7" fillId="10" borderId="6" xfId="0" applyFont="1" applyFill="1" applyBorder="1" applyAlignment="1">
      <alignment horizontal="center"/>
    </xf>
    <xf numFmtId="0" fontId="7" fillId="10" borderId="6" xfId="0" quotePrefix="1" applyFont="1" applyFill="1" applyBorder="1" applyAlignment="1">
      <alignment horizontal="center"/>
    </xf>
    <xf numFmtId="0" fontId="7" fillId="10" borderId="3" xfId="0" quotePrefix="1" applyFont="1" applyFill="1" applyBorder="1" applyAlignment="1">
      <alignment horizontal="center"/>
    </xf>
    <xf numFmtId="0" fontId="7" fillId="11" borderId="2" xfId="0" applyFont="1" applyFill="1" applyBorder="1" applyAlignment="1">
      <alignment horizontal="center"/>
    </xf>
    <xf numFmtId="0" fontId="7" fillId="12" borderId="2" xfId="0" applyFont="1" applyFill="1" applyBorder="1" applyAlignment="1">
      <alignment horizontal="center"/>
    </xf>
    <xf numFmtId="0" fontId="6" fillId="0" borderId="0" xfId="0" applyFont="1" applyFill="1" applyAlignment="1">
      <alignment horizontal="center"/>
    </xf>
    <xf numFmtId="0" fontId="6" fillId="0" borderId="0" xfId="0" applyFont="1" applyFill="1" applyBorder="1" applyAlignment="1">
      <alignment horizontal="center"/>
    </xf>
    <xf numFmtId="0" fontId="7" fillId="0" borderId="0" xfId="0" applyFont="1" applyFill="1" applyBorder="1" applyAlignment="1">
      <alignment horizontal="center"/>
    </xf>
    <xf numFmtId="164" fontId="7" fillId="0" borderId="0" xfId="0" applyNumberFormat="1" applyFont="1" applyFill="1" applyBorder="1" applyAlignment="1">
      <alignment horizontal="center"/>
    </xf>
    <xf numFmtId="9" fontId="7" fillId="0" borderId="0" xfId="1" applyFont="1" applyFill="1" applyBorder="1" applyAlignment="1">
      <alignment horizontal="center"/>
    </xf>
    <xf numFmtId="0" fontId="7" fillId="8" borderId="2" xfId="0" applyFont="1" applyFill="1" applyBorder="1" applyAlignment="1">
      <alignment horizontal="center"/>
    </xf>
    <xf numFmtId="165" fontId="7" fillId="4" borderId="2" xfId="0" applyNumberFormat="1" applyFont="1" applyFill="1" applyBorder="1" applyAlignment="1">
      <alignment horizontal="center"/>
    </xf>
    <xf numFmtId="165" fontId="7" fillId="11" borderId="2" xfId="0" applyNumberFormat="1" applyFont="1" applyFill="1" applyBorder="1" applyAlignment="1">
      <alignment horizontal="center"/>
    </xf>
    <xf numFmtId="165" fontId="7" fillId="13" borderId="2" xfId="0" applyNumberFormat="1" applyFont="1" applyFill="1" applyBorder="1" applyAlignment="1">
      <alignment horizontal="center"/>
    </xf>
    <xf numFmtId="0" fontId="2" fillId="14" borderId="4" xfId="0" applyFont="1" applyFill="1" applyBorder="1"/>
    <xf numFmtId="164" fontId="7" fillId="14" borderId="2" xfId="0" applyNumberFormat="1" applyFont="1" applyFill="1" applyBorder="1" applyAlignment="1">
      <alignment horizontal="center"/>
    </xf>
    <xf numFmtId="2" fontId="7" fillId="4" borderId="2" xfId="0" applyNumberFormat="1" applyFont="1" applyFill="1" applyBorder="1" applyAlignment="1">
      <alignment horizontal="center"/>
    </xf>
    <xf numFmtId="165" fontId="7" fillId="15" borderId="2" xfId="0" applyNumberFormat="1" applyFont="1" applyFill="1" applyBorder="1" applyAlignment="1">
      <alignment horizontal="center"/>
    </xf>
    <xf numFmtId="0" fontId="7" fillId="16" borderId="2" xfId="0" applyFont="1" applyFill="1" applyBorder="1" applyAlignment="1">
      <alignment horizontal="center"/>
    </xf>
    <xf numFmtId="165" fontId="7" fillId="16" borderId="2" xfId="0" applyNumberFormat="1" applyFont="1" applyFill="1" applyBorder="1" applyAlignment="1">
      <alignment horizontal="center"/>
    </xf>
    <xf numFmtId="0" fontId="4" fillId="0" borderId="0" xfId="0" applyFont="1" applyBorder="1" applyAlignment="1">
      <alignment horizontal="left"/>
    </xf>
    <xf numFmtId="0" fontId="7" fillId="0" borderId="0" xfId="0" applyFont="1" applyAlignment="1">
      <alignment horizontal="center"/>
    </xf>
    <xf numFmtId="0" fontId="7" fillId="3" borderId="3" xfId="0" applyFont="1" applyFill="1" applyBorder="1" applyAlignment="1">
      <alignment horizontal="center"/>
    </xf>
    <xf numFmtId="0" fontId="7" fillId="3" borderId="4" xfId="0" applyFont="1" applyFill="1" applyBorder="1" applyAlignment="1">
      <alignment horizontal="center"/>
    </xf>
    <xf numFmtId="0" fontId="6" fillId="0" borderId="12" xfId="0" applyFont="1" applyBorder="1" applyAlignment="1">
      <alignment horizontal="center"/>
    </xf>
    <xf numFmtId="0" fontId="6" fillId="0" borderId="13" xfId="0" applyFont="1" applyBorder="1" applyAlignment="1">
      <alignment horizontal="center"/>
    </xf>
    <xf numFmtId="0" fontId="6" fillId="0" borderId="14" xfId="0" applyFont="1" applyBorder="1" applyAlignment="1">
      <alignment horizontal="center"/>
    </xf>
    <xf numFmtId="166" fontId="6" fillId="0" borderId="12" xfId="0" applyNumberFormat="1" applyFont="1" applyBorder="1" applyAlignment="1">
      <alignment horizontal="center"/>
    </xf>
    <xf numFmtId="166" fontId="2" fillId="0" borderId="16" xfId="0" applyNumberFormat="1" applyFont="1" applyBorder="1"/>
    <xf numFmtId="0" fontId="7" fillId="0" borderId="0" xfId="0" applyFont="1" applyBorder="1" applyAlignment="1">
      <alignment horizontal="right"/>
    </xf>
    <xf numFmtId="0" fontId="7" fillId="17" borderId="12" xfId="0" applyFont="1" applyFill="1" applyBorder="1"/>
    <xf numFmtId="0" fontId="7" fillId="17" borderId="13" xfId="0" applyFont="1" applyFill="1" applyBorder="1" applyAlignment="1">
      <alignment horizontal="center"/>
    </xf>
    <xf numFmtId="0" fontId="7" fillId="17" borderId="14" xfId="0" applyFont="1" applyFill="1" applyBorder="1" applyAlignment="1">
      <alignment horizontal="center"/>
    </xf>
    <xf numFmtId="0" fontId="7" fillId="17" borderId="15" xfId="0" applyFont="1" applyFill="1" applyBorder="1"/>
    <xf numFmtId="0" fontId="7" fillId="17" borderId="15" xfId="0" applyFont="1" applyFill="1" applyBorder="1" applyAlignment="1">
      <alignment horizontal="center"/>
    </xf>
    <xf numFmtId="0" fontId="7" fillId="17" borderId="0" xfId="0" applyFont="1" applyFill="1" applyAlignment="1">
      <alignment horizontal="center"/>
    </xf>
    <xf numFmtId="0" fontId="7" fillId="17" borderId="4" xfId="0" applyFont="1" applyFill="1" applyBorder="1"/>
    <xf numFmtId="0" fontId="7" fillId="17" borderId="4" xfId="0" applyFont="1" applyFill="1" applyBorder="1" applyAlignment="1">
      <alignment horizontal="center"/>
    </xf>
    <xf numFmtId="0" fontId="6" fillId="18" borderId="2" xfId="0" applyFont="1" applyFill="1" applyBorder="1"/>
    <xf numFmtId="0" fontId="6" fillId="18" borderId="2" xfId="0" applyFont="1" applyFill="1" applyBorder="1" applyAlignment="1">
      <alignment horizontal="center"/>
    </xf>
    <xf numFmtId="0" fontId="6" fillId="0" borderId="0" xfId="0" applyFont="1" applyFill="1" applyBorder="1"/>
    <xf numFmtId="166" fontId="6" fillId="0" borderId="0" xfId="0" applyNumberFormat="1" applyFont="1" applyBorder="1" applyAlignment="1">
      <alignment horizontal="center"/>
    </xf>
    <xf numFmtId="0" fontId="8" fillId="0" borderId="0" xfId="0" applyFont="1"/>
    <xf numFmtId="0" fontId="11" fillId="19" borderId="0" xfId="0" applyFont="1" applyFill="1" applyAlignment="1">
      <alignment vertical="center"/>
    </xf>
    <xf numFmtId="0" fontId="8" fillId="19" borderId="0" xfId="0" applyFont="1" applyFill="1" applyAlignment="1">
      <alignment horizontal="center"/>
    </xf>
    <xf numFmtId="0" fontId="7" fillId="0" borderId="12" xfId="0" applyFont="1" applyFill="1" applyBorder="1"/>
    <xf numFmtId="0" fontId="7" fillId="0" borderId="13" xfId="0" applyFont="1" applyFill="1" applyBorder="1" applyAlignment="1">
      <alignment horizontal="center"/>
    </xf>
    <xf numFmtId="165" fontId="7" fillId="0" borderId="0" xfId="0" applyNumberFormat="1" applyFont="1" applyFill="1" applyBorder="1" applyAlignment="1">
      <alignment horizontal="center"/>
    </xf>
    <xf numFmtId="0" fontId="7" fillId="3" borderId="12" xfId="0" applyFont="1" applyFill="1" applyBorder="1" applyAlignment="1">
      <alignment vertical="center"/>
    </xf>
    <xf numFmtId="0" fontId="7" fillId="14" borderId="4" xfId="0" applyFont="1" applyFill="1" applyBorder="1" applyAlignment="1">
      <alignment horizontal="left"/>
    </xf>
    <xf numFmtId="0" fontId="7" fillId="0" borderId="0" xfId="0" applyFont="1" applyBorder="1"/>
    <xf numFmtId="0" fontId="7" fillId="0" borderId="2" xfId="0" applyFont="1" applyBorder="1" applyAlignment="1">
      <alignment horizontal="right"/>
    </xf>
    <xf numFmtId="0" fontId="8" fillId="0" borderId="12" xfId="0" applyFont="1" applyBorder="1" applyAlignment="1">
      <alignment horizontal="center"/>
    </xf>
    <xf numFmtId="0" fontId="8" fillId="0" borderId="13" xfId="0" applyFont="1" applyBorder="1" applyAlignment="1">
      <alignment horizontal="center"/>
    </xf>
    <xf numFmtId="0" fontId="8" fillId="0" borderId="0" xfId="0" applyFont="1" applyBorder="1"/>
    <xf numFmtId="0" fontId="8" fillId="0" borderId="0" xfId="0" applyFont="1" applyBorder="1" applyAlignment="1">
      <alignment horizontal="right"/>
    </xf>
    <xf numFmtId="0" fontId="7" fillId="0" borderId="2" xfId="0" applyFont="1" applyBorder="1"/>
    <xf numFmtId="0" fontId="7" fillId="0" borderId="2" xfId="0" applyFont="1" applyFill="1" applyBorder="1"/>
    <xf numFmtId="0" fontId="7" fillId="20" borderId="2" xfId="0" applyFont="1" applyFill="1" applyBorder="1" applyAlignment="1">
      <alignment horizontal="right"/>
    </xf>
    <xf numFmtId="0" fontId="7" fillId="20" borderId="12" xfId="0" applyFont="1" applyFill="1" applyBorder="1"/>
    <xf numFmtId="0" fontId="7" fillId="20" borderId="13" xfId="0" applyFont="1" applyFill="1" applyBorder="1"/>
    <xf numFmtId="0" fontId="7" fillId="20" borderId="14" xfId="0" applyFont="1" applyFill="1" applyBorder="1"/>
    <xf numFmtId="0" fontId="7" fillId="20" borderId="2" xfId="0" applyFont="1" applyFill="1" applyBorder="1" applyAlignment="1">
      <alignment horizontal="center"/>
    </xf>
    <xf numFmtId="0" fontId="8" fillId="0" borderId="2" xfId="0" applyFont="1" applyBorder="1" applyAlignment="1">
      <alignment wrapText="1"/>
    </xf>
    <xf numFmtId="0" fontId="0" fillId="0" borderId="0" xfId="0" applyAlignment="1">
      <alignment wrapText="1"/>
    </xf>
    <xf numFmtId="0" fontId="7" fillId="0" borderId="0" xfId="0" applyFont="1" applyAlignment="1">
      <alignment horizontal="left"/>
    </xf>
    <xf numFmtId="0" fontId="19" fillId="0" borderId="0" xfId="0" applyFont="1" applyAlignment="1"/>
    <xf numFmtId="0" fontId="4" fillId="22" borderId="2" xfId="0" applyFont="1" applyFill="1" applyBorder="1"/>
    <xf numFmtId="0" fontId="4" fillId="22" borderId="2" xfId="0" applyFont="1" applyFill="1" applyBorder="1" applyAlignment="1">
      <alignment horizontal="center"/>
    </xf>
    <xf numFmtId="0" fontId="7" fillId="23" borderId="2" xfId="0" applyFont="1" applyFill="1" applyBorder="1" applyAlignment="1">
      <alignment horizontal="right"/>
    </xf>
    <xf numFmtId="0" fontId="6" fillId="23" borderId="2" xfId="0" applyFont="1" applyFill="1" applyBorder="1" applyAlignment="1">
      <alignment horizontal="center"/>
    </xf>
    <xf numFmtId="0" fontId="7" fillId="23" borderId="1" xfId="0" applyFont="1" applyFill="1" applyBorder="1" applyAlignment="1">
      <alignment horizontal="right"/>
    </xf>
    <xf numFmtId="0" fontId="7" fillId="22" borderId="2" xfId="0" applyFont="1" applyFill="1" applyBorder="1" applyAlignment="1">
      <alignment horizontal="right"/>
    </xf>
    <xf numFmtId="0" fontId="6" fillId="22" borderId="2" xfId="0" applyFont="1" applyFill="1" applyBorder="1" applyAlignment="1">
      <alignment horizontal="center"/>
    </xf>
    <xf numFmtId="0" fontId="7" fillId="23" borderId="12" xfId="0" applyFont="1" applyFill="1" applyBorder="1"/>
    <xf numFmtId="0" fontId="6" fillId="23" borderId="13" xfId="0" applyFont="1" applyFill="1" applyBorder="1" applyAlignment="1">
      <alignment horizontal="center"/>
    </xf>
    <xf numFmtId="0" fontId="6" fillId="23" borderId="14" xfId="0" applyFont="1" applyFill="1" applyBorder="1" applyAlignment="1">
      <alignment horizontal="center"/>
    </xf>
    <xf numFmtId="0" fontId="4" fillId="23" borderId="1" xfId="0" applyFont="1" applyFill="1" applyBorder="1"/>
    <xf numFmtId="0" fontId="6" fillId="23" borderId="6" xfId="0" quotePrefix="1" applyFont="1" applyFill="1" applyBorder="1" applyAlignment="1">
      <alignment horizontal="center"/>
    </xf>
    <xf numFmtId="0" fontId="7" fillId="23" borderId="6" xfId="0" quotePrefix="1" applyFont="1" applyFill="1" applyBorder="1" applyAlignment="1">
      <alignment horizontal="center"/>
    </xf>
    <xf numFmtId="0" fontId="7" fillId="23" borderId="3" xfId="0" quotePrefix="1" applyFont="1" applyFill="1" applyBorder="1" applyAlignment="1">
      <alignment horizontal="center"/>
    </xf>
    <xf numFmtId="0" fontId="9" fillId="0" borderId="0" xfId="0" applyFont="1"/>
    <xf numFmtId="0" fontId="20" fillId="25" borderId="26" xfId="0" applyFont="1" applyFill="1" applyBorder="1" applyAlignment="1">
      <alignment horizontal="center" vertical="center" wrapText="1"/>
    </xf>
    <xf numFmtId="0" fontId="20" fillId="25" borderId="27" xfId="0" applyFont="1" applyFill="1" applyBorder="1" applyAlignment="1">
      <alignment horizontal="center" vertical="center" wrapText="1"/>
    </xf>
    <xf numFmtId="0" fontId="20" fillId="26" borderId="28" xfId="0" applyFont="1" applyFill="1" applyBorder="1" applyAlignment="1">
      <alignment vertical="center" wrapText="1"/>
    </xf>
    <xf numFmtId="0" fontId="15" fillId="28" borderId="24" xfId="0" applyFont="1" applyFill="1" applyBorder="1" applyAlignment="1">
      <alignment vertical="center" wrapText="1"/>
    </xf>
    <xf numFmtId="0" fontId="14" fillId="28" borderId="24" xfId="0" applyFont="1" applyFill="1" applyBorder="1" applyAlignment="1">
      <alignment horizontal="center" vertical="center" wrapText="1"/>
    </xf>
    <xf numFmtId="0" fontId="21" fillId="21" borderId="2" xfId="0" applyFont="1" applyFill="1" applyBorder="1"/>
    <xf numFmtId="0" fontId="10" fillId="0" borderId="0" xfId="0" applyFont="1"/>
    <xf numFmtId="0" fontId="17" fillId="0" borderId="0" xfId="0" applyFont="1"/>
    <xf numFmtId="3" fontId="18" fillId="29" borderId="0" xfId="0" applyNumberFormat="1" applyFont="1" applyFill="1" applyAlignment="1">
      <alignment horizontal="right" vertical="center"/>
    </xf>
    <xf numFmtId="0" fontId="26" fillId="25" borderId="26" xfId="0" applyFont="1" applyFill="1" applyBorder="1" applyAlignment="1">
      <alignment horizontal="right" vertical="center" wrapText="1"/>
    </xf>
    <xf numFmtId="0" fontId="26" fillId="25" borderId="27" xfId="0" applyFont="1" applyFill="1" applyBorder="1" applyAlignment="1">
      <alignment horizontal="right" vertical="center" wrapText="1"/>
    </xf>
    <xf numFmtId="0" fontId="10" fillId="20" borderId="0" xfId="0" applyFont="1" applyFill="1"/>
    <xf numFmtId="0" fontId="0" fillId="20" borderId="0" xfId="0" applyFill="1"/>
    <xf numFmtId="0" fontId="9" fillId="20" borderId="0" xfId="0" applyFont="1" applyFill="1"/>
    <xf numFmtId="0" fontId="15" fillId="27" borderId="28" xfId="0" applyFont="1" applyFill="1" applyBorder="1" applyAlignment="1">
      <alignment horizontal="center" vertical="center" wrapText="1"/>
    </xf>
    <xf numFmtId="0" fontId="27" fillId="0" borderId="0" xfId="2"/>
    <xf numFmtId="0" fontId="20" fillId="26" borderId="29" xfId="0" applyFont="1" applyFill="1" applyBorder="1" applyAlignment="1">
      <alignment vertical="center" wrapText="1"/>
    </xf>
    <xf numFmtId="0" fontId="15" fillId="27" borderId="29" xfId="0" applyFont="1" applyFill="1" applyBorder="1" applyAlignment="1">
      <alignment vertical="center" wrapText="1"/>
    </xf>
    <xf numFmtId="0" fontId="15" fillId="28" borderId="24" xfId="0" applyFont="1" applyFill="1" applyBorder="1" applyAlignment="1">
      <alignment horizontal="right" vertical="center" wrapText="1"/>
    </xf>
    <xf numFmtId="0" fontId="30" fillId="0" borderId="0" xfId="0" applyFont="1" applyAlignment="1">
      <alignment horizontal="right"/>
    </xf>
    <xf numFmtId="0" fontId="23" fillId="30" borderId="2" xfId="0" applyFont="1" applyFill="1" applyBorder="1"/>
    <xf numFmtId="0" fontId="10" fillId="31" borderId="0" xfId="0" applyFont="1" applyFill="1" applyAlignment="1">
      <alignment wrapText="1"/>
    </xf>
    <xf numFmtId="2" fontId="25" fillId="28" borderId="25" xfId="0" applyNumberFormat="1" applyFont="1" applyFill="1" applyBorder="1" applyAlignment="1">
      <alignment horizontal="center" vertical="center" wrapText="1"/>
    </xf>
    <xf numFmtId="0" fontId="26" fillId="26" borderId="28" xfId="0" applyFont="1" applyFill="1" applyBorder="1" applyAlignment="1">
      <alignment vertical="center" wrapText="1"/>
    </xf>
    <xf numFmtId="0" fontId="24" fillId="27" borderId="28" xfId="0" applyFont="1" applyFill="1" applyBorder="1" applyAlignment="1">
      <alignment vertical="center" wrapText="1"/>
    </xf>
    <xf numFmtId="0" fontId="28" fillId="28" borderId="24" xfId="0" applyFont="1" applyFill="1" applyBorder="1" applyAlignment="1">
      <alignment horizontal="center" vertical="center" wrapText="1"/>
    </xf>
    <xf numFmtId="0" fontId="28" fillId="28" borderId="25" xfId="0" applyFont="1" applyFill="1" applyBorder="1" applyAlignment="1">
      <alignment horizontal="center" vertical="center" wrapText="1"/>
    </xf>
    <xf numFmtId="167" fontId="28" fillId="28" borderId="25" xfId="0" applyNumberFormat="1" applyFont="1" applyFill="1" applyBorder="1" applyAlignment="1">
      <alignment horizontal="center" vertical="center" wrapText="1"/>
    </xf>
    <xf numFmtId="0" fontId="0" fillId="0" borderId="30" xfId="0" applyBorder="1"/>
    <xf numFmtId="0" fontId="0" fillId="0" borderId="18" xfId="0" applyBorder="1"/>
    <xf numFmtId="0" fontId="0" fillId="0" borderId="19" xfId="0" applyBorder="1"/>
    <xf numFmtId="0" fontId="0" fillId="0" borderId="20" xfId="0" applyBorder="1"/>
    <xf numFmtId="0" fontId="33" fillId="29" borderId="0" xfId="0" applyFont="1" applyFill="1"/>
    <xf numFmtId="0" fontId="0" fillId="0" borderId="0" xfId="0" applyBorder="1"/>
    <xf numFmtId="0" fontId="33" fillId="29" borderId="0" xfId="0" applyFont="1" applyFill="1" applyBorder="1"/>
    <xf numFmtId="0" fontId="0" fillId="0" borderId="31" xfId="0" applyBorder="1"/>
    <xf numFmtId="3" fontId="0" fillId="0" borderId="32" xfId="0" applyNumberFormat="1" applyBorder="1"/>
    <xf numFmtId="3" fontId="0" fillId="0" borderId="4" xfId="0" applyNumberFormat="1" applyBorder="1"/>
    <xf numFmtId="3" fontId="0" fillId="0" borderId="21" xfId="0" applyNumberFormat="1" applyBorder="1"/>
    <xf numFmtId="3" fontId="0" fillId="0" borderId="0" xfId="0" applyNumberFormat="1"/>
    <xf numFmtId="0" fontId="0" fillId="21" borderId="0" xfId="0" applyFill="1" applyBorder="1"/>
    <xf numFmtId="3" fontId="0" fillId="0" borderId="0" xfId="0" applyNumberFormat="1" applyBorder="1"/>
    <xf numFmtId="0" fontId="0" fillId="0" borderId="33" xfId="0" applyBorder="1"/>
    <xf numFmtId="3" fontId="0" fillId="0" borderId="34" xfId="0" applyNumberFormat="1" applyBorder="1"/>
    <xf numFmtId="3" fontId="0" fillId="0" borderId="2" xfId="0" applyNumberFormat="1" applyBorder="1"/>
    <xf numFmtId="3" fontId="0" fillId="0" borderId="22" xfId="0" applyNumberFormat="1" applyBorder="1"/>
    <xf numFmtId="3" fontId="32" fillId="0" borderId="34" xfId="0" applyNumberFormat="1" applyFont="1" applyBorder="1"/>
    <xf numFmtId="3" fontId="32" fillId="0" borderId="2" xfId="0" applyNumberFormat="1" applyFont="1" applyBorder="1"/>
    <xf numFmtId="3" fontId="32" fillId="0" borderId="22" xfId="0" applyNumberFormat="1" applyFont="1" applyBorder="1"/>
    <xf numFmtId="0" fontId="0" fillId="0" borderId="35" xfId="0" applyBorder="1"/>
    <xf numFmtId="3" fontId="0" fillId="0" borderId="36" xfId="0" applyNumberFormat="1" applyBorder="1"/>
    <xf numFmtId="3" fontId="0" fillId="0" borderId="37" xfId="0" applyNumberFormat="1" applyBorder="1"/>
    <xf numFmtId="3" fontId="0" fillId="0" borderId="38" xfId="0" applyNumberFormat="1" applyBorder="1"/>
    <xf numFmtId="0" fontId="0" fillId="0" borderId="11" xfId="0" applyBorder="1"/>
    <xf numFmtId="3" fontId="0" fillId="0" borderId="39" xfId="0" applyNumberFormat="1" applyBorder="1"/>
    <xf numFmtId="0" fontId="1" fillId="0" borderId="0" xfId="0" applyFont="1"/>
    <xf numFmtId="0" fontId="1" fillId="0" borderId="0" xfId="0" applyFont="1" applyAlignment="1">
      <alignment wrapText="1"/>
    </xf>
    <xf numFmtId="0" fontId="17" fillId="0" borderId="0" xfId="0" applyFont="1" applyFill="1" applyBorder="1"/>
    <xf numFmtId="0" fontId="0" fillId="21" borderId="0" xfId="0" applyFill="1"/>
    <xf numFmtId="0" fontId="9" fillId="21" borderId="0" xfId="0" applyFont="1" applyFill="1"/>
    <xf numFmtId="0" fontId="9" fillId="31" borderId="0" xfId="0" applyFont="1" applyFill="1"/>
    <xf numFmtId="0" fontId="0" fillId="31" borderId="0" xfId="0" applyFill="1"/>
    <xf numFmtId="0" fontId="1" fillId="20" borderId="0" xfId="0" applyFont="1" applyFill="1"/>
    <xf numFmtId="0" fontId="34" fillId="28" borderId="24" xfId="0" applyFont="1" applyFill="1" applyBorder="1" applyAlignment="1">
      <alignment horizontal="right" vertical="center" wrapText="1"/>
    </xf>
    <xf numFmtId="166" fontId="35" fillId="21" borderId="2" xfId="0" applyNumberFormat="1" applyFont="1" applyFill="1" applyBorder="1" applyAlignment="1">
      <alignment horizontal="center"/>
    </xf>
    <xf numFmtId="167" fontId="23" fillId="30" borderId="2" xfId="0" applyNumberFormat="1" applyFont="1" applyFill="1" applyBorder="1"/>
    <xf numFmtId="0" fontId="38" fillId="32" borderId="0" xfId="0" applyFont="1" applyFill="1"/>
    <xf numFmtId="0" fontId="39" fillId="21" borderId="0" xfId="0" applyFont="1" applyFill="1"/>
    <xf numFmtId="0" fontId="1" fillId="33" borderId="0" xfId="0" applyFont="1" applyFill="1"/>
    <xf numFmtId="0" fontId="1" fillId="34" borderId="0" xfId="0" applyFont="1" applyFill="1"/>
    <xf numFmtId="0" fontId="1" fillId="35" borderId="0" xfId="0" applyFont="1" applyFill="1"/>
    <xf numFmtId="0" fontId="1" fillId="36" borderId="0" xfId="0" applyFont="1" applyFill="1"/>
    <xf numFmtId="0" fontId="1" fillId="30" borderId="0" xfId="0" applyFont="1" applyFill="1"/>
    <xf numFmtId="0" fontId="1" fillId="15" borderId="0" xfId="0" applyFont="1" applyFill="1"/>
    <xf numFmtId="0" fontId="17" fillId="0" borderId="0" xfId="0" applyFont="1" applyFill="1"/>
    <xf numFmtId="0" fontId="1" fillId="37" borderId="0" xfId="0" applyFont="1" applyFill="1"/>
    <xf numFmtId="167" fontId="28" fillId="0" borderId="40" xfId="0" applyNumberFormat="1" applyFont="1" applyBorder="1" applyAlignment="1">
      <alignment horizontal="center" vertical="center" wrapText="1"/>
    </xf>
    <xf numFmtId="0" fontId="28" fillId="0" borderId="40" xfId="0" applyFont="1" applyBorder="1" applyAlignment="1">
      <alignment horizontal="center" vertical="center" wrapText="1"/>
    </xf>
    <xf numFmtId="0" fontId="29" fillId="0" borderId="40" xfId="0" applyFont="1" applyBorder="1" applyAlignment="1">
      <alignment horizontal="center" vertical="center" wrapText="1"/>
    </xf>
    <xf numFmtId="167" fontId="28" fillId="0" borderId="41" xfId="0" applyNumberFormat="1" applyFont="1" applyBorder="1" applyAlignment="1">
      <alignment horizontal="center" vertical="center" wrapText="1"/>
    </xf>
    <xf numFmtId="0" fontId="28" fillId="0" borderId="41" xfId="0" applyFont="1" applyBorder="1" applyAlignment="1">
      <alignment horizontal="center" vertical="center" wrapText="1"/>
    </xf>
    <xf numFmtId="0" fontId="29" fillId="0" borderId="41" xfId="0" applyFont="1" applyBorder="1" applyAlignment="1">
      <alignment horizontal="center" vertical="center" wrapText="1"/>
    </xf>
    <xf numFmtId="167" fontId="28" fillId="0" borderId="42" xfId="0" applyNumberFormat="1" applyFont="1" applyBorder="1" applyAlignment="1">
      <alignment horizontal="center" vertical="center" wrapText="1"/>
    </xf>
    <xf numFmtId="0" fontId="28" fillId="0" borderId="42" xfId="0" applyFont="1" applyBorder="1" applyAlignment="1">
      <alignment horizontal="center" vertical="center" wrapText="1"/>
    </xf>
    <xf numFmtId="0" fontId="29" fillId="0" borderId="42" xfId="0" applyFont="1" applyBorder="1" applyAlignment="1">
      <alignment horizontal="center" vertical="center" wrapText="1"/>
    </xf>
    <xf numFmtId="167" fontId="16" fillId="0" borderId="40" xfId="0" applyNumberFormat="1" applyFont="1" applyBorder="1" applyAlignment="1">
      <alignment horizontal="center" vertical="center" wrapText="1"/>
    </xf>
    <xf numFmtId="0" fontId="16" fillId="0" borderId="41" xfId="0" applyFont="1" applyBorder="1" applyAlignment="1">
      <alignment horizontal="center" vertical="center" wrapText="1"/>
    </xf>
    <xf numFmtId="9" fontId="31" fillId="31" borderId="41" xfId="1" applyNumberFormat="1" applyFont="1" applyFill="1" applyBorder="1" applyAlignment="1">
      <alignment horizontal="center" vertical="center"/>
    </xf>
    <xf numFmtId="0" fontId="20" fillId="26" borderId="43" xfId="0" applyFont="1" applyFill="1" applyBorder="1" applyAlignment="1">
      <alignment vertical="center" wrapText="1"/>
    </xf>
    <xf numFmtId="0" fontId="42" fillId="38" borderId="46" xfId="0" applyFont="1" applyFill="1" applyBorder="1" applyAlignment="1">
      <alignment vertical="center" wrapText="1"/>
    </xf>
    <xf numFmtId="0" fontId="28" fillId="38" borderId="41" xfId="0" applyFont="1" applyFill="1" applyBorder="1" applyAlignment="1">
      <alignment horizontal="center" vertical="center" wrapText="1"/>
    </xf>
    <xf numFmtId="0" fontId="43" fillId="28" borderId="25" xfId="0" applyFont="1" applyFill="1" applyBorder="1" applyAlignment="1">
      <alignment horizontal="center" vertical="center" wrapText="1"/>
    </xf>
    <xf numFmtId="9" fontId="11" fillId="2" borderId="2" xfId="1" applyFont="1" applyFill="1" applyBorder="1" applyAlignment="1">
      <alignment horizontal="center"/>
    </xf>
    <xf numFmtId="0" fontId="44" fillId="35" borderId="2" xfId="0" applyFont="1" applyFill="1" applyBorder="1"/>
    <xf numFmtId="0" fontId="44" fillId="39" borderId="2" xfId="0" applyFont="1" applyFill="1" applyBorder="1" applyAlignment="1">
      <alignment horizontal="center"/>
    </xf>
    <xf numFmtId="165" fontId="44" fillId="35" borderId="2" xfId="0" applyNumberFormat="1" applyFont="1" applyFill="1" applyBorder="1" applyAlignment="1">
      <alignment horizontal="center"/>
    </xf>
    <xf numFmtId="0" fontId="10" fillId="24" borderId="0" xfId="0" applyFont="1" applyFill="1"/>
    <xf numFmtId="0" fontId="0" fillId="29" borderId="0" xfId="0" applyFill="1"/>
    <xf numFmtId="0" fontId="10" fillId="0" borderId="0" xfId="0" applyFont="1" applyAlignment="1">
      <alignment horizontal="right"/>
    </xf>
    <xf numFmtId="0" fontId="10" fillId="0" borderId="2" xfId="0" applyFont="1" applyBorder="1"/>
    <xf numFmtId="0" fontId="0" fillId="35" borderId="0" xfId="0" applyFill="1"/>
    <xf numFmtId="0" fontId="35" fillId="0" borderId="0" xfId="0" applyFont="1"/>
    <xf numFmtId="0" fontId="45" fillId="0" borderId="0" xfId="0" applyFont="1" applyAlignment="1">
      <alignment horizontal="right"/>
    </xf>
    <xf numFmtId="0" fontId="16" fillId="0" borderId="42" xfId="0" applyFont="1" applyBorder="1" applyAlignment="1">
      <alignment horizontal="center" vertical="center" wrapText="1"/>
    </xf>
    <xf numFmtId="0" fontId="24" fillId="27" borderId="28" xfId="0" applyFont="1" applyFill="1" applyBorder="1" applyAlignment="1">
      <alignment horizontal="center" vertical="center" wrapText="1"/>
    </xf>
    <xf numFmtId="0" fontId="46" fillId="0" borderId="52" xfId="0" applyFont="1" applyFill="1" applyBorder="1"/>
    <xf numFmtId="0" fontId="46" fillId="0" borderId="53" xfId="0" applyFont="1" applyFill="1" applyBorder="1"/>
    <xf numFmtId="0" fontId="47" fillId="0" borderId="53" xfId="0" applyFont="1" applyFill="1" applyBorder="1"/>
    <xf numFmtId="0" fontId="46" fillId="0" borderId="54" xfId="0" applyFont="1" applyFill="1" applyBorder="1"/>
    <xf numFmtId="0" fontId="46" fillId="0" borderId="55" xfId="0" applyFont="1" applyFill="1" applyBorder="1"/>
    <xf numFmtId="0" fontId="46" fillId="0" borderId="37" xfId="0" applyFont="1" applyFill="1" applyBorder="1" applyAlignment="1">
      <alignment horizontal="center"/>
    </xf>
    <xf numFmtId="0" fontId="46" fillId="0" borderId="38" xfId="0" applyFont="1" applyFill="1" applyBorder="1" applyAlignment="1">
      <alignment horizontal="center"/>
    </xf>
    <xf numFmtId="2" fontId="48" fillId="0" borderId="32" xfId="0" applyNumberFormat="1" applyFont="1" applyFill="1" applyBorder="1"/>
    <xf numFmtId="167" fontId="48" fillId="0" borderId="4" xfId="0" applyNumberFormat="1" applyFont="1" applyFill="1" applyBorder="1" applyAlignment="1">
      <alignment horizontal="right" indent="2"/>
    </xf>
    <xf numFmtId="167" fontId="48" fillId="0" borderId="21" xfId="0" applyNumberFormat="1" applyFont="1" applyFill="1" applyBorder="1" applyAlignment="1">
      <alignment horizontal="right" indent="2"/>
    </xf>
    <xf numFmtId="2" fontId="48" fillId="0" borderId="34" xfId="0" applyNumberFormat="1" applyFont="1" applyFill="1" applyBorder="1"/>
    <xf numFmtId="167" fontId="48" fillId="0" borderId="2" xfId="0" applyNumberFormat="1" applyFont="1" applyFill="1" applyBorder="1" applyAlignment="1">
      <alignment horizontal="right" indent="2"/>
    </xf>
    <xf numFmtId="167" fontId="48" fillId="0" borderId="22" xfId="0" applyNumberFormat="1" applyFont="1" applyFill="1" applyBorder="1" applyAlignment="1">
      <alignment horizontal="right" indent="2"/>
    </xf>
    <xf numFmtId="2" fontId="48" fillId="0" borderId="36" xfId="0" applyNumberFormat="1" applyFont="1" applyFill="1" applyBorder="1"/>
    <xf numFmtId="167" fontId="48" fillId="0" borderId="37" xfId="0" applyNumberFormat="1" applyFont="1" applyFill="1" applyBorder="1" applyAlignment="1">
      <alignment horizontal="right" indent="2"/>
    </xf>
    <xf numFmtId="167" fontId="48" fillId="0" borderId="38" xfId="0" applyNumberFormat="1" applyFont="1" applyFill="1" applyBorder="1" applyAlignment="1">
      <alignment horizontal="right" indent="2"/>
    </xf>
    <xf numFmtId="0" fontId="46" fillId="0" borderId="39" xfId="0" applyFont="1" applyFill="1" applyBorder="1"/>
    <xf numFmtId="167" fontId="46" fillId="0" borderId="56" xfId="0" applyNumberFormat="1" applyFont="1" applyFill="1" applyBorder="1" applyAlignment="1">
      <alignment horizontal="center"/>
    </xf>
    <xf numFmtId="0" fontId="49" fillId="0" borderId="0" xfId="0" applyFont="1" applyFill="1" applyBorder="1"/>
    <xf numFmtId="0" fontId="50" fillId="40" borderId="0" xfId="0" applyFont="1" applyFill="1" applyBorder="1"/>
    <xf numFmtId="0" fontId="51" fillId="40" borderId="10" xfId="0" applyFont="1" applyFill="1" applyBorder="1"/>
    <xf numFmtId="2" fontId="49" fillId="0" borderId="0" xfId="0" applyNumberFormat="1" applyFont="1" applyFill="1" applyBorder="1"/>
    <xf numFmtId="168" fontId="49" fillId="0" borderId="0" xfId="0" applyNumberFormat="1" applyFont="1" applyFill="1" applyBorder="1"/>
    <xf numFmtId="168" fontId="52" fillId="40" borderId="0" xfId="0" applyNumberFormat="1" applyFont="1" applyFill="1" applyBorder="1"/>
    <xf numFmtId="168" fontId="53" fillId="0" borderId="0" xfId="0" applyNumberFormat="1" applyFont="1" applyFill="1" applyBorder="1"/>
    <xf numFmtId="168" fontId="51" fillId="40" borderId="57" xfId="0" applyNumberFormat="1" applyFont="1" applyFill="1" applyBorder="1"/>
    <xf numFmtId="168" fontId="50" fillId="40" borderId="0" xfId="0" applyNumberFormat="1" applyFont="1" applyFill="1" applyBorder="1"/>
    <xf numFmtId="168" fontId="46" fillId="0" borderId="11" xfId="0" applyNumberFormat="1" applyFont="1" applyFill="1" applyBorder="1"/>
    <xf numFmtId="0" fontId="40" fillId="41" borderId="12" xfId="0" applyFont="1" applyFill="1" applyBorder="1"/>
    <xf numFmtId="0" fontId="40" fillId="41" borderId="2" xfId="0" applyFont="1" applyFill="1" applyBorder="1"/>
    <xf numFmtId="0" fontId="40" fillId="41" borderId="2" xfId="0" applyFont="1" applyFill="1" applyBorder="1" applyAlignment="1">
      <alignment wrapText="1"/>
    </xf>
    <xf numFmtId="0" fontId="40" fillId="0" borderId="12" xfId="0" applyFont="1" applyBorder="1" applyAlignment="1"/>
    <xf numFmtId="0" fontId="0" fillId="0" borderId="2" xfId="0" applyFont="1" applyBorder="1" applyAlignment="1">
      <alignment wrapText="1"/>
    </xf>
    <xf numFmtId="0" fontId="0" fillId="0" borderId="2" xfId="0" applyBorder="1" applyAlignment="1">
      <alignment wrapText="1"/>
    </xf>
    <xf numFmtId="0" fontId="0" fillId="0" borderId="2" xfId="0" applyBorder="1"/>
    <xf numFmtId="2" fontId="0" fillId="0" borderId="2" xfId="0" applyNumberFormat="1" applyBorder="1" applyAlignment="1">
      <alignment horizontal="center"/>
    </xf>
    <xf numFmtId="167" fontId="0" fillId="0" borderId="2" xfId="0" applyNumberFormat="1" applyBorder="1" applyAlignment="1">
      <alignment horizontal="center"/>
    </xf>
    <xf numFmtId="0" fontId="40" fillId="0" borderId="12" xfId="0" applyFont="1" applyBorder="1" applyAlignment="1">
      <alignment wrapText="1"/>
    </xf>
    <xf numFmtId="0" fontId="40" fillId="0" borderId="1" xfId="0" applyFont="1" applyBorder="1" applyAlignment="1"/>
    <xf numFmtId="0" fontId="40" fillId="0" borderId="58" xfId="0" applyFont="1" applyBorder="1" applyAlignment="1"/>
    <xf numFmtId="0" fontId="54" fillId="0" borderId="2" xfId="0" applyFont="1" applyBorder="1" applyAlignment="1">
      <alignment wrapText="1"/>
    </xf>
    <xf numFmtId="0" fontId="40" fillId="0" borderId="3" xfId="0" applyFont="1" applyBorder="1" applyAlignment="1"/>
    <xf numFmtId="0" fontId="0" fillId="0" borderId="14" xfId="0" applyFont="1" applyFill="1" applyBorder="1" applyAlignment="1">
      <alignment wrapText="1"/>
    </xf>
    <xf numFmtId="0" fontId="0" fillId="0" borderId="2" xfId="0" applyFill="1" applyBorder="1" applyAlignment="1">
      <alignment wrapText="1"/>
    </xf>
    <xf numFmtId="2" fontId="0" fillId="0" borderId="2" xfId="0" applyNumberFormat="1" applyFill="1" applyBorder="1" applyAlignment="1">
      <alignment horizontal="center"/>
    </xf>
    <xf numFmtId="0" fontId="40" fillId="0" borderId="4" xfId="0" applyFont="1" applyBorder="1" applyAlignment="1"/>
    <xf numFmtId="0" fontId="54" fillId="0" borderId="14" xfId="0" applyFont="1" applyBorder="1" applyAlignment="1">
      <alignment wrapText="1"/>
    </xf>
    <xf numFmtId="0" fontId="1" fillId="0" borderId="2" xfId="0" applyFont="1" applyBorder="1"/>
    <xf numFmtId="0" fontId="55" fillId="42" borderId="2" xfId="0" applyFont="1" applyFill="1" applyBorder="1" applyAlignment="1">
      <alignment horizontal="left"/>
    </xf>
    <xf numFmtId="0" fontId="56" fillId="42" borderId="2" xfId="0" applyFont="1" applyFill="1" applyBorder="1" applyAlignment="1">
      <alignment horizontal="left"/>
    </xf>
    <xf numFmtId="0" fontId="38" fillId="44" borderId="0" xfId="0" applyFont="1" applyFill="1"/>
    <xf numFmtId="0" fontId="38" fillId="46" borderId="0" xfId="0" applyFont="1" applyFill="1"/>
    <xf numFmtId="0" fontId="57" fillId="45" borderId="0" xfId="0" applyFont="1" applyFill="1"/>
    <xf numFmtId="0" fontId="57" fillId="47" borderId="0" xfId="0" applyFont="1" applyFill="1"/>
    <xf numFmtId="0" fontId="57" fillId="48" borderId="0" xfId="0" applyFont="1" applyFill="1"/>
    <xf numFmtId="0" fontId="58" fillId="30" borderId="2" xfId="0" applyFont="1" applyFill="1" applyBorder="1"/>
    <xf numFmtId="0" fontId="59" fillId="44" borderId="0" xfId="0" applyFont="1" applyFill="1"/>
    <xf numFmtId="0" fontId="3" fillId="3" borderId="15" xfId="0" applyFont="1" applyFill="1" applyBorder="1" applyAlignment="1">
      <alignment horizontal="center"/>
    </xf>
    <xf numFmtId="0" fontId="3" fillId="3" borderId="4" xfId="0" applyFont="1" applyFill="1" applyBorder="1" applyAlignment="1">
      <alignment horizontal="center"/>
    </xf>
    <xf numFmtId="0" fontId="2" fillId="0" borderId="59" xfId="0" applyFont="1" applyBorder="1"/>
    <xf numFmtId="0" fontId="3" fillId="35" borderId="1" xfId="0" applyFont="1" applyFill="1" applyBorder="1"/>
    <xf numFmtId="0" fontId="2" fillId="35" borderId="0" xfId="0" applyFont="1" applyFill="1" applyBorder="1"/>
    <xf numFmtId="0" fontId="2" fillId="35" borderId="5" xfId="0" applyFont="1" applyFill="1" applyBorder="1"/>
    <xf numFmtId="0" fontId="2" fillId="35" borderId="6" xfId="0" applyFont="1" applyFill="1" applyBorder="1"/>
    <xf numFmtId="0" fontId="2" fillId="35" borderId="1" xfId="0" applyFont="1" applyFill="1" applyBorder="1"/>
    <xf numFmtId="0" fontId="2" fillId="35" borderId="8" xfId="0" applyFont="1" applyFill="1" applyBorder="1"/>
    <xf numFmtId="0" fontId="2" fillId="35" borderId="9" xfId="0" applyFont="1" applyFill="1" applyBorder="1"/>
    <xf numFmtId="0" fontId="2" fillId="30" borderId="5" xfId="0" applyFont="1" applyFill="1" applyBorder="1"/>
    <xf numFmtId="0" fontId="2" fillId="30" borderId="6" xfId="0" applyFont="1" applyFill="1" applyBorder="1"/>
    <xf numFmtId="0" fontId="2" fillId="30" borderId="8" xfId="0" applyFont="1" applyFill="1" applyBorder="1"/>
    <xf numFmtId="0" fontId="2" fillId="30" borderId="9" xfId="0" applyFont="1" applyFill="1" applyBorder="1"/>
    <xf numFmtId="166" fontId="2" fillId="0" borderId="10" xfId="0" applyNumberFormat="1" applyFont="1" applyBorder="1"/>
    <xf numFmtId="0" fontId="3" fillId="30" borderId="17" xfId="0" applyFont="1" applyFill="1" applyBorder="1"/>
    <xf numFmtId="0" fontId="2" fillId="30" borderId="58" xfId="0" applyFont="1" applyFill="1" applyBorder="1"/>
    <xf numFmtId="0" fontId="60" fillId="30" borderId="2" xfId="0" applyFont="1" applyFill="1" applyBorder="1" applyAlignment="1">
      <alignment horizontal="center"/>
    </xf>
    <xf numFmtId="0" fontId="61" fillId="0" borderId="0" xfId="0" applyFont="1" applyAlignment="1">
      <alignment vertical="center"/>
    </xf>
    <xf numFmtId="0" fontId="10" fillId="49" borderId="0" xfId="0" applyFont="1" applyFill="1"/>
    <xf numFmtId="0" fontId="1" fillId="0" borderId="2" xfId="0" applyFont="1" applyBorder="1" applyAlignment="1">
      <alignment wrapText="1"/>
    </xf>
    <xf numFmtId="0" fontId="40" fillId="35" borderId="0" xfId="0" applyFont="1" applyFill="1" applyBorder="1" applyAlignment="1"/>
    <xf numFmtId="0" fontId="3" fillId="3" borderId="10" xfId="0" applyFont="1" applyFill="1" applyBorder="1"/>
    <xf numFmtId="0" fontId="57" fillId="50" borderId="0" xfId="0" applyFont="1" applyFill="1"/>
    <xf numFmtId="2" fontId="39" fillId="21" borderId="0" xfId="0" applyNumberFormat="1" applyFont="1" applyFill="1"/>
    <xf numFmtId="2" fontId="25" fillId="0" borderId="60" xfId="0" applyNumberFormat="1" applyFont="1" applyBorder="1" applyAlignment="1">
      <alignment horizontal="center" vertical="center" wrapText="1"/>
    </xf>
    <xf numFmtId="2" fontId="25" fillId="0" borderId="61" xfId="0" applyNumberFormat="1" applyFont="1" applyBorder="1" applyAlignment="1">
      <alignment horizontal="center" vertical="center" wrapText="1"/>
    </xf>
    <xf numFmtId="1" fontId="0" fillId="0" borderId="0" xfId="0" applyNumberFormat="1"/>
    <xf numFmtId="16" fontId="1" fillId="0" borderId="0" xfId="0" applyNumberFormat="1" applyFont="1"/>
    <xf numFmtId="0" fontId="10" fillId="0" borderId="0" xfId="0" applyFont="1" applyAlignment="1">
      <alignment wrapText="1"/>
    </xf>
    <xf numFmtId="167" fontId="41" fillId="0" borderId="40" xfId="0" applyNumberFormat="1" applyFont="1" applyBorder="1" applyAlignment="1">
      <alignment horizontal="center" vertical="center" wrapText="1"/>
    </xf>
    <xf numFmtId="167" fontId="41" fillId="0" borderId="48" xfId="0" applyNumberFormat="1" applyFont="1" applyBorder="1" applyAlignment="1">
      <alignment horizontal="center" vertical="center" wrapText="1"/>
    </xf>
    <xf numFmtId="0" fontId="62" fillId="0" borderId="0" xfId="0" applyFont="1" applyAlignment="1">
      <alignment horizontal="center" vertical="center" wrapText="1"/>
    </xf>
    <xf numFmtId="0" fontId="16" fillId="0" borderId="60" xfId="0" applyFont="1" applyBorder="1" applyAlignment="1">
      <alignment horizontal="center" vertical="center" wrapText="1"/>
    </xf>
    <xf numFmtId="0" fontId="29" fillId="0" borderId="60" xfId="0" applyFont="1" applyBorder="1" applyAlignment="1">
      <alignment horizontal="center" vertical="center" wrapText="1"/>
    </xf>
    <xf numFmtId="167" fontId="28" fillId="0" borderId="60" xfId="0" applyNumberFormat="1" applyFont="1" applyBorder="1" applyAlignment="1">
      <alignment horizontal="center" vertical="center" wrapText="1"/>
    </xf>
    <xf numFmtId="0" fontId="16" fillId="0" borderId="61" xfId="0" applyFont="1" applyBorder="1" applyAlignment="1">
      <alignment horizontal="center" vertical="center" wrapText="1"/>
    </xf>
    <xf numFmtId="0" fontId="29" fillId="0" borderId="61" xfId="0" applyFont="1" applyBorder="1" applyAlignment="1">
      <alignment horizontal="center" vertical="center" wrapText="1"/>
    </xf>
    <xf numFmtId="167" fontId="28" fillId="0" borderId="61" xfId="0" applyNumberFormat="1" applyFont="1" applyBorder="1" applyAlignment="1">
      <alignment horizontal="center" vertical="center" wrapText="1"/>
    </xf>
    <xf numFmtId="0" fontId="16" fillId="0" borderId="62" xfId="0" applyFont="1" applyBorder="1" applyAlignment="1">
      <alignment horizontal="center" vertical="center" wrapText="1"/>
    </xf>
    <xf numFmtId="167" fontId="16" fillId="0" borderId="62" xfId="0" applyNumberFormat="1" applyFont="1" applyBorder="1" applyAlignment="1">
      <alignment horizontal="center" vertical="center" wrapText="1"/>
    </xf>
    <xf numFmtId="0" fontId="0" fillId="0" borderId="62" xfId="0" applyBorder="1"/>
    <xf numFmtId="0" fontId="24" fillId="27" borderId="23" xfId="0" applyFont="1" applyFill="1" applyBorder="1" applyAlignment="1">
      <alignment horizontal="center" vertical="center" wrapText="1"/>
    </xf>
    <xf numFmtId="0" fontId="62" fillId="0" borderId="62" xfId="0" applyFont="1" applyBorder="1" applyAlignment="1">
      <alignment horizontal="center" vertical="center" wrapText="1"/>
    </xf>
    <xf numFmtId="0" fontId="64" fillId="26" borderId="28" xfId="0" applyFont="1" applyFill="1" applyBorder="1" applyAlignment="1">
      <alignment vertical="center" wrapText="1"/>
    </xf>
    <xf numFmtId="167" fontId="18" fillId="0" borderId="40" xfId="0" applyNumberFormat="1" applyFont="1" applyBorder="1" applyAlignment="1">
      <alignment horizontal="center" vertical="center" wrapText="1"/>
    </xf>
    <xf numFmtId="167" fontId="18" fillId="0" borderId="41" xfId="0" applyNumberFormat="1" applyFont="1" applyBorder="1" applyAlignment="1">
      <alignment horizontal="center" vertical="center" wrapText="1"/>
    </xf>
    <xf numFmtId="0" fontId="65" fillId="0" borderId="41" xfId="0" applyFont="1" applyBorder="1" applyAlignment="1">
      <alignment horizontal="center" vertical="center" wrapText="1"/>
    </xf>
    <xf numFmtId="2" fontId="18" fillId="0" borderId="41" xfId="0" applyNumberFormat="1" applyFont="1" applyBorder="1" applyAlignment="1">
      <alignment horizontal="center" vertical="center" wrapText="1"/>
    </xf>
    <xf numFmtId="0" fontId="62" fillId="20" borderId="60" xfId="0" applyFont="1" applyFill="1" applyBorder="1" applyAlignment="1">
      <alignment horizontal="center" vertical="center" wrapText="1"/>
    </xf>
    <xf numFmtId="0" fontId="66" fillId="35" borderId="61" xfId="0" applyFont="1" applyFill="1" applyBorder="1" applyAlignment="1">
      <alignment horizontal="center" vertical="center" wrapText="1"/>
    </xf>
    <xf numFmtId="0" fontId="25" fillId="51" borderId="61" xfId="0" applyFont="1" applyFill="1" applyBorder="1" applyAlignment="1">
      <alignment horizontal="center" vertical="center" wrapText="1"/>
    </xf>
    <xf numFmtId="0" fontId="15" fillId="28" borderId="25" xfId="0" applyFont="1" applyFill="1" applyBorder="1" applyAlignment="1">
      <alignment horizontal="right" vertical="center" wrapText="1"/>
    </xf>
    <xf numFmtId="167" fontId="2" fillId="14" borderId="2" xfId="0" applyNumberFormat="1" applyFont="1" applyFill="1" applyBorder="1"/>
    <xf numFmtId="167" fontId="2" fillId="2" borderId="2" xfId="0" applyNumberFormat="1" applyFont="1" applyFill="1" applyBorder="1"/>
    <xf numFmtId="167" fontId="3" fillId="2" borderId="2" xfId="0" applyNumberFormat="1" applyFont="1" applyFill="1" applyBorder="1"/>
    <xf numFmtId="169" fontId="7" fillId="9" borderId="2" xfId="0" applyNumberFormat="1" applyFont="1" applyFill="1" applyBorder="1" applyAlignment="1">
      <alignment horizontal="center"/>
    </xf>
    <xf numFmtId="169" fontId="7" fillId="2" borderId="2" xfId="0" applyNumberFormat="1" applyFont="1" applyFill="1" applyBorder="1" applyAlignment="1">
      <alignment horizontal="center"/>
    </xf>
    <xf numFmtId="169" fontId="7" fillId="2" borderId="12" xfId="0" applyNumberFormat="1" applyFont="1" applyFill="1" applyBorder="1" applyAlignment="1">
      <alignment horizontal="center"/>
    </xf>
    <xf numFmtId="169" fontId="44" fillId="43" borderId="2" xfId="0" applyNumberFormat="1" applyFont="1" applyFill="1" applyBorder="1" applyAlignment="1">
      <alignment horizontal="center"/>
    </xf>
    <xf numFmtId="2" fontId="7" fillId="16" borderId="2" xfId="0" applyNumberFormat="1" applyFont="1" applyFill="1" applyBorder="1" applyAlignment="1">
      <alignment horizontal="center"/>
    </xf>
    <xf numFmtId="0" fontId="67" fillId="0" borderId="0" xfId="0" applyFont="1" applyFill="1" applyBorder="1"/>
    <xf numFmtId="0" fontId="22" fillId="26" borderId="28" xfId="0" applyFont="1" applyFill="1" applyBorder="1" applyAlignment="1">
      <alignment vertical="center" wrapText="1"/>
    </xf>
    <xf numFmtId="0" fontId="22" fillId="26" borderId="23" xfId="0" applyFont="1" applyFill="1" applyBorder="1" applyAlignment="1">
      <alignment vertical="center" wrapText="1"/>
    </xf>
    <xf numFmtId="0" fontId="26" fillId="26" borderId="45" xfId="0" applyFont="1" applyFill="1" applyBorder="1" applyAlignment="1">
      <alignment vertical="center" wrapText="1"/>
    </xf>
    <xf numFmtId="0" fontId="26" fillId="26" borderId="47" xfId="0" applyFont="1" applyFill="1" applyBorder="1" applyAlignment="1">
      <alignment vertical="center" wrapText="1"/>
    </xf>
    <xf numFmtId="0" fontId="26" fillId="26" borderId="46" xfId="0" applyFont="1" applyFill="1" applyBorder="1" applyAlignment="1">
      <alignment vertical="center" wrapText="1"/>
    </xf>
    <xf numFmtId="0" fontId="63" fillId="0" borderId="60" xfId="0" applyFont="1" applyBorder="1" applyAlignment="1">
      <alignment horizontal="center" vertical="center" wrapText="1"/>
    </xf>
    <xf numFmtId="0" fontId="63" fillId="0" borderId="61" xfId="0" applyFont="1" applyBorder="1" applyAlignment="1">
      <alignment horizontal="center" vertical="center" wrapText="1"/>
    </xf>
    <xf numFmtId="0" fontId="26" fillId="26" borderId="23" xfId="0" applyFont="1" applyFill="1" applyBorder="1" applyAlignment="1">
      <alignment vertical="center" wrapText="1"/>
    </xf>
    <xf numFmtId="0" fontId="26" fillId="26" borderId="29" xfId="0" applyFont="1" applyFill="1" applyBorder="1" applyAlignment="1">
      <alignment vertical="center" wrapText="1"/>
    </xf>
    <xf numFmtId="0" fontId="24" fillId="27" borderId="29" xfId="0" applyFont="1" applyFill="1" applyBorder="1" applyAlignment="1">
      <alignment vertical="center" wrapText="1"/>
    </xf>
    <xf numFmtId="167" fontId="25" fillId="0" borderId="42" xfId="0" applyNumberFormat="1" applyFont="1" applyBorder="1" applyAlignment="1">
      <alignment horizontal="center" vertical="center" wrapText="1"/>
    </xf>
    <xf numFmtId="0" fontId="25" fillId="0" borderId="42" xfId="0" applyFont="1" applyBorder="1" applyAlignment="1">
      <alignment horizontal="center" vertical="center" wrapText="1"/>
    </xf>
    <xf numFmtId="0" fontId="63" fillId="0" borderId="42" xfId="0" applyFont="1" applyBorder="1" applyAlignment="1">
      <alignment horizontal="center" vertical="center" wrapText="1"/>
    </xf>
    <xf numFmtId="0" fontId="26" fillId="25" borderId="51" xfId="0" applyFont="1" applyFill="1" applyBorder="1" applyAlignment="1">
      <alignment horizontal="center" vertical="center" wrapText="1"/>
    </xf>
    <xf numFmtId="0" fontId="26" fillId="25" borderId="23" xfId="0" applyFont="1" applyFill="1" applyBorder="1" applyAlignment="1">
      <alignment horizontal="center" vertical="center" wrapText="1"/>
    </xf>
    <xf numFmtId="167" fontId="28" fillId="0" borderId="44" xfId="0" applyNumberFormat="1" applyFont="1" applyBorder="1" applyAlignment="1">
      <alignment horizontal="center" vertical="center"/>
    </xf>
    <xf numFmtId="0" fontId="26" fillId="25" borderId="26" xfId="0" applyFont="1" applyFill="1" applyBorder="1" applyAlignment="1">
      <alignment horizontal="center" vertical="center" wrapText="1"/>
    </xf>
    <xf numFmtId="3" fontId="18" fillId="42" borderId="0" xfId="0" applyNumberFormat="1" applyFont="1" applyFill="1" applyAlignment="1">
      <alignment horizontal="right" vertical="center"/>
    </xf>
    <xf numFmtId="0" fontId="22" fillId="26" borderId="0" xfId="0" applyFont="1" applyFill="1" applyBorder="1" applyAlignment="1">
      <alignment vertical="center" wrapText="1"/>
    </xf>
    <xf numFmtId="3" fontId="18" fillId="28" borderId="25" xfId="0" applyNumberFormat="1" applyFont="1" applyFill="1" applyBorder="1" applyAlignment="1">
      <alignment horizontal="center" vertical="center" wrapText="1"/>
    </xf>
    <xf numFmtId="0" fontId="69" fillId="53" borderId="0" xfId="0" applyFont="1" applyFill="1" applyBorder="1" applyAlignment="1">
      <alignment vertical="top" wrapText="1"/>
    </xf>
    <xf numFmtId="0" fontId="69" fillId="55" borderId="0" xfId="0" applyFont="1" applyFill="1" applyBorder="1" applyAlignment="1">
      <alignment vertical="top" wrapText="1"/>
    </xf>
    <xf numFmtId="0" fontId="69" fillId="56" borderId="0" xfId="0" applyFont="1" applyFill="1" applyBorder="1" applyAlignment="1">
      <alignment vertical="top" wrapText="1"/>
    </xf>
    <xf numFmtId="0" fontId="69" fillId="57" borderId="0" xfId="0" applyFont="1" applyFill="1" applyBorder="1" applyAlignment="1">
      <alignment vertical="top" wrapText="1"/>
    </xf>
    <xf numFmtId="0" fontId="69" fillId="54" borderId="0" xfId="0" applyFont="1" applyFill="1" applyBorder="1" applyAlignment="1">
      <alignment vertical="top" wrapText="1"/>
    </xf>
    <xf numFmtId="0" fontId="29" fillId="42" borderId="64" xfId="0" applyFont="1" applyFill="1" applyBorder="1" applyAlignment="1">
      <alignment vertical="top" wrapText="1"/>
    </xf>
    <xf numFmtId="0" fontId="29" fillId="42" borderId="65" xfId="0" applyFont="1" applyFill="1" applyBorder="1" applyAlignment="1">
      <alignment vertical="top" wrapText="1"/>
    </xf>
    <xf numFmtId="0" fontId="29" fillId="31" borderId="65" xfId="0" applyFont="1" applyFill="1" applyBorder="1" applyAlignment="1">
      <alignment vertical="top" wrapText="1"/>
    </xf>
    <xf numFmtId="0" fontId="65" fillId="31" borderId="65" xfId="0" applyFont="1" applyFill="1" applyBorder="1" applyAlignment="1">
      <alignment wrapText="1"/>
    </xf>
    <xf numFmtId="0" fontId="65" fillId="31" borderId="66" xfId="0" applyFont="1" applyFill="1" applyBorder="1" applyAlignment="1">
      <alignment wrapText="1"/>
    </xf>
    <xf numFmtId="0" fontId="15" fillId="59" borderId="69" xfId="0" applyFont="1" applyFill="1" applyBorder="1" applyAlignment="1">
      <alignment vertical="top" wrapText="1"/>
    </xf>
    <xf numFmtId="0" fontId="15" fillId="59" borderId="67" xfId="0" applyFont="1" applyFill="1" applyBorder="1" applyAlignment="1">
      <alignment vertical="top" wrapText="1"/>
    </xf>
    <xf numFmtId="0" fontId="15" fillId="59" borderId="68" xfId="0" applyFont="1" applyFill="1" applyBorder="1" applyAlignment="1">
      <alignment vertical="top" wrapText="1"/>
    </xf>
    <xf numFmtId="0" fontId="15" fillId="60" borderId="69" xfId="0" applyFont="1" applyFill="1" applyBorder="1" applyAlignment="1">
      <alignment vertical="top" wrapText="1"/>
    </xf>
    <xf numFmtId="0" fontId="15" fillId="60" borderId="67" xfId="0" applyFont="1" applyFill="1" applyBorder="1" applyAlignment="1">
      <alignment vertical="top" wrapText="1"/>
    </xf>
    <xf numFmtId="0" fontId="15" fillId="60" borderId="68" xfId="0" applyFont="1" applyFill="1" applyBorder="1" applyAlignment="1">
      <alignment vertical="top" wrapText="1"/>
    </xf>
    <xf numFmtId="0" fontId="15" fillId="52" borderId="69" xfId="0" applyFont="1" applyFill="1" applyBorder="1" applyAlignment="1">
      <alignment vertical="top" wrapText="1"/>
    </xf>
    <xf numFmtId="0" fontId="15" fillId="52" borderId="67" xfId="0" applyFont="1" applyFill="1" applyBorder="1" applyAlignment="1">
      <alignment vertical="top" wrapText="1"/>
    </xf>
    <xf numFmtId="0" fontId="15" fillId="52" borderId="68" xfId="0" applyFont="1" applyFill="1" applyBorder="1" applyAlignment="1">
      <alignment vertical="top" wrapText="1"/>
    </xf>
    <xf numFmtId="0" fontId="68" fillId="55" borderId="63" xfId="0" applyFont="1" applyFill="1" applyBorder="1" applyAlignment="1">
      <alignment vertical="top" wrapText="1"/>
    </xf>
    <xf numFmtId="0" fontId="68" fillId="56" borderId="63" xfId="0" applyFont="1" applyFill="1" applyBorder="1" applyAlignment="1">
      <alignment vertical="top" wrapText="1"/>
    </xf>
    <xf numFmtId="0" fontId="68" fillId="57" borderId="63" xfId="0" applyFont="1" applyFill="1" applyBorder="1" applyAlignment="1">
      <alignment vertical="top" wrapText="1"/>
    </xf>
    <xf numFmtId="0" fontId="68" fillId="54" borderId="63" xfId="0" applyFont="1" applyFill="1" applyBorder="1" applyAlignment="1">
      <alignment vertical="top" wrapText="1"/>
    </xf>
    <xf numFmtId="0" fontId="68" fillId="58" borderId="63" xfId="0" applyFont="1" applyFill="1" applyBorder="1" applyAlignment="1">
      <alignment wrapText="1"/>
    </xf>
    <xf numFmtId="0" fontId="69" fillId="58" borderId="0" xfId="0" applyFont="1" applyFill="1" applyBorder="1" applyAlignment="1">
      <alignment wrapText="1"/>
    </xf>
    <xf numFmtId="0" fontId="69" fillId="58" borderId="0" xfId="0" applyFont="1" applyFill="1" applyBorder="1"/>
    <xf numFmtId="0" fontId="69" fillId="58" borderId="43" xfId="0" applyFont="1" applyFill="1" applyBorder="1" applyAlignment="1">
      <alignment wrapText="1"/>
    </xf>
    <xf numFmtId="0" fontId="15" fillId="62" borderId="69" xfId="0" applyFont="1" applyFill="1" applyBorder="1" applyAlignment="1">
      <alignment vertical="top" wrapText="1"/>
    </xf>
    <xf numFmtId="0" fontId="15" fillId="62" borderId="67" xfId="0" applyFont="1" applyFill="1" applyBorder="1" applyAlignment="1">
      <alignment vertical="top" wrapText="1"/>
    </xf>
    <xf numFmtId="0" fontId="15" fillId="62" borderId="68" xfId="0" applyFont="1" applyFill="1" applyBorder="1" applyAlignment="1">
      <alignment vertical="top" wrapText="1"/>
    </xf>
    <xf numFmtId="0" fontId="68" fillId="53" borderId="71" xfId="0" applyFont="1" applyFill="1" applyBorder="1" applyAlignment="1">
      <alignment vertical="top" wrapText="1"/>
    </xf>
    <xf numFmtId="0" fontId="15" fillId="63" borderId="72" xfId="0" applyFont="1" applyFill="1" applyBorder="1" applyAlignment="1">
      <alignment vertical="top" wrapText="1"/>
    </xf>
    <xf numFmtId="0" fontId="15" fillId="63" borderId="67" xfId="0" applyFont="1" applyFill="1" applyBorder="1" applyAlignment="1">
      <alignment vertical="top" wrapText="1"/>
    </xf>
    <xf numFmtId="0" fontId="15" fillId="63" borderId="68" xfId="0" applyFont="1" applyFill="1" applyBorder="1" applyAlignment="1">
      <alignment vertical="top" wrapText="1"/>
    </xf>
    <xf numFmtId="0" fontId="15" fillId="61" borderId="69" xfId="0" applyFont="1" applyFill="1" applyBorder="1" applyAlignment="1">
      <alignment wrapText="1"/>
    </xf>
    <xf numFmtId="0" fontId="15" fillId="61" borderId="67" xfId="0" applyFont="1" applyFill="1" applyBorder="1" applyAlignment="1">
      <alignment wrapText="1"/>
    </xf>
    <xf numFmtId="0" fontId="15" fillId="61" borderId="70" xfId="0" applyFont="1" applyFill="1" applyBorder="1" applyAlignment="1">
      <alignment wrapText="1"/>
    </xf>
    <xf numFmtId="167" fontId="0" fillId="0" borderId="0" xfId="0" applyNumberFormat="1"/>
    <xf numFmtId="0" fontId="55" fillId="0" borderId="2" xfId="0" applyFont="1" applyBorder="1"/>
    <xf numFmtId="0" fontId="70" fillId="0" borderId="0" xfId="0" applyFont="1" applyBorder="1"/>
    <xf numFmtId="0" fontId="30" fillId="0" borderId="0" xfId="0" applyFont="1"/>
    <xf numFmtId="0" fontId="1" fillId="0" borderId="73" xfId="0" applyFont="1" applyBorder="1"/>
    <xf numFmtId="0" fontId="0" fillId="0" borderId="58" xfId="0" applyBorder="1"/>
    <xf numFmtId="0" fontId="0" fillId="0" borderId="9" xfId="0" applyBorder="1"/>
    <xf numFmtId="0" fontId="1" fillId="0" borderId="1" xfId="0" applyFont="1" applyBorder="1"/>
    <xf numFmtId="0" fontId="0" fillId="0" borderId="7" xfId="0" applyBorder="1"/>
    <xf numFmtId="0" fontId="0" fillId="0" borderId="75" xfId="0" applyBorder="1"/>
    <xf numFmtId="0" fontId="0" fillId="0" borderId="4" xfId="0" applyBorder="1"/>
    <xf numFmtId="0" fontId="0" fillId="0" borderId="15" xfId="0" applyBorder="1"/>
    <xf numFmtId="14" fontId="0" fillId="0" borderId="75" xfId="0" applyNumberFormat="1" applyBorder="1"/>
    <xf numFmtId="14" fontId="0" fillId="0" borderId="74" xfId="0" applyNumberFormat="1" applyBorder="1"/>
    <xf numFmtId="0" fontId="0" fillId="0" borderId="75" xfId="0" applyBorder="1" applyAlignment="1">
      <alignment horizontal="center"/>
    </xf>
    <xf numFmtId="0" fontId="1" fillId="29" borderId="0" xfId="0" applyFont="1" applyFill="1"/>
    <xf numFmtId="1" fontId="21" fillId="21" borderId="2" xfId="0" applyNumberFormat="1" applyFont="1" applyFill="1" applyBorder="1"/>
    <xf numFmtId="2" fontId="0" fillId="0" borderId="0" xfId="0" applyNumberFormat="1"/>
    <xf numFmtId="0" fontId="27" fillId="0" borderId="2" xfId="2" applyBorder="1"/>
    <xf numFmtId="0" fontId="29" fillId="31" borderId="65" xfId="0" applyFont="1" applyFill="1" applyBorder="1" applyAlignment="1">
      <alignment wrapText="1"/>
    </xf>
    <xf numFmtId="44" fontId="8" fillId="0" borderId="0" xfId="3" applyFont="1" applyBorder="1"/>
    <xf numFmtId="2" fontId="28" fillId="0" borderId="60" xfId="0" applyNumberFormat="1" applyFont="1" applyBorder="1" applyAlignment="1">
      <alignment horizontal="center" vertical="center" wrapText="1"/>
    </xf>
    <xf numFmtId="2" fontId="28" fillId="28" borderId="25" xfId="0" applyNumberFormat="1" applyFont="1" applyFill="1" applyBorder="1" applyAlignment="1">
      <alignment horizontal="center" vertical="center" wrapText="1"/>
    </xf>
    <xf numFmtId="0" fontId="63" fillId="0" borderId="0" xfId="0" applyFont="1"/>
    <xf numFmtId="0" fontId="72" fillId="0" borderId="0" xfId="0" applyFont="1" applyBorder="1"/>
    <xf numFmtId="168" fontId="8" fillId="0" borderId="2" xfId="0" applyNumberFormat="1" applyFont="1" applyBorder="1" applyAlignment="1">
      <alignment wrapText="1"/>
    </xf>
    <xf numFmtId="44" fontId="8" fillId="0" borderId="2" xfId="3" applyNumberFormat="1" applyFont="1" applyBorder="1" applyAlignment="1">
      <alignment wrapText="1"/>
    </xf>
    <xf numFmtId="167" fontId="8" fillId="0" borderId="2" xfId="0" applyNumberFormat="1" applyFont="1" applyBorder="1" applyAlignment="1">
      <alignment wrapText="1"/>
    </xf>
    <xf numFmtId="0" fontId="24" fillId="27" borderId="0" xfId="0" applyFont="1" applyFill="1" applyBorder="1" applyAlignment="1">
      <alignment vertical="center" wrapText="1"/>
    </xf>
    <xf numFmtId="2" fontId="25" fillId="0" borderId="0" xfId="0" applyNumberFormat="1" applyFont="1" applyBorder="1" applyAlignment="1">
      <alignment horizontal="center" vertical="center" wrapText="1"/>
    </xf>
    <xf numFmtId="0" fontId="26" fillId="25" borderId="51" xfId="0" applyFont="1" applyFill="1" applyBorder="1" applyAlignment="1">
      <alignment horizontal="center" vertical="center" wrapText="1"/>
    </xf>
    <xf numFmtId="0" fontId="26" fillId="25" borderId="23" xfId="0" applyFont="1" applyFill="1" applyBorder="1" applyAlignment="1">
      <alignment horizontal="center" vertical="center" wrapText="1"/>
    </xf>
    <xf numFmtId="0" fontId="26" fillId="25" borderId="49" xfId="0" applyFont="1" applyFill="1" applyBorder="1" applyAlignment="1">
      <alignment horizontal="center" vertical="center" wrapText="1"/>
    </xf>
    <xf numFmtId="0" fontId="26" fillId="25" borderId="50" xfId="0" applyFont="1" applyFill="1" applyBorder="1" applyAlignment="1">
      <alignment horizontal="center" vertical="center" wrapText="1"/>
    </xf>
    <xf numFmtId="0" fontId="20" fillId="25" borderId="51" xfId="0" applyFont="1" applyFill="1" applyBorder="1" applyAlignment="1">
      <alignment horizontal="center" vertical="center" wrapText="1"/>
    </xf>
    <xf numFmtId="0" fontId="20" fillId="25" borderId="23" xfId="0" applyFont="1" applyFill="1" applyBorder="1" applyAlignment="1">
      <alignment horizontal="center" vertical="center" wrapText="1"/>
    </xf>
    <xf numFmtId="0" fontId="20" fillId="25" borderId="49" xfId="0" applyFont="1" applyFill="1" applyBorder="1" applyAlignment="1">
      <alignment horizontal="center" vertical="center" wrapText="1"/>
    </xf>
    <xf numFmtId="0" fontId="20" fillId="25" borderId="50" xfId="0" applyFont="1" applyFill="1" applyBorder="1" applyAlignment="1">
      <alignment horizontal="center" vertical="center" wrapText="1"/>
    </xf>
    <xf numFmtId="0" fontId="7" fillId="3" borderId="12" xfId="0" applyFont="1" applyFill="1" applyBorder="1" applyAlignment="1">
      <alignment horizontal="center"/>
    </xf>
    <xf numFmtId="0" fontId="7" fillId="3" borderId="14" xfId="0" applyFont="1" applyFill="1" applyBorder="1" applyAlignment="1">
      <alignment horizontal="center"/>
    </xf>
    <xf numFmtId="0" fontId="7" fillId="3" borderId="13" xfId="0" applyFont="1" applyFill="1" applyBorder="1" applyAlignment="1">
      <alignment horizontal="center"/>
    </xf>
    <xf numFmtId="0" fontId="63" fillId="0" borderId="73" xfId="0" applyFont="1" applyBorder="1" applyAlignment="1">
      <alignment wrapText="1"/>
    </xf>
    <xf numFmtId="0" fontId="0" fillId="0" borderId="76" xfId="0" applyBorder="1" applyAlignment="1">
      <alignment wrapText="1"/>
    </xf>
    <xf numFmtId="0" fontId="0" fillId="0" borderId="74" xfId="0" applyBorder="1" applyAlignment="1">
      <alignment wrapText="1"/>
    </xf>
    <xf numFmtId="0" fontId="63" fillId="0" borderId="58" xfId="0" applyFont="1" applyBorder="1" applyAlignment="1">
      <alignment wrapText="1"/>
    </xf>
    <xf numFmtId="0" fontId="0" fillId="0" borderId="8" xfId="0" applyBorder="1" applyAlignment="1">
      <alignment wrapText="1"/>
    </xf>
    <xf numFmtId="0" fontId="0" fillId="0" borderId="9" xfId="0" applyBorder="1" applyAlignment="1">
      <alignment wrapText="1"/>
    </xf>
    <xf numFmtId="0" fontId="8" fillId="0" borderId="0" xfId="0" applyFont="1" applyBorder="1" applyAlignment="1">
      <alignment vertical="center" wrapText="1"/>
    </xf>
    <xf numFmtId="0" fontId="0" fillId="0" borderId="0" xfId="0" applyAlignment="1">
      <alignment vertical="center" wrapText="1"/>
    </xf>
    <xf numFmtId="0" fontId="1" fillId="0" borderId="0" xfId="0" applyFont="1" applyAlignment="1">
      <alignment wrapText="1"/>
    </xf>
    <xf numFmtId="0" fontId="0" fillId="0" borderId="0" xfId="0" applyAlignment="1">
      <alignment wrapText="1"/>
    </xf>
  </cellXfs>
  <cellStyles count="4">
    <cellStyle name="Currency" xfId="3" builtinId="4"/>
    <cellStyle name="Hyperlink" xfId="2" builtinId="8"/>
    <cellStyle name="Normal" xfId="0" builtinId="0"/>
    <cellStyle name="Percent" xfId="1" builtinId="5"/>
  </cellStyles>
  <dxfs count="42">
    <dxf>
      <font>
        <color theme="3" tint="-0.24994659260841701"/>
      </font>
    </dxf>
    <dxf>
      <font>
        <b/>
        <i/>
        <color rgb="FFC00000"/>
      </font>
    </dxf>
    <dxf>
      <font>
        <color theme="0" tint="-0.499984740745262"/>
      </font>
      <fill>
        <patternFill>
          <bgColor theme="0" tint="-0.14996795556505021"/>
        </patternFill>
      </fill>
    </dxf>
    <dxf>
      <font>
        <color theme="3" tint="-0.24994659260841701"/>
      </font>
    </dxf>
    <dxf>
      <font>
        <b/>
        <i/>
        <color rgb="FFC00000"/>
      </font>
    </dxf>
    <dxf>
      <font>
        <color theme="0" tint="-0.499984740745262"/>
      </font>
      <fill>
        <patternFill>
          <bgColor theme="0" tint="-0.14996795556505021"/>
        </patternFill>
      </fill>
    </dxf>
    <dxf>
      <font>
        <color theme="0" tint="-0.499984740745262"/>
      </font>
    </dxf>
    <dxf>
      <font>
        <color theme="1" tint="0.499984740745262"/>
      </font>
    </dxf>
    <dxf>
      <font>
        <color theme="4" tint="0.59996337778862885"/>
      </font>
    </dxf>
    <dxf>
      <font>
        <b/>
        <i val="0"/>
        <color theme="1"/>
      </font>
    </dxf>
    <dxf>
      <font>
        <color theme="3" tint="0.39994506668294322"/>
      </font>
    </dxf>
    <dxf>
      <font>
        <b/>
        <i val="0"/>
        <color theme="1"/>
      </font>
    </dxf>
    <dxf>
      <font>
        <color theme="4" tint="0.79998168889431442"/>
      </font>
    </dxf>
    <dxf>
      <font>
        <b/>
        <i val="0"/>
      </font>
    </dxf>
    <dxf>
      <font>
        <b val="0"/>
        <i/>
        <color theme="0" tint="-0.24994659260841701"/>
      </font>
      <fill>
        <patternFill>
          <bgColor theme="0"/>
        </patternFill>
      </fill>
    </dxf>
    <dxf>
      <font>
        <color theme="1" tint="0.499984740745262"/>
      </font>
      <fill>
        <patternFill>
          <bgColor theme="0" tint="-0.14996795556505021"/>
        </patternFill>
      </fill>
    </dxf>
    <dxf>
      <fill>
        <patternFill>
          <bgColor theme="9" tint="0.59996337778862885"/>
        </patternFill>
      </fill>
    </dxf>
    <dxf>
      <font>
        <b/>
        <i/>
        <color rgb="FF7E0000"/>
      </font>
      <fill>
        <patternFill>
          <bgColor theme="5" tint="0.39994506668294322"/>
        </patternFill>
      </fill>
    </dxf>
    <dxf>
      <fill>
        <patternFill>
          <bgColor theme="5" tint="0.59996337778862885"/>
        </patternFill>
      </fill>
    </dxf>
    <dxf>
      <font>
        <color auto="1"/>
      </font>
      <fill>
        <patternFill>
          <bgColor rgb="FFFFEB9C"/>
        </patternFill>
      </fill>
    </dxf>
    <dxf>
      <fill>
        <patternFill>
          <bgColor rgb="FFAEF09E"/>
        </patternFill>
      </fill>
    </dxf>
    <dxf>
      <fill>
        <patternFill>
          <bgColor theme="5" tint="0.59996337778862885"/>
        </patternFill>
      </fill>
    </dxf>
    <dxf>
      <font>
        <color auto="1"/>
      </font>
      <fill>
        <patternFill>
          <bgColor rgb="FFFFEB9C"/>
        </patternFill>
      </fill>
    </dxf>
    <dxf>
      <fill>
        <patternFill>
          <bgColor rgb="FFAEF09E"/>
        </patternFill>
      </fill>
    </dxf>
    <dxf>
      <font>
        <b/>
        <i val="0"/>
        <color rgb="FFFFFF66"/>
      </font>
      <fill>
        <patternFill>
          <bgColor theme="3" tint="-0.24994659260841701"/>
        </patternFill>
      </fill>
    </dxf>
    <dxf>
      <font>
        <b/>
        <i val="0"/>
        <color rgb="FFFFFF66"/>
      </font>
      <fill>
        <patternFill>
          <bgColor theme="3" tint="-0.24994659260841701"/>
        </patternFill>
      </fill>
    </dxf>
    <dxf>
      <font>
        <b/>
        <i val="0"/>
        <color rgb="FFFFFF66"/>
      </font>
      <fill>
        <patternFill>
          <bgColor theme="3" tint="-0.24994659260841701"/>
        </patternFill>
      </fill>
    </dxf>
    <dxf>
      <font>
        <b/>
        <i val="0"/>
        <color rgb="FFFFFF66"/>
      </font>
      <fill>
        <patternFill>
          <bgColor theme="3" tint="-0.24994659260841701"/>
        </patternFill>
      </fill>
    </dxf>
    <dxf>
      <font>
        <b/>
        <i val="0"/>
        <color rgb="FFFFFF66"/>
      </font>
      <fill>
        <patternFill>
          <bgColor theme="3" tint="-0.24994659260841701"/>
        </patternFill>
      </fill>
    </dxf>
    <dxf>
      <font>
        <b/>
        <i val="0"/>
        <color rgb="FFFFFF66"/>
      </font>
      <fill>
        <patternFill>
          <bgColor theme="3" tint="-0.24994659260841701"/>
        </patternFill>
      </fill>
    </dxf>
    <dxf>
      <font>
        <b/>
        <i val="0"/>
        <color rgb="FFFFFF66"/>
      </font>
      <fill>
        <patternFill>
          <bgColor theme="3" tint="-0.24994659260841701"/>
        </patternFill>
      </fill>
    </dxf>
    <dxf>
      <font>
        <b/>
        <i val="0"/>
        <color rgb="FFFFFF66"/>
      </font>
      <fill>
        <patternFill>
          <bgColor theme="3" tint="-0.24994659260841701"/>
        </patternFill>
      </fill>
    </dxf>
    <dxf>
      <font>
        <b/>
        <i val="0"/>
        <color rgb="FFFFFF66"/>
      </font>
      <fill>
        <patternFill>
          <bgColor theme="3" tint="-0.24994659260841701"/>
        </patternFill>
      </fill>
    </dxf>
    <dxf>
      <font>
        <b/>
        <i val="0"/>
        <color rgb="FFFFFF66"/>
      </font>
      <fill>
        <patternFill>
          <bgColor theme="3" tint="-0.24994659260841701"/>
        </patternFill>
      </fill>
    </dxf>
    <dxf>
      <font>
        <b/>
        <i val="0"/>
        <color rgb="FFFFFF66"/>
      </font>
      <fill>
        <patternFill>
          <bgColor theme="3" tint="-0.24994659260841701"/>
        </patternFill>
      </fill>
    </dxf>
    <dxf>
      <font>
        <b/>
        <i val="0"/>
        <color rgb="FFFFFF66"/>
      </font>
      <fill>
        <patternFill>
          <bgColor theme="3" tint="-0.24994659260841701"/>
        </patternFill>
      </fill>
    </dxf>
    <dxf>
      <font>
        <b/>
        <i val="0"/>
        <color rgb="FFFFFF66"/>
      </font>
      <fill>
        <patternFill>
          <bgColor theme="3" tint="-0.24994659260841701"/>
        </patternFill>
      </fill>
    </dxf>
    <dxf>
      <font>
        <b/>
        <i val="0"/>
        <color rgb="FFFFFF66"/>
      </font>
      <fill>
        <patternFill>
          <bgColor theme="3" tint="-0.24994659260841701"/>
        </patternFill>
      </fill>
    </dxf>
    <dxf>
      <font>
        <b/>
        <i val="0"/>
        <color rgb="FFFFFF66"/>
      </font>
      <fill>
        <patternFill>
          <bgColor theme="3" tint="-0.24994659260841701"/>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4DB3F9"/>
      <color rgb="FF7FA8F9"/>
      <color rgb="FFFFFF33"/>
      <color rgb="FFFAAE62"/>
      <color rgb="FFB19BD1"/>
      <color rgb="FFEF8585"/>
      <color rgb="FFBE6402"/>
      <color rgb="FF5535A5"/>
      <color rgb="FF9FA301"/>
      <color rgb="FF00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8.7986561679790021E-2"/>
          <c:y val="6.5758556818198283E-2"/>
          <c:w val="0.6886777739739055"/>
          <c:h val="0.76842258991328583"/>
        </c:manualLayout>
      </c:layout>
      <c:barChart>
        <c:barDir val="col"/>
        <c:grouping val="stacked"/>
        <c:varyColors val="0"/>
        <c:ser>
          <c:idx val="2"/>
          <c:order val="0"/>
          <c:tx>
            <c:strRef>
              <c:f>DataIn!$B$17</c:f>
              <c:strCache>
                <c:ptCount val="1"/>
                <c:pt idx="0">
                  <c:v>Conservation</c:v>
                </c:pt>
              </c:strCache>
            </c:strRef>
          </c:tx>
          <c:spPr>
            <a:ln>
              <a:noFill/>
            </a:ln>
            <a:effectLst/>
          </c:spPr>
          <c:invertIfNegative val="0"/>
          <c:cat>
            <c:numRef>
              <c:f>DataIn!$D$13:$N$13</c:f>
              <c:numCache>
                <c:formatCode>General</c:formatCode>
                <c:ptCount val="11"/>
                <c:pt idx="0">
                  <c:v>2010</c:v>
                </c:pt>
                <c:pt idx="1">
                  <c:v>2015</c:v>
                </c:pt>
                <c:pt idx="2">
                  <c:v>2020</c:v>
                </c:pt>
                <c:pt idx="3">
                  <c:v>2025</c:v>
                </c:pt>
                <c:pt idx="4">
                  <c:v>2030</c:v>
                </c:pt>
                <c:pt idx="5">
                  <c:v>2035</c:v>
                </c:pt>
                <c:pt idx="6">
                  <c:v>2040</c:v>
                </c:pt>
                <c:pt idx="7">
                  <c:v>2045</c:v>
                </c:pt>
                <c:pt idx="8">
                  <c:v>2050</c:v>
                </c:pt>
                <c:pt idx="9">
                  <c:v>2055</c:v>
                </c:pt>
                <c:pt idx="10">
                  <c:v>2060</c:v>
                </c:pt>
              </c:numCache>
            </c:numRef>
          </c:cat>
          <c:val>
            <c:numRef>
              <c:f>DataIn!$D$17:$N$17</c:f>
              <c:numCache>
                <c:formatCode>0.00</c:formatCode>
                <c:ptCount val="11"/>
                <c:pt idx="0">
                  <c:v>-7.0913557500000004E-4</c:v>
                </c:pt>
                <c:pt idx="1">
                  <c:v>-2.1626000212500003E-2</c:v>
                </c:pt>
                <c:pt idx="2">
                  <c:v>-4.2542864850000008E-2</c:v>
                </c:pt>
                <c:pt idx="3">
                  <c:v>-9.5721154856250004E-2</c:v>
                </c:pt>
                <c:pt idx="4">
                  <c:v>-0.14889944486250001</c:v>
                </c:pt>
                <c:pt idx="5">
                  <c:v>-0.23043975710625</c:v>
                </c:pt>
                <c:pt idx="6">
                  <c:v>-0.31198006935</c:v>
                </c:pt>
                <c:pt idx="7">
                  <c:v>-0.42188209745624999</c:v>
                </c:pt>
                <c:pt idx="8">
                  <c:v>-0.53178412556249999</c:v>
                </c:pt>
                <c:pt idx="9">
                  <c:v>-0.67004796144375001</c:v>
                </c:pt>
                <c:pt idx="10">
                  <c:v>-0.80831179732500014</c:v>
                </c:pt>
              </c:numCache>
            </c:numRef>
          </c:val>
        </c:ser>
        <c:ser>
          <c:idx val="0"/>
          <c:order val="1"/>
          <c:tx>
            <c:strRef>
              <c:f>DataIn!$B$14</c:f>
              <c:strCache>
                <c:ptCount val="1"/>
                <c:pt idx="0">
                  <c:v>Residential</c:v>
                </c:pt>
              </c:strCache>
            </c:strRef>
          </c:tx>
          <c:spPr>
            <a:effectLst>
              <a:outerShdw blurRad="38100" dist="25400" algn="l" rotWithShape="0">
                <a:prstClr val="black">
                  <a:alpha val="40000"/>
                </a:prstClr>
              </a:outerShdw>
            </a:effectLst>
          </c:spPr>
          <c:invertIfNegative val="0"/>
          <c:cat>
            <c:numRef>
              <c:f>DataIn!$D$13:$N$13</c:f>
              <c:numCache>
                <c:formatCode>General</c:formatCode>
                <c:ptCount val="11"/>
                <c:pt idx="0">
                  <c:v>2010</c:v>
                </c:pt>
                <c:pt idx="1">
                  <c:v>2015</c:v>
                </c:pt>
                <c:pt idx="2">
                  <c:v>2020</c:v>
                </c:pt>
                <c:pt idx="3">
                  <c:v>2025</c:v>
                </c:pt>
                <c:pt idx="4">
                  <c:v>2030</c:v>
                </c:pt>
                <c:pt idx="5">
                  <c:v>2035</c:v>
                </c:pt>
                <c:pt idx="6">
                  <c:v>2040</c:v>
                </c:pt>
                <c:pt idx="7">
                  <c:v>2045</c:v>
                </c:pt>
                <c:pt idx="8">
                  <c:v>2050</c:v>
                </c:pt>
                <c:pt idx="9">
                  <c:v>2055</c:v>
                </c:pt>
                <c:pt idx="10">
                  <c:v>2060</c:v>
                </c:pt>
              </c:numCache>
            </c:numRef>
          </c:cat>
          <c:val>
            <c:numRef>
              <c:f>DataIn!$D$14:$N$14</c:f>
              <c:numCache>
                <c:formatCode>0.00</c:formatCode>
                <c:ptCount val="11"/>
                <c:pt idx="0">
                  <c:v>9.2540000000000001E-3</c:v>
                </c:pt>
                <c:pt idx="1">
                  <c:v>0.14342299999999999</c:v>
                </c:pt>
                <c:pt idx="2">
                  <c:v>0.27759200000000001</c:v>
                </c:pt>
                <c:pt idx="3">
                  <c:v>0.46265149999999999</c:v>
                </c:pt>
                <c:pt idx="4">
                  <c:v>0.64771100000000004</c:v>
                </c:pt>
                <c:pt idx="5">
                  <c:v>0.83277299999999999</c:v>
                </c:pt>
                <c:pt idx="6">
                  <c:v>1.017835</c:v>
                </c:pt>
                <c:pt idx="7">
                  <c:v>1.202896</c:v>
                </c:pt>
                <c:pt idx="8">
                  <c:v>1.3879570000000001</c:v>
                </c:pt>
                <c:pt idx="9">
                  <c:v>1.573018</c:v>
                </c:pt>
                <c:pt idx="10">
                  <c:v>1.7580789999999999</c:v>
                </c:pt>
              </c:numCache>
            </c:numRef>
          </c:val>
        </c:ser>
        <c:ser>
          <c:idx val="1"/>
          <c:order val="2"/>
          <c:tx>
            <c:strRef>
              <c:f>DataIn!$B$15</c:f>
              <c:strCache>
                <c:ptCount val="1"/>
                <c:pt idx="0">
                  <c:v>Commercial/Industrial</c:v>
                </c:pt>
              </c:strCache>
            </c:strRef>
          </c:tx>
          <c:spPr>
            <a:ln>
              <a:noFill/>
            </a:ln>
            <a:effectLst>
              <a:outerShdw blurRad="38100" dist="25400" algn="l" rotWithShape="0">
                <a:prstClr val="black">
                  <a:alpha val="40000"/>
                </a:prstClr>
              </a:outerShdw>
            </a:effectLst>
          </c:spPr>
          <c:invertIfNegative val="0"/>
          <c:cat>
            <c:numRef>
              <c:f>DataIn!$D$13:$N$13</c:f>
              <c:numCache>
                <c:formatCode>General</c:formatCode>
                <c:ptCount val="11"/>
                <c:pt idx="0">
                  <c:v>2010</c:v>
                </c:pt>
                <c:pt idx="1">
                  <c:v>2015</c:v>
                </c:pt>
                <c:pt idx="2">
                  <c:v>2020</c:v>
                </c:pt>
                <c:pt idx="3">
                  <c:v>2025</c:v>
                </c:pt>
                <c:pt idx="4">
                  <c:v>2030</c:v>
                </c:pt>
                <c:pt idx="5">
                  <c:v>2035</c:v>
                </c:pt>
                <c:pt idx="6">
                  <c:v>2040</c:v>
                </c:pt>
                <c:pt idx="7">
                  <c:v>2045</c:v>
                </c:pt>
                <c:pt idx="8">
                  <c:v>2050</c:v>
                </c:pt>
                <c:pt idx="9">
                  <c:v>2055</c:v>
                </c:pt>
                <c:pt idx="10">
                  <c:v>2060</c:v>
                </c:pt>
              </c:numCache>
            </c:numRef>
          </c:cat>
          <c:val>
            <c:numRef>
              <c:f>DataIn!$D$15:$N$15</c:f>
              <c:numCache>
                <c:formatCode>0.00</c:formatCode>
                <c:ptCount val="11"/>
                <c:pt idx="0">
                  <c:v>1.3892E-2</c:v>
                </c:pt>
                <c:pt idx="1">
                  <c:v>0.21529700000000002</c:v>
                </c:pt>
                <c:pt idx="2">
                  <c:v>0.41670200000000002</c:v>
                </c:pt>
                <c:pt idx="3">
                  <c:v>0.69450199999999995</c:v>
                </c:pt>
                <c:pt idx="4">
                  <c:v>0.972302</c:v>
                </c:pt>
                <c:pt idx="5">
                  <c:v>1.250102</c:v>
                </c:pt>
                <c:pt idx="6">
                  <c:v>1.5279020000000001</c:v>
                </c:pt>
                <c:pt idx="7">
                  <c:v>1.8057020000000001</c:v>
                </c:pt>
                <c:pt idx="8">
                  <c:v>2.0835020000000002</c:v>
                </c:pt>
                <c:pt idx="9">
                  <c:v>2.3613020000000002</c:v>
                </c:pt>
                <c:pt idx="10">
                  <c:v>2.6391019999999998</c:v>
                </c:pt>
              </c:numCache>
            </c:numRef>
          </c:val>
        </c:ser>
        <c:ser>
          <c:idx val="6"/>
          <c:order val="3"/>
          <c:tx>
            <c:strRef>
              <c:f>DataIn!$B$16</c:f>
              <c:strCache>
                <c:ptCount val="1"/>
                <c:pt idx="0">
                  <c:v>Non-Revenue</c:v>
                </c:pt>
              </c:strCache>
            </c:strRef>
          </c:tx>
          <c:spPr>
            <a:gradFill flip="none" rotWithShape="1">
              <a:gsLst>
                <a:gs pos="0">
                  <a:srgbClr val="F79B4F"/>
                </a:gs>
                <a:gs pos="34000">
                  <a:schemeClr val="accent6"/>
                </a:gs>
                <a:gs pos="100000">
                  <a:schemeClr val="accent6">
                    <a:lumMod val="75000"/>
                  </a:schemeClr>
                </a:gs>
              </a:gsLst>
              <a:lin ang="5400000" scaled="1"/>
              <a:tileRect/>
            </a:gradFill>
            <a:effectLst>
              <a:outerShdw blurRad="38100" dist="25400" algn="l" rotWithShape="0">
                <a:prstClr val="black">
                  <a:alpha val="40000"/>
                </a:prstClr>
              </a:outerShdw>
            </a:effectLst>
          </c:spPr>
          <c:invertIfNegative val="0"/>
          <c:cat>
            <c:numRef>
              <c:f>DataIn!$D$13:$N$13</c:f>
              <c:numCache>
                <c:formatCode>General</c:formatCode>
                <c:ptCount val="11"/>
                <c:pt idx="0">
                  <c:v>2010</c:v>
                </c:pt>
                <c:pt idx="1">
                  <c:v>2015</c:v>
                </c:pt>
                <c:pt idx="2">
                  <c:v>2020</c:v>
                </c:pt>
                <c:pt idx="3">
                  <c:v>2025</c:v>
                </c:pt>
                <c:pt idx="4">
                  <c:v>2030</c:v>
                </c:pt>
                <c:pt idx="5">
                  <c:v>2035</c:v>
                </c:pt>
                <c:pt idx="6">
                  <c:v>2040</c:v>
                </c:pt>
                <c:pt idx="7">
                  <c:v>2045</c:v>
                </c:pt>
                <c:pt idx="8">
                  <c:v>2050</c:v>
                </c:pt>
                <c:pt idx="9">
                  <c:v>2055</c:v>
                </c:pt>
                <c:pt idx="10">
                  <c:v>2060</c:v>
                </c:pt>
              </c:numCache>
            </c:numRef>
          </c:cat>
          <c:val>
            <c:numRef>
              <c:f>DataIn!$D$16:$N$16</c:f>
              <c:numCache>
                <c:formatCode>0.00</c:formatCode>
                <c:ptCount val="11"/>
                <c:pt idx="0">
                  <c:v>1.73595E-3</c:v>
                </c:pt>
                <c:pt idx="1">
                  <c:v>2.6903999999999997E-2</c:v>
                </c:pt>
                <c:pt idx="2">
                  <c:v>5.2072049999999995E-2</c:v>
                </c:pt>
                <c:pt idx="3">
                  <c:v>8.6786512499999996E-2</c:v>
                </c:pt>
                <c:pt idx="4">
                  <c:v>0.121500975</c:v>
                </c:pt>
                <c:pt idx="5">
                  <c:v>0.156215625</c:v>
                </c:pt>
                <c:pt idx="6">
                  <c:v>0.19093027499999998</c:v>
                </c:pt>
                <c:pt idx="7">
                  <c:v>0.22564484999999998</c:v>
                </c:pt>
                <c:pt idx="8">
                  <c:v>0.26035942499999998</c:v>
                </c:pt>
                <c:pt idx="9">
                  <c:v>0.295074</c:v>
                </c:pt>
                <c:pt idx="10">
                  <c:v>0.32978857500000003</c:v>
                </c:pt>
              </c:numCache>
            </c:numRef>
          </c:val>
        </c:ser>
        <c:dLbls>
          <c:showLegendKey val="0"/>
          <c:showVal val="0"/>
          <c:showCatName val="0"/>
          <c:showSerName val="0"/>
          <c:showPercent val="0"/>
          <c:showBubbleSize val="0"/>
        </c:dLbls>
        <c:gapWidth val="50"/>
        <c:overlap val="100"/>
        <c:axId val="137447296"/>
        <c:axId val="137448832"/>
      </c:barChart>
      <c:lineChart>
        <c:grouping val="standard"/>
        <c:varyColors val="0"/>
        <c:ser>
          <c:idx val="7"/>
          <c:order val="4"/>
          <c:tx>
            <c:strRef>
              <c:f>DataIn!$C$18</c:f>
              <c:strCache>
                <c:ptCount val="1"/>
                <c:pt idx="0">
                  <c:v>TOTAL</c:v>
                </c:pt>
              </c:strCache>
            </c:strRef>
          </c:tx>
          <c:spPr>
            <a:ln>
              <a:solidFill>
                <a:schemeClr val="accent1">
                  <a:alpha val="0"/>
                </a:schemeClr>
              </a:solidFill>
            </a:ln>
          </c:spPr>
          <c:marker>
            <c:symbol val="none"/>
          </c:marker>
          <c:dLbls>
            <c:dLbl>
              <c:idx val="7"/>
              <c:numFmt formatCode="#,##0.0" sourceLinked="0"/>
              <c:spPr>
                <a:effectLst/>
                <a:scene3d>
                  <a:camera prst="orthographicFront"/>
                  <a:lightRig rig="threePt" dir="t"/>
                </a:scene3d>
                <a:sp3d>
                  <a:bevelT h="6350"/>
                </a:sp3d>
              </c:spPr>
              <c:txPr>
                <a:bodyPr anchor="t" anchorCtr="1"/>
                <a:lstStyle/>
                <a:p>
                  <a:pPr>
                    <a:defRPr sz="1100" b="1" u="sng">
                      <a:solidFill>
                        <a:srgbClr val="002060"/>
                      </a:solidFill>
                      <a:latin typeface="Tw Cen MT Condensed" panose="020B0606020104020203" pitchFamily="34" charset="0"/>
                    </a:defRPr>
                  </a:pPr>
                  <a:endParaRPr lang="en-US"/>
                </a:p>
              </c:txPr>
              <c:dLblPos val="t"/>
              <c:showLegendKey val="0"/>
              <c:showVal val="1"/>
              <c:showCatName val="0"/>
              <c:showSerName val="0"/>
              <c:showPercent val="0"/>
              <c:showBubbleSize val="0"/>
            </c:dLbl>
            <c:dLbl>
              <c:idx val="10"/>
              <c:numFmt formatCode="#,##0.0" sourceLinked="0"/>
              <c:spPr>
                <a:effectLst/>
                <a:scene3d>
                  <a:camera prst="orthographicFront"/>
                  <a:lightRig rig="threePt" dir="t"/>
                </a:scene3d>
                <a:sp3d>
                  <a:bevelT h="6350"/>
                </a:sp3d>
              </c:spPr>
              <c:txPr>
                <a:bodyPr anchor="t" anchorCtr="1"/>
                <a:lstStyle/>
                <a:p>
                  <a:pPr>
                    <a:defRPr sz="1100" b="1" u="sng">
                      <a:solidFill>
                        <a:srgbClr val="002060"/>
                      </a:solidFill>
                      <a:latin typeface="Tw Cen MT Condensed" panose="020B0606020104020203" pitchFamily="34" charset="0"/>
                    </a:defRPr>
                  </a:pPr>
                  <a:endParaRPr lang="en-US"/>
                </a:p>
              </c:txPr>
              <c:dLblPos val="t"/>
              <c:showLegendKey val="0"/>
              <c:showVal val="1"/>
              <c:showCatName val="0"/>
              <c:showSerName val="0"/>
              <c:showPercent val="0"/>
              <c:showBubbleSize val="0"/>
            </c:dLbl>
            <c:numFmt formatCode="#,##0.0" sourceLinked="0"/>
            <c:spPr>
              <a:effectLst/>
              <a:scene3d>
                <a:camera prst="orthographicFront"/>
                <a:lightRig rig="threePt" dir="t"/>
              </a:scene3d>
              <a:sp3d>
                <a:bevelT h="6350"/>
              </a:sp3d>
            </c:spPr>
            <c:txPr>
              <a:bodyPr anchor="t" anchorCtr="1"/>
              <a:lstStyle/>
              <a:p>
                <a:pPr>
                  <a:defRPr sz="1100" b="1">
                    <a:latin typeface="Tw Cen MT Condensed" panose="020B0606020104020203" pitchFamily="34" charset="0"/>
                  </a:defRPr>
                </a:pPr>
                <a:endParaRPr lang="en-US"/>
              </a:p>
            </c:txPr>
            <c:dLblPos val="t"/>
            <c:showLegendKey val="0"/>
            <c:showVal val="1"/>
            <c:showCatName val="0"/>
            <c:showSerName val="0"/>
            <c:showPercent val="0"/>
            <c:showBubbleSize val="0"/>
            <c:showLeaderLines val="0"/>
          </c:dLbls>
          <c:cat>
            <c:numRef>
              <c:f>DataIn!$D$13:$N$13</c:f>
              <c:numCache>
                <c:formatCode>General</c:formatCode>
                <c:ptCount val="11"/>
                <c:pt idx="0">
                  <c:v>2010</c:v>
                </c:pt>
                <c:pt idx="1">
                  <c:v>2015</c:v>
                </c:pt>
                <c:pt idx="2">
                  <c:v>2020</c:v>
                </c:pt>
                <c:pt idx="3">
                  <c:v>2025</c:v>
                </c:pt>
                <c:pt idx="4">
                  <c:v>2030</c:v>
                </c:pt>
                <c:pt idx="5">
                  <c:v>2035</c:v>
                </c:pt>
                <c:pt idx="6">
                  <c:v>2040</c:v>
                </c:pt>
                <c:pt idx="7">
                  <c:v>2045</c:v>
                </c:pt>
                <c:pt idx="8">
                  <c:v>2050</c:v>
                </c:pt>
                <c:pt idx="9">
                  <c:v>2055</c:v>
                </c:pt>
                <c:pt idx="10">
                  <c:v>2060</c:v>
                </c:pt>
              </c:numCache>
            </c:numRef>
          </c:cat>
          <c:val>
            <c:numRef>
              <c:f>DataIn!$D$18:$N$18</c:f>
              <c:numCache>
                <c:formatCode>0.00</c:formatCode>
                <c:ptCount val="11"/>
                <c:pt idx="0">
                  <c:v>0</c:v>
                </c:pt>
                <c:pt idx="1">
                  <c:v>0.4</c:v>
                </c:pt>
                <c:pt idx="2">
                  <c:v>0.7</c:v>
                </c:pt>
                <c:pt idx="3">
                  <c:v>1.1000000000000001</c:v>
                </c:pt>
                <c:pt idx="4">
                  <c:v>1.6</c:v>
                </c:pt>
                <c:pt idx="5">
                  <c:v>2</c:v>
                </c:pt>
                <c:pt idx="6">
                  <c:v>2.4</c:v>
                </c:pt>
                <c:pt idx="7">
                  <c:v>2.8</c:v>
                </c:pt>
                <c:pt idx="8">
                  <c:v>3.2</c:v>
                </c:pt>
                <c:pt idx="9">
                  <c:v>3.6</c:v>
                </c:pt>
                <c:pt idx="10">
                  <c:v>3.9</c:v>
                </c:pt>
              </c:numCache>
            </c:numRef>
          </c:val>
          <c:smooth val="0"/>
        </c:ser>
        <c:dLbls>
          <c:showLegendKey val="0"/>
          <c:showVal val="0"/>
          <c:showCatName val="0"/>
          <c:showSerName val="0"/>
          <c:showPercent val="0"/>
          <c:showBubbleSize val="0"/>
        </c:dLbls>
        <c:marker val="1"/>
        <c:smooth val="0"/>
        <c:axId val="137459200"/>
        <c:axId val="137460736"/>
      </c:lineChart>
      <c:catAx>
        <c:axId val="137447296"/>
        <c:scaling>
          <c:orientation val="minMax"/>
        </c:scaling>
        <c:delete val="0"/>
        <c:axPos val="b"/>
        <c:numFmt formatCode="General" sourceLinked="1"/>
        <c:majorTickMark val="out"/>
        <c:minorTickMark val="none"/>
        <c:tickLblPos val="low"/>
        <c:txPr>
          <a:bodyPr rot="-2700000" anchor="t" anchorCtr="1"/>
          <a:lstStyle/>
          <a:p>
            <a:pPr>
              <a:defRPr sz="1200" b="1">
                <a:solidFill>
                  <a:schemeClr val="tx2">
                    <a:lumMod val="75000"/>
                  </a:schemeClr>
                </a:solidFill>
                <a:latin typeface="Tw Cen MT Condensed" panose="020B0606020104020203" pitchFamily="34" charset="0"/>
              </a:defRPr>
            </a:pPr>
            <a:endParaRPr lang="en-US"/>
          </a:p>
        </c:txPr>
        <c:crossAx val="137448832"/>
        <c:crosses val="autoZero"/>
        <c:auto val="1"/>
        <c:lblAlgn val="ctr"/>
        <c:lblOffset val="100"/>
        <c:noMultiLvlLbl val="0"/>
      </c:catAx>
      <c:valAx>
        <c:axId val="137448832"/>
        <c:scaling>
          <c:orientation val="minMax"/>
        </c:scaling>
        <c:delete val="0"/>
        <c:axPos val="l"/>
        <c:majorGridlines>
          <c:spPr>
            <a:ln>
              <a:solidFill>
                <a:schemeClr val="bg1">
                  <a:lumMod val="75000"/>
                  <a:alpha val="53000"/>
                </a:schemeClr>
              </a:solidFill>
            </a:ln>
          </c:spPr>
        </c:majorGridlines>
        <c:title>
          <c:tx>
            <c:rich>
              <a:bodyPr rot="-5400000" vert="horz"/>
              <a:lstStyle/>
              <a:p>
                <a:pPr>
                  <a:defRPr sz="1200">
                    <a:latin typeface="Tw Cen MT Condensed" panose="020B0606020104020203" pitchFamily="34" charset="0"/>
                  </a:defRPr>
                </a:pPr>
                <a:r>
                  <a:rPr lang="en-US" sz="1200">
                    <a:latin typeface="Tw Cen MT Condensed" panose="020B0606020104020203" pitchFamily="34" charset="0"/>
                  </a:rPr>
                  <a:t>Demand [MGD]</a:t>
                </a:r>
              </a:p>
            </c:rich>
          </c:tx>
          <c:layout>
            <c:manualLayout>
              <c:xMode val="edge"/>
              <c:yMode val="edge"/>
              <c:x val="0"/>
              <c:y val="0.32361621463983681"/>
            </c:manualLayout>
          </c:layout>
          <c:overlay val="0"/>
        </c:title>
        <c:numFmt formatCode="#,##0.0" sourceLinked="0"/>
        <c:majorTickMark val="out"/>
        <c:minorTickMark val="none"/>
        <c:tickLblPos val="nextTo"/>
        <c:txPr>
          <a:bodyPr/>
          <a:lstStyle/>
          <a:p>
            <a:pPr>
              <a:defRPr sz="1100" b="1">
                <a:latin typeface="Tw Cen MT Condensed" panose="020B0606020104020203" pitchFamily="34" charset="0"/>
              </a:defRPr>
            </a:pPr>
            <a:endParaRPr lang="en-US"/>
          </a:p>
        </c:txPr>
        <c:crossAx val="137447296"/>
        <c:crosses val="autoZero"/>
        <c:crossBetween val="between"/>
      </c:valAx>
      <c:catAx>
        <c:axId val="137459200"/>
        <c:scaling>
          <c:orientation val="minMax"/>
        </c:scaling>
        <c:delete val="1"/>
        <c:axPos val="b"/>
        <c:numFmt formatCode="General" sourceLinked="1"/>
        <c:majorTickMark val="out"/>
        <c:minorTickMark val="none"/>
        <c:tickLblPos val="none"/>
        <c:crossAx val="137460736"/>
        <c:crosses val="autoZero"/>
        <c:auto val="1"/>
        <c:lblAlgn val="ctr"/>
        <c:lblOffset val="100"/>
        <c:noMultiLvlLbl val="0"/>
      </c:catAx>
      <c:valAx>
        <c:axId val="137460736"/>
        <c:scaling>
          <c:orientation val="minMax"/>
        </c:scaling>
        <c:delete val="1"/>
        <c:axPos val="r"/>
        <c:numFmt formatCode="0.00" sourceLinked="1"/>
        <c:majorTickMark val="out"/>
        <c:minorTickMark val="none"/>
        <c:tickLblPos val="none"/>
        <c:crossAx val="137459200"/>
        <c:crosses val="max"/>
        <c:crossBetween val="between"/>
      </c:valAx>
      <c:spPr>
        <a:gradFill>
          <a:gsLst>
            <a:gs pos="0">
              <a:srgbClr val="D0D2E6">
                <a:alpha val="78824"/>
              </a:srgbClr>
            </a:gs>
            <a:gs pos="34000">
              <a:srgbClr val="DFE7F5">
                <a:alpha val="67000"/>
              </a:srgbClr>
            </a:gs>
            <a:gs pos="100000">
              <a:schemeClr val="bg1"/>
            </a:gs>
          </a:gsLst>
          <a:lin ang="5400000" scaled="0"/>
        </a:gradFill>
        <a:ln>
          <a:solidFill>
            <a:schemeClr val="accent1">
              <a:lumMod val="50000"/>
            </a:schemeClr>
          </a:solidFill>
        </a:ln>
      </c:spPr>
    </c:plotArea>
    <c:legend>
      <c:legendPos val="r"/>
      <c:legendEntry>
        <c:idx val="4"/>
        <c:delete val="1"/>
      </c:legendEntry>
      <c:layout>
        <c:manualLayout>
          <c:xMode val="edge"/>
          <c:yMode val="edge"/>
          <c:x val="0.77888371908056953"/>
          <c:y val="0.174376896581621"/>
          <c:w val="0.20130399289968873"/>
          <c:h val="0.2907877978293138"/>
        </c:manualLayout>
      </c:layout>
      <c:overlay val="0"/>
      <c:txPr>
        <a:bodyPr/>
        <a:lstStyle/>
        <a:p>
          <a:pPr>
            <a:defRPr sz="1200" b="1">
              <a:latin typeface="Tw Cen MT Condensed" panose="020B0606020104020203" pitchFamily="34" charset="0"/>
            </a:defRPr>
          </a:pPr>
          <a:endParaRPr lang="en-US"/>
        </a:p>
      </c:txPr>
    </c:legend>
    <c:plotVisOnly val="1"/>
    <c:dispBlanksAs val="gap"/>
    <c:showDLblsOverMax val="0"/>
  </c:chart>
  <c:spPr>
    <a:ln>
      <a:noFill/>
    </a:ln>
  </c:spPr>
  <c:printSettings>
    <c:headerFooter/>
    <c:pageMargins b="0.75000000000000011" l="0.70000000000000007" r="0.70000000000000007" t="0.75000000000000011" header="0.30000000000000004" footer="0.30000000000000004"/>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8.7986561679790021E-2"/>
          <c:y val="6.5758556818198283E-2"/>
          <c:w val="0.6886777739739055"/>
          <c:h val="0.76842258991328583"/>
        </c:manualLayout>
      </c:layout>
      <c:barChart>
        <c:barDir val="col"/>
        <c:grouping val="percentStacked"/>
        <c:varyColors val="0"/>
        <c:ser>
          <c:idx val="0"/>
          <c:order val="0"/>
          <c:tx>
            <c:strRef>
              <c:f>DataIn!$C$14</c:f>
              <c:strCache>
                <c:ptCount val="1"/>
              </c:strCache>
            </c:strRef>
          </c:tx>
          <c:invertIfNegative val="0"/>
          <c:cat>
            <c:numRef>
              <c:f>DataIn!$D$13:$N$13</c:f>
              <c:numCache>
                <c:formatCode>General</c:formatCode>
                <c:ptCount val="11"/>
                <c:pt idx="0">
                  <c:v>2010</c:v>
                </c:pt>
                <c:pt idx="1">
                  <c:v>2015</c:v>
                </c:pt>
                <c:pt idx="2">
                  <c:v>2020</c:v>
                </c:pt>
                <c:pt idx="3">
                  <c:v>2025</c:v>
                </c:pt>
                <c:pt idx="4">
                  <c:v>2030</c:v>
                </c:pt>
                <c:pt idx="5">
                  <c:v>2035</c:v>
                </c:pt>
                <c:pt idx="6">
                  <c:v>2040</c:v>
                </c:pt>
                <c:pt idx="7">
                  <c:v>2045</c:v>
                </c:pt>
                <c:pt idx="8">
                  <c:v>2050</c:v>
                </c:pt>
                <c:pt idx="9">
                  <c:v>2055</c:v>
                </c:pt>
                <c:pt idx="10">
                  <c:v>2060</c:v>
                </c:pt>
              </c:numCache>
            </c:numRef>
          </c:cat>
          <c:val>
            <c:numRef>
              <c:f>DataIn!$D$14:$N$14</c:f>
              <c:numCache>
                <c:formatCode>0.00</c:formatCode>
                <c:ptCount val="11"/>
                <c:pt idx="0">
                  <c:v>9.2540000000000001E-3</c:v>
                </c:pt>
                <c:pt idx="1">
                  <c:v>0.14342299999999999</c:v>
                </c:pt>
                <c:pt idx="2">
                  <c:v>0.27759200000000001</c:v>
                </c:pt>
                <c:pt idx="3">
                  <c:v>0.46265149999999999</c:v>
                </c:pt>
                <c:pt idx="4">
                  <c:v>0.64771100000000004</c:v>
                </c:pt>
                <c:pt idx="5">
                  <c:v>0.83277299999999999</c:v>
                </c:pt>
                <c:pt idx="6">
                  <c:v>1.017835</c:v>
                </c:pt>
                <c:pt idx="7">
                  <c:v>1.202896</c:v>
                </c:pt>
                <c:pt idx="8">
                  <c:v>1.3879570000000001</c:v>
                </c:pt>
                <c:pt idx="9">
                  <c:v>1.573018</c:v>
                </c:pt>
                <c:pt idx="10">
                  <c:v>1.7580789999999999</c:v>
                </c:pt>
              </c:numCache>
            </c:numRef>
          </c:val>
        </c:ser>
        <c:ser>
          <c:idx val="1"/>
          <c:order val="1"/>
          <c:tx>
            <c:strRef>
              <c:f>DataIn!$C$15</c:f>
              <c:strCache>
                <c:ptCount val="1"/>
              </c:strCache>
            </c:strRef>
          </c:tx>
          <c:spPr>
            <a:ln>
              <a:noFill/>
            </a:ln>
          </c:spPr>
          <c:invertIfNegative val="0"/>
          <c:cat>
            <c:numRef>
              <c:f>DataIn!$D$13:$N$13</c:f>
              <c:numCache>
                <c:formatCode>General</c:formatCode>
                <c:ptCount val="11"/>
                <c:pt idx="0">
                  <c:v>2010</c:v>
                </c:pt>
                <c:pt idx="1">
                  <c:v>2015</c:v>
                </c:pt>
                <c:pt idx="2">
                  <c:v>2020</c:v>
                </c:pt>
                <c:pt idx="3">
                  <c:v>2025</c:v>
                </c:pt>
                <c:pt idx="4">
                  <c:v>2030</c:v>
                </c:pt>
                <c:pt idx="5">
                  <c:v>2035</c:v>
                </c:pt>
                <c:pt idx="6">
                  <c:v>2040</c:v>
                </c:pt>
                <c:pt idx="7">
                  <c:v>2045</c:v>
                </c:pt>
                <c:pt idx="8">
                  <c:v>2050</c:v>
                </c:pt>
                <c:pt idx="9">
                  <c:v>2055</c:v>
                </c:pt>
                <c:pt idx="10">
                  <c:v>2060</c:v>
                </c:pt>
              </c:numCache>
            </c:numRef>
          </c:cat>
          <c:val>
            <c:numRef>
              <c:f>DataIn!$D$15:$N$15</c:f>
              <c:numCache>
                <c:formatCode>0.00</c:formatCode>
                <c:ptCount val="11"/>
                <c:pt idx="0">
                  <c:v>1.3892E-2</c:v>
                </c:pt>
                <c:pt idx="1">
                  <c:v>0.21529700000000002</c:v>
                </c:pt>
                <c:pt idx="2">
                  <c:v>0.41670200000000002</c:v>
                </c:pt>
                <c:pt idx="3">
                  <c:v>0.69450199999999995</c:v>
                </c:pt>
                <c:pt idx="4">
                  <c:v>0.972302</c:v>
                </c:pt>
                <c:pt idx="5">
                  <c:v>1.250102</c:v>
                </c:pt>
                <c:pt idx="6">
                  <c:v>1.5279020000000001</c:v>
                </c:pt>
                <c:pt idx="7">
                  <c:v>1.8057020000000001</c:v>
                </c:pt>
                <c:pt idx="8">
                  <c:v>2.0835020000000002</c:v>
                </c:pt>
                <c:pt idx="9">
                  <c:v>2.3613020000000002</c:v>
                </c:pt>
                <c:pt idx="10">
                  <c:v>2.6391019999999998</c:v>
                </c:pt>
              </c:numCache>
            </c:numRef>
          </c:val>
        </c:ser>
        <c:ser>
          <c:idx val="2"/>
          <c:order val="2"/>
          <c:tx>
            <c:strRef>
              <c:f>DataIn!#REF!</c:f>
              <c:strCache>
                <c:ptCount val="1"/>
                <c:pt idx="0">
                  <c:v>#REF!</c:v>
                </c:pt>
              </c:strCache>
            </c:strRef>
          </c:tx>
          <c:spPr>
            <a:gradFill flip="none" rotWithShape="1">
              <a:gsLst>
                <a:gs pos="0">
                  <a:srgbClr val="C7C323"/>
                </a:gs>
                <a:gs pos="34000">
                  <a:srgbClr val="DEDE46"/>
                </a:gs>
                <a:gs pos="100000">
                  <a:srgbClr val="E5E25C"/>
                </a:gs>
              </a:gsLst>
              <a:lin ang="16200000" scaled="1"/>
              <a:tileRect/>
            </a:gradFill>
          </c:spPr>
          <c:invertIfNegative val="0"/>
          <c:cat>
            <c:numRef>
              <c:f>DataIn!$D$13:$N$13</c:f>
              <c:numCache>
                <c:formatCode>General</c:formatCode>
                <c:ptCount val="11"/>
                <c:pt idx="0">
                  <c:v>2010</c:v>
                </c:pt>
                <c:pt idx="1">
                  <c:v>2015</c:v>
                </c:pt>
                <c:pt idx="2">
                  <c:v>2020</c:v>
                </c:pt>
                <c:pt idx="3">
                  <c:v>2025</c:v>
                </c:pt>
                <c:pt idx="4">
                  <c:v>2030</c:v>
                </c:pt>
                <c:pt idx="5">
                  <c:v>2035</c:v>
                </c:pt>
                <c:pt idx="6">
                  <c:v>2040</c:v>
                </c:pt>
                <c:pt idx="7">
                  <c:v>2045</c:v>
                </c:pt>
                <c:pt idx="8">
                  <c:v>2050</c:v>
                </c:pt>
                <c:pt idx="9">
                  <c:v>2055</c:v>
                </c:pt>
                <c:pt idx="10">
                  <c:v>2060</c:v>
                </c:pt>
              </c:numCache>
            </c:numRef>
          </c:cat>
          <c:val>
            <c:numRef>
              <c:f>DataIn!#REF!</c:f>
              <c:numCache>
                <c:formatCode>General</c:formatCode>
                <c:ptCount val="1"/>
                <c:pt idx="0">
                  <c:v>1</c:v>
                </c:pt>
              </c:numCache>
            </c:numRef>
          </c:val>
        </c:ser>
        <c:ser>
          <c:idx val="3"/>
          <c:order val="3"/>
          <c:tx>
            <c:strRef>
              <c:f>DataIn!#REF!</c:f>
              <c:strCache>
                <c:ptCount val="1"/>
                <c:pt idx="0">
                  <c:v>#REF!</c:v>
                </c:pt>
              </c:strCache>
            </c:strRef>
          </c:tx>
          <c:invertIfNegative val="0"/>
          <c:cat>
            <c:numRef>
              <c:f>DataIn!$D$13:$N$13</c:f>
              <c:numCache>
                <c:formatCode>General</c:formatCode>
                <c:ptCount val="11"/>
                <c:pt idx="0">
                  <c:v>2010</c:v>
                </c:pt>
                <c:pt idx="1">
                  <c:v>2015</c:v>
                </c:pt>
                <c:pt idx="2">
                  <c:v>2020</c:v>
                </c:pt>
                <c:pt idx="3">
                  <c:v>2025</c:v>
                </c:pt>
                <c:pt idx="4">
                  <c:v>2030</c:v>
                </c:pt>
                <c:pt idx="5">
                  <c:v>2035</c:v>
                </c:pt>
                <c:pt idx="6">
                  <c:v>2040</c:v>
                </c:pt>
                <c:pt idx="7">
                  <c:v>2045</c:v>
                </c:pt>
                <c:pt idx="8">
                  <c:v>2050</c:v>
                </c:pt>
                <c:pt idx="9">
                  <c:v>2055</c:v>
                </c:pt>
                <c:pt idx="10">
                  <c:v>2060</c:v>
                </c:pt>
              </c:numCache>
            </c:numRef>
          </c:cat>
          <c:val>
            <c:numRef>
              <c:f>DataIn!#REF!</c:f>
              <c:numCache>
                <c:formatCode>General</c:formatCode>
                <c:ptCount val="1"/>
                <c:pt idx="0">
                  <c:v>1</c:v>
                </c:pt>
              </c:numCache>
            </c:numRef>
          </c:val>
        </c:ser>
        <c:ser>
          <c:idx val="4"/>
          <c:order val="4"/>
          <c:tx>
            <c:strRef>
              <c:f>DataIn!#REF!</c:f>
              <c:strCache>
                <c:ptCount val="1"/>
                <c:pt idx="0">
                  <c:v>#REF!</c:v>
                </c:pt>
              </c:strCache>
            </c:strRef>
          </c:tx>
          <c:invertIfNegative val="0"/>
          <c:cat>
            <c:numRef>
              <c:f>DataIn!$D$13:$N$13</c:f>
              <c:numCache>
                <c:formatCode>General</c:formatCode>
                <c:ptCount val="11"/>
                <c:pt idx="0">
                  <c:v>2010</c:v>
                </c:pt>
                <c:pt idx="1">
                  <c:v>2015</c:v>
                </c:pt>
                <c:pt idx="2">
                  <c:v>2020</c:v>
                </c:pt>
                <c:pt idx="3">
                  <c:v>2025</c:v>
                </c:pt>
                <c:pt idx="4">
                  <c:v>2030</c:v>
                </c:pt>
                <c:pt idx="5">
                  <c:v>2035</c:v>
                </c:pt>
                <c:pt idx="6">
                  <c:v>2040</c:v>
                </c:pt>
                <c:pt idx="7">
                  <c:v>2045</c:v>
                </c:pt>
                <c:pt idx="8">
                  <c:v>2050</c:v>
                </c:pt>
                <c:pt idx="9">
                  <c:v>2055</c:v>
                </c:pt>
                <c:pt idx="10">
                  <c:v>2060</c:v>
                </c:pt>
              </c:numCache>
            </c:numRef>
          </c:cat>
          <c:val>
            <c:numRef>
              <c:f>DataIn!#REF!</c:f>
              <c:numCache>
                <c:formatCode>General</c:formatCode>
                <c:ptCount val="1"/>
                <c:pt idx="0">
                  <c:v>1</c:v>
                </c:pt>
              </c:numCache>
            </c:numRef>
          </c:val>
        </c:ser>
        <c:ser>
          <c:idx val="5"/>
          <c:order val="5"/>
          <c:tx>
            <c:strRef>
              <c:f>DataIn!#REF!</c:f>
              <c:strCache>
                <c:ptCount val="1"/>
                <c:pt idx="0">
                  <c:v>#REF!</c:v>
                </c:pt>
              </c:strCache>
            </c:strRef>
          </c:tx>
          <c:spPr>
            <a:gradFill flip="none" rotWithShape="1">
              <a:gsLst>
                <a:gs pos="0">
                  <a:schemeClr val="accent5">
                    <a:lumMod val="60000"/>
                    <a:lumOff val="40000"/>
                  </a:schemeClr>
                </a:gs>
                <a:gs pos="34000">
                  <a:srgbClr val="7CC3D6"/>
                </a:gs>
                <a:gs pos="100000">
                  <a:srgbClr val="9CD1E0"/>
                </a:gs>
              </a:gsLst>
              <a:lin ang="16200000" scaled="1"/>
              <a:tileRect/>
            </a:gradFill>
          </c:spPr>
          <c:invertIfNegative val="0"/>
          <c:cat>
            <c:numRef>
              <c:f>DataIn!$D$13:$N$13</c:f>
              <c:numCache>
                <c:formatCode>General</c:formatCode>
                <c:ptCount val="11"/>
                <c:pt idx="0">
                  <c:v>2010</c:v>
                </c:pt>
                <c:pt idx="1">
                  <c:v>2015</c:v>
                </c:pt>
                <c:pt idx="2">
                  <c:v>2020</c:v>
                </c:pt>
                <c:pt idx="3">
                  <c:v>2025</c:v>
                </c:pt>
                <c:pt idx="4">
                  <c:v>2030</c:v>
                </c:pt>
                <c:pt idx="5">
                  <c:v>2035</c:v>
                </c:pt>
                <c:pt idx="6">
                  <c:v>2040</c:v>
                </c:pt>
                <c:pt idx="7">
                  <c:v>2045</c:v>
                </c:pt>
                <c:pt idx="8">
                  <c:v>2050</c:v>
                </c:pt>
                <c:pt idx="9">
                  <c:v>2055</c:v>
                </c:pt>
                <c:pt idx="10">
                  <c:v>2060</c:v>
                </c:pt>
              </c:numCache>
            </c:numRef>
          </c:cat>
          <c:val>
            <c:numRef>
              <c:f>DataIn!#REF!</c:f>
              <c:numCache>
                <c:formatCode>General</c:formatCode>
                <c:ptCount val="1"/>
                <c:pt idx="0">
                  <c:v>1</c:v>
                </c:pt>
              </c:numCache>
            </c:numRef>
          </c:val>
        </c:ser>
        <c:ser>
          <c:idx val="6"/>
          <c:order val="6"/>
          <c:tx>
            <c:strRef>
              <c:f>DataIn!$C$16</c:f>
              <c:strCache>
                <c:ptCount val="1"/>
                <c:pt idx="0">
                  <c:v>Other Non-Revenue</c:v>
                </c:pt>
              </c:strCache>
            </c:strRef>
          </c:tx>
          <c:spPr>
            <a:gradFill flip="none" rotWithShape="1">
              <a:gsLst>
                <a:gs pos="0">
                  <a:srgbClr val="F79B4F"/>
                </a:gs>
                <a:gs pos="34000">
                  <a:schemeClr val="accent6"/>
                </a:gs>
                <a:gs pos="100000">
                  <a:schemeClr val="accent6">
                    <a:lumMod val="75000"/>
                  </a:schemeClr>
                </a:gs>
              </a:gsLst>
              <a:lin ang="5400000" scaled="1"/>
              <a:tileRect/>
            </a:gradFill>
          </c:spPr>
          <c:invertIfNegative val="0"/>
          <c:cat>
            <c:numRef>
              <c:f>DataIn!$D$13:$N$13</c:f>
              <c:numCache>
                <c:formatCode>General</c:formatCode>
                <c:ptCount val="11"/>
                <c:pt idx="0">
                  <c:v>2010</c:v>
                </c:pt>
                <c:pt idx="1">
                  <c:v>2015</c:v>
                </c:pt>
                <c:pt idx="2">
                  <c:v>2020</c:v>
                </c:pt>
                <c:pt idx="3">
                  <c:v>2025</c:v>
                </c:pt>
                <c:pt idx="4">
                  <c:v>2030</c:v>
                </c:pt>
                <c:pt idx="5">
                  <c:v>2035</c:v>
                </c:pt>
                <c:pt idx="6">
                  <c:v>2040</c:v>
                </c:pt>
                <c:pt idx="7">
                  <c:v>2045</c:v>
                </c:pt>
                <c:pt idx="8">
                  <c:v>2050</c:v>
                </c:pt>
                <c:pt idx="9">
                  <c:v>2055</c:v>
                </c:pt>
                <c:pt idx="10">
                  <c:v>2060</c:v>
                </c:pt>
              </c:numCache>
            </c:numRef>
          </c:cat>
          <c:val>
            <c:numRef>
              <c:f>DataIn!$D$16:$N$16</c:f>
              <c:numCache>
                <c:formatCode>0.00</c:formatCode>
                <c:ptCount val="11"/>
                <c:pt idx="0">
                  <c:v>1.73595E-3</c:v>
                </c:pt>
                <c:pt idx="1">
                  <c:v>2.6903999999999997E-2</c:v>
                </c:pt>
                <c:pt idx="2">
                  <c:v>5.2072049999999995E-2</c:v>
                </c:pt>
                <c:pt idx="3">
                  <c:v>8.6786512499999996E-2</c:v>
                </c:pt>
                <c:pt idx="4">
                  <c:v>0.121500975</c:v>
                </c:pt>
                <c:pt idx="5">
                  <c:v>0.156215625</c:v>
                </c:pt>
                <c:pt idx="6">
                  <c:v>0.19093027499999998</c:v>
                </c:pt>
                <c:pt idx="7">
                  <c:v>0.22564484999999998</c:v>
                </c:pt>
                <c:pt idx="8">
                  <c:v>0.26035942499999998</c:v>
                </c:pt>
                <c:pt idx="9">
                  <c:v>0.295074</c:v>
                </c:pt>
                <c:pt idx="10">
                  <c:v>0.32978857500000003</c:v>
                </c:pt>
              </c:numCache>
            </c:numRef>
          </c:val>
        </c:ser>
        <c:dLbls>
          <c:showLegendKey val="0"/>
          <c:showVal val="0"/>
          <c:showCatName val="0"/>
          <c:showSerName val="0"/>
          <c:showPercent val="0"/>
          <c:showBubbleSize val="0"/>
        </c:dLbls>
        <c:gapWidth val="49"/>
        <c:overlap val="100"/>
        <c:axId val="118387072"/>
        <c:axId val="118388608"/>
      </c:barChart>
      <c:catAx>
        <c:axId val="118387072"/>
        <c:scaling>
          <c:orientation val="minMax"/>
        </c:scaling>
        <c:delete val="0"/>
        <c:axPos val="b"/>
        <c:numFmt formatCode="General" sourceLinked="1"/>
        <c:majorTickMark val="out"/>
        <c:minorTickMark val="none"/>
        <c:tickLblPos val="nextTo"/>
        <c:txPr>
          <a:bodyPr rot="-2700000"/>
          <a:lstStyle/>
          <a:p>
            <a:pPr>
              <a:defRPr sz="1200" b="1">
                <a:solidFill>
                  <a:schemeClr val="tx2">
                    <a:lumMod val="75000"/>
                  </a:schemeClr>
                </a:solidFill>
                <a:latin typeface="Tw Cen MT Condensed" panose="020B0606020104020203" pitchFamily="34" charset="0"/>
              </a:defRPr>
            </a:pPr>
            <a:endParaRPr lang="en-US"/>
          </a:p>
        </c:txPr>
        <c:crossAx val="118388608"/>
        <c:crosses val="autoZero"/>
        <c:auto val="1"/>
        <c:lblAlgn val="ctr"/>
        <c:lblOffset val="100"/>
        <c:noMultiLvlLbl val="0"/>
      </c:catAx>
      <c:valAx>
        <c:axId val="118388608"/>
        <c:scaling>
          <c:orientation val="minMax"/>
        </c:scaling>
        <c:delete val="0"/>
        <c:axPos val="l"/>
        <c:majorGridlines>
          <c:spPr>
            <a:ln>
              <a:solidFill>
                <a:schemeClr val="bg1">
                  <a:lumMod val="75000"/>
                  <a:alpha val="53000"/>
                </a:schemeClr>
              </a:solidFill>
            </a:ln>
          </c:spPr>
        </c:majorGridlines>
        <c:title>
          <c:tx>
            <c:rich>
              <a:bodyPr rot="-5400000" vert="horz"/>
              <a:lstStyle/>
              <a:p>
                <a:pPr>
                  <a:defRPr sz="1200">
                    <a:latin typeface="Tw Cen MT Condensed" panose="020B0606020104020203" pitchFamily="34" charset="0"/>
                  </a:defRPr>
                </a:pPr>
                <a:r>
                  <a:rPr lang="en-US" sz="1200">
                    <a:latin typeface="Tw Cen MT Condensed" panose="020B0606020104020203" pitchFamily="34" charset="0"/>
                  </a:rPr>
                  <a:t>Demand [MGD]</a:t>
                </a:r>
              </a:p>
            </c:rich>
          </c:tx>
          <c:layout>
            <c:manualLayout>
              <c:xMode val="edge"/>
              <c:yMode val="edge"/>
              <c:x val="0"/>
              <c:y val="0.32361621463983681"/>
            </c:manualLayout>
          </c:layout>
          <c:overlay val="0"/>
        </c:title>
        <c:numFmt formatCode="0%" sourceLinked="0"/>
        <c:majorTickMark val="out"/>
        <c:minorTickMark val="none"/>
        <c:tickLblPos val="nextTo"/>
        <c:txPr>
          <a:bodyPr/>
          <a:lstStyle/>
          <a:p>
            <a:pPr>
              <a:defRPr sz="1100" b="1">
                <a:latin typeface="Tw Cen MT Condensed" panose="020B0606020104020203" pitchFamily="34" charset="0"/>
              </a:defRPr>
            </a:pPr>
            <a:endParaRPr lang="en-US"/>
          </a:p>
        </c:txPr>
        <c:crossAx val="118387072"/>
        <c:crosses val="autoZero"/>
        <c:crossBetween val="between"/>
      </c:valAx>
      <c:spPr>
        <a:gradFill>
          <a:gsLst>
            <a:gs pos="0">
              <a:srgbClr val="D0D2E6">
                <a:alpha val="78824"/>
              </a:srgbClr>
            </a:gs>
            <a:gs pos="34000">
              <a:srgbClr val="DFE7F5">
                <a:alpha val="67000"/>
              </a:srgbClr>
            </a:gs>
            <a:gs pos="100000">
              <a:schemeClr val="bg1"/>
            </a:gs>
          </a:gsLst>
          <a:lin ang="5400000" scaled="0"/>
        </a:gradFill>
        <a:ln>
          <a:solidFill>
            <a:schemeClr val="accent1">
              <a:lumMod val="50000"/>
            </a:schemeClr>
          </a:solidFill>
        </a:ln>
      </c:spPr>
    </c:plotArea>
    <c:legend>
      <c:legendPos val="r"/>
      <c:layout>
        <c:manualLayout>
          <c:xMode val="edge"/>
          <c:yMode val="edge"/>
          <c:x val="0.77888371908056953"/>
          <c:y val="0.174376896581621"/>
          <c:w val="0.1994129357018779"/>
          <c:h val="0.52076687428996749"/>
        </c:manualLayout>
      </c:layout>
      <c:overlay val="0"/>
      <c:txPr>
        <a:bodyPr/>
        <a:lstStyle/>
        <a:p>
          <a:pPr>
            <a:defRPr sz="1200" b="1">
              <a:latin typeface="Tw Cen MT Condensed" panose="020B0606020104020203" pitchFamily="34" charset="0"/>
            </a:defRPr>
          </a:pPr>
          <a:endParaRPr lang="en-US"/>
        </a:p>
      </c:txPr>
    </c:legend>
    <c:plotVisOnly val="1"/>
    <c:dispBlanksAs val="gap"/>
    <c:showDLblsOverMax val="0"/>
  </c:chart>
  <c:spPr>
    <a:ln>
      <a:noFill/>
    </a:ln>
  </c:spPr>
  <c:printSettings>
    <c:headerFooter/>
    <c:pageMargins b="0.75000000000000011" l="0.70000000000000007" r="0.70000000000000007" t="0.75000000000000011" header="0.30000000000000004" footer="0.30000000000000004"/>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95280874732107"/>
          <c:y val="5.1400554097404488E-2"/>
          <c:w val="0.74166395442411126"/>
          <c:h val="0.79891749094343212"/>
        </c:manualLayout>
      </c:layout>
      <c:barChart>
        <c:barDir val="col"/>
        <c:grouping val="clustered"/>
        <c:varyColors val="0"/>
        <c:ser>
          <c:idx val="1"/>
          <c:order val="1"/>
          <c:tx>
            <c:strRef>
              <c:f>ReportFigures!$I$75</c:f>
              <c:strCache>
                <c:ptCount val="1"/>
                <c:pt idx="0">
                  <c:v>Alt. 1</c:v>
                </c:pt>
              </c:strCache>
            </c:strRef>
          </c:tx>
          <c:spPr>
            <a:solidFill>
              <a:schemeClr val="tx2">
                <a:lumMod val="60000"/>
                <a:lumOff val="40000"/>
              </a:schemeClr>
            </a:solidFill>
          </c:spPr>
          <c:invertIfNegative val="0"/>
          <c:cat>
            <c:numRef>
              <c:f>ReportFigures!$J$73:$T$73</c:f>
              <c:numCache>
                <c:formatCode>General</c:formatCode>
                <c:ptCount val="11"/>
                <c:pt idx="0">
                  <c:v>2010</c:v>
                </c:pt>
                <c:pt idx="1">
                  <c:v>2015</c:v>
                </c:pt>
                <c:pt idx="2">
                  <c:v>2020</c:v>
                </c:pt>
                <c:pt idx="3">
                  <c:v>2025</c:v>
                </c:pt>
                <c:pt idx="4">
                  <c:v>2030</c:v>
                </c:pt>
                <c:pt idx="5">
                  <c:v>2035</c:v>
                </c:pt>
                <c:pt idx="6">
                  <c:v>2040</c:v>
                </c:pt>
                <c:pt idx="7">
                  <c:v>2045</c:v>
                </c:pt>
                <c:pt idx="8">
                  <c:v>2050</c:v>
                </c:pt>
                <c:pt idx="9">
                  <c:v>2055</c:v>
                </c:pt>
                <c:pt idx="10">
                  <c:v>2060</c:v>
                </c:pt>
              </c:numCache>
            </c:numRef>
          </c:cat>
          <c:val>
            <c:numRef>
              <c:f>ReportFigures!$J$75:$T$75</c:f>
              <c:numCache>
                <c:formatCode>General</c:formatCode>
                <c:ptCount val="11"/>
                <c:pt idx="0">
                  <c:v>0</c:v>
                </c:pt>
                <c:pt idx="1">
                  <c:v>3</c:v>
                </c:pt>
                <c:pt idx="2">
                  <c:v>3</c:v>
                </c:pt>
                <c:pt idx="3">
                  <c:v>3</c:v>
                </c:pt>
                <c:pt idx="4">
                  <c:v>3</c:v>
                </c:pt>
                <c:pt idx="5">
                  <c:v>3</c:v>
                </c:pt>
                <c:pt idx="6">
                  <c:v>3</c:v>
                </c:pt>
                <c:pt idx="7">
                  <c:v>3</c:v>
                </c:pt>
                <c:pt idx="8">
                  <c:v>4</c:v>
                </c:pt>
                <c:pt idx="9">
                  <c:v>4</c:v>
                </c:pt>
                <c:pt idx="10">
                  <c:v>4</c:v>
                </c:pt>
              </c:numCache>
            </c:numRef>
          </c:val>
        </c:ser>
        <c:ser>
          <c:idx val="2"/>
          <c:order val="2"/>
          <c:tx>
            <c:strRef>
              <c:f>ReportFigures!$I$76</c:f>
              <c:strCache>
                <c:ptCount val="1"/>
                <c:pt idx="0">
                  <c:v>Alt. 2</c:v>
                </c:pt>
              </c:strCache>
            </c:strRef>
          </c:tx>
          <c:spPr>
            <a:solidFill>
              <a:srgbClr val="92D050"/>
            </a:solidFill>
          </c:spPr>
          <c:invertIfNegative val="0"/>
          <c:cat>
            <c:numRef>
              <c:f>ReportFigures!$J$73:$T$73</c:f>
              <c:numCache>
                <c:formatCode>General</c:formatCode>
                <c:ptCount val="11"/>
                <c:pt idx="0">
                  <c:v>2010</c:v>
                </c:pt>
                <c:pt idx="1">
                  <c:v>2015</c:v>
                </c:pt>
                <c:pt idx="2">
                  <c:v>2020</c:v>
                </c:pt>
                <c:pt idx="3">
                  <c:v>2025</c:v>
                </c:pt>
                <c:pt idx="4">
                  <c:v>2030</c:v>
                </c:pt>
                <c:pt idx="5">
                  <c:v>2035</c:v>
                </c:pt>
                <c:pt idx="6">
                  <c:v>2040</c:v>
                </c:pt>
                <c:pt idx="7">
                  <c:v>2045</c:v>
                </c:pt>
                <c:pt idx="8">
                  <c:v>2050</c:v>
                </c:pt>
                <c:pt idx="9">
                  <c:v>2055</c:v>
                </c:pt>
                <c:pt idx="10">
                  <c:v>2060</c:v>
                </c:pt>
              </c:numCache>
            </c:numRef>
          </c:cat>
          <c:val>
            <c:numRef>
              <c:f>ReportFigures!$J$76:$T$76</c:f>
              <c:numCache>
                <c:formatCode>General</c:formatCode>
                <c:ptCount val="11"/>
                <c:pt idx="0">
                  <c:v>0</c:v>
                </c:pt>
                <c:pt idx="1">
                  <c:v>3</c:v>
                </c:pt>
                <c:pt idx="2">
                  <c:v>3</c:v>
                </c:pt>
                <c:pt idx="3">
                  <c:v>3</c:v>
                </c:pt>
                <c:pt idx="4">
                  <c:v>3</c:v>
                </c:pt>
                <c:pt idx="5">
                  <c:v>3</c:v>
                </c:pt>
                <c:pt idx="6">
                  <c:v>3</c:v>
                </c:pt>
                <c:pt idx="7">
                  <c:v>3</c:v>
                </c:pt>
                <c:pt idx="8">
                  <c:v>4</c:v>
                </c:pt>
                <c:pt idx="9">
                  <c:v>4</c:v>
                </c:pt>
                <c:pt idx="10">
                  <c:v>4</c:v>
                </c:pt>
              </c:numCache>
            </c:numRef>
          </c:val>
        </c:ser>
        <c:dLbls>
          <c:showLegendKey val="0"/>
          <c:showVal val="0"/>
          <c:showCatName val="0"/>
          <c:showSerName val="0"/>
          <c:showPercent val="0"/>
          <c:showBubbleSize val="0"/>
        </c:dLbls>
        <c:gapWidth val="200"/>
        <c:axId val="118407552"/>
        <c:axId val="118409088"/>
      </c:barChart>
      <c:lineChart>
        <c:grouping val="standard"/>
        <c:varyColors val="0"/>
        <c:ser>
          <c:idx val="0"/>
          <c:order val="0"/>
          <c:tx>
            <c:strRef>
              <c:f>ReportFigures!$I$74</c:f>
              <c:strCache>
                <c:ptCount val="1"/>
                <c:pt idx="0">
                  <c:v>Need</c:v>
                </c:pt>
              </c:strCache>
            </c:strRef>
          </c:tx>
          <c:spPr>
            <a:ln>
              <a:solidFill>
                <a:srgbClr val="7E0000"/>
              </a:solidFill>
            </a:ln>
          </c:spPr>
          <c:marker>
            <c:symbol val="none"/>
          </c:marker>
          <c:cat>
            <c:numRef>
              <c:f>ReportFigures!$J$73:$T$73</c:f>
              <c:numCache>
                <c:formatCode>General</c:formatCode>
                <c:ptCount val="11"/>
                <c:pt idx="0">
                  <c:v>2010</c:v>
                </c:pt>
                <c:pt idx="1">
                  <c:v>2015</c:v>
                </c:pt>
                <c:pt idx="2">
                  <c:v>2020</c:v>
                </c:pt>
                <c:pt idx="3">
                  <c:v>2025</c:v>
                </c:pt>
                <c:pt idx="4">
                  <c:v>2030</c:v>
                </c:pt>
                <c:pt idx="5">
                  <c:v>2035</c:v>
                </c:pt>
                <c:pt idx="6">
                  <c:v>2040</c:v>
                </c:pt>
                <c:pt idx="7">
                  <c:v>2045</c:v>
                </c:pt>
                <c:pt idx="8">
                  <c:v>2050</c:v>
                </c:pt>
                <c:pt idx="9">
                  <c:v>2055</c:v>
                </c:pt>
                <c:pt idx="10">
                  <c:v>2060</c:v>
                </c:pt>
              </c:numCache>
            </c:numRef>
          </c:cat>
          <c:val>
            <c:numRef>
              <c:f>ReportFigures!$J$74:$T$74</c:f>
              <c:numCache>
                <c:formatCode>0.0</c:formatCode>
                <c:ptCount val="11"/>
                <c:pt idx="0">
                  <c:v>0</c:v>
                </c:pt>
                <c:pt idx="1">
                  <c:v>0.11399799978750003</c:v>
                </c:pt>
                <c:pt idx="2">
                  <c:v>0.45382318514999997</c:v>
                </c:pt>
                <c:pt idx="3">
                  <c:v>0.89821885764374998</c:v>
                </c:pt>
                <c:pt idx="4">
                  <c:v>1.3426145301375001</c:v>
                </c:pt>
                <c:pt idx="5">
                  <c:v>1.75865086789375</c:v>
                </c:pt>
                <c:pt idx="6">
                  <c:v>2.1746872056499997</c:v>
                </c:pt>
                <c:pt idx="7">
                  <c:v>2.5623607525437504</c:v>
                </c:pt>
                <c:pt idx="8">
                  <c:v>2.9500342994375002</c:v>
                </c:pt>
                <c:pt idx="9">
                  <c:v>3.3093460385562503</c:v>
                </c:pt>
                <c:pt idx="10">
                  <c:v>3.668657777675</c:v>
                </c:pt>
              </c:numCache>
            </c:numRef>
          </c:val>
          <c:smooth val="0"/>
        </c:ser>
        <c:dLbls>
          <c:showLegendKey val="0"/>
          <c:showVal val="0"/>
          <c:showCatName val="0"/>
          <c:showSerName val="0"/>
          <c:showPercent val="0"/>
          <c:showBubbleSize val="0"/>
        </c:dLbls>
        <c:marker val="1"/>
        <c:smooth val="0"/>
        <c:axId val="118407552"/>
        <c:axId val="118409088"/>
      </c:lineChart>
      <c:catAx>
        <c:axId val="118407552"/>
        <c:scaling>
          <c:orientation val="minMax"/>
        </c:scaling>
        <c:delete val="0"/>
        <c:axPos val="b"/>
        <c:numFmt formatCode="General" sourceLinked="1"/>
        <c:majorTickMark val="out"/>
        <c:minorTickMark val="none"/>
        <c:tickLblPos val="nextTo"/>
        <c:txPr>
          <a:bodyPr rot="-2700000"/>
          <a:lstStyle/>
          <a:p>
            <a:pPr>
              <a:defRPr b="1">
                <a:solidFill>
                  <a:schemeClr val="tx2">
                    <a:lumMod val="50000"/>
                  </a:schemeClr>
                </a:solidFill>
                <a:latin typeface="Tw Cen MT Condensed" panose="020B0606020104020203" pitchFamily="34" charset="0"/>
              </a:defRPr>
            </a:pPr>
            <a:endParaRPr lang="en-US"/>
          </a:p>
        </c:txPr>
        <c:crossAx val="118409088"/>
        <c:crosses val="autoZero"/>
        <c:auto val="1"/>
        <c:lblAlgn val="ctr"/>
        <c:lblOffset val="100"/>
        <c:noMultiLvlLbl val="0"/>
      </c:catAx>
      <c:valAx>
        <c:axId val="118409088"/>
        <c:scaling>
          <c:orientation val="minMax"/>
        </c:scaling>
        <c:delete val="0"/>
        <c:axPos val="l"/>
        <c:majorGridlines/>
        <c:title>
          <c:tx>
            <c:rich>
              <a:bodyPr rot="-5400000" vert="horz"/>
              <a:lstStyle/>
              <a:p>
                <a:pPr>
                  <a:defRPr/>
                </a:pPr>
                <a:r>
                  <a:rPr lang="en-US"/>
                  <a:t>Need/Supply</a:t>
                </a:r>
                <a:r>
                  <a:rPr lang="en-US" baseline="0"/>
                  <a:t> (MGD)</a:t>
                </a:r>
                <a:endParaRPr lang="en-US"/>
              </a:p>
            </c:rich>
          </c:tx>
          <c:overlay val="0"/>
        </c:title>
        <c:numFmt formatCode="General" sourceLinked="1"/>
        <c:majorTickMark val="out"/>
        <c:minorTickMark val="none"/>
        <c:tickLblPos val="nextTo"/>
        <c:txPr>
          <a:bodyPr/>
          <a:lstStyle/>
          <a:p>
            <a:pPr>
              <a:defRPr sz="1050" b="1">
                <a:latin typeface="Arial Narrow" panose="020B0606020202030204" pitchFamily="34" charset="0"/>
              </a:defRPr>
            </a:pPr>
            <a:endParaRPr lang="en-US"/>
          </a:p>
        </c:txPr>
        <c:crossAx val="118407552"/>
        <c:crosses val="autoZero"/>
        <c:crossBetween val="between"/>
      </c:valAx>
      <c:spPr>
        <a:gradFill>
          <a:gsLst>
            <a:gs pos="0">
              <a:srgbClr val="D0DAE8">
                <a:alpha val="69000"/>
                <a:lumMod val="93000"/>
                <a:lumOff val="7000"/>
              </a:srgbClr>
            </a:gs>
            <a:gs pos="24000">
              <a:srgbClr val="E1F4FF">
                <a:alpha val="80784"/>
                <a:lumMod val="94000"/>
                <a:lumOff val="6000"/>
              </a:srgbClr>
            </a:gs>
            <a:gs pos="100000">
              <a:schemeClr val="bg1">
                <a:alpha val="73000"/>
              </a:schemeClr>
            </a:gs>
          </a:gsLst>
          <a:lin ang="5400000" scaled="0"/>
        </a:gradFill>
        <a:ln>
          <a:solidFill>
            <a:schemeClr val="tx1">
              <a:lumMod val="95000"/>
              <a:lumOff val="5000"/>
            </a:schemeClr>
          </a:solidFill>
        </a:ln>
      </c:spPr>
    </c:plotArea>
    <c:legend>
      <c:legendPos val="r"/>
      <c:overlay val="0"/>
    </c:legend>
    <c:plotVisOnly val="1"/>
    <c:dispBlanksAs val="gap"/>
    <c:showDLblsOverMax val="0"/>
  </c:chart>
  <c:spPr>
    <a:ln>
      <a:noFill/>
    </a:ln>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0460206019922981E-2"/>
          <c:y val="5.1400554097404488E-2"/>
          <c:w val="0.68595036593360414"/>
          <c:h val="0.79891749094343212"/>
        </c:manualLayout>
      </c:layout>
      <c:barChart>
        <c:barDir val="col"/>
        <c:grouping val="stacked"/>
        <c:varyColors val="0"/>
        <c:ser>
          <c:idx val="1"/>
          <c:order val="1"/>
          <c:tx>
            <c:strRef>
              <c:f>ReportFigures!$K$50</c:f>
              <c:strCache>
                <c:ptCount val="1"/>
                <c:pt idx="0">
                  <c:v>Existing Demand</c:v>
                </c:pt>
              </c:strCache>
            </c:strRef>
          </c:tx>
          <c:spPr>
            <a:solidFill>
              <a:schemeClr val="accent5">
                <a:lumMod val="75000"/>
              </a:schemeClr>
            </a:solidFill>
          </c:spPr>
          <c:invertIfNegative val="0"/>
          <c:cat>
            <c:numRef>
              <c:f>ReportFigures!$L$48:$V$48</c:f>
              <c:numCache>
                <c:formatCode>General</c:formatCode>
                <c:ptCount val="11"/>
                <c:pt idx="0">
                  <c:v>2010</c:v>
                </c:pt>
                <c:pt idx="1">
                  <c:v>2015</c:v>
                </c:pt>
                <c:pt idx="2">
                  <c:v>2020</c:v>
                </c:pt>
                <c:pt idx="3">
                  <c:v>2025</c:v>
                </c:pt>
                <c:pt idx="4">
                  <c:v>2030</c:v>
                </c:pt>
                <c:pt idx="5">
                  <c:v>2035</c:v>
                </c:pt>
                <c:pt idx="6">
                  <c:v>2040</c:v>
                </c:pt>
                <c:pt idx="7">
                  <c:v>2045</c:v>
                </c:pt>
                <c:pt idx="8">
                  <c:v>2050</c:v>
                </c:pt>
                <c:pt idx="9">
                  <c:v>2055</c:v>
                </c:pt>
                <c:pt idx="10">
                  <c:v>2060</c:v>
                </c:pt>
              </c:numCache>
            </c:numRef>
          </c:cat>
          <c:val>
            <c:numRef>
              <c:f>ReportFigures!$L$50:$V$50</c:f>
              <c:numCache>
                <c:formatCode>General</c:formatCode>
                <c:ptCount val="11"/>
                <c:pt idx="0">
                  <c:v>2.4172814425000001E-2</c:v>
                </c:pt>
                <c:pt idx="1">
                  <c:v>2.4172814425000001E-2</c:v>
                </c:pt>
                <c:pt idx="2">
                  <c:v>2.4172814425000001E-2</c:v>
                </c:pt>
                <c:pt idx="3">
                  <c:v>2.4172814425000001E-2</c:v>
                </c:pt>
                <c:pt idx="4">
                  <c:v>2.4172814425000001E-2</c:v>
                </c:pt>
                <c:pt idx="5">
                  <c:v>2.4172814425000001E-2</c:v>
                </c:pt>
                <c:pt idx="6">
                  <c:v>2.4172814425000001E-2</c:v>
                </c:pt>
                <c:pt idx="7">
                  <c:v>2.4172814425000001E-2</c:v>
                </c:pt>
                <c:pt idx="8">
                  <c:v>2.4172814425000001E-2</c:v>
                </c:pt>
                <c:pt idx="9">
                  <c:v>2.4172814425000001E-2</c:v>
                </c:pt>
                <c:pt idx="10">
                  <c:v>2.4172814425000001E-2</c:v>
                </c:pt>
              </c:numCache>
            </c:numRef>
          </c:val>
        </c:ser>
        <c:ser>
          <c:idx val="2"/>
          <c:order val="2"/>
          <c:tx>
            <c:strRef>
              <c:f>ReportFigures!$K$51</c:f>
              <c:strCache>
                <c:ptCount val="1"/>
                <c:pt idx="0">
                  <c:v>Currently Supportable Demand</c:v>
                </c:pt>
              </c:strCache>
            </c:strRef>
          </c:tx>
          <c:spPr>
            <a:solidFill>
              <a:schemeClr val="tx2">
                <a:lumMod val="40000"/>
                <a:lumOff val="60000"/>
              </a:schemeClr>
            </a:solidFill>
          </c:spPr>
          <c:invertIfNegative val="0"/>
          <c:cat>
            <c:numRef>
              <c:f>ReportFigures!$L$48:$V$48</c:f>
              <c:numCache>
                <c:formatCode>General</c:formatCode>
                <c:ptCount val="11"/>
                <c:pt idx="0">
                  <c:v>2010</c:v>
                </c:pt>
                <c:pt idx="1">
                  <c:v>2015</c:v>
                </c:pt>
                <c:pt idx="2">
                  <c:v>2020</c:v>
                </c:pt>
                <c:pt idx="3">
                  <c:v>2025</c:v>
                </c:pt>
                <c:pt idx="4">
                  <c:v>2030</c:v>
                </c:pt>
                <c:pt idx="5">
                  <c:v>2035</c:v>
                </c:pt>
                <c:pt idx="6">
                  <c:v>2040</c:v>
                </c:pt>
                <c:pt idx="7">
                  <c:v>2045</c:v>
                </c:pt>
                <c:pt idx="8">
                  <c:v>2050</c:v>
                </c:pt>
                <c:pt idx="9">
                  <c:v>2055</c:v>
                </c:pt>
                <c:pt idx="10">
                  <c:v>2060</c:v>
                </c:pt>
              </c:numCache>
            </c:numRef>
          </c:cat>
          <c:val>
            <c:numRef>
              <c:f>ReportFigures!$L$51:$V$51</c:f>
              <c:numCache>
                <c:formatCode>0.0</c:formatCode>
                <c:ptCount val="11"/>
                <c:pt idx="0">
                  <c:v>0</c:v>
                </c:pt>
                <c:pt idx="1">
                  <c:v>0.22582718557500001</c:v>
                </c:pt>
                <c:pt idx="2">
                  <c:v>0.22582718557500001</c:v>
                </c:pt>
                <c:pt idx="3">
                  <c:v>0.22582718557500001</c:v>
                </c:pt>
                <c:pt idx="4">
                  <c:v>0.22582718557500001</c:v>
                </c:pt>
                <c:pt idx="5">
                  <c:v>0.22582718557500001</c:v>
                </c:pt>
                <c:pt idx="6">
                  <c:v>0.22582718557500001</c:v>
                </c:pt>
                <c:pt idx="7">
                  <c:v>0.22582718557500001</c:v>
                </c:pt>
                <c:pt idx="8">
                  <c:v>0.22582718557500001</c:v>
                </c:pt>
                <c:pt idx="9">
                  <c:v>0.22582718557500001</c:v>
                </c:pt>
                <c:pt idx="10">
                  <c:v>0.22582718557500001</c:v>
                </c:pt>
              </c:numCache>
            </c:numRef>
          </c:val>
        </c:ser>
        <c:ser>
          <c:idx val="3"/>
          <c:order val="3"/>
          <c:tx>
            <c:strRef>
              <c:f>ReportFigures!$K$52</c:f>
              <c:strCache>
                <c:ptCount val="1"/>
                <c:pt idx="0">
                  <c:v>Projected Need</c:v>
                </c:pt>
              </c:strCache>
            </c:strRef>
          </c:tx>
          <c:spPr>
            <a:solidFill>
              <a:schemeClr val="accent2">
                <a:lumMod val="75000"/>
              </a:schemeClr>
            </a:solidFill>
          </c:spPr>
          <c:invertIfNegative val="0"/>
          <c:dLbls>
            <c:dLbl>
              <c:idx val="0"/>
              <c:delete val="1"/>
            </c:dLbl>
            <c:dLbl>
              <c:idx val="1"/>
              <c:delete val="1"/>
            </c:dLbl>
            <c:dLbl>
              <c:idx val="2"/>
              <c:delete val="1"/>
            </c:dLbl>
            <c:dLbl>
              <c:idx val="3"/>
              <c:delete val="1"/>
            </c:dLbl>
            <c:numFmt formatCode="#,##0.0" sourceLinked="0"/>
            <c:txPr>
              <a:bodyPr rot="0" vert="horz" anchor="t" anchorCtr="0"/>
              <a:lstStyle/>
              <a:p>
                <a:pPr>
                  <a:defRPr b="1">
                    <a:solidFill>
                      <a:schemeClr val="bg1"/>
                    </a:solidFill>
                  </a:defRPr>
                </a:pPr>
                <a:endParaRPr lang="en-US"/>
              </a:p>
            </c:txPr>
            <c:dLblPos val="ctr"/>
            <c:showLegendKey val="0"/>
            <c:showVal val="1"/>
            <c:showCatName val="0"/>
            <c:showSerName val="0"/>
            <c:showPercent val="0"/>
            <c:showBubbleSize val="0"/>
            <c:showLeaderLines val="0"/>
          </c:dLbls>
          <c:cat>
            <c:numRef>
              <c:f>ReportFigures!$L$48:$V$48</c:f>
              <c:numCache>
                <c:formatCode>General</c:formatCode>
                <c:ptCount val="11"/>
                <c:pt idx="0">
                  <c:v>2010</c:v>
                </c:pt>
                <c:pt idx="1">
                  <c:v>2015</c:v>
                </c:pt>
                <c:pt idx="2">
                  <c:v>2020</c:v>
                </c:pt>
                <c:pt idx="3">
                  <c:v>2025</c:v>
                </c:pt>
                <c:pt idx="4">
                  <c:v>2030</c:v>
                </c:pt>
                <c:pt idx="5">
                  <c:v>2035</c:v>
                </c:pt>
                <c:pt idx="6">
                  <c:v>2040</c:v>
                </c:pt>
                <c:pt idx="7">
                  <c:v>2045</c:v>
                </c:pt>
                <c:pt idx="8">
                  <c:v>2050</c:v>
                </c:pt>
                <c:pt idx="9">
                  <c:v>2055</c:v>
                </c:pt>
                <c:pt idx="10">
                  <c:v>2060</c:v>
                </c:pt>
              </c:numCache>
            </c:numRef>
          </c:cat>
          <c:val>
            <c:numRef>
              <c:f>ReportFigures!$L$52:$V$52</c:f>
              <c:numCache>
                <c:formatCode>0.0</c:formatCode>
                <c:ptCount val="11"/>
                <c:pt idx="0">
                  <c:v>0</c:v>
                </c:pt>
                <c:pt idx="1">
                  <c:v>0.11399799978750003</c:v>
                </c:pt>
                <c:pt idx="2">
                  <c:v>0.45382318514999997</c:v>
                </c:pt>
                <c:pt idx="3">
                  <c:v>0.89821885764374998</c:v>
                </c:pt>
                <c:pt idx="4">
                  <c:v>1.3426145301375001</c:v>
                </c:pt>
                <c:pt idx="5">
                  <c:v>1.75865086789375</c:v>
                </c:pt>
                <c:pt idx="6">
                  <c:v>2.1746872056499997</c:v>
                </c:pt>
                <c:pt idx="7">
                  <c:v>2.5623607525437504</c:v>
                </c:pt>
                <c:pt idx="8">
                  <c:v>2.9500342994375002</c:v>
                </c:pt>
                <c:pt idx="9">
                  <c:v>3.3093460385562503</c:v>
                </c:pt>
                <c:pt idx="10">
                  <c:v>3.668657777675</c:v>
                </c:pt>
              </c:numCache>
            </c:numRef>
          </c:val>
        </c:ser>
        <c:dLbls>
          <c:showLegendKey val="0"/>
          <c:showVal val="0"/>
          <c:showCatName val="0"/>
          <c:showSerName val="0"/>
          <c:showPercent val="0"/>
          <c:showBubbleSize val="0"/>
        </c:dLbls>
        <c:gapWidth val="26"/>
        <c:overlap val="100"/>
        <c:axId val="136410240"/>
        <c:axId val="136411776"/>
      </c:barChart>
      <c:lineChart>
        <c:grouping val="standard"/>
        <c:varyColors val="0"/>
        <c:ser>
          <c:idx val="0"/>
          <c:order val="0"/>
          <c:tx>
            <c:strRef>
              <c:f>ReportFigures!$K$49</c:f>
              <c:strCache>
                <c:ptCount val="1"/>
                <c:pt idx="0">
                  <c:v>Current Supply</c:v>
                </c:pt>
              </c:strCache>
            </c:strRef>
          </c:tx>
          <c:spPr>
            <a:ln w="34925" cap="sq">
              <a:solidFill>
                <a:schemeClr val="tx2">
                  <a:lumMod val="75000"/>
                </a:schemeClr>
              </a:solidFill>
            </a:ln>
            <a:effectLst>
              <a:glow rad="38100">
                <a:schemeClr val="accent5">
                  <a:satMod val="175000"/>
                  <a:alpha val="40000"/>
                </a:schemeClr>
              </a:glow>
            </a:effectLst>
          </c:spPr>
          <c:marker>
            <c:symbol val="none"/>
          </c:marker>
          <c:cat>
            <c:numRef>
              <c:f>ReportFigures!$L$48:$V$48</c:f>
              <c:numCache>
                <c:formatCode>General</c:formatCode>
                <c:ptCount val="11"/>
                <c:pt idx="0">
                  <c:v>2010</c:v>
                </c:pt>
                <c:pt idx="1">
                  <c:v>2015</c:v>
                </c:pt>
                <c:pt idx="2">
                  <c:v>2020</c:v>
                </c:pt>
                <c:pt idx="3">
                  <c:v>2025</c:v>
                </c:pt>
                <c:pt idx="4">
                  <c:v>2030</c:v>
                </c:pt>
                <c:pt idx="5">
                  <c:v>2035</c:v>
                </c:pt>
                <c:pt idx="6">
                  <c:v>2040</c:v>
                </c:pt>
                <c:pt idx="7">
                  <c:v>2045</c:v>
                </c:pt>
                <c:pt idx="8">
                  <c:v>2050</c:v>
                </c:pt>
                <c:pt idx="9">
                  <c:v>2055</c:v>
                </c:pt>
                <c:pt idx="10">
                  <c:v>2060</c:v>
                </c:pt>
              </c:numCache>
            </c:numRef>
          </c:cat>
          <c:val>
            <c:numRef>
              <c:f>ReportFigures!$L$49:$V$49</c:f>
              <c:numCache>
                <c:formatCode>0.0</c:formatCode>
                <c:ptCount val="11"/>
                <c:pt idx="0">
                  <c:v>0.25</c:v>
                </c:pt>
                <c:pt idx="1">
                  <c:v>0.25</c:v>
                </c:pt>
                <c:pt idx="2">
                  <c:v>0.25</c:v>
                </c:pt>
                <c:pt idx="3">
                  <c:v>0.25</c:v>
                </c:pt>
                <c:pt idx="4">
                  <c:v>0.25</c:v>
                </c:pt>
                <c:pt idx="5">
                  <c:v>0.25</c:v>
                </c:pt>
                <c:pt idx="6">
                  <c:v>0.25</c:v>
                </c:pt>
                <c:pt idx="7">
                  <c:v>0.25</c:v>
                </c:pt>
                <c:pt idx="8">
                  <c:v>0.25</c:v>
                </c:pt>
                <c:pt idx="9">
                  <c:v>0.25</c:v>
                </c:pt>
                <c:pt idx="10">
                  <c:v>0.25</c:v>
                </c:pt>
              </c:numCache>
            </c:numRef>
          </c:val>
          <c:smooth val="0"/>
        </c:ser>
        <c:dLbls>
          <c:showLegendKey val="0"/>
          <c:showVal val="0"/>
          <c:showCatName val="0"/>
          <c:showSerName val="0"/>
          <c:showPercent val="0"/>
          <c:showBubbleSize val="0"/>
        </c:dLbls>
        <c:marker val="1"/>
        <c:smooth val="0"/>
        <c:axId val="136410240"/>
        <c:axId val="136411776"/>
      </c:lineChart>
      <c:catAx>
        <c:axId val="136410240"/>
        <c:scaling>
          <c:orientation val="minMax"/>
        </c:scaling>
        <c:delete val="0"/>
        <c:axPos val="b"/>
        <c:numFmt formatCode="General" sourceLinked="1"/>
        <c:majorTickMark val="out"/>
        <c:minorTickMark val="none"/>
        <c:tickLblPos val="nextTo"/>
        <c:txPr>
          <a:bodyPr rot="-2700000"/>
          <a:lstStyle/>
          <a:p>
            <a:pPr>
              <a:defRPr b="1">
                <a:solidFill>
                  <a:schemeClr val="tx2">
                    <a:lumMod val="50000"/>
                  </a:schemeClr>
                </a:solidFill>
                <a:latin typeface="Tw Cen MT Condensed" panose="020B0606020104020203" pitchFamily="34" charset="0"/>
              </a:defRPr>
            </a:pPr>
            <a:endParaRPr lang="en-US"/>
          </a:p>
        </c:txPr>
        <c:crossAx val="136411776"/>
        <c:crosses val="autoZero"/>
        <c:auto val="1"/>
        <c:lblAlgn val="ctr"/>
        <c:lblOffset val="100"/>
        <c:noMultiLvlLbl val="0"/>
      </c:catAx>
      <c:valAx>
        <c:axId val="136411776"/>
        <c:scaling>
          <c:orientation val="minMax"/>
        </c:scaling>
        <c:delete val="0"/>
        <c:axPos val="l"/>
        <c:majorGridlines/>
        <c:title>
          <c:tx>
            <c:rich>
              <a:bodyPr rot="-5400000" vert="horz" anchor="t" anchorCtr="0"/>
              <a:lstStyle/>
              <a:p>
                <a:pPr>
                  <a:defRPr/>
                </a:pPr>
                <a:r>
                  <a:rPr lang="en-US"/>
                  <a:t>Demand/Supply</a:t>
                </a:r>
                <a:r>
                  <a:rPr lang="en-US" baseline="0"/>
                  <a:t> (MGD)</a:t>
                </a:r>
                <a:endParaRPr lang="en-US"/>
              </a:p>
            </c:rich>
          </c:tx>
          <c:layout>
            <c:manualLayout>
              <c:xMode val="edge"/>
              <c:yMode val="edge"/>
              <c:x val="1.5953411962979971E-2"/>
              <c:y val="0.21075309337567594"/>
            </c:manualLayout>
          </c:layout>
          <c:overlay val="0"/>
        </c:title>
        <c:numFmt formatCode="General" sourceLinked="1"/>
        <c:majorTickMark val="out"/>
        <c:minorTickMark val="none"/>
        <c:tickLblPos val="nextTo"/>
        <c:txPr>
          <a:bodyPr/>
          <a:lstStyle/>
          <a:p>
            <a:pPr>
              <a:defRPr sz="1050" b="1">
                <a:latin typeface="Arial Narrow" panose="020B0606020202030204" pitchFamily="34" charset="0"/>
              </a:defRPr>
            </a:pPr>
            <a:endParaRPr lang="en-US"/>
          </a:p>
        </c:txPr>
        <c:crossAx val="136410240"/>
        <c:crosses val="autoZero"/>
        <c:crossBetween val="between"/>
      </c:valAx>
      <c:spPr>
        <a:gradFill>
          <a:gsLst>
            <a:gs pos="0">
              <a:srgbClr val="D0DAE8">
                <a:alpha val="69000"/>
                <a:lumMod val="93000"/>
                <a:lumOff val="7000"/>
              </a:srgbClr>
            </a:gs>
            <a:gs pos="24000">
              <a:srgbClr val="E1F4FF">
                <a:alpha val="80784"/>
                <a:lumMod val="94000"/>
                <a:lumOff val="6000"/>
              </a:srgbClr>
            </a:gs>
            <a:gs pos="100000">
              <a:schemeClr val="bg1">
                <a:alpha val="73000"/>
              </a:schemeClr>
            </a:gs>
          </a:gsLst>
          <a:lin ang="5400000" scaled="0"/>
        </a:gradFill>
        <a:ln>
          <a:solidFill>
            <a:schemeClr val="tx1">
              <a:lumMod val="95000"/>
              <a:lumOff val="5000"/>
            </a:schemeClr>
          </a:solidFill>
        </a:ln>
      </c:spPr>
    </c:plotArea>
    <c:legend>
      <c:legendPos val="r"/>
      <c:layout>
        <c:manualLayout>
          <c:xMode val="edge"/>
          <c:yMode val="edge"/>
          <c:x val="0.78244998799326559"/>
          <c:y val="8.5694006424562624E-2"/>
          <c:w val="0.2030160459181776"/>
          <c:h val="0.80073319040266933"/>
        </c:manualLayout>
      </c:layout>
      <c:overlay val="0"/>
    </c:legend>
    <c:plotVisOnly val="1"/>
    <c:dispBlanksAs val="gap"/>
    <c:showDLblsOverMax val="0"/>
  </c:chart>
  <c:spPr>
    <a:ln>
      <a:noFill/>
    </a:ln>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95280874732107"/>
          <c:y val="5.1400554097404488E-2"/>
          <c:w val="0.74166395442411126"/>
          <c:h val="0.79891749094343212"/>
        </c:manualLayout>
      </c:layout>
      <c:barChart>
        <c:barDir val="col"/>
        <c:grouping val="clustered"/>
        <c:varyColors val="0"/>
        <c:ser>
          <c:idx val="1"/>
          <c:order val="1"/>
          <c:tx>
            <c:strRef>
              <c:f>ReportFigures!$I$75</c:f>
              <c:strCache>
                <c:ptCount val="1"/>
                <c:pt idx="0">
                  <c:v>Alt. 1</c:v>
                </c:pt>
              </c:strCache>
            </c:strRef>
          </c:tx>
          <c:spPr>
            <a:solidFill>
              <a:schemeClr val="tx2">
                <a:lumMod val="60000"/>
                <a:lumOff val="40000"/>
              </a:schemeClr>
            </a:solidFill>
          </c:spPr>
          <c:invertIfNegative val="0"/>
          <c:cat>
            <c:numRef>
              <c:f>ReportFigures!$J$73:$T$73</c:f>
              <c:numCache>
                <c:formatCode>General</c:formatCode>
                <c:ptCount val="11"/>
                <c:pt idx="0">
                  <c:v>2010</c:v>
                </c:pt>
                <c:pt idx="1">
                  <c:v>2015</c:v>
                </c:pt>
                <c:pt idx="2">
                  <c:v>2020</c:v>
                </c:pt>
                <c:pt idx="3">
                  <c:v>2025</c:v>
                </c:pt>
                <c:pt idx="4">
                  <c:v>2030</c:v>
                </c:pt>
                <c:pt idx="5">
                  <c:v>2035</c:v>
                </c:pt>
                <c:pt idx="6">
                  <c:v>2040</c:v>
                </c:pt>
                <c:pt idx="7">
                  <c:v>2045</c:v>
                </c:pt>
                <c:pt idx="8">
                  <c:v>2050</c:v>
                </c:pt>
                <c:pt idx="9">
                  <c:v>2055</c:v>
                </c:pt>
                <c:pt idx="10">
                  <c:v>2060</c:v>
                </c:pt>
              </c:numCache>
            </c:numRef>
          </c:cat>
          <c:val>
            <c:numRef>
              <c:f>ReportFigures!$J$75:$T$75</c:f>
              <c:numCache>
                <c:formatCode>General</c:formatCode>
                <c:ptCount val="11"/>
                <c:pt idx="0">
                  <c:v>0</c:v>
                </c:pt>
                <c:pt idx="1">
                  <c:v>3</c:v>
                </c:pt>
                <c:pt idx="2">
                  <c:v>3</c:v>
                </c:pt>
                <c:pt idx="3">
                  <c:v>3</c:v>
                </c:pt>
                <c:pt idx="4">
                  <c:v>3</c:v>
                </c:pt>
                <c:pt idx="5">
                  <c:v>3</c:v>
                </c:pt>
                <c:pt idx="6">
                  <c:v>3</c:v>
                </c:pt>
                <c:pt idx="7">
                  <c:v>3</c:v>
                </c:pt>
                <c:pt idx="8">
                  <c:v>4</c:v>
                </c:pt>
                <c:pt idx="9">
                  <c:v>4</c:v>
                </c:pt>
                <c:pt idx="10">
                  <c:v>4</c:v>
                </c:pt>
              </c:numCache>
            </c:numRef>
          </c:val>
        </c:ser>
        <c:dLbls>
          <c:showLegendKey val="0"/>
          <c:showVal val="0"/>
          <c:showCatName val="0"/>
          <c:showSerName val="0"/>
          <c:showPercent val="0"/>
          <c:showBubbleSize val="0"/>
        </c:dLbls>
        <c:gapWidth val="200"/>
        <c:axId val="138870784"/>
        <c:axId val="138872320"/>
      </c:barChart>
      <c:lineChart>
        <c:grouping val="standard"/>
        <c:varyColors val="0"/>
        <c:ser>
          <c:idx val="0"/>
          <c:order val="0"/>
          <c:tx>
            <c:strRef>
              <c:f>ReportFigures!$I$74</c:f>
              <c:strCache>
                <c:ptCount val="1"/>
                <c:pt idx="0">
                  <c:v>Need</c:v>
                </c:pt>
              </c:strCache>
            </c:strRef>
          </c:tx>
          <c:spPr>
            <a:ln>
              <a:solidFill>
                <a:srgbClr val="7E0000"/>
              </a:solidFill>
            </a:ln>
          </c:spPr>
          <c:marker>
            <c:symbol val="none"/>
          </c:marker>
          <c:cat>
            <c:numRef>
              <c:f>ReportFigures!$J$73:$T$73</c:f>
              <c:numCache>
                <c:formatCode>General</c:formatCode>
                <c:ptCount val="11"/>
                <c:pt idx="0">
                  <c:v>2010</c:v>
                </c:pt>
                <c:pt idx="1">
                  <c:v>2015</c:v>
                </c:pt>
                <c:pt idx="2">
                  <c:v>2020</c:v>
                </c:pt>
                <c:pt idx="3">
                  <c:v>2025</c:v>
                </c:pt>
                <c:pt idx="4">
                  <c:v>2030</c:v>
                </c:pt>
                <c:pt idx="5">
                  <c:v>2035</c:v>
                </c:pt>
                <c:pt idx="6">
                  <c:v>2040</c:v>
                </c:pt>
                <c:pt idx="7">
                  <c:v>2045</c:v>
                </c:pt>
                <c:pt idx="8">
                  <c:v>2050</c:v>
                </c:pt>
                <c:pt idx="9">
                  <c:v>2055</c:v>
                </c:pt>
                <c:pt idx="10">
                  <c:v>2060</c:v>
                </c:pt>
              </c:numCache>
            </c:numRef>
          </c:cat>
          <c:val>
            <c:numRef>
              <c:f>ReportFigures!$J$74:$T$74</c:f>
              <c:numCache>
                <c:formatCode>0.0</c:formatCode>
                <c:ptCount val="11"/>
                <c:pt idx="0">
                  <c:v>0</c:v>
                </c:pt>
                <c:pt idx="1">
                  <c:v>0.11399799978750003</c:v>
                </c:pt>
                <c:pt idx="2">
                  <c:v>0.45382318514999997</c:v>
                </c:pt>
                <c:pt idx="3">
                  <c:v>0.89821885764374998</c:v>
                </c:pt>
                <c:pt idx="4">
                  <c:v>1.3426145301375001</c:v>
                </c:pt>
                <c:pt idx="5">
                  <c:v>1.75865086789375</c:v>
                </c:pt>
                <c:pt idx="6">
                  <c:v>2.1746872056499997</c:v>
                </c:pt>
                <c:pt idx="7">
                  <c:v>2.5623607525437504</c:v>
                </c:pt>
                <c:pt idx="8">
                  <c:v>2.9500342994375002</c:v>
                </c:pt>
                <c:pt idx="9">
                  <c:v>3.3093460385562503</c:v>
                </c:pt>
                <c:pt idx="10">
                  <c:v>3.668657777675</c:v>
                </c:pt>
              </c:numCache>
            </c:numRef>
          </c:val>
          <c:smooth val="0"/>
        </c:ser>
        <c:dLbls>
          <c:showLegendKey val="0"/>
          <c:showVal val="0"/>
          <c:showCatName val="0"/>
          <c:showSerName val="0"/>
          <c:showPercent val="0"/>
          <c:showBubbleSize val="0"/>
        </c:dLbls>
        <c:marker val="1"/>
        <c:smooth val="0"/>
        <c:axId val="138870784"/>
        <c:axId val="138872320"/>
      </c:lineChart>
      <c:catAx>
        <c:axId val="138870784"/>
        <c:scaling>
          <c:orientation val="minMax"/>
        </c:scaling>
        <c:delete val="0"/>
        <c:axPos val="b"/>
        <c:numFmt formatCode="General" sourceLinked="1"/>
        <c:majorTickMark val="out"/>
        <c:minorTickMark val="none"/>
        <c:tickLblPos val="nextTo"/>
        <c:txPr>
          <a:bodyPr rot="-2700000"/>
          <a:lstStyle/>
          <a:p>
            <a:pPr>
              <a:defRPr b="1">
                <a:solidFill>
                  <a:schemeClr val="tx2">
                    <a:lumMod val="50000"/>
                  </a:schemeClr>
                </a:solidFill>
                <a:latin typeface="Tw Cen MT Condensed" panose="020B0606020104020203" pitchFamily="34" charset="0"/>
              </a:defRPr>
            </a:pPr>
            <a:endParaRPr lang="en-US"/>
          </a:p>
        </c:txPr>
        <c:crossAx val="138872320"/>
        <c:crosses val="autoZero"/>
        <c:auto val="1"/>
        <c:lblAlgn val="ctr"/>
        <c:lblOffset val="100"/>
        <c:noMultiLvlLbl val="0"/>
      </c:catAx>
      <c:valAx>
        <c:axId val="138872320"/>
        <c:scaling>
          <c:orientation val="minMax"/>
        </c:scaling>
        <c:delete val="0"/>
        <c:axPos val="l"/>
        <c:majorGridlines/>
        <c:title>
          <c:tx>
            <c:rich>
              <a:bodyPr rot="-5400000" vert="horz"/>
              <a:lstStyle/>
              <a:p>
                <a:pPr>
                  <a:defRPr/>
                </a:pPr>
                <a:r>
                  <a:rPr lang="en-US"/>
                  <a:t>Need/Supply</a:t>
                </a:r>
                <a:r>
                  <a:rPr lang="en-US" baseline="0"/>
                  <a:t> (MGD)</a:t>
                </a:r>
                <a:endParaRPr lang="en-US"/>
              </a:p>
            </c:rich>
          </c:tx>
          <c:overlay val="0"/>
        </c:title>
        <c:numFmt formatCode="General" sourceLinked="1"/>
        <c:majorTickMark val="out"/>
        <c:minorTickMark val="none"/>
        <c:tickLblPos val="nextTo"/>
        <c:txPr>
          <a:bodyPr/>
          <a:lstStyle/>
          <a:p>
            <a:pPr>
              <a:defRPr sz="1050" b="1">
                <a:latin typeface="Arial Narrow" panose="020B0606020202030204" pitchFamily="34" charset="0"/>
              </a:defRPr>
            </a:pPr>
            <a:endParaRPr lang="en-US"/>
          </a:p>
        </c:txPr>
        <c:crossAx val="138870784"/>
        <c:crosses val="autoZero"/>
        <c:crossBetween val="between"/>
      </c:valAx>
      <c:spPr>
        <a:gradFill>
          <a:gsLst>
            <a:gs pos="0">
              <a:srgbClr val="D0DAE8">
                <a:alpha val="69000"/>
                <a:lumMod val="93000"/>
                <a:lumOff val="7000"/>
              </a:srgbClr>
            </a:gs>
            <a:gs pos="24000">
              <a:srgbClr val="E1F4FF">
                <a:alpha val="80784"/>
                <a:lumMod val="94000"/>
                <a:lumOff val="6000"/>
              </a:srgbClr>
            </a:gs>
            <a:gs pos="100000">
              <a:schemeClr val="bg1">
                <a:alpha val="73000"/>
              </a:schemeClr>
            </a:gs>
          </a:gsLst>
          <a:lin ang="5400000" scaled="0"/>
        </a:gradFill>
        <a:ln>
          <a:solidFill>
            <a:schemeClr val="tx1">
              <a:lumMod val="95000"/>
              <a:lumOff val="5000"/>
            </a:schemeClr>
          </a:solidFill>
        </a:ln>
      </c:spPr>
    </c:plotArea>
    <c:legend>
      <c:legendPos val="r"/>
      <c:overlay val="0"/>
    </c:legend>
    <c:plotVisOnly val="1"/>
    <c:dispBlanksAs val="gap"/>
    <c:showDLblsOverMax val="0"/>
  </c:chart>
  <c:spPr>
    <a:ln>
      <a:noFill/>
    </a:ln>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0460206019922981E-2"/>
          <c:y val="5.1400554097404488E-2"/>
          <c:w val="0.68595036593360414"/>
          <c:h val="0.79891749094343212"/>
        </c:manualLayout>
      </c:layout>
      <c:barChart>
        <c:barDir val="col"/>
        <c:grouping val="stacked"/>
        <c:varyColors val="0"/>
        <c:ser>
          <c:idx val="3"/>
          <c:order val="1"/>
          <c:tx>
            <c:strRef>
              <c:f>ReportFigures!$I$102</c:f>
              <c:strCache>
                <c:ptCount val="1"/>
                <c:pt idx="0">
                  <c:v>City of Mebane</c:v>
                </c:pt>
              </c:strCache>
            </c:strRef>
          </c:tx>
          <c:spPr>
            <a:solidFill>
              <a:schemeClr val="accent2">
                <a:lumMod val="75000"/>
              </a:schemeClr>
            </a:solidFill>
          </c:spPr>
          <c:invertIfNegative val="0"/>
          <c:dLbls>
            <c:dLbl>
              <c:idx val="0"/>
              <c:delete val="1"/>
            </c:dLbl>
            <c:numFmt formatCode="#,##0.0" sourceLinked="0"/>
            <c:txPr>
              <a:bodyPr rot="0" vert="horz" anchor="t" anchorCtr="0"/>
              <a:lstStyle/>
              <a:p>
                <a:pPr>
                  <a:defRPr b="1">
                    <a:solidFill>
                      <a:schemeClr val="bg1"/>
                    </a:solidFill>
                  </a:defRPr>
                </a:pPr>
                <a:endParaRPr lang="en-US"/>
              </a:p>
            </c:txPr>
            <c:dLblPos val="ctr"/>
            <c:showLegendKey val="0"/>
            <c:showVal val="1"/>
            <c:showCatName val="0"/>
            <c:showSerName val="0"/>
            <c:showPercent val="0"/>
            <c:showBubbleSize val="0"/>
            <c:showLeaderLines val="0"/>
          </c:dLbls>
          <c:cat>
            <c:numRef>
              <c:f>ReportFigures!$L$48:$V$48</c:f>
              <c:numCache>
                <c:formatCode>General</c:formatCode>
                <c:ptCount val="11"/>
                <c:pt idx="0">
                  <c:v>2010</c:v>
                </c:pt>
                <c:pt idx="1">
                  <c:v>2015</c:v>
                </c:pt>
                <c:pt idx="2">
                  <c:v>2020</c:v>
                </c:pt>
                <c:pt idx="3">
                  <c:v>2025</c:v>
                </c:pt>
                <c:pt idx="4">
                  <c:v>2030</c:v>
                </c:pt>
                <c:pt idx="5">
                  <c:v>2035</c:v>
                </c:pt>
                <c:pt idx="6">
                  <c:v>2040</c:v>
                </c:pt>
                <c:pt idx="7">
                  <c:v>2045</c:v>
                </c:pt>
                <c:pt idx="8">
                  <c:v>2050</c:v>
                </c:pt>
                <c:pt idx="9">
                  <c:v>2055</c:v>
                </c:pt>
                <c:pt idx="10">
                  <c:v>2060</c:v>
                </c:pt>
              </c:numCache>
            </c:numRef>
          </c:cat>
          <c:val>
            <c:numRef>
              <c:f>ReportFigures!$J$102:$T$102</c:f>
              <c:numCache>
                <c:formatCode>General</c:formatCode>
                <c:ptCount val="11"/>
                <c:pt idx="0">
                  <c:v>0</c:v>
                </c:pt>
                <c:pt idx="1">
                  <c:v>1.5</c:v>
                </c:pt>
                <c:pt idx="2">
                  <c:v>1.5</c:v>
                </c:pt>
                <c:pt idx="3">
                  <c:v>1.5</c:v>
                </c:pt>
                <c:pt idx="4">
                  <c:v>1.5</c:v>
                </c:pt>
                <c:pt idx="5">
                  <c:v>1.5</c:v>
                </c:pt>
                <c:pt idx="6">
                  <c:v>1.5</c:v>
                </c:pt>
                <c:pt idx="7">
                  <c:v>1.5</c:v>
                </c:pt>
                <c:pt idx="8">
                  <c:v>2</c:v>
                </c:pt>
                <c:pt idx="9">
                  <c:v>2</c:v>
                </c:pt>
                <c:pt idx="10">
                  <c:v>2</c:v>
                </c:pt>
              </c:numCache>
            </c:numRef>
          </c:val>
        </c:ser>
        <c:ser>
          <c:idx val="2"/>
          <c:order val="2"/>
          <c:tx>
            <c:strRef>
              <c:f>ReportFigures!$I$101</c:f>
              <c:strCache>
                <c:ptCount val="1"/>
                <c:pt idx="0">
                  <c:v>Jordan Lake Allocation</c:v>
                </c:pt>
              </c:strCache>
            </c:strRef>
          </c:tx>
          <c:spPr>
            <a:solidFill>
              <a:schemeClr val="tx2">
                <a:lumMod val="40000"/>
                <a:lumOff val="60000"/>
              </a:schemeClr>
            </a:solidFill>
          </c:spPr>
          <c:invertIfNegative val="0"/>
          <c:dLbls>
            <c:numFmt formatCode="#,##0.0" sourceLinked="0"/>
            <c:showLegendKey val="0"/>
            <c:showVal val="1"/>
            <c:showCatName val="0"/>
            <c:showSerName val="0"/>
            <c:showPercent val="0"/>
            <c:showBubbleSize val="0"/>
            <c:showLeaderLines val="0"/>
          </c:dLbls>
          <c:cat>
            <c:numRef>
              <c:f>ReportFigures!$L$48:$V$48</c:f>
              <c:numCache>
                <c:formatCode>General</c:formatCode>
                <c:ptCount val="11"/>
                <c:pt idx="0">
                  <c:v>2010</c:v>
                </c:pt>
                <c:pt idx="1">
                  <c:v>2015</c:v>
                </c:pt>
                <c:pt idx="2">
                  <c:v>2020</c:v>
                </c:pt>
                <c:pt idx="3">
                  <c:v>2025</c:v>
                </c:pt>
                <c:pt idx="4">
                  <c:v>2030</c:v>
                </c:pt>
                <c:pt idx="5">
                  <c:v>2035</c:v>
                </c:pt>
                <c:pt idx="6">
                  <c:v>2040</c:v>
                </c:pt>
                <c:pt idx="7">
                  <c:v>2045</c:v>
                </c:pt>
                <c:pt idx="8">
                  <c:v>2050</c:v>
                </c:pt>
                <c:pt idx="9">
                  <c:v>2055</c:v>
                </c:pt>
                <c:pt idx="10">
                  <c:v>2060</c:v>
                </c:pt>
              </c:numCache>
            </c:numRef>
          </c:cat>
          <c:val>
            <c:numRef>
              <c:f>ReportFigures!$J$101:$T$101</c:f>
              <c:numCache>
                <c:formatCode>General</c:formatCode>
                <c:ptCount val="11"/>
                <c:pt idx="0">
                  <c:v>0</c:v>
                </c:pt>
                <c:pt idx="1">
                  <c:v>1.5</c:v>
                </c:pt>
                <c:pt idx="2">
                  <c:v>1.5</c:v>
                </c:pt>
                <c:pt idx="3">
                  <c:v>1.5</c:v>
                </c:pt>
                <c:pt idx="4">
                  <c:v>1.5</c:v>
                </c:pt>
                <c:pt idx="5">
                  <c:v>1.5</c:v>
                </c:pt>
                <c:pt idx="6">
                  <c:v>1.5</c:v>
                </c:pt>
                <c:pt idx="7">
                  <c:v>1.5</c:v>
                </c:pt>
                <c:pt idx="8">
                  <c:v>2</c:v>
                </c:pt>
                <c:pt idx="9">
                  <c:v>2</c:v>
                </c:pt>
                <c:pt idx="10">
                  <c:v>2</c:v>
                </c:pt>
              </c:numCache>
            </c:numRef>
          </c:val>
        </c:ser>
        <c:dLbls>
          <c:showLegendKey val="0"/>
          <c:showVal val="0"/>
          <c:showCatName val="0"/>
          <c:showSerName val="0"/>
          <c:showPercent val="0"/>
          <c:showBubbleSize val="0"/>
        </c:dLbls>
        <c:gapWidth val="26"/>
        <c:overlap val="100"/>
        <c:axId val="138932608"/>
        <c:axId val="138934144"/>
      </c:barChart>
      <c:lineChart>
        <c:grouping val="standard"/>
        <c:varyColors val="0"/>
        <c:ser>
          <c:idx val="0"/>
          <c:order val="0"/>
          <c:tx>
            <c:strRef>
              <c:f>ReportFigures!$I$100</c:f>
              <c:strCache>
                <c:ptCount val="1"/>
                <c:pt idx="0">
                  <c:v>Need</c:v>
                </c:pt>
              </c:strCache>
            </c:strRef>
          </c:tx>
          <c:spPr>
            <a:ln w="34925" cap="sq">
              <a:solidFill>
                <a:schemeClr val="tx2">
                  <a:lumMod val="75000"/>
                </a:schemeClr>
              </a:solidFill>
            </a:ln>
            <a:effectLst>
              <a:glow rad="38100">
                <a:schemeClr val="accent5">
                  <a:satMod val="175000"/>
                  <a:alpha val="40000"/>
                </a:schemeClr>
              </a:glow>
            </a:effectLst>
          </c:spPr>
          <c:marker>
            <c:symbol val="none"/>
          </c:marker>
          <c:cat>
            <c:numRef>
              <c:f>ReportFigures!$L$48:$V$48</c:f>
              <c:numCache>
                <c:formatCode>General</c:formatCode>
                <c:ptCount val="11"/>
                <c:pt idx="0">
                  <c:v>2010</c:v>
                </c:pt>
                <c:pt idx="1">
                  <c:v>2015</c:v>
                </c:pt>
                <c:pt idx="2">
                  <c:v>2020</c:v>
                </c:pt>
                <c:pt idx="3">
                  <c:v>2025</c:v>
                </c:pt>
                <c:pt idx="4">
                  <c:v>2030</c:v>
                </c:pt>
                <c:pt idx="5">
                  <c:v>2035</c:v>
                </c:pt>
                <c:pt idx="6">
                  <c:v>2040</c:v>
                </c:pt>
                <c:pt idx="7">
                  <c:v>2045</c:v>
                </c:pt>
                <c:pt idx="8">
                  <c:v>2050</c:v>
                </c:pt>
                <c:pt idx="9">
                  <c:v>2055</c:v>
                </c:pt>
                <c:pt idx="10">
                  <c:v>2060</c:v>
                </c:pt>
              </c:numCache>
            </c:numRef>
          </c:cat>
          <c:val>
            <c:numRef>
              <c:f>ReportFigures!$J$100:$T$100</c:f>
              <c:numCache>
                <c:formatCode>0.0</c:formatCode>
                <c:ptCount val="11"/>
                <c:pt idx="0">
                  <c:v>0</c:v>
                </c:pt>
                <c:pt idx="1">
                  <c:v>0.11399799978750003</c:v>
                </c:pt>
                <c:pt idx="2">
                  <c:v>0.45382318514999997</c:v>
                </c:pt>
                <c:pt idx="3">
                  <c:v>0.89821885764374998</c:v>
                </c:pt>
                <c:pt idx="4">
                  <c:v>1.3426145301375001</c:v>
                </c:pt>
                <c:pt idx="5">
                  <c:v>1.75865086789375</c:v>
                </c:pt>
                <c:pt idx="6">
                  <c:v>2.1746872056499997</c:v>
                </c:pt>
                <c:pt idx="7">
                  <c:v>2.5623607525437504</c:v>
                </c:pt>
                <c:pt idx="8">
                  <c:v>2.9500342994375002</c:v>
                </c:pt>
                <c:pt idx="9">
                  <c:v>3.3093460385562503</c:v>
                </c:pt>
                <c:pt idx="10">
                  <c:v>3.668657777675</c:v>
                </c:pt>
              </c:numCache>
            </c:numRef>
          </c:val>
          <c:smooth val="0"/>
        </c:ser>
        <c:dLbls>
          <c:showLegendKey val="0"/>
          <c:showVal val="0"/>
          <c:showCatName val="0"/>
          <c:showSerName val="0"/>
          <c:showPercent val="0"/>
          <c:showBubbleSize val="0"/>
        </c:dLbls>
        <c:marker val="1"/>
        <c:smooth val="0"/>
        <c:axId val="138932608"/>
        <c:axId val="138934144"/>
      </c:lineChart>
      <c:catAx>
        <c:axId val="138932608"/>
        <c:scaling>
          <c:orientation val="minMax"/>
        </c:scaling>
        <c:delete val="0"/>
        <c:axPos val="b"/>
        <c:numFmt formatCode="General" sourceLinked="1"/>
        <c:majorTickMark val="out"/>
        <c:minorTickMark val="none"/>
        <c:tickLblPos val="nextTo"/>
        <c:txPr>
          <a:bodyPr rot="-2700000"/>
          <a:lstStyle/>
          <a:p>
            <a:pPr>
              <a:defRPr b="1">
                <a:solidFill>
                  <a:schemeClr val="tx2">
                    <a:lumMod val="50000"/>
                  </a:schemeClr>
                </a:solidFill>
                <a:latin typeface="Tw Cen MT Condensed" panose="020B0606020104020203" pitchFamily="34" charset="0"/>
              </a:defRPr>
            </a:pPr>
            <a:endParaRPr lang="en-US"/>
          </a:p>
        </c:txPr>
        <c:crossAx val="138934144"/>
        <c:crosses val="autoZero"/>
        <c:auto val="1"/>
        <c:lblAlgn val="ctr"/>
        <c:lblOffset val="100"/>
        <c:noMultiLvlLbl val="0"/>
      </c:catAx>
      <c:valAx>
        <c:axId val="138934144"/>
        <c:scaling>
          <c:orientation val="minMax"/>
        </c:scaling>
        <c:delete val="0"/>
        <c:axPos val="l"/>
        <c:majorGridlines/>
        <c:title>
          <c:tx>
            <c:rich>
              <a:bodyPr rot="-5400000" vert="horz" anchor="t" anchorCtr="0"/>
              <a:lstStyle/>
              <a:p>
                <a:pPr>
                  <a:defRPr/>
                </a:pPr>
                <a:r>
                  <a:rPr lang="en-US"/>
                  <a:t>Demand/Supply</a:t>
                </a:r>
                <a:r>
                  <a:rPr lang="en-US" baseline="0"/>
                  <a:t> (MGD)</a:t>
                </a:r>
                <a:endParaRPr lang="en-US"/>
              </a:p>
            </c:rich>
          </c:tx>
          <c:layout>
            <c:manualLayout>
              <c:xMode val="edge"/>
              <c:yMode val="edge"/>
              <c:x val="1.5953411962979971E-2"/>
              <c:y val="0.21075309337567594"/>
            </c:manualLayout>
          </c:layout>
          <c:overlay val="0"/>
        </c:title>
        <c:numFmt formatCode="General" sourceLinked="1"/>
        <c:majorTickMark val="out"/>
        <c:minorTickMark val="none"/>
        <c:tickLblPos val="nextTo"/>
        <c:txPr>
          <a:bodyPr/>
          <a:lstStyle/>
          <a:p>
            <a:pPr>
              <a:defRPr sz="1050" b="1">
                <a:latin typeface="Arial Narrow" panose="020B0606020202030204" pitchFamily="34" charset="0"/>
              </a:defRPr>
            </a:pPr>
            <a:endParaRPr lang="en-US"/>
          </a:p>
        </c:txPr>
        <c:crossAx val="138932608"/>
        <c:crosses val="autoZero"/>
        <c:crossBetween val="between"/>
      </c:valAx>
      <c:spPr>
        <a:gradFill>
          <a:gsLst>
            <a:gs pos="0">
              <a:srgbClr val="D0DAE8">
                <a:alpha val="69000"/>
                <a:lumMod val="93000"/>
                <a:lumOff val="7000"/>
              </a:srgbClr>
            </a:gs>
            <a:gs pos="24000">
              <a:srgbClr val="E1F4FF">
                <a:alpha val="80784"/>
                <a:lumMod val="94000"/>
                <a:lumOff val="6000"/>
              </a:srgbClr>
            </a:gs>
            <a:gs pos="100000">
              <a:schemeClr val="bg1">
                <a:alpha val="73000"/>
              </a:schemeClr>
            </a:gs>
          </a:gsLst>
          <a:lin ang="5400000" scaled="0"/>
        </a:gradFill>
        <a:ln>
          <a:solidFill>
            <a:schemeClr val="tx1">
              <a:lumMod val="95000"/>
              <a:lumOff val="5000"/>
            </a:schemeClr>
          </a:solidFill>
        </a:ln>
      </c:spPr>
    </c:plotArea>
    <c:legend>
      <c:legendPos val="r"/>
      <c:layout>
        <c:manualLayout>
          <c:xMode val="edge"/>
          <c:yMode val="edge"/>
          <c:x val="0.78244998799326559"/>
          <c:y val="8.5694006424562624E-2"/>
          <c:w val="0.2030160459181776"/>
          <c:h val="0.80073319040266933"/>
        </c:manualLayout>
      </c:layout>
      <c:overlay val="0"/>
    </c:legend>
    <c:plotVisOnly val="1"/>
    <c:dispBlanksAs val="gap"/>
    <c:showDLblsOverMax val="0"/>
  </c:chart>
  <c:spPr>
    <a:ln>
      <a:noFill/>
    </a:ln>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System Demand</a:t>
            </a:r>
          </a:p>
        </c:rich>
      </c:tx>
      <c:layout>
        <c:manualLayout>
          <c:xMode val="edge"/>
          <c:yMode val="edge"/>
          <c:x val="0.40902707332848864"/>
          <c:y val="2.8318647669041373E-2"/>
        </c:manualLayout>
      </c:layout>
      <c:overlay val="0"/>
      <c:spPr>
        <a:noFill/>
        <a:ln w="25400">
          <a:noFill/>
        </a:ln>
      </c:spPr>
    </c:title>
    <c:autoTitleDeleted val="0"/>
    <c:plotArea>
      <c:layout>
        <c:manualLayout>
          <c:layoutTarget val="inner"/>
          <c:xMode val="edge"/>
          <c:yMode val="edge"/>
          <c:x val="0.12380293824221915"/>
          <c:y val="0.12404862008099918"/>
          <c:w val="0.84307362145556219"/>
          <c:h val="0.68318643112765398"/>
        </c:manualLayout>
      </c:layout>
      <c:lineChart>
        <c:grouping val="standard"/>
        <c:varyColors val="0"/>
        <c:ser>
          <c:idx val="0"/>
          <c:order val="0"/>
          <c:tx>
            <c:strRef>
              <c:f>'Population&amp;Demand Projections'!$C$39</c:f>
              <c:strCache>
                <c:ptCount val="1"/>
              </c:strCache>
            </c:strRef>
          </c:tx>
          <c:spPr>
            <a:ln w="25400">
              <a:solidFill>
                <a:srgbClr val="000080"/>
              </a:solidFill>
              <a:prstDash val="solid"/>
            </a:ln>
          </c:spPr>
          <c:marker>
            <c:symbol val="none"/>
          </c:marker>
          <c:cat>
            <c:numRef>
              <c:f>'Population&amp;Demand Projections'!$D$15:$N$15</c:f>
              <c:numCache>
                <c:formatCode>General</c:formatCode>
                <c:ptCount val="11"/>
                <c:pt idx="0">
                  <c:v>2010</c:v>
                </c:pt>
                <c:pt idx="1">
                  <c:v>2015</c:v>
                </c:pt>
                <c:pt idx="2">
                  <c:v>2020</c:v>
                </c:pt>
                <c:pt idx="3">
                  <c:v>2025</c:v>
                </c:pt>
                <c:pt idx="4">
                  <c:v>2030</c:v>
                </c:pt>
                <c:pt idx="5">
                  <c:v>2035</c:v>
                </c:pt>
                <c:pt idx="6">
                  <c:v>2040</c:v>
                </c:pt>
                <c:pt idx="7">
                  <c:v>2045</c:v>
                </c:pt>
                <c:pt idx="8">
                  <c:v>2050</c:v>
                </c:pt>
                <c:pt idx="9">
                  <c:v>2055</c:v>
                </c:pt>
                <c:pt idx="10">
                  <c:v>2060</c:v>
                </c:pt>
              </c:numCache>
            </c:numRef>
          </c:cat>
          <c:val>
            <c:numRef>
              <c:f>'Population&amp;Demand Projections'!$D$39:$N$39</c:f>
              <c:numCache>
                <c:formatCode>0.00</c:formatCode>
                <c:ptCount val="11"/>
                <c:pt idx="0">
                  <c:v>2.4172814425000001E-2</c:v>
                </c:pt>
                <c:pt idx="1">
                  <c:v>0.36399799978750003</c:v>
                </c:pt>
                <c:pt idx="2">
                  <c:v>0.70382318514999997</c:v>
                </c:pt>
                <c:pt idx="3">
                  <c:v>1.14821885764375</c:v>
                </c:pt>
                <c:pt idx="4">
                  <c:v>1.5926145301375001</c:v>
                </c:pt>
                <c:pt idx="5">
                  <c:v>2.00865086789375</c:v>
                </c:pt>
                <c:pt idx="6">
                  <c:v>2.4246872056499997</c:v>
                </c:pt>
                <c:pt idx="7">
                  <c:v>2.8123607525437504</c:v>
                </c:pt>
                <c:pt idx="8">
                  <c:v>3.2000342994375002</c:v>
                </c:pt>
                <c:pt idx="9">
                  <c:v>3.5593460385562503</c:v>
                </c:pt>
                <c:pt idx="10">
                  <c:v>3.918657777675</c:v>
                </c:pt>
              </c:numCache>
            </c:numRef>
          </c:val>
          <c:smooth val="0"/>
        </c:ser>
        <c:ser>
          <c:idx val="1"/>
          <c:order val="1"/>
          <c:tx>
            <c:strRef>
              <c:f>'Population&amp;Demand Projections'!$C$53</c:f>
              <c:strCache>
                <c:ptCount val="1"/>
              </c:strCache>
            </c:strRef>
          </c:tx>
          <c:spPr>
            <a:ln w="25400">
              <a:solidFill>
                <a:srgbClr val="993300"/>
              </a:solidFill>
              <a:prstDash val="solid"/>
            </a:ln>
          </c:spPr>
          <c:marker>
            <c:symbol val="none"/>
          </c:marker>
          <c:cat>
            <c:numRef>
              <c:f>'Population&amp;Demand Projections'!$D$15:$N$15</c:f>
              <c:numCache>
                <c:formatCode>General</c:formatCode>
                <c:ptCount val="11"/>
                <c:pt idx="0">
                  <c:v>2010</c:v>
                </c:pt>
                <c:pt idx="1">
                  <c:v>2015</c:v>
                </c:pt>
                <c:pt idx="2">
                  <c:v>2020</c:v>
                </c:pt>
                <c:pt idx="3">
                  <c:v>2025</c:v>
                </c:pt>
                <c:pt idx="4">
                  <c:v>2030</c:v>
                </c:pt>
                <c:pt idx="5">
                  <c:v>2035</c:v>
                </c:pt>
                <c:pt idx="6">
                  <c:v>2040</c:v>
                </c:pt>
                <c:pt idx="7">
                  <c:v>2045</c:v>
                </c:pt>
                <c:pt idx="8">
                  <c:v>2050</c:v>
                </c:pt>
                <c:pt idx="9">
                  <c:v>2055</c:v>
                </c:pt>
                <c:pt idx="10">
                  <c:v>2060</c:v>
                </c:pt>
              </c:numCache>
            </c:numRef>
          </c:cat>
          <c:val>
            <c:numRef>
              <c:f>'Population&amp;Demand Projections'!$D$53:$N$53</c:f>
              <c:numCache>
                <c:formatCode>0.000</c:formatCode>
                <c:ptCount val="11"/>
                <c:pt idx="0">
                  <c:v>2.4172814425000001E-2</c:v>
                </c:pt>
                <c:pt idx="1">
                  <c:v>0.36399799978750003</c:v>
                </c:pt>
                <c:pt idx="2">
                  <c:v>0.70382318514999997</c:v>
                </c:pt>
                <c:pt idx="3">
                  <c:v>1.14821885764375</c:v>
                </c:pt>
                <c:pt idx="4">
                  <c:v>1.5926145301375001</c:v>
                </c:pt>
                <c:pt idx="5">
                  <c:v>2.00865086789375</c:v>
                </c:pt>
                <c:pt idx="6">
                  <c:v>2.4246872056499997</c:v>
                </c:pt>
                <c:pt idx="7">
                  <c:v>2.8123607525437504</c:v>
                </c:pt>
                <c:pt idx="8">
                  <c:v>3.2000342994375002</c:v>
                </c:pt>
                <c:pt idx="9">
                  <c:v>3.5593460385562503</c:v>
                </c:pt>
                <c:pt idx="10">
                  <c:v>3.918657777675</c:v>
                </c:pt>
              </c:numCache>
            </c:numRef>
          </c:val>
          <c:smooth val="0"/>
        </c:ser>
        <c:dLbls>
          <c:showLegendKey val="0"/>
          <c:showVal val="0"/>
          <c:showCatName val="0"/>
          <c:showSerName val="0"/>
          <c:showPercent val="0"/>
          <c:showBubbleSize val="0"/>
        </c:dLbls>
        <c:marker val="1"/>
        <c:smooth val="0"/>
        <c:axId val="139222016"/>
        <c:axId val="139252864"/>
      </c:lineChart>
      <c:catAx>
        <c:axId val="139222016"/>
        <c:scaling>
          <c:orientation val="minMax"/>
        </c:scaling>
        <c:delete val="0"/>
        <c:axPos val="b"/>
        <c:title>
          <c:tx>
            <c:rich>
              <a:bodyPr/>
              <a:lstStyle/>
              <a:p>
                <a:pPr>
                  <a:defRPr sz="1025" b="1" i="0" u="none" strike="noStrike" baseline="0">
                    <a:solidFill>
                      <a:srgbClr val="000000"/>
                    </a:solidFill>
                    <a:latin typeface="Arial"/>
                    <a:ea typeface="Arial"/>
                    <a:cs typeface="Arial"/>
                  </a:defRPr>
                </a:pPr>
                <a:r>
                  <a:rPr lang="en-US"/>
                  <a:t>Year</a:t>
                </a:r>
              </a:p>
            </c:rich>
          </c:tx>
          <c:layout>
            <c:manualLayout>
              <c:xMode val="edge"/>
              <c:yMode val="edge"/>
              <c:x val="0.51480999223336865"/>
              <c:y val="0.8778768278965131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139252864"/>
        <c:crosses val="autoZero"/>
        <c:auto val="1"/>
        <c:lblAlgn val="ctr"/>
        <c:lblOffset val="100"/>
        <c:tickLblSkip val="1"/>
        <c:tickMarkSkip val="1"/>
        <c:noMultiLvlLbl val="0"/>
      </c:catAx>
      <c:valAx>
        <c:axId val="139252864"/>
        <c:scaling>
          <c:orientation val="minMax"/>
        </c:scaling>
        <c:delete val="0"/>
        <c:axPos val="l"/>
        <c:majorGridlines>
          <c:spPr>
            <a:ln w="3175">
              <a:solidFill>
                <a:srgbClr val="000000"/>
              </a:solidFill>
              <a:prstDash val="solid"/>
            </a:ln>
          </c:spPr>
        </c:majorGridlines>
        <c:title>
          <c:tx>
            <c:rich>
              <a:bodyPr/>
              <a:lstStyle/>
              <a:p>
                <a:pPr>
                  <a:defRPr sz="1025" b="1" i="0" u="none" strike="noStrike" baseline="0">
                    <a:solidFill>
                      <a:srgbClr val="000000"/>
                    </a:solidFill>
                    <a:latin typeface="Arial"/>
                    <a:ea typeface="Arial"/>
                    <a:cs typeface="Arial"/>
                  </a:defRPr>
                </a:pPr>
                <a:r>
                  <a:rPr lang="en-US"/>
                  <a:t>Million Gallons per Day</a:t>
                </a:r>
              </a:p>
            </c:rich>
          </c:tx>
          <c:layout>
            <c:manualLayout>
              <c:xMode val="edge"/>
              <c:yMode val="edge"/>
              <c:x val="2.2567083967025534E-2"/>
              <c:y val="0.33451381077365339"/>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1025" b="1" i="0" u="none" strike="noStrike" baseline="0">
                <a:solidFill>
                  <a:srgbClr val="000000"/>
                </a:solidFill>
                <a:latin typeface="Arial"/>
                <a:ea typeface="Arial"/>
                <a:cs typeface="Arial"/>
              </a:defRPr>
            </a:pPr>
            <a:endParaRPr lang="en-US"/>
          </a:p>
        </c:txPr>
        <c:crossAx val="139222016"/>
        <c:crosses val="autoZero"/>
        <c:crossBetween val="between"/>
      </c:valAx>
      <c:spPr>
        <a:gradFill>
          <a:gsLst>
            <a:gs pos="0">
              <a:srgbClr val="5E9EFF"/>
            </a:gs>
            <a:gs pos="32000">
              <a:srgbClr val="85C2FF"/>
            </a:gs>
            <a:gs pos="64000">
              <a:srgbClr val="C4D6EB"/>
            </a:gs>
            <a:gs pos="100000">
              <a:srgbClr val="FFEBFA"/>
            </a:gs>
          </a:gsLst>
          <a:lin ang="5400000" scaled="0"/>
        </a:gradFill>
        <a:ln w="12700">
          <a:solidFill>
            <a:srgbClr val="808080"/>
          </a:solidFill>
          <a:prstDash val="solid"/>
        </a:ln>
      </c:spPr>
    </c:plotArea>
    <c:plotVisOnly val="1"/>
    <c:dispBlanksAs val="gap"/>
    <c:showDLblsOverMax val="0"/>
  </c:chart>
  <c:spPr>
    <a:gradFill>
      <a:gsLst>
        <a:gs pos="0">
          <a:srgbClr val="5E9EFF"/>
        </a:gs>
        <a:gs pos="32000">
          <a:srgbClr val="85C2FF"/>
        </a:gs>
        <a:gs pos="64000">
          <a:srgbClr val="C4D6EB"/>
        </a:gs>
        <a:gs pos="100000">
          <a:srgbClr val="FFEBFA"/>
        </a:gs>
      </a:gsLst>
      <a:lin ang="5400000" scaled="0"/>
    </a:gradFill>
    <a:ln w="3175">
      <a:solidFill>
        <a:srgbClr val="000000"/>
      </a:solidFill>
      <a:prstDash val="solid"/>
    </a:ln>
  </c:spPr>
  <c:txPr>
    <a:bodyPr/>
    <a:lstStyle/>
    <a:p>
      <a:pPr>
        <a:defRPr sz="1025"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28575</xdr:colOff>
      <xdr:row>12</xdr:row>
      <xdr:rowOff>133350</xdr:rowOff>
    </xdr:from>
    <xdr:to>
      <xdr:col>10</xdr:col>
      <xdr:colOff>241935</xdr:colOff>
      <xdr:row>32</xdr:row>
      <xdr:rowOff>85725</xdr:rowOff>
    </xdr:to>
    <xdr:graphicFrame macro="">
      <xdr:nvGraphicFramePr>
        <xdr:cNvPr id="2"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13</xdr:row>
      <xdr:rowOff>0</xdr:rowOff>
    </xdr:from>
    <xdr:to>
      <xdr:col>21</xdr:col>
      <xdr:colOff>213360</xdr:colOff>
      <xdr:row>32</xdr:row>
      <xdr:rowOff>114300</xdr:rowOff>
    </xdr:to>
    <xdr:graphicFrame macro="">
      <xdr:nvGraphicFramePr>
        <xdr:cNvPr id="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71</xdr:row>
      <xdr:rowOff>23811</xdr:rowOff>
    </xdr:from>
    <xdr:to>
      <xdr:col>7</xdr:col>
      <xdr:colOff>981075</xdr:colOff>
      <xdr:row>89</xdr:row>
      <xdr:rowOff>123824</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47</xdr:row>
      <xdr:rowOff>57978</xdr:rowOff>
    </xdr:from>
    <xdr:to>
      <xdr:col>8</xdr:col>
      <xdr:colOff>853107</xdr:colOff>
      <xdr:row>63</xdr:row>
      <xdr:rowOff>140803</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98</xdr:row>
      <xdr:rowOff>0</xdr:rowOff>
    </xdr:from>
    <xdr:to>
      <xdr:col>7</xdr:col>
      <xdr:colOff>981075</xdr:colOff>
      <xdr:row>116</xdr:row>
      <xdr:rowOff>100013</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118</xdr:row>
      <xdr:rowOff>0</xdr:rowOff>
    </xdr:from>
    <xdr:to>
      <xdr:col>8</xdr:col>
      <xdr:colOff>853107</xdr:colOff>
      <xdr:row>134</xdr:row>
      <xdr:rowOff>82825</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0.78663</cdr:x>
      <cdr:y>0.09317</cdr:y>
    </cdr:from>
    <cdr:to>
      <cdr:x>0.96628</cdr:x>
      <cdr:y>0.14618</cdr:y>
    </cdr:to>
    <cdr:sp macro="" textlink="">
      <cdr:nvSpPr>
        <cdr:cNvPr id="2" name="TextBox 1"/>
        <cdr:cNvSpPr txBox="1"/>
      </cdr:nvSpPr>
      <cdr:spPr>
        <a:xfrm xmlns:a="http://schemas.openxmlformats.org/drawingml/2006/main">
          <a:off x="3956107" y="298167"/>
          <a:ext cx="903514" cy="169652"/>
        </a:xfrm>
        <a:prstGeom xmlns:a="http://schemas.openxmlformats.org/drawingml/2006/main" prst="rect">
          <a:avLst/>
        </a:prstGeom>
        <a:gradFill xmlns:a="http://schemas.openxmlformats.org/drawingml/2006/main" flip="none" rotWithShape="1">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1"/>
          <a:tileRect/>
        </a:gradFill>
      </cdr:spPr>
      <cdr:txBody>
        <a:bodyPr xmlns:a="http://schemas.openxmlformats.org/drawingml/2006/main" vertOverflow="clip" wrap="square" lIns="45720" rIns="45720" rtlCol="0" anchor="ctr">
          <a:noAutofit/>
        </a:bodyPr>
        <a:lstStyle xmlns:a="http://schemas.openxmlformats.org/drawingml/2006/main"/>
        <a:p xmlns:a="http://schemas.openxmlformats.org/drawingml/2006/main">
          <a:pPr algn="ctr"/>
          <a:r>
            <a:rPr lang="en-US" sz="1400" b="1" u="sng">
              <a:solidFill>
                <a:srgbClr val="002060"/>
              </a:solidFill>
              <a:latin typeface="Tw Cen MT Condensed" panose="020B0606020104020203" pitchFamily="34" charset="0"/>
            </a:rPr>
            <a:t>Sector</a:t>
          </a:r>
        </a:p>
      </cdr:txBody>
    </cdr:sp>
  </cdr:relSizeAnchor>
</c:userShapes>
</file>

<file path=xl/drawings/drawing3.xml><?xml version="1.0" encoding="utf-8"?>
<c:userShapes xmlns:c="http://schemas.openxmlformats.org/drawingml/2006/chart">
  <cdr:relSizeAnchor xmlns:cdr="http://schemas.openxmlformats.org/drawingml/2006/chartDrawing">
    <cdr:from>
      <cdr:x>0.78663</cdr:x>
      <cdr:y>0.09317</cdr:y>
    </cdr:from>
    <cdr:to>
      <cdr:x>0.96628</cdr:x>
      <cdr:y>0.14618</cdr:y>
    </cdr:to>
    <cdr:sp macro="" textlink="">
      <cdr:nvSpPr>
        <cdr:cNvPr id="2" name="TextBox 1"/>
        <cdr:cNvSpPr txBox="1"/>
      </cdr:nvSpPr>
      <cdr:spPr>
        <a:xfrm xmlns:a="http://schemas.openxmlformats.org/drawingml/2006/main">
          <a:off x="3956107" y="298167"/>
          <a:ext cx="903514" cy="169652"/>
        </a:xfrm>
        <a:prstGeom xmlns:a="http://schemas.openxmlformats.org/drawingml/2006/main" prst="rect">
          <a:avLst/>
        </a:prstGeom>
        <a:gradFill xmlns:a="http://schemas.openxmlformats.org/drawingml/2006/main" flip="none" rotWithShape="1">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1"/>
          <a:tileRect/>
        </a:gradFill>
      </cdr:spPr>
      <cdr:txBody>
        <a:bodyPr xmlns:a="http://schemas.openxmlformats.org/drawingml/2006/main" vertOverflow="clip" wrap="square" lIns="45720" rIns="45720" rtlCol="0" anchor="ctr">
          <a:noAutofit/>
        </a:bodyPr>
        <a:lstStyle xmlns:a="http://schemas.openxmlformats.org/drawingml/2006/main"/>
        <a:p xmlns:a="http://schemas.openxmlformats.org/drawingml/2006/main">
          <a:pPr algn="ctr"/>
          <a:r>
            <a:rPr lang="en-US" sz="1400" b="1" u="sng">
              <a:solidFill>
                <a:srgbClr val="002060"/>
              </a:solidFill>
              <a:latin typeface="Tw Cen MT Condensed" panose="020B0606020104020203" pitchFamily="34" charset="0"/>
            </a:rPr>
            <a:t>Sector</a:t>
          </a: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19050</xdr:colOff>
      <xdr:row>56</xdr:row>
      <xdr:rowOff>38100</xdr:rowOff>
    </xdr:from>
    <xdr:to>
      <xdr:col>7</xdr:col>
      <xdr:colOff>809625</xdr:colOff>
      <xdr:row>72</xdr:row>
      <xdr:rowOff>38100</xdr:rowOff>
    </xdr:to>
    <xdr:graphicFrame macro="">
      <xdr:nvGraphicFramePr>
        <xdr:cNvPr id="110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portal.ncdenr.org/web/wq/ps/csu/classifications" TargetMode="External"/><Relationship Id="rId1" Type="http://schemas.openxmlformats.org/officeDocument/2006/relationships/hyperlink" Target="http://www.ncwater.org/water_supply_planning/local_water_supply_plan/docs/river_basin_map.pdf"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portal.ncdenr.org/web/wq/ps/csu/classifications" TargetMode="External"/><Relationship Id="rId1" Type="http://schemas.openxmlformats.org/officeDocument/2006/relationships/hyperlink" Target="http://www.ncwater.org/water_supply_planning/local_water_supply_plan/docs/river_basin_map.pdf"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klindley@orangecountync.gov" TargetMode="Externa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14999847407452621"/>
  </sheetPr>
  <dimension ref="A1:B44"/>
  <sheetViews>
    <sheetView topLeftCell="A28" workbookViewId="0">
      <selection activeCell="B2" sqref="B2"/>
    </sheetView>
  </sheetViews>
  <sheetFormatPr defaultRowHeight="12.75" x14ac:dyDescent="0.2"/>
  <cols>
    <col min="1" max="1" width="35.42578125" customWidth="1"/>
    <col min="2" max="2" width="79.28515625" customWidth="1"/>
  </cols>
  <sheetData>
    <row r="1" spans="1:2" x14ac:dyDescent="0.2">
      <c r="A1" s="202" t="s">
        <v>423</v>
      </c>
      <c r="B1" s="202" t="s">
        <v>424</v>
      </c>
    </row>
    <row r="3" spans="1:2" x14ac:dyDescent="0.2">
      <c r="A3" s="202" t="s">
        <v>243</v>
      </c>
    </row>
    <row r="4" spans="1:2" x14ac:dyDescent="0.2">
      <c r="A4" s="332" t="s">
        <v>244</v>
      </c>
      <c r="B4" s="202" t="s">
        <v>410</v>
      </c>
    </row>
    <row r="5" spans="1:2" ht="38.25" x14ac:dyDescent="0.2">
      <c r="A5" s="303" t="s">
        <v>245</v>
      </c>
      <c r="B5" s="203" t="s">
        <v>246</v>
      </c>
    </row>
    <row r="6" spans="1:2" ht="25.5" x14ac:dyDescent="0.2">
      <c r="A6" s="302" t="s">
        <v>247</v>
      </c>
      <c r="B6" s="203" t="s">
        <v>248</v>
      </c>
    </row>
    <row r="7" spans="1:2" x14ac:dyDescent="0.2">
      <c r="A7" s="202"/>
      <c r="B7" s="203"/>
    </row>
    <row r="8" spans="1:2" x14ac:dyDescent="0.2">
      <c r="A8" s="154" t="s">
        <v>267</v>
      </c>
      <c r="B8" s="129"/>
    </row>
    <row r="9" spans="1:2" ht="38.25" x14ac:dyDescent="0.2">
      <c r="A9" s="304" t="s">
        <v>249</v>
      </c>
      <c r="B9" s="203" t="s">
        <v>250</v>
      </c>
    </row>
    <row r="10" spans="1:2" ht="25.5" x14ac:dyDescent="0.2">
      <c r="A10" s="305" t="s">
        <v>251</v>
      </c>
      <c r="B10" s="203" t="s">
        <v>252</v>
      </c>
    </row>
    <row r="11" spans="1:2" x14ac:dyDescent="0.2">
      <c r="A11" s="306" t="s">
        <v>253</v>
      </c>
      <c r="B11" s="203" t="s">
        <v>254</v>
      </c>
    </row>
    <row r="12" spans="1:2" x14ac:dyDescent="0.2">
      <c r="B12" s="129"/>
    </row>
    <row r="13" spans="1:2" x14ac:dyDescent="0.2">
      <c r="A13" s="154" t="s">
        <v>255</v>
      </c>
      <c r="B13" s="129"/>
    </row>
    <row r="14" spans="1:2" x14ac:dyDescent="0.2">
      <c r="A14" s="222" t="s">
        <v>380</v>
      </c>
      <c r="B14" s="203" t="s">
        <v>378</v>
      </c>
    </row>
    <row r="15" spans="1:2" x14ac:dyDescent="0.2">
      <c r="A15" s="215" t="s">
        <v>256</v>
      </c>
      <c r="B15" s="203" t="s">
        <v>379</v>
      </c>
    </row>
    <row r="16" spans="1:2" x14ac:dyDescent="0.2">
      <c r="B16" s="129"/>
    </row>
    <row r="17" spans="1:2" x14ac:dyDescent="0.2">
      <c r="A17" s="221" t="s">
        <v>257</v>
      </c>
      <c r="B17" s="203" t="s">
        <v>264</v>
      </c>
    </row>
    <row r="18" spans="1:2" x14ac:dyDescent="0.2">
      <c r="A18" s="217" t="s">
        <v>258</v>
      </c>
      <c r="B18" s="203" t="s">
        <v>266</v>
      </c>
    </row>
    <row r="19" spans="1:2" x14ac:dyDescent="0.2">
      <c r="A19" s="219" t="s">
        <v>259</v>
      </c>
      <c r="B19" s="203" t="s">
        <v>265</v>
      </c>
    </row>
    <row r="20" spans="1:2" x14ac:dyDescent="0.2">
      <c r="A20" s="220" t="s">
        <v>260</v>
      </c>
      <c r="B20" s="203" t="s">
        <v>265</v>
      </c>
    </row>
    <row r="21" spans="1:2" x14ac:dyDescent="0.2">
      <c r="A21" s="218" t="s">
        <v>261</v>
      </c>
      <c r="B21" s="203" t="s">
        <v>265</v>
      </c>
    </row>
    <row r="22" spans="1:2" x14ac:dyDescent="0.2">
      <c r="A22" s="216" t="s">
        <v>262</v>
      </c>
      <c r="B22" s="203" t="s">
        <v>265</v>
      </c>
    </row>
    <row r="23" spans="1:2" x14ac:dyDescent="0.2">
      <c r="B23" s="129"/>
    </row>
    <row r="24" spans="1:2" x14ac:dyDescent="0.2">
      <c r="B24" s="129"/>
    </row>
    <row r="25" spans="1:2" x14ac:dyDescent="0.2">
      <c r="A25" s="215" t="s">
        <v>263</v>
      </c>
      <c r="B25" s="203" t="s">
        <v>409</v>
      </c>
    </row>
    <row r="31" spans="1:2" x14ac:dyDescent="0.2">
      <c r="A31" s="328" t="s">
        <v>271</v>
      </c>
    </row>
    <row r="32" spans="1:2" ht="25.5" x14ac:dyDescent="0.2">
      <c r="A32" s="299" t="s">
        <v>411</v>
      </c>
      <c r="B32" s="329" t="s">
        <v>412</v>
      </c>
    </row>
    <row r="33" spans="1:2" ht="25.5" x14ac:dyDescent="0.2">
      <c r="A33" s="329" t="s">
        <v>382</v>
      </c>
      <c r="B33" s="329" t="s">
        <v>381</v>
      </c>
    </row>
    <row r="36" spans="1:2" x14ac:dyDescent="0.2">
      <c r="A36" s="328" t="s">
        <v>364</v>
      </c>
    </row>
    <row r="37" spans="1:2" x14ac:dyDescent="0.2">
      <c r="A37" s="299" t="s">
        <v>366</v>
      </c>
      <c r="B37" s="299" t="s">
        <v>365</v>
      </c>
    </row>
    <row r="38" spans="1:2" x14ac:dyDescent="0.2">
      <c r="A38" s="299" t="s">
        <v>367</v>
      </c>
      <c r="B38" s="299" t="s">
        <v>368</v>
      </c>
    </row>
    <row r="39" spans="1:2" ht="38.25" x14ac:dyDescent="0.2">
      <c r="A39" s="329" t="s">
        <v>369</v>
      </c>
      <c r="B39" s="329" t="s">
        <v>370</v>
      </c>
    </row>
    <row r="40" spans="1:2" ht="38.25" x14ac:dyDescent="0.2">
      <c r="A40" s="299" t="s">
        <v>372</v>
      </c>
      <c r="B40" s="329" t="s">
        <v>373</v>
      </c>
    </row>
    <row r="41" spans="1:2" ht="38.25" x14ac:dyDescent="0.2">
      <c r="A41" s="299" t="s">
        <v>371</v>
      </c>
      <c r="B41" s="329" t="s">
        <v>408</v>
      </c>
    </row>
    <row r="42" spans="1:2" ht="25.5" x14ac:dyDescent="0.2">
      <c r="A42" s="299" t="s">
        <v>374</v>
      </c>
      <c r="B42" s="329" t="s">
        <v>375</v>
      </c>
    </row>
    <row r="43" spans="1:2" x14ac:dyDescent="0.2">
      <c r="A43" s="299" t="s">
        <v>414</v>
      </c>
      <c r="B43" s="329" t="s">
        <v>376</v>
      </c>
    </row>
    <row r="44" spans="1:2" ht="25.5" x14ac:dyDescent="0.2">
      <c r="A44" s="299" t="s">
        <v>413</v>
      </c>
      <c r="B44" s="329" t="s">
        <v>377</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39997558519241921"/>
  </sheetPr>
  <dimension ref="A1:O31"/>
  <sheetViews>
    <sheetView workbookViewId="0">
      <selection activeCell="G24" sqref="G24"/>
    </sheetView>
  </sheetViews>
  <sheetFormatPr defaultRowHeight="12" x14ac:dyDescent="0.2"/>
  <cols>
    <col min="1" max="1" width="4.140625" style="1" customWidth="1"/>
    <col min="2" max="2" width="47.140625" style="1" customWidth="1"/>
    <col min="3" max="13" width="10.7109375" style="1" customWidth="1"/>
    <col min="14" max="16384" width="9.140625" style="1"/>
  </cols>
  <sheetData>
    <row r="1" spans="2:15" ht="12.75" thickBot="1" x14ac:dyDescent="0.25">
      <c r="B1" s="25" t="str">
        <f>'Population&amp;Demand Projections'!C3</f>
        <v>Orange County</v>
      </c>
      <c r="C1" s="1" t="s">
        <v>42</v>
      </c>
    </row>
    <row r="2" spans="2:15" ht="12.75" thickBot="1" x14ac:dyDescent="0.25">
      <c r="B2" s="93">
        <f>'Population&amp;Demand Projections'!$C$4</f>
        <v>41692</v>
      </c>
      <c r="C2" s="311" t="s">
        <v>43</v>
      </c>
    </row>
    <row r="3" spans="2:15" x14ac:dyDescent="0.2">
      <c r="B3" s="312" t="s">
        <v>353</v>
      </c>
      <c r="C3" s="313"/>
      <c r="D3" s="314"/>
      <c r="E3" s="314"/>
      <c r="F3" s="314"/>
      <c r="G3" s="314"/>
      <c r="H3" s="314"/>
      <c r="I3" s="314"/>
      <c r="J3" s="314"/>
      <c r="K3" s="314"/>
      <c r="L3" s="314"/>
      <c r="M3" s="315"/>
    </row>
    <row r="4" spans="2:15" ht="12.75" thickBot="1" x14ac:dyDescent="0.25">
      <c r="B4" s="316" t="s">
        <v>82</v>
      </c>
      <c r="C4" s="317"/>
      <c r="D4" s="317"/>
      <c r="E4" s="317"/>
      <c r="F4" s="317"/>
      <c r="G4" s="317"/>
      <c r="H4" s="317"/>
      <c r="I4" s="317" t="s">
        <v>52</v>
      </c>
      <c r="J4" s="317"/>
      <c r="K4" s="317"/>
      <c r="L4" s="317"/>
      <c r="M4" s="318"/>
    </row>
    <row r="5" spans="2:15" ht="13.5" customHeight="1" x14ac:dyDescent="0.2">
      <c r="B5" s="331" t="s">
        <v>406</v>
      </c>
      <c r="C5" s="9" t="s">
        <v>34</v>
      </c>
      <c r="D5" s="9"/>
      <c r="E5" s="9"/>
      <c r="F5" s="9"/>
      <c r="G5" s="9"/>
      <c r="H5" s="9"/>
      <c r="I5" s="9"/>
      <c r="J5" s="9"/>
      <c r="K5" s="9"/>
      <c r="L5" s="9"/>
      <c r="M5" s="10"/>
    </row>
    <row r="6" spans="2:15" ht="12.75" thickBot="1" x14ac:dyDescent="0.25">
      <c r="B6" s="11"/>
      <c r="C6" s="24">
        <v>2010</v>
      </c>
      <c r="D6" s="12">
        <v>2015</v>
      </c>
      <c r="E6" s="12">
        <v>2020</v>
      </c>
      <c r="F6" s="12">
        <v>2025</v>
      </c>
      <c r="G6" s="12">
        <v>2030</v>
      </c>
      <c r="H6" s="12">
        <v>2035</v>
      </c>
      <c r="I6" s="12">
        <v>2040</v>
      </c>
      <c r="J6" s="12">
        <v>2045</v>
      </c>
      <c r="K6" s="12">
        <v>2050</v>
      </c>
      <c r="L6" s="5">
        <v>2055</v>
      </c>
      <c r="M6" s="12">
        <v>2060</v>
      </c>
    </row>
    <row r="7" spans="2:15" x14ac:dyDescent="0.2">
      <c r="B7" s="79" t="s">
        <v>81</v>
      </c>
      <c r="C7" s="362">
        <f>'Population&amp;Demand Projections'!C116</f>
        <v>-0.22582718557500001</v>
      </c>
      <c r="D7" s="362">
        <f>'Population&amp;Demand Projections'!D116</f>
        <v>0.11399799978750003</v>
      </c>
      <c r="E7" s="362">
        <f>'Population&amp;Demand Projections'!E116</f>
        <v>0.45382318514999997</v>
      </c>
      <c r="F7" s="362">
        <f>'Population&amp;Demand Projections'!F116</f>
        <v>0.89821885764374998</v>
      </c>
      <c r="G7" s="362">
        <f>'Population&amp;Demand Projections'!G116</f>
        <v>1.3426145301375001</v>
      </c>
      <c r="H7" s="362">
        <f>'Population&amp;Demand Projections'!H116</f>
        <v>1.75865086789375</v>
      </c>
      <c r="I7" s="362">
        <f>'Population&amp;Demand Projections'!I116</f>
        <v>2.1746872056499997</v>
      </c>
      <c r="J7" s="362">
        <f>'Population&amp;Demand Projections'!J116</f>
        <v>2.5623607525437504</v>
      </c>
      <c r="K7" s="362">
        <f>'Population&amp;Demand Projections'!K116</f>
        <v>2.9500342994375002</v>
      </c>
      <c r="L7" s="362">
        <f>'Population&amp;Demand Projections'!L116</f>
        <v>3.3093460385562503</v>
      </c>
      <c r="M7" s="362">
        <f>'Population&amp;Demand Projections'!M116</f>
        <v>3.668657777675</v>
      </c>
    </row>
    <row r="8" spans="2:15" x14ac:dyDescent="0.2">
      <c r="B8" s="20" t="str">
        <f>"(2)        Available supply from "&amp;IF(ISNA(VLOOKUP(1,$A$23:$I$29,2,FALSE))," project 1",VLOOKUP(1,$A$23:$I$29,2,FALSE))</f>
        <v>(2)        Available supply from Jordan Lake Allocation</v>
      </c>
      <c r="C8" s="363">
        <f>SUMIFS($G$23:$G$29,$A$23:$A$29,1,$I$23:$I$29,"&lt;="&amp;C6,$I$23:$I$29,"&gt;0")</f>
        <v>0</v>
      </c>
      <c r="D8" s="363">
        <f t="shared" ref="D8:M8" si="0">SUMIFS($G$23:$G$29,$A$23:$A$29,1,$I$23:$I$29,"&lt;="&amp;D6,$I$23:$I$29,"&gt;0")</f>
        <v>2</v>
      </c>
      <c r="E8" s="363">
        <f t="shared" si="0"/>
        <v>2</v>
      </c>
      <c r="F8" s="363">
        <f t="shared" si="0"/>
        <v>2</v>
      </c>
      <c r="G8" s="363">
        <f t="shared" si="0"/>
        <v>2</v>
      </c>
      <c r="H8" s="363">
        <f t="shared" si="0"/>
        <v>2</v>
      </c>
      <c r="I8" s="363">
        <f t="shared" si="0"/>
        <v>2</v>
      </c>
      <c r="J8" s="363">
        <f t="shared" si="0"/>
        <v>2</v>
      </c>
      <c r="K8" s="363">
        <f t="shared" si="0"/>
        <v>2</v>
      </c>
      <c r="L8" s="363">
        <f t="shared" si="0"/>
        <v>2</v>
      </c>
      <c r="M8" s="363">
        <f t="shared" si="0"/>
        <v>2</v>
      </c>
    </row>
    <row r="9" spans="2:15" x14ac:dyDescent="0.2">
      <c r="B9" s="20" t="str">
        <f>"           Available supply from "&amp;IF(ISNA(VLOOKUP(2,$A$23:$I$30,2,FALSE)),"project 2",VLOOKUP(2,$A$23:$I$30,2,FALSE))</f>
        <v xml:space="preserve">           Available supply from Mebane Supply</v>
      </c>
      <c r="C9" s="363">
        <f t="shared" ref="C9:M9" si="1">SUMIFS($G$23:$G$30,$A$23:$A$30,2,$I$23:$I$30,"&lt;="&amp;C$6,$I$23:$I$30,"&gt;0")</f>
        <v>0</v>
      </c>
      <c r="D9" s="363">
        <f t="shared" si="1"/>
        <v>2</v>
      </c>
      <c r="E9" s="363">
        <f t="shared" si="1"/>
        <v>2</v>
      </c>
      <c r="F9" s="363">
        <f t="shared" si="1"/>
        <v>2</v>
      </c>
      <c r="G9" s="363">
        <f t="shared" si="1"/>
        <v>2</v>
      </c>
      <c r="H9" s="363">
        <f t="shared" si="1"/>
        <v>2</v>
      </c>
      <c r="I9" s="363">
        <f t="shared" si="1"/>
        <v>2</v>
      </c>
      <c r="J9" s="363">
        <f t="shared" si="1"/>
        <v>2</v>
      </c>
      <c r="K9" s="363">
        <f t="shared" si="1"/>
        <v>2</v>
      </c>
      <c r="L9" s="363">
        <f t="shared" si="1"/>
        <v>2</v>
      </c>
      <c r="M9" s="363">
        <f t="shared" si="1"/>
        <v>2</v>
      </c>
    </row>
    <row r="10" spans="2:15" x14ac:dyDescent="0.2">
      <c r="B10" s="20" t="str">
        <f>"           Available supply from "&amp;IF(ISNA(VLOOKUP(3,$A$23:$I$29,2,FALSE)),"project 3",VLOOKUP(3,$A$23:$I$29,2,FALSE))</f>
        <v xml:space="preserve">           Available supply from project 3</v>
      </c>
      <c r="C10" s="363">
        <f>SUMIFS($G$23:$G$29,$A$23:$A$29,3,$I$23:$I$29,"&lt;="&amp;C$6,$I$23:$I$29,"&gt;0")</f>
        <v>0</v>
      </c>
      <c r="D10" s="363">
        <f t="shared" ref="D10:M10" si="2">SUMIFS($G$23:$G$29,$A$23:$A$29,3,$I$23:$I$29,"&lt;="&amp;D$6,$I$23:$I$29,"&gt;0")</f>
        <v>0</v>
      </c>
      <c r="E10" s="363">
        <f t="shared" si="2"/>
        <v>0</v>
      </c>
      <c r="F10" s="363">
        <f t="shared" si="2"/>
        <v>0</v>
      </c>
      <c r="G10" s="363">
        <f t="shared" si="2"/>
        <v>0</v>
      </c>
      <c r="H10" s="363">
        <f t="shared" si="2"/>
        <v>0</v>
      </c>
      <c r="I10" s="363">
        <f t="shared" si="2"/>
        <v>0</v>
      </c>
      <c r="J10" s="363">
        <f t="shared" si="2"/>
        <v>0</v>
      </c>
      <c r="K10" s="363">
        <f t="shared" si="2"/>
        <v>0</v>
      </c>
      <c r="L10" s="363">
        <f t="shared" si="2"/>
        <v>0</v>
      </c>
      <c r="M10" s="363">
        <f t="shared" si="2"/>
        <v>0</v>
      </c>
      <c r="O10" s="1" t="s">
        <v>445</v>
      </c>
    </row>
    <row r="11" spans="2:15" s="2" customFormat="1" x14ac:dyDescent="0.2">
      <c r="B11" s="4" t="s">
        <v>87</v>
      </c>
      <c r="C11" s="364">
        <f>SUM(C8:C10)-C7</f>
        <v>0.22582718557500001</v>
      </c>
      <c r="D11" s="364">
        <f t="shared" ref="D11:M11" si="3">SUM(D8:D10)-D7</f>
        <v>3.8860020002124998</v>
      </c>
      <c r="E11" s="364">
        <f t="shared" si="3"/>
        <v>3.5461768148499999</v>
      </c>
      <c r="F11" s="364">
        <f t="shared" si="3"/>
        <v>3.1017811423562502</v>
      </c>
      <c r="G11" s="364">
        <f t="shared" si="3"/>
        <v>2.6573854698624997</v>
      </c>
      <c r="H11" s="364">
        <f t="shared" si="3"/>
        <v>2.24134913210625</v>
      </c>
      <c r="I11" s="364">
        <f t="shared" si="3"/>
        <v>1.8253127943500003</v>
      </c>
      <c r="J11" s="364">
        <f t="shared" si="3"/>
        <v>1.4376392474562496</v>
      </c>
      <c r="K11" s="364">
        <f t="shared" si="3"/>
        <v>1.0499657005624998</v>
      </c>
      <c r="L11" s="364">
        <f t="shared" si="3"/>
        <v>0.69065396144374969</v>
      </c>
      <c r="M11" s="364">
        <f t="shared" si="3"/>
        <v>0.33134222232499999</v>
      </c>
    </row>
    <row r="12" spans="2:15" x14ac:dyDescent="0.2">
      <c r="B12" s="3"/>
      <c r="C12" s="22"/>
      <c r="D12" s="22"/>
      <c r="E12" s="22"/>
      <c r="F12" s="22"/>
      <c r="G12" s="22"/>
      <c r="H12" s="22"/>
      <c r="I12" s="22"/>
      <c r="J12" s="22"/>
      <c r="K12" s="22"/>
      <c r="L12" s="22"/>
      <c r="M12" s="23"/>
    </row>
    <row r="13" spans="2:15" x14ac:dyDescent="0.2">
      <c r="B13" s="20" t="s">
        <v>86</v>
      </c>
      <c r="C13" s="7"/>
      <c r="D13" s="7">
        <f>E13/2</f>
        <v>0.20480000000000001</v>
      </c>
      <c r="E13" s="7">
        <f>0.347+0.155-E14</f>
        <v>0.40960000000000002</v>
      </c>
      <c r="F13" s="7">
        <f>AVERAGE(E13,G13)</f>
        <v>0.65920000000000001</v>
      </c>
      <c r="G13" s="7">
        <f>0.785+0.351-G14</f>
        <v>0.90880000000000005</v>
      </c>
      <c r="H13" s="7">
        <f>AVERAGE(G13,I13)</f>
        <v>1.1459999999999999</v>
      </c>
      <c r="I13" s="7">
        <f>1.195+0.534-I14</f>
        <v>1.3832</v>
      </c>
      <c r="J13" s="7">
        <f>AVERAGE(I13,K13)</f>
        <v>1.6044</v>
      </c>
      <c r="K13" s="7">
        <f>1.577+0.705-K14</f>
        <v>1.8256000000000001</v>
      </c>
      <c r="L13" s="7">
        <f>AVERAGE(K13,M13)</f>
        <v>2.0308000000000002</v>
      </c>
      <c r="M13" s="7">
        <f>1.931+0.864-M14</f>
        <v>2.2359999999999998</v>
      </c>
      <c r="O13" s="1" t="s">
        <v>407</v>
      </c>
    </row>
    <row r="14" spans="2:15" x14ac:dyDescent="0.2">
      <c r="B14" s="20" t="s">
        <v>85</v>
      </c>
      <c r="C14" s="7"/>
      <c r="D14" s="7">
        <f t="shared" ref="D14:D16" si="4">E14/2</f>
        <v>4.6199999999999998E-2</v>
      </c>
      <c r="E14" s="7">
        <f>(0.347+0.115)*0.2</f>
        <v>9.2399999999999996E-2</v>
      </c>
      <c r="F14" s="7">
        <f>AVERAGE(E14,G14)</f>
        <v>0.15980000000000003</v>
      </c>
      <c r="G14" s="7">
        <f>(0.785+0.351)*0.2</f>
        <v>0.22720000000000004</v>
      </c>
      <c r="H14" s="7">
        <f>AVERAGE(G14,I14)</f>
        <v>0.28650000000000003</v>
      </c>
      <c r="I14" s="7">
        <f>(1.195+0.534)*0.2</f>
        <v>0.34580000000000005</v>
      </c>
      <c r="J14" s="7">
        <f>AVERAGE(I14,K14)</f>
        <v>0.40110000000000001</v>
      </c>
      <c r="K14" s="7">
        <f>(1.577+0.705)*0.2</f>
        <v>0.45640000000000003</v>
      </c>
      <c r="L14" s="7">
        <f>AVERAGE(K14,M14)</f>
        <v>0.50770000000000004</v>
      </c>
      <c r="M14" s="7">
        <f>(1.931+0.864)*0.2</f>
        <v>0.55900000000000005</v>
      </c>
    </row>
    <row r="15" spans="2:15" x14ac:dyDescent="0.2">
      <c r="B15" s="20" t="s">
        <v>84</v>
      </c>
      <c r="C15" s="7"/>
      <c r="D15" s="7">
        <f t="shared" si="4"/>
        <v>8.0800000000000011E-2</v>
      </c>
      <c r="E15" s="7">
        <f>0.202-E16</f>
        <v>0.16160000000000002</v>
      </c>
      <c r="F15" s="7">
        <f t="shared" ref="F15:H16" si="5">AVERAGE(E15,G15)</f>
        <v>0.26360000000000006</v>
      </c>
      <c r="G15" s="7">
        <f>0.457-G16</f>
        <v>0.36560000000000004</v>
      </c>
      <c r="H15" s="7">
        <f t="shared" si="5"/>
        <v>0.4607</v>
      </c>
      <c r="I15" s="7">
        <f>0.695-I16</f>
        <v>0.55579999999999996</v>
      </c>
      <c r="J15" s="7">
        <f t="shared" ref="J15" si="6">AVERAGE(I15,K15)</f>
        <v>0.64510000000000001</v>
      </c>
      <c r="K15" s="7">
        <f>0.918-K16</f>
        <v>0.73440000000000005</v>
      </c>
      <c r="L15" s="7">
        <f t="shared" ref="L15" si="7">AVERAGE(K15,M15)</f>
        <v>0.81680000000000008</v>
      </c>
      <c r="M15" s="7">
        <f>1.124-M16</f>
        <v>0.89920000000000011</v>
      </c>
    </row>
    <row r="16" spans="2:15" x14ac:dyDescent="0.2">
      <c r="B16" s="20" t="s">
        <v>83</v>
      </c>
      <c r="C16" s="7"/>
      <c r="D16" s="7">
        <f t="shared" si="4"/>
        <v>2.0200000000000003E-2</v>
      </c>
      <c r="E16" s="7">
        <f>0.202*0.2</f>
        <v>4.0400000000000005E-2</v>
      </c>
      <c r="F16" s="7">
        <f t="shared" si="5"/>
        <v>6.5900000000000014E-2</v>
      </c>
      <c r="G16" s="7">
        <f>0.457*0.2</f>
        <v>9.1400000000000009E-2</v>
      </c>
      <c r="H16" s="7">
        <f t="shared" si="5"/>
        <v>0.1153</v>
      </c>
      <c r="I16" s="7">
        <f>0.696*0.2</f>
        <v>0.13919999999999999</v>
      </c>
      <c r="J16" s="7">
        <f t="shared" ref="J16" si="8">AVERAGE(I16,K16)</f>
        <v>0.16139999999999999</v>
      </c>
      <c r="K16" s="7">
        <f>0.918*0.2</f>
        <v>0.18360000000000001</v>
      </c>
      <c r="L16" s="7">
        <f t="shared" ref="L16" si="9">AVERAGE(K16,M16)</f>
        <v>0.20420000000000002</v>
      </c>
      <c r="M16" s="7">
        <f>1.124*0.2</f>
        <v>0.22480000000000003</v>
      </c>
    </row>
    <row r="17" spans="1:13" s="2" customFormat="1" x14ac:dyDescent="0.2">
      <c r="B17" s="4" t="s">
        <v>35</v>
      </c>
      <c r="C17" s="21">
        <f>SUM(C15:C16)</f>
        <v>0</v>
      </c>
      <c r="D17" s="21">
        <f t="shared" ref="D17:M17" si="10">SUM(D15:D16)</f>
        <v>0.10100000000000001</v>
      </c>
      <c r="E17" s="21">
        <f t="shared" si="10"/>
        <v>0.20200000000000001</v>
      </c>
      <c r="F17" s="21">
        <f t="shared" si="10"/>
        <v>0.32950000000000007</v>
      </c>
      <c r="G17" s="21">
        <f t="shared" si="10"/>
        <v>0.45700000000000007</v>
      </c>
      <c r="H17" s="21">
        <f t="shared" si="10"/>
        <v>0.57599999999999996</v>
      </c>
      <c r="I17" s="21">
        <f t="shared" si="10"/>
        <v>0.69499999999999995</v>
      </c>
      <c r="J17" s="21">
        <f t="shared" si="10"/>
        <v>0.80649999999999999</v>
      </c>
      <c r="K17" s="21">
        <f t="shared" si="10"/>
        <v>0.91800000000000004</v>
      </c>
      <c r="L17" s="21">
        <f t="shared" si="10"/>
        <v>1.0210000000000001</v>
      </c>
      <c r="M17" s="21">
        <f t="shared" si="10"/>
        <v>1.1240000000000001</v>
      </c>
    </row>
    <row r="20" spans="1:13" x14ac:dyDescent="0.2">
      <c r="B20" s="13" t="s">
        <v>36</v>
      </c>
      <c r="C20" s="14"/>
      <c r="D20" s="14"/>
      <c r="E20" s="14"/>
      <c r="F20" s="14"/>
      <c r="G20" s="14"/>
      <c r="H20" s="14"/>
      <c r="I20" s="15"/>
    </row>
    <row r="21" spans="1:13" ht="24" x14ac:dyDescent="0.2">
      <c r="B21" s="16" t="s">
        <v>37</v>
      </c>
      <c r="C21" s="17" t="s">
        <v>14</v>
      </c>
      <c r="D21" s="18" t="s">
        <v>15</v>
      </c>
      <c r="E21" s="26" t="s">
        <v>45</v>
      </c>
      <c r="F21" s="18" t="s">
        <v>38</v>
      </c>
      <c r="G21" s="309" t="s">
        <v>39</v>
      </c>
      <c r="H21" s="18" t="s">
        <v>20</v>
      </c>
      <c r="I21" s="309" t="s">
        <v>41</v>
      </c>
    </row>
    <row r="22" spans="1:13" x14ac:dyDescent="0.2">
      <c r="A22" s="308" t="s">
        <v>240</v>
      </c>
      <c r="B22" s="19"/>
      <c r="C22" s="6"/>
      <c r="D22" s="18"/>
      <c r="E22" s="6" t="s">
        <v>44</v>
      </c>
      <c r="F22" s="18" t="s">
        <v>18</v>
      </c>
      <c r="G22" s="310" t="s">
        <v>51</v>
      </c>
      <c r="H22" s="18" t="s">
        <v>40</v>
      </c>
      <c r="I22" s="310" t="s">
        <v>23</v>
      </c>
      <c r="J22" s="1" t="s">
        <v>351</v>
      </c>
    </row>
    <row r="23" spans="1:13" x14ac:dyDescent="0.2">
      <c r="A23" s="307">
        <v>1</v>
      </c>
      <c r="B23" s="7" t="str">
        <f>DataIn!B73</f>
        <v>Jordan Lake Allocation</v>
      </c>
      <c r="C23" s="7" t="str">
        <f>DataIn!$C$2</f>
        <v>N/A</v>
      </c>
      <c r="D23" s="7" t="str">
        <f>DataIn!D73</f>
        <v>SW</v>
      </c>
      <c r="E23" s="7" t="str">
        <f>DataIn!E73</f>
        <v>Haw (2-1)</v>
      </c>
      <c r="F23" s="7" t="str">
        <f>DataIn!F73</f>
        <v>WS IV B NSW CA</v>
      </c>
      <c r="G23" s="7">
        <v>2</v>
      </c>
      <c r="H23" s="7">
        <f>DataIn!G73</f>
        <v>0</v>
      </c>
      <c r="I23" s="7">
        <f>DataIn!H73</f>
        <v>2015</v>
      </c>
    </row>
    <row r="24" spans="1:13" x14ac:dyDescent="0.2">
      <c r="A24" s="307">
        <v>2</v>
      </c>
      <c r="B24" s="7" t="str">
        <f>DataIn!B74</f>
        <v>Mebane Supply</v>
      </c>
      <c r="C24" s="7" t="str">
        <f>DataIn!$C$2</f>
        <v>N/A</v>
      </c>
      <c r="D24" s="7" t="str">
        <f>DataIn!D74</f>
        <v>SW</v>
      </c>
      <c r="E24" s="7" t="str">
        <f>DataIn!E74</f>
        <v>Haw (2-1)</v>
      </c>
      <c r="F24" s="7" t="str">
        <f>DataIn!F74</f>
        <v>WS-II</v>
      </c>
      <c r="G24" s="7">
        <f>DataIn!I74</f>
        <v>2</v>
      </c>
      <c r="H24" s="7">
        <f>DataIn!G74</f>
        <v>0</v>
      </c>
      <c r="I24" s="7">
        <f>DataIn!H74</f>
        <v>2012</v>
      </c>
    </row>
    <row r="25" spans="1:13" x14ac:dyDescent="0.2">
      <c r="A25" s="307"/>
      <c r="B25" s="7">
        <f>DataIn!B75</f>
        <v>0</v>
      </c>
      <c r="C25" s="7" t="str">
        <f>DataIn!$C$2</f>
        <v>N/A</v>
      </c>
      <c r="D25" s="7" t="str">
        <f>DataIn!D75</f>
        <v>SW</v>
      </c>
      <c r="E25" s="7">
        <f>DataIn!E75</f>
        <v>0</v>
      </c>
      <c r="F25" s="7">
        <f>DataIn!F75</f>
        <v>0</v>
      </c>
      <c r="G25" s="7">
        <f>DataIn!I75</f>
        <v>0</v>
      </c>
      <c r="H25" s="7">
        <f>DataIn!G75</f>
        <v>0</v>
      </c>
      <c r="I25" s="7">
        <f>DataIn!H75</f>
        <v>0</v>
      </c>
    </row>
    <row r="26" spans="1:13" x14ac:dyDescent="0.2">
      <c r="A26" s="307"/>
      <c r="B26" s="7">
        <f>DataIn!B76</f>
        <v>0</v>
      </c>
      <c r="C26" s="7" t="str">
        <f>DataIn!$C$2</f>
        <v>N/A</v>
      </c>
      <c r="D26" s="7" t="str">
        <f>DataIn!D76</f>
        <v>SW</v>
      </c>
      <c r="E26" s="7">
        <f>DataIn!E76</f>
        <v>0</v>
      </c>
      <c r="F26" s="7">
        <f>DataIn!F76</f>
        <v>0</v>
      </c>
      <c r="G26" s="7">
        <f>DataIn!I76</f>
        <v>0</v>
      </c>
      <c r="H26" s="7">
        <f>DataIn!G76</f>
        <v>0</v>
      </c>
      <c r="I26" s="7">
        <f>DataIn!H76</f>
        <v>0</v>
      </c>
    </row>
    <row r="27" spans="1:13" x14ac:dyDescent="0.2">
      <c r="A27" s="307"/>
      <c r="B27" s="7">
        <f>DataIn!B77</f>
        <v>0</v>
      </c>
      <c r="C27" s="7" t="str">
        <f>DataIn!$C$2</f>
        <v>N/A</v>
      </c>
      <c r="D27" s="7" t="str">
        <f>DataIn!D77</f>
        <v>SW</v>
      </c>
      <c r="E27" s="7">
        <f>DataIn!E77</f>
        <v>0</v>
      </c>
      <c r="F27" s="7">
        <f>DataIn!F77</f>
        <v>0</v>
      </c>
      <c r="G27" s="7">
        <f>DataIn!I77</f>
        <v>0</v>
      </c>
      <c r="H27" s="7">
        <f>DataIn!G77</f>
        <v>0</v>
      </c>
      <c r="I27" s="7">
        <f>DataIn!H77</f>
        <v>0</v>
      </c>
    </row>
    <row r="28" spans="1:13" x14ac:dyDescent="0.2">
      <c r="A28" s="307"/>
      <c r="B28" s="7">
        <f>DataIn!B78</f>
        <v>0</v>
      </c>
      <c r="C28" s="7" t="str">
        <f>DataIn!$C$2</f>
        <v>N/A</v>
      </c>
      <c r="D28" s="7" t="str">
        <f>DataIn!D78</f>
        <v>SW</v>
      </c>
      <c r="E28" s="7">
        <f>DataIn!E78</f>
        <v>0</v>
      </c>
      <c r="F28" s="7">
        <f>DataIn!F78</f>
        <v>0</v>
      </c>
      <c r="G28" s="7">
        <f>DataIn!I78</f>
        <v>0</v>
      </c>
      <c r="H28" s="7">
        <f>DataIn!G78</f>
        <v>0</v>
      </c>
      <c r="I28" s="7">
        <f>DataIn!H78</f>
        <v>0</v>
      </c>
    </row>
    <row r="29" spans="1:13" x14ac:dyDescent="0.2">
      <c r="A29" s="307"/>
      <c r="B29" s="7">
        <f>DataIn!B79</f>
        <v>0</v>
      </c>
      <c r="C29" s="7" t="str">
        <f>DataIn!$C$2</f>
        <v>N/A</v>
      </c>
      <c r="D29" s="7" t="str">
        <f>DataIn!D79</f>
        <v>SW</v>
      </c>
      <c r="E29" s="7">
        <f>DataIn!E79</f>
        <v>0</v>
      </c>
      <c r="F29" s="7">
        <f>DataIn!F79</f>
        <v>0</v>
      </c>
      <c r="G29" s="7">
        <f>DataIn!I79</f>
        <v>0</v>
      </c>
      <c r="H29" s="7">
        <f>DataIn!G79</f>
        <v>0</v>
      </c>
      <c r="I29" s="7">
        <f>DataIn!H79</f>
        <v>0</v>
      </c>
    </row>
    <row r="30" spans="1:13" x14ac:dyDescent="0.2">
      <c r="A30" s="307"/>
      <c r="B30" s="7">
        <f>DataIn!B80</f>
        <v>0</v>
      </c>
      <c r="C30" s="7" t="str">
        <f>DataIn!$C$2</f>
        <v>N/A</v>
      </c>
      <c r="D30" s="7">
        <f>DataIn!D80</f>
        <v>0</v>
      </c>
      <c r="E30" s="7">
        <f>DataIn!E80</f>
        <v>0</v>
      </c>
      <c r="F30" s="7">
        <f>DataIn!F80</f>
        <v>0</v>
      </c>
      <c r="G30" s="7">
        <v>1.5</v>
      </c>
      <c r="H30" s="7">
        <f>DataIn!G80</f>
        <v>0</v>
      </c>
      <c r="I30" s="7">
        <v>2015</v>
      </c>
    </row>
    <row r="31" spans="1:13" x14ac:dyDescent="0.2">
      <c r="C31" s="1" t="s">
        <v>352</v>
      </c>
    </row>
  </sheetData>
  <phoneticPr fontId="5" type="noConversion"/>
  <conditionalFormatting sqref="B23:I30">
    <cfRule type="expression" dxfId="5" priority="3">
      <formula>VALUE($A23)=0</formula>
    </cfRule>
  </conditionalFormatting>
  <conditionalFormatting sqref="C11:M11">
    <cfRule type="cellIs" dxfId="4" priority="1" operator="lessThan">
      <formula>0</formula>
    </cfRule>
    <cfRule type="cellIs" dxfId="3" priority="2" operator="greaterThan">
      <formula>0</formula>
    </cfRule>
  </conditionalFormatting>
  <pageMargins left="0.75" right="0.75" top="1" bottom="1" header="0.5" footer="0.5"/>
  <pageSetup orientation="portrait" horizontalDpi="300" verticalDpi="300" r:id="rId1"/>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39997558519241921"/>
  </sheetPr>
  <dimension ref="A1:M29"/>
  <sheetViews>
    <sheetView workbookViewId="0">
      <selection activeCell="G24" sqref="G24"/>
    </sheetView>
  </sheetViews>
  <sheetFormatPr defaultRowHeight="12" x14ac:dyDescent="0.2"/>
  <cols>
    <col min="1" max="1" width="4.28515625" style="1" customWidth="1"/>
    <col min="2" max="2" width="47.140625" style="1" customWidth="1"/>
    <col min="3" max="13" width="10.7109375" style="1" customWidth="1"/>
    <col min="14" max="16384" width="9.140625" style="1"/>
  </cols>
  <sheetData>
    <row r="1" spans="2:13" ht="12.75" thickBot="1" x14ac:dyDescent="0.25">
      <c r="B1" s="25" t="str">
        <f>'Population&amp;Demand Projections'!C3</f>
        <v>Orange County</v>
      </c>
      <c r="C1" s="1" t="s">
        <v>42</v>
      </c>
    </row>
    <row r="2" spans="2:13" x14ac:dyDescent="0.2">
      <c r="B2" s="323">
        <f>'Population&amp;Demand Projections'!$C$4</f>
        <v>41692</v>
      </c>
      <c r="C2" s="8" t="s">
        <v>43</v>
      </c>
    </row>
    <row r="3" spans="2:13" x14ac:dyDescent="0.2">
      <c r="B3" s="324" t="s">
        <v>88</v>
      </c>
      <c r="C3" s="319"/>
      <c r="D3" s="319"/>
      <c r="E3" s="319"/>
      <c r="F3" s="319"/>
      <c r="G3" s="319"/>
      <c r="H3" s="319"/>
      <c r="I3" s="319"/>
      <c r="J3" s="319"/>
      <c r="K3" s="319"/>
      <c r="L3" s="319"/>
      <c r="M3" s="320"/>
    </row>
    <row r="4" spans="2:13" ht="12.75" thickBot="1" x14ac:dyDescent="0.25">
      <c r="B4" s="325" t="s">
        <v>82</v>
      </c>
      <c r="C4" s="321"/>
      <c r="D4" s="321"/>
      <c r="E4" s="321"/>
      <c r="F4" s="321"/>
      <c r="G4" s="321"/>
      <c r="H4" s="321"/>
      <c r="I4" s="321" t="s">
        <v>52</v>
      </c>
      <c r="J4" s="321"/>
      <c r="K4" s="321"/>
      <c r="L4" s="321"/>
      <c r="M4" s="322"/>
    </row>
    <row r="5" spans="2:13" ht="13.5" customHeight="1" x14ac:dyDescent="0.2">
      <c r="B5" s="331" t="s">
        <v>406</v>
      </c>
      <c r="C5" s="9" t="s">
        <v>34</v>
      </c>
      <c r="D5" s="9"/>
      <c r="E5" s="9"/>
      <c r="F5" s="9"/>
      <c r="G5" s="9"/>
      <c r="H5" s="9"/>
      <c r="I5" s="9"/>
      <c r="J5" s="9"/>
      <c r="K5" s="9"/>
      <c r="L5" s="9"/>
      <c r="M5" s="10"/>
    </row>
    <row r="6" spans="2:13" ht="12.75" thickBot="1" x14ac:dyDescent="0.25">
      <c r="B6" s="11"/>
      <c r="C6" s="24">
        <v>2010</v>
      </c>
      <c r="D6" s="12">
        <v>2015</v>
      </c>
      <c r="E6" s="12">
        <v>2020</v>
      </c>
      <c r="F6" s="12">
        <v>2025</v>
      </c>
      <c r="G6" s="12">
        <v>2030</v>
      </c>
      <c r="H6" s="12">
        <v>2035</v>
      </c>
      <c r="I6" s="12">
        <v>2040</v>
      </c>
      <c r="J6" s="12">
        <v>2045</v>
      </c>
      <c r="K6" s="12">
        <v>2050</v>
      </c>
      <c r="L6" s="5">
        <v>2055</v>
      </c>
      <c r="M6" s="12">
        <v>2060</v>
      </c>
    </row>
    <row r="7" spans="2:13" x14ac:dyDescent="0.2">
      <c r="B7" s="79" t="s">
        <v>81</v>
      </c>
      <c r="C7" s="362">
        <f>'Population&amp;Demand Projections'!C116</f>
        <v>-0.22582718557500001</v>
      </c>
      <c r="D7" s="362">
        <f>'Population&amp;Demand Projections'!D116</f>
        <v>0.11399799978750003</v>
      </c>
      <c r="E7" s="362">
        <f>'Population&amp;Demand Projections'!E116</f>
        <v>0.45382318514999997</v>
      </c>
      <c r="F7" s="362">
        <f>'Population&amp;Demand Projections'!F116</f>
        <v>0.89821885764374998</v>
      </c>
      <c r="G7" s="362">
        <f>'Population&amp;Demand Projections'!G116</f>
        <v>1.3426145301375001</v>
      </c>
      <c r="H7" s="362">
        <f>'Population&amp;Demand Projections'!H116</f>
        <v>1.75865086789375</v>
      </c>
      <c r="I7" s="362">
        <f>'Population&amp;Demand Projections'!I116</f>
        <v>2.1746872056499997</v>
      </c>
      <c r="J7" s="362">
        <f>'Population&amp;Demand Projections'!J116</f>
        <v>2.5623607525437504</v>
      </c>
      <c r="K7" s="362">
        <f>'Population&amp;Demand Projections'!K116</f>
        <v>2.9500342994375002</v>
      </c>
      <c r="L7" s="362">
        <f>'Population&amp;Demand Projections'!L116</f>
        <v>3.3093460385562503</v>
      </c>
      <c r="M7" s="362">
        <f>'Population&amp;Demand Projections'!M116</f>
        <v>3.668657777675</v>
      </c>
    </row>
    <row r="8" spans="2:13" x14ac:dyDescent="0.2">
      <c r="B8" s="20" t="str">
        <f>"(2)        Available supply from "&amp;IF(ISNA(VLOOKUP(1,$A$23:$I$29,2,FALSE))," project 1",VLOOKUP(1,$A$23:$I$29,2,FALSE))</f>
        <v>(2)        Available supply from Jordan Lake Allocation</v>
      </c>
      <c r="C8" s="363">
        <f>SUMIFS($G$23:$G$29,$A$23:$A$29,1,$I$23:$I$29,"&lt;="&amp;C$6,$I$23:$I$29,"&gt;0")</f>
        <v>0</v>
      </c>
      <c r="D8" s="363">
        <f t="shared" ref="D8:M8" si="0">SUMIFS($G$23:$G$29,$A$23:$A$29,1,$I$23:$I$29,"&lt;="&amp;D$6,$I$23:$I$29,"&gt;0")</f>
        <v>4</v>
      </c>
      <c r="E8" s="363">
        <f t="shared" si="0"/>
        <v>4</v>
      </c>
      <c r="F8" s="363">
        <f t="shared" si="0"/>
        <v>4</v>
      </c>
      <c r="G8" s="363">
        <f t="shared" si="0"/>
        <v>4</v>
      </c>
      <c r="H8" s="363">
        <f t="shared" si="0"/>
        <v>4</v>
      </c>
      <c r="I8" s="363">
        <f t="shared" si="0"/>
        <v>4</v>
      </c>
      <c r="J8" s="363">
        <f t="shared" si="0"/>
        <v>4</v>
      </c>
      <c r="K8" s="363">
        <f t="shared" si="0"/>
        <v>4</v>
      </c>
      <c r="L8" s="363">
        <f t="shared" si="0"/>
        <v>4</v>
      </c>
      <c r="M8" s="363">
        <f t="shared" si="0"/>
        <v>4</v>
      </c>
    </row>
    <row r="9" spans="2:13" x14ac:dyDescent="0.2">
      <c r="B9" s="20" t="str">
        <f>"           Available supply from "&amp;IF(ISNA(VLOOKUP(2,$A$23:$I$29,2,FALSE)),"project 2",VLOOKUP(2,$A$23:$I$29,2,FALSE))</f>
        <v xml:space="preserve">           Available supply from project 2</v>
      </c>
      <c r="C9" s="363">
        <f>SUMIFS($G$23:$G$29,$A$23:$A$29,2,$I$23:$I$29,"&lt;="&amp;C$6,$I$23:$I$29,"&gt;0")</f>
        <v>0</v>
      </c>
      <c r="D9" s="363">
        <f t="shared" ref="D9:M9" si="1">SUMIFS($G$23:$G$29,$A$23:$A$29,2,$I$23:$I$29,"&lt;="&amp;D$6,$I$23:$I$29,"&gt;0")</f>
        <v>0</v>
      </c>
      <c r="E9" s="363">
        <f t="shared" si="1"/>
        <v>0</v>
      </c>
      <c r="F9" s="363">
        <f t="shared" si="1"/>
        <v>0</v>
      </c>
      <c r="G9" s="363">
        <f t="shared" si="1"/>
        <v>0</v>
      </c>
      <c r="H9" s="363">
        <f t="shared" si="1"/>
        <v>0</v>
      </c>
      <c r="I9" s="363">
        <f t="shared" si="1"/>
        <v>0</v>
      </c>
      <c r="J9" s="363">
        <f t="shared" si="1"/>
        <v>0</v>
      </c>
      <c r="K9" s="363">
        <f t="shared" si="1"/>
        <v>0</v>
      </c>
      <c r="L9" s="363">
        <f t="shared" si="1"/>
        <v>0</v>
      </c>
      <c r="M9" s="363">
        <f t="shared" si="1"/>
        <v>0</v>
      </c>
    </row>
    <row r="10" spans="2:13" x14ac:dyDescent="0.2">
      <c r="B10" s="20" t="str">
        <f>"           Available supply from "&amp;IF(ISNA(VLOOKUP(3,$A$23:$I$29,2,FALSE)),"project 3",VLOOKUP(3,$A$23:$I$29,2,FALSE))</f>
        <v xml:space="preserve">           Available supply from project 3</v>
      </c>
      <c r="C10" s="363">
        <f>SUMIFS($G$23:$G$29,$A$23:$A$29,3,$I$23:$I$29,"&lt;="&amp;C$6,$I$23:$I$29,"&gt;0")</f>
        <v>0</v>
      </c>
      <c r="D10" s="363">
        <f t="shared" ref="D10:M10" si="2">SUMIFS($G$23:$G$29,$A$23:$A$29,3,$I$23:$I$29,"&lt;="&amp;D$6,$I$23:$I$29,"&gt;0")</f>
        <v>0</v>
      </c>
      <c r="E10" s="363">
        <f t="shared" si="2"/>
        <v>0</v>
      </c>
      <c r="F10" s="363">
        <f t="shared" si="2"/>
        <v>0</v>
      </c>
      <c r="G10" s="363">
        <f t="shared" si="2"/>
        <v>0</v>
      </c>
      <c r="H10" s="363">
        <f t="shared" si="2"/>
        <v>0</v>
      </c>
      <c r="I10" s="363">
        <f t="shared" si="2"/>
        <v>0</v>
      </c>
      <c r="J10" s="363">
        <f t="shared" si="2"/>
        <v>0</v>
      </c>
      <c r="K10" s="363">
        <f t="shared" si="2"/>
        <v>0</v>
      </c>
      <c r="L10" s="363">
        <f t="shared" si="2"/>
        <v>0</v>
      </c>
      <c r="M10" s="363">
        <f t="shared" si="2"/>
        <v>0</v>
      </c>
    </row>
    <row r="11" spans="2:13" s="2" customFormat="1" x14ac:dyDescent="0.2">
      <c r="B11" s="4" t="s">
        <v>87</v>
      </c>
      <c r="C11" s="364">
        <f>SUM(C8:C10)-C7</f>
        <v>0.22582718557500001</v>
      </c>
      <c r="D11" s="364">
        <f t="shared" ref="D11:M11" si="3">SUM(D8:D10)-D7</f>
        <v>3.8860020002124998</v>
      </c>
      <c r="E11" s="364">
        <f t="shared" si="3"/>
        <v>3.5461768148499999</v>
      </c>
      <c r="F11" s="364">
        <f t="shared" si="3"/>
        <v>3.1017811423562502</v>
      </c>
      <c r="G11" s="364">
        <f t="shared" si="3"/>
        <v>2.6573854698624997</v>
      </c>
      <c r="H11" s="364">
        <f t="shared" si="3"/>
        <v>2.24134913210625</v>
      </c>
      <c r="I11" s="364">
        <f t="shared" si="3"/>
        <v>1.8253127943500003</v>
      </c>
      <c r="J11" s="364">
        <f t="shared" si="3"/>
        <v>1.4376392474562496</v>
      </c>
      <c r="K11" s="364">
        <f t="shared" si="3"/>
        <v>1.0499657005624998</v>
      </c>
      <c r="L11" s="364">
        <f t="shared" si="3"/>
        <v>0.69065396144374969</v>
      </c>
      <c r="M11" s="364">
        <f t="shared" si="3"/>
        <v>0.33134222232499999</v>
      </c>
    </row>
    <row r="12" spans="2:13" x14ac:dyDescent="0.2">
      <c r="B12" s="3"/>
      <c r="C12" s="22"/>
      <c r="D12" s="22"/>
      <c r="E12" s="22"/>
      <c r="F12" s="22"/>
      <c r="G12" s="22"/>
      <c r="H12" s="22"/>
      <c r="I12" s="22"/>
      <c r="J12" s="22"/>
      <c r="K12" s="22"/>
      <c r="L12" s="22"/>
      <c r="M12" s="23"/>
    </row>
    <row r="13" spans="2:13" x14ac:dyDescent="0.2">
      <c r="B13" s="20" t="s">
        <v>86</v>
      </c>
      <c r="C13" s="7"/>
      <c r="D13" s="7"/>
      <c r="E13" s="7"/>
      <c r="F13" s="7"/>
      <c r="G13" s="7"/>
      <c r="H13" s="7"/>
      <c r="I13" s="7"/>
      <c r="J13" s="7"/>
      <c r="K13" s="7"/>
      <c r="L13" s="7"/>
      <c r="M13" s="7"/>
    </row>
    <row r="14" spans="2:13" x14ac:dyDescent="0.2">
      <c r="B14" s="20" t="s">
        <v>85</v>
      </c>
      <c r="C14" s="7"/>
      <c r="D14" s="7"/>
      <c r="E14" s="7"/>
      <c r="F14" s="7"/>
      <c r="G14" s="7"/>
      <c r="H14" s="7"/>
      <c r="I14" s="7"/>
      <c r="J14" s="7"/>
      <c r="K14" s="7"/>
      <c r="L14" s="7"/>
      <c r="M14" s="7"/>
    </row>
    <row r="15" spans="2:13" x14ac:dyDescent="0.2">
      <c r="B15" s="20" t="s">
        <v>84</v>
      </c>
      <c r="C15" s="7"/>
      <c r="D15" s="7"/>
      <c r="E15" s="7"/>
      <c r="F15" s="7"/>
      <c r="G15" s="7"/>
      <c r="H15" s="7"/>
      <c r="I15" s="7"/>
      <c r="J15" s="7"/>
      <c r="K15" s="7"/>
      <c r="L15" s="7"/>
      <c r="M15" s="7"/>
    </row>
    <row r="16" spans="2:13" x14ac:dyDescent="0.2">
      <c r="B16" s="20" t="s">
        <v>83</v>
      </c>
      <c r="C16" s="7"/>
      <c r="D16" s="7"/>
      <c r="E16" s="7"/>
      <c r="F16" s="7"/>
      <c r="G16" s="7"/>
      <c r="H16" s="7"/>
      <c r="I16" s="7"/>
      <c r="J16" s="7"/>
      <c r="K16" s="7"/>
      <c r="L16" s="7"/>
      <c r="M16" s="7"/>
    </row>
    <row r="17" spans="1:13" s="2" customFormat="1" x14ac:dyDescent="0.2">
      <c r="B17" s="4" t="s">
        <v>35</v>
      </c>
      <c r="C17" s="21">
        <f>SUM(C15:C16)</f>
        <v>0</v>
      </c>
      <c r="D17" s="21">
        <f t="shared" ref="D17:M17" si="4">SUM(D15:D16)</f>
        <v>0</v>
      </c>
      <c r="E17" s="21">
        <f t="shared" si="4"/>
        <v>0</v>
      </c>
      <c r="F17" s="21">
        <f t="shared" si="4"/>
        <v>0</v>
      </c>
      <c r="G17" s="21">
        <f t="shared" si="4"/>
        <v>0</v>
      </c>
      <c r="H17" s="21">
        <f t="shared" si="4"/>
        <v>0</v>
      </c>
      <c r="I17" s="21">
        <f t="shared" si="4"/>
        <v>0</v>
      </c>
      <c r="J17" s="21">
        <f t="shared" si="4"/>
        <v>0</v>
      </c>
      <c r="K17" s="21">
        <f t="shared" si="4"/>
        <v>0</v>
      </c>
      <c r="L17" s="21">
        <f t="shared" si="4"/>
        <v>0</v>
      </c>
      <c r="M17" s="21">
        <f t="shared" si="4"/>
        <v>0</v>
      </c>
    </row>
    <row r="20" spans="1:13" x14ac:dyDescent="0.2">
      <c r="B20" s="13" t="s">
        <v>36</v>
      </c>
      <c r="C20" s="14"/>
      <c r="D20" s="14"/>
      <c r="E20" s="14"/>
      <c r="F20" s="14"/>
      <c r="G20" s="14"/>
      <c r="H20" s="14"/>
      <c r="I20" s="15"/>
    </row>
    <row r="21" spans="1:13" ht="24" x14ac:dyDescent="0.2">
      <c r="B21" s="16" t="s">
        <v>37</v>
      </c>
      <c r="C21" s="17" t="s">
        <v>14</v>
      </c>
      <c r="D21" s="18" t="s">
        <v>15</v>
      </c>
      <c r="E21" s="26" t="s">
        <v>45</v>
      </c>
      <c r="F21" s="18" t="s">
        <v>38</v>
      </c>
      <c r="G21" s="17" t="s">
        <v>39</v>
      </c>
      <c r="H21" s="18" t="s">
        <v>20</v>
      </c>
      <c r="I21" s="17" t="s">
        <v>41</v>
      </c>
    </row>
    <row r="22" spans="1:13" x14ac:dyDescent="0.2">
      <c r="A22" s="308" t="s">
        <v>240</v>
      </c>
      <c r="B22" s="19"/>
      <c r="C22" s="6"/>
      <c r="D22" s="18"/>
      <c r="E22" s="6" t="s">
        <v>44</v>
      </c>
      <c r="F22" s="18" t="s">
        <v>18</v>
      </c>
      <c r="G22" s="6" t="s">
        <v>51</v>
      </c>
      <c r="H22" s="18" t="s">
        <v>40</v>
      </c>
      <c r="I22" s="6" t="s">
        <v>23</v>
      </c>
    </row>
    <row r="23" spans="1:13" x14ac:dyDescent="0.2">
      <c r="A23" s="307">
        <v>1</v>
      </c>
      <c r="B23" s="7" t="str">
        <f>DataIn!B73</f>
        <v>Jordan Lake Allocation</v>
      </c>
      <c r="C23" s="7" t="str">
        <f>DataIn!$C$2</f>
        <v>N/A</v>
      </c>
      <c r="D23" s="7" t="str">
        <f>DataIn!C73</f>
        <v>Jordan Lake</v>
      </c>
      <c r="E23" s="7" t="str">
        <f>DataIn!E73</f>
        <v>Haw (2-1)</v>
      </c>
      <c r="F23" s="7" t="str">
        <f>DataIn!F73</f>
        <v>WS IV B NSW CA</v>
      </c>
      <c r="G23" s="7">
        <v>4</v>
      </c>
      <c r="H23" s="7">
        <f>DataIn!G73</f>
        <v>0</v>
      </c>
      <c r="I23" s="7">
        <f>DataIn!H73</f>
        <v>2015</v>
      </c>
    </row>
    <row r="24" spans="1:13" x14ac:dyDescent="0.2">
      <c r="A24" s="307"/>
      <c r="B24" s="7" t="str">
        <f>DataIn!B74</f>
        <v>Mebane Supply</v>
      </c>
      <c r="C24" s="7" t="str">
        <f>DataIn!$C$2</f>
        <v>N/A</v>
      </c>
      <c r="D24" s="7" t="str">
        <f>DataIn!C74</f>
        <v>Other</v>
      </c>
      <c r="E24" s="7" t="str">
        <f>DataIn!E74</f>
        <v>Haw (2-1)</v>
      </c>
      <c r="F24" s="7" t="str">
        <f>DataIn!F74</f>
        <v>WS-II</v>
      </c>
      <c r="G24" s="7">
        <f>DataIn!I74</f>
        <v>2</v>
      </c>
      <c r="H24" s="7">
        <f>DataIn!G74</f>
        <v>0</v>
      </c>
      <c r="I24" s="7">
        <f>DataIn!H74</f>
        <v>2012</v>
      </c>
    </row>
    <row r="25" spans="1:13" x14ac:dyDescent="0.2">
      <c r="A25" s="307"/>
      <c r="B25" s="7">
        <f>DataIn!B75</f>
        <v>0</v>
      </c>
      <c r="C25" s="7" t="str">
        <f>DataIn!$C$2</f>
        <v>N/A</v>
      </c>
      <c r="D25" s="7" t="str">
        <f>DataIn!C75</f>
        <v>Modify Reservoir</v>
      </c>
      <c r="E25" s="7">
        <f>DataIn!E75</f>
        <v>0</v>
      </c>
      <c r="F25" s="7">
        <f>DataIn!F75</f>
        <v>0</v>
      </c>
      <c r="G25" s="7">
        <f>DataIn!I75</f>
        <v>0</v>
      </c>
      <c r="H25" s="7">
        <f>DataIn!G75</f>
        <v>0</v>
      </c>
      <c r="I25" s="7">
        <f>DataIn!H75</f>
        <v>0</v>
      </c>
    </row>
    <row r="26" spans="1:13" x14ac:dyDescent="0.2">
      <c r="A26" s="307"/>
      <c r="B26" s="7">
        <f>DataIn!B76</f>
        <v>0</v>
      </c>
      <c r="C26" s="7" t="str">
        <f>DataIn!$C$2</f>
        <v>N/A</v>
      </c>
      <c r="D26" s="7" t="str">
        <f>DataIn!C76</f>
        <v>Stream Withdrawal</v>
      </c>
      <c r="E26" s="7">
        <f>DataIn!E76</f>
        <v>0</v>
      </c>
      <c r="F26" s="7">
        <f>DataIn!F76</f>
        <v>0</v>
      </c>
      <c r="G26" s="7">
        <f>DataIn!I76</f>
        <v>0</v>
      </c>
      <c r="H26" s="7">
        <f>DataIn!G76</f>
        <v>0</v>
      </c>
      <c r="I26" s="7">
        <f>DataIn!H76</f>
        <v>0</v>
      </c>
    </row>
    <row r="27" spans="1:13" x14ac:dyDescent="0.2">
      <c r="A27" s="307"/>
      <c r="B27" s="7">
        <f>DataIn!B77</f>
        <v>0</v>
      </c>
      <c r="C27" s="7" t="str">
        <f>DataIn!$C$2</f>
        <v>N/A</v>
      </c>
      <c r="D27" s="7" t="str">
        <f>DataIn!C77</f>
        <v>Storage Allocation</v>
      </c>
      <c r="E27" s="7">
        <f>DataIn!E77</f>
        <v>0</v>
      </c>
      <c r="F27" s="7">
        <f>DataIn!F77</f>
        <v>0</v>
      </c>
      <c r="G27" s="7">
        <f>DataIn!I77</f>
        <v>0</v>
      </c>
      <c r="H27" s="7">
        <f>DataIn!G77</f>
        <v>0</v>
      </c>
      <c r="I27" s="7">
        <f>DataIn!H77</f>
        <v>0</v>
      </c>
    </row>
    <row r="28" spans="1:13" x14ac:dyDescent="0.2">
      <c r="A28" s="307"/>
      <c r="B28" s="7">
        <f>DataIn!B78</f>
        <v>0</v>
      </c>
      <c r="C28" s="7" t="str">
        <f>DataIn!$C$2</f>
        <v>N/A</v>
      </c>
      <c r="D28" s="7" t="str">
        <f>DataIn!C78</f>
        <v>Quarry/Raw Transfer</v>
      </c>
      <c r="E28" s="7">
        <f>DataIn!E78</f>
        <v>0</v>
      </c>
      <c r="F28" s="7">
        <f>DataIn!F78</f>
        <v>0</v>
      </c>
      <c r="G28" s="7">
        <f>DataIn!I78</f>
        <v>0</v>
      </c>
      <c r="H28" s="7">
        <f>DataIn!G78</f>
        <v>0</v>
      </c>
      <c r="I28" s="7">
        <f>DataIn!H78</f>
        <v>0</v>
      </c>
    </row>
    <row r="29" spans="1:13" x14ac:dyDescent="0.2">
      <c r="A29" s="307"/>
      <c r="B29" s="7">
        <f>DataIn!B79</f>
        <v>0</v>
      </c>
      <c r="C29" s="7" t="str">
        <f>DataIn!$C$2</f>
        <v>N/A</v>
      </c>
      <c r="D29" s="7" t="str">
        <f>DataIn!C79</f>
        <v>Purchase</v>
      </c>
      <c r="E29" s="7">
        <f>DataIn!E79</f>
        <v>0</v>
      </c>
      <c r="F29" s="7">
        <f>DataIn!F79</f>
        <v>0</v>
      </c>
      <c r="G29" s="7">
        <f>DataIn!I79</f>
        <v>0</v>
      </c>
      <c r="H29" s="7">
        <f>DataIn!G79</f>
        <v>0</v>
      </c>
      <c r="I29" s="7">
        <f>DataIn!H79</f>
        <v>0</v>
      </c>
    </row>
  </sheetData>
  <phoneticPr fontId="5" type="noConversion"/>
  <conditionalFormatting sqref="B23:I29">
    <cfRule type="expression" dxfId="2" priority="3">
      <formula>VALUE($A23)=0</formula>
    </cfRule>
  </conditionalFormatting>
  <conditionalFormatting sqref="C11:M11">
    <cfRule type="cellIs" dxfId="1" priority="1" operator="lessThan">
      <formula>0</formula>
    </cfRule>
    <cfRule type="cellIs" dxfId="0" priority="2" operator="greaterThan">
      <formula>0</formula>
    </cfRule>
  </conditionalFormatting>
  <pageMargins left="0.75" right="0.75" top="1" bottom="1" header="0.5" footer="0.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3:F39"/>
  <sheetViews>
    <sheetView workbookViewId="0">
      <selection activeCell="C27" sqref="C27"/>
    </sheetView>
  </sheetViews>
  <sheetFormatPr defaultRowHeight="20.100000000000001" customHeight="1" x14ac:dyDescent="0.2"/>
  <cols>
    <col min="1" max="1" width="37.7109375" style="119" customWidth="1"/>
    <col min="2" max="4" width="26.85546875" style="119" customWidth="1"/>
    <col min="5" max="5" width="30.28515625" style="119" customWidth="1"/>
    <col min="6" max="6" width="16.7109375" style="119" customWidth="1"/>
    <col min="7" max="16384" width="9.140625" style="119"/>
  </cols>
  <sheetData>
    <row r="3" spans="1:5" ht="20.100000000000001" customHeight="1" x14ac:dyDescent="0.25">
      <c r="A3" s="94" t="s">
        <v>42</v>
      </c>
      <c r="B3" s="117" t="str">
        <f>DataIn!C1</f>
        <v>Orange County</v>
      </c>
      <c r="C3" s="118"/>
    </row>
    <row r="4" spans="1:5" ht="20.100000000000001" customHeight="1" x14ac:dyDescent="0.25">
      <c r="A4" s="94" t="s">
        <v>43</v>
      </c>
      <c r="B4" s="92">
        <f>'Population&amp;Demand Projections'!C4</f>
        <v>41692</v>
      </c>
      <c r="C4" s="118"/>
    </row>
    <row r="5" spans="1:5" ht="20.100000000000001" customHeight="1" x14ac:dyDescent="0.2">
      <c r="A5" s="120"/>
    </row>
    <row r="6" spans="1:5" s="115" customFormat="1" ht="20.100000000000001" customHeight="1" x14ac:dyDescent="0.25">
      <c r="A6" s="123" t="s">
        <v>90</v>
      </c>
      <c r="B6" s="124"/>
      <c r="C6" s="125"/>
      <c r="D6" s="126"/>
    </row>
    <row r="7" spans="1:5" ht="56.25" customHeight="1" x14ac:dyDescent="0.25">
      <c r="A7" s="116" t="s">
        <v>91</v>
      </c>
      <c r="B7" s="469" t="s">
        <v>523</v>
      </c>
      <c r="C7" s="470"/>
      <c r="D7" s="471"/>
    </row>
    <row r="8" spans="1:5" ht="45" customHeight="1" x14ac:dyDescent="0.25">
      <c r="A8" s="116" t="s">
        <v>92</v>
      </c>
      <c r="B8" s="472" t="s">
        <v>524</v>
      </c>
      <c r="C8" s="473"/>
      <c r="D8" s="474"/>
    </row>
    <row r="9" spans="1:5" ht="20.100000000000001" customHeight="1" x14ac:dyDescent="0.2">
      <c r="A9" s="120"/>
    </row>
    <row r="10" spans="1:5" ht="20.100000000000001" customHeight="1" x14ac:dyDescent="0.2">
      <c r="A10" s="120"/>
    </row>
    <row r="11" spans="1:5" ht="20.100000000000001" customHeight="1" x14ac:dyDescent="0.25">
      <c r="B11" s="127" t="s">
        <v>91</v>
      </c>
      <c r="C11" s="127" t="s">
        <v>92</v>
      </c>
      <c r="D11" s="119" t="s">
        <v>210</v>
      </c>
    </row>
    <row r="12" spans="1:5" ht="20.100000000000001" customHeight="1" x14ac:dyDescent="0.25">
      <c r="A12" s="121" t="s">
        <v>105</v>
      </c>
      <c r="B12" s="455">
        <v>1.5</v>
      </c>
      <c r="C12" s="455">
        <v>3</v>
      </c>
      <c r="D12" s="119" t="s">
        <v>211</v>
      </c>
    </row>
    <row r="13" spans="1:5" ht="20.100000000000001" customHeight="1" x14ac:dyDescent="0.25">
      <c r="A13" s="121" t="s">
        <v>93</v>
      </c>
      <c r="B13" s="455">
        <v>3</v>
      </c>
      <c r="C13" s="455">
        <v>3</v>
      </c>
      <c r="D13" s="119" t="s">
        <v>211</v>
      </c>
    </row>
    <row r="14" spans="1:5" ht="20.100000000000001" customHeight="1" x14ac:dyDescent="0.25">
      <c r="A14" s="121" t="s">
        <v>94</v>
      </c>
      <c r="B14" s="128" t="s">
        <v>227</v>
      </c>
      <c r="C14" s="128" t="s">
        <v>228</v>
      </c>
      <c r="D14" s="119" t="s">
        <v>218</v>
      </c>
    </row>
    <row r="15" spans="1:5" ht="20.100000000000001" customHeight="1" x14ac:dyDescent="0.25">
      <c r="A15" s="121" t="s">
        <v>95</v>
      </c>
      <c r="B15" t="s">
        <v>330</v>
      </c>
      <c r="C15" t="s">
        <v>330</v>
      </c>
      <c r="D15" s="119" t="s">
        <v>212</v>
      </c>
      <c r="E15" s="119" t="s">
        <v>91</v>
      </c>
    </row>
    <row r="16" spans="1:5" ht="20.100000000000001" customHeight="1" x14ac:dyDescent="0.25">
      <c r="A16" s="121" t="s">
        <v>354</v>
      </c>
      <c r="B16" s="128">
        <v>2015</v>
      </c>
      <c r="C16" s="128">
        <v>2015</v>
      </c>
    </row>
    <row r="17" spans="1:6" ht="20.100000000000001" customHeight="1" x14ac:dyDescent="0.25">
      <c r="A17" s="122" t="s">
        <v>96</v>
      </c>
      <c r="B17" s="128">
        <v>0.8</v>
      </c>
      <c r="C17" s="128">
        <v>0.8</v>
      </c>
      <c r="D17" s="119" t="s">
        <v>217</v>
      </c>
    </row>
    <row r="18" spans="1:6" ht="20.100000000000001" customHeight="1" x14ac:dyDescent="0.25">
      <c r="A18" s="122" t="s">
        <v>97</v>
      </c>
      <c r="B18" s="128" t="s">
        <v>512</v>
      </c>
      <c r="C18" s="128" t="s">
        <v>513</v>
      </c>
      <c r="D18" s="119" t="s">
        <v>219</v>
      </c>
    </row>
    <row r="19" spans="1:6" ht="20.100000000000001" customHeight="1" x14ac:dyDescent="0.25">
      <c r="A19" s="122" t="s">
        <v>98</v>
      </c>
      <c r="B19" s="128" t="s">
        <v>226</v>
      </c>
      <c r="C19" s="128" t="s">
        <v>514</v>
      </c>
      <c r="D19" s="119" t="s">
        <v>220</v>
      </c>
    </row>
    <row r="20" spans="1:6" ht="20.100000000000001" customHeight="1" x14ac:dyDescent="0.25">
      <c r="A20" s="122" t="s">
        <v>99</v>
      </c>
      <c r="B20" s="128" t="s">
        <v>226</v>
      </c>
      <c r="C20" s="128" t="s">
        <v>226</v>
      </c>
      <c r="D20" s="119" t="s">
        <v>220</v>
      </c>
    </row>
    <row r="21" spans="1:6" ht="20.100000000000001" customHeight="1" x14ac:dyDescent="0.25">
      <c r="A21" s="122" t="s">
        <v>100</v>
      </c>
      <c r="B21" s="128" t="s">
        <v>514</v>
      </c>
      <c r="C21" s="128" t="s">
        <v>514</v>
      </c>
      <c r="D21" s="119" t="s">
        <v>220</v>
      </c>
    </row>
    <row r="22" spans="1:6" ht="20.100000000000001" customHeight="1" x14ac:dyDescent="0.25">
      <c r="A22" s="122" t="s">
        <v>101</v>
      </c>
      <c r="B22" s="128" t="s">
        <v>515</v>
      </c>
      <c r="C22" s="128" t="s">
        <v>515</v>
      </c>
      <c r="D22" s="119" t="s">
        <v>221</v>
      </c>
    </row>
    <row r="23" spans="1:6" ht="20.100000000000001" customHeight="1" x14ac:dyDescent="0.25">
      <c r="A23" s="122" t="s">
        <v>102</v>
      </c>
      <c r="B23" s="128" t="s">
        <v>516</v>
      </c>
      <c r="C23" s="128" t="s">
        <v>513</v>
      </c>
    </row>
    <row r="24" spans="1:6" ht="20.100000000000001" customHeight="1" x14ac:dyDescent="0.25">
      <c r="A24" s="122" t="s">
        <v>103</v>
      </c>
      <c r="B24" s="453">
        <v>2</v>
      </c>
      <c r="C24" s="453">
        <v>2.9</v>
      </c>
      <c r="D24" s="119" t="s">
        <v>222</v>
      </c>
    </row>
    <row r="25" spans="1:6" ht="20.100000000000001" customHeight="1" x14ac:dyDescent="0.25">
      <c r="A25" s="122" t="s">
        <v>104</v>
      </c>
      <c r="B25" s="454">
        <f>(((B24*1000000)+88071*B12)/(2045-2015)+2219*B12)/B13/1000</f>
        <v>24.799572222222221</v>
      </c>
      <c r="C25" s="454">
        <f>(((C24*1000000)+88071*C12)/(2045-2015)+2219*C12)/C13/1000</f>
        <v>37.376922222222227</v>
      </c>
      <c r="D25" s="119" t="s">
        <v>223</v>
      </c>
    </row>
    <row r="30" spans="1:6" ht="20.100000000000001" customHeight="1" x14ac:dyDescent="0.2">
      <c r="B30" s="119" t="s">
        <v>517</v>
      </c>
      <c r="C30" s="119" t="s">
        <v>518</v>
      </c>
    </row>
    <row r="31" spans="1:6" ht="20.100000000000001" customHeight="1" x14ac:dyDescent="0.2">
      <c r="B31" s="119">
        <v>5000</v>
      </c>
      <c r="C31" s="119" t="s">
        <v>519</v>
      </c>
      <c r="D31" s="448">
        <v>64</v>
      </c>
      <c r="E31" s="119" t="s">
        <v>520</v>
      </c>
      <c r="F31" s="448">
        <f>B31*D31</f>
        <v>320000</v>
      </c>
    </row>
    <row r="32" spans="1:6" ht="20.100000000000001" customHeight="1" x14ac:dyDescent="0.2">
      <c r="B32" s="119">
        <v>5500</v>
      </c>
      <c r="C32" s="119" t="s">
        <v>519</v>
      </c>
      <c r="D32" s="448">
        <v>105</v>
      </c>
      <c r="E32" s="119" t="s">
        <v>520</v>
      </c>
      <c r="F32" s="448">
        <f t="shared" ref="F32:F33" si="0">B32*D32</f>
        <v>577500</v>
      </c>
    </row>
    <row r="33" spans="1:6" ht="20.100000000000001" customHeight="1" x14ac:dyDescent="0.2">
      <c r="B33" s="119">
        <v>6000</v>
      </c>
      <c r="C33" s="119" t="s">
        <v>519</v>
      </c>
      <c r="D33" s="448">
        <v>147</v>
      </c>
      <c r="E33" s="119" t="s">
        <v>520</v>
      </c>
      <c r="F33" s="448">
        <f t="shared" si="0"/>
        <v>882000</v>
      </c>
    </row>
    <row r="34" spans="1:6" ht="20.100000000000001" customHeight="1" x14ac:dyDescent="0.2">
      <c r="D34" s="119" t="s">
        <v>521</v>
      </c>
    </row>
    <row r="36" spans="1:6" ht="20.100000000000001" customHeight="1" x14ac:dyDescent="0.2">
      <c r="A36" s="452" t="s">
        <v>525</v>
      </c>
      <c r="B36" s="119" t="s">
        <v>529</v>
      </c>
    </row>
    <row r="37" spans="1:6" ht="20.100000000000001" customHeight="1" x14ac:dyDescent="0.2">
      <c r="A37" s="475" t="s">
        <v>526</v>
      </c>
      <c r="B37" s="119" t="s">
        <v>527</v>
      </c>
    </row>
    <row r="38" spans="1:6" ht="20.100000000000001" customHeight="1" x14ac:dyDescent="0.2">
      <c r="A38" s="476"/>
      <c r="B38" s="119" t="s">
        <v>528</v>
      </c>
    </row>
    <row r="39" spans="1:6" ht="20.100000000000001" customHeight="1" x14ac:dyDescent="0.2">
      <c r="A39" s="476"/>
    </row>
  </sheetData>
  <mergeCells count="3">
    <mergeCell ref="B7:D7"/>
    <mergeCell ref="B8:D8"/>
    <mergeCell ref="A37:A39"/>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workbookViewId="0">
      <selection activeCell="A29" sqref="A29"/>
    </sheetView>
  </sheetViews>
  <sheetFormatPr defaultRowHeight="12.75" x14ac:dyDescent="0.2"/>
  <cols>
    <col min="1" max="1" width="23" bestFit="1" customWidth="1"/>
    <col min="2" max="2" width="22.28515625" customWidth="1"/>
    <col min="3" max="3" width="24.7109375" customWidth="1"/>
    <col min="4" max="6" width="12.7109375" customWidth="1"/>
  </cols>
  <sheetData>
    <row r="1" spans="1:6" x14ac:dyDescent="0.2">
      <c r="A1" s="477" t="s">
        <v>474</v>
      </c>
      <c r="B1" s="478"/>
      <c r="C1" s="478"/>
      <c r="D1" s="478"/>
    </row>
    <row r="2" spans="1:6" x14ac:dyDescent="0.2">
      <c r="A2" s="478"/>
      <c r="B2" s="478"/>
      <c r="C2" s="478"/>
      <c r="D2" s="478"/>
    </row>
    <row r="4" spans="1:6" x14ac:dyDescent="0.2">
      <c r="A4" s="202" t="s">
        <v>473</v>
      </c>
      <c r="B4" s="202" t="s">
        <v>475</v>
      </c>
      <c r="C4" s="202" t="s">
        <v>477</v>
      </c>
    </row>
    <row r="5" spans="1:6" x14ac:dyDescent="0.2">
      <c r="A5" s="431" t="s">
        <v>469</v>
      </c>
      <c r="B5" s="431" t="s">
        <v>476</v>
      </c>
      <c r="C5" s="431" t="s">
        <v>476</v>
      </c>
      <c r="D5" s="431" t="s">
        <v>470</v>
      </c>
      <c r="E5" s="431" t="s">
        <v>471</v>
      </c>
      <c r="F5" s="431" t="s">
        <v>472</v>
      </c>
    </row>
    <row r="6" spans="1:6" x14ac:dyDescent="0.2">
      <c r="A6" s="432" t="s">
        <v>478</v>
      </c>
      <c r="B6" s="437" t="s">
        <v>489</v>
      </c>
      <c r="C6" s="437" t="s">
        <v>490</v>
      </c>
      <c r="D6" s="440">
        <v>41690</v>
      </c>
      <c r="E6" s="442" t="s">
        <v>491</v>
      </c>
      <c r="F6" s="441">
        <v>41759</v>
      </c>
    </row>
    <row r="7" spans="1:6" x14ac:dyDescent="0.2">
      <c r="A7" s="433"/>
      <c r="B7" s="438"/>
      <c r="C7" s="438"/>
      <c r="D7" s="438"/>
      <c r="E7" s="438"/>
      <c r="F7" s="434"/>
    </row>
    <row r="8" spans="1:6" x14ac:dyDescent="0.2">
      <c r="A8" s="432" t="s">
        <v>479</v>
      </c>
      <c r="B8" s="437" t="s">
        <v>489</v>
      </c>
      <c r="C8" s="437" t="s">
        <v>490</v>
      </c>
      <c r="D8" s="440">
        <v>41690</v>
      </c>
      <c r="E8" s="442" t="s">
        <v>491</v>
      </c>
      <c r="F8" s="441">
        <v>41759</v>
      </c>
    </row>
    <row r="9" spans="1:6" x14ac:dyDescent="0.2">
      <c r="A9" s="433"/>
      <c r="B9" s="438"/>
      <c r="C9" s="438"/>
      <c r="D9" s="438"/>
      <c r="E9" s="438"/>
      <c r="F9" s="434"/>
    </row>
    <row r="10" spans="1:6" x14ac:dyDescent="0.2">
      <c r="A10" s="432" t="s">
        <v>480</v>
      </c>
      <c r="B10" s="437" t="s">
        <v>492</v>
      </c>
      <c r="C10" s="437" t="s">
        <v>493</v>
      </c>
      <c r="D10" s="440">
        <v>41690</v>
      </c>
      <c r="E10" s="442" t="s">
        <v>491</v>
      </c>
      <c r="F10" s="441">
        <v>41759</v>
      </c>
    </row>
    <row r="11" spans="1:6" x14ac:dyDescent="0.2">
      <c r="A11" s="433"/>
      <c r="B11" s="438"/>
      <c r="C11" s="438" t="s">
        <v>489</v>
      </c>
      <c r="D11" s="438"/>
      <c r="E11" s="438"/>
      <c r="F11" s="434"/>
    </row>
    <row r="12" spans="1:6" x14ac:dyDescent="0.2">
      <c r="A12" s="432" t="s">
        <v>481</v>
      </c>
      <c r="B12" s="437" t="s">
        <v>490</v>
      </c>
      <c r="C12" s="437" t="s">
        <v>489</v>
      </c>
      <c r="D12" s="440">
        <v>41690</v>
      </c>
      <c r="E12" s="442" t="s">
        <v>491</v>
      </c>
      <c r="F12" s="441">
        <v>41759</v>
      </c>
    </row>
    <row r="13" spans="1:6" x14ac:dyDescent="0.2">
      <c r="A13" s="435" t="s">
        <v>482</v>
      </c>
      <c r="B13" s="439"/>
      <c r="C13" s="439"/>
      <c r="D13" s="439"/>
      <c r="E13" s="439"/>
      <c r="F13" s="436"/>
    </row>
    <row r="14" spans="1:6" x14ac:dyDescent="0.2">
      <c r="A14" s="433"/>
      <c r="B14" s="438"/>
      <c r="C14" s="438"/>
      <c r="D14" s="438"/>
      <c r="E14" s="438"/>
      <c r="F14" s="434"/>
    </row>
    <row r="15" spans="1:6" x14ac:dyDescent="0.2">
      <c r="A15" s="432" t="s">
        <v>483</v>
      </c>
      <c r="B15" s="437" t="s">
        <v>489</v>
      </c>
      <c r="C15" s="437" t="s">
        <v>490</v>
      </c>
      <c r="D15" s="440">
        <v>41690</v>
      </c>
      <c r="E15" s="442" t="s">
        <v>491</v>
      </c>
      <c r="F15" s="441">
        <v>41759</v>
      </c>
    </row>
    <row r="16" spans="1:6" x14ac:dyDescent="0.2">
      <c r="A16" s="435" t="s">
        <v>19</v>
      </c>
      <c r="B16" s="439"/>
      <c r="C16" s="439"/>
      <c r="D16" s="439"/>
      <c r="E16" s="439"/>
      <c r="F16" s="436"/>
    </row>
    <row r="17" spans="1:6" x14ac:dyDescent="0.2">
      <c r="A17" s="433"/>
      <c r="B17" s="438"/>
      <c r="C17" s="438"/>
      <c r="D17" s="438"/>
      <c r="E17" s="438"/>
      <c r="F17" s="434"/>
    </row>
    <row r="18" spans="1:6" x14ac:dyDescent="0.2">
      <c r="A18" s="432" t="s">
        <v>484</v>
      </c>
      <c r="B18" s="437" t="s">
        <v>492</v>
      </c>
      <c r="C18" s="437" t="s">
        <v>490</v>
      </c>
      <c r="D18" s="440">
        <v>41690</v>
      </c>
      <c r="E18" s="442" t="s">
        <v>491</v>
      </c>
      <c r="F18" s="441">
        <v>41759</v>
      </c>
    </row>
    <row r="19" spans="1:6" x14ac:dyDescent="0.2">
      <c r="A19" s="435" t="s">
        <v>485</v>
      </c>
      <c r="B19" s="439"/>
      <c r="C19" s="439"/>
      <c r="D19" s="439"/>
      <c r="E19" s="439"/>
      <c r="F19" s="436"/>
    </row>
    <row r="20" spans="1:6" x14ac:dyDescent="0.2">
      <c r="A20" s="433"/>
      <c r="B20" s="438"/>
      <c r="C20" s="438"/>
      <c r="D20" s="438"/>
      <c r="E20" s="438"/>
      <c r="F20" s="434"/>
    </row>
    <row r="21" spans="1:6" x14ac:dyDescent="0.2">
      <c r="A21" s="432" t="s">
        <v>486</v>
      </c>
      <c r="B21" s="437" t="s">
        <v>489</v>
      </c>
      <c r="C21" s="437" t="s">
        <v>490</v>
      </c>
      <c r="D21" s="440">
        <v>41690</v>
      </c>
      <c r="E21" s="442" t="s">
        <v>491</v>
      </c>
      <c r="F21" s="441">
        <v>41759</v>
      </c>
    </row>
    <row r="22" spans="1:6" x14ac:dyDescent="0.2">
      <c r="A22" s="435" t="s">
        <v>487</v>
      </c>
      <c r="B22" s="439"/>
      <c r="C22" s="439"/>
      <c r="D22" s="439"/>
      <c r="E22" s="439"/>
      <c r="F22" s="436"/>
    </row>
    <row r="23" spans="1:6" x14ac:dyDescent="0.2">
      <c r="A23" s="433"/>
      <c r="B23" s="438"/>
      <c r="C23" s="438"/>
      <c r="D23" s="438"/>
      <c r="E23" s="438"/>
      <c r="F23" s="434"/>
    </row>
    <row r="24" spans="1:6" x14ac:dyDescent="0.2">
      <c r="A24" s="432" t="s">
        <v>488</v>
      </c>
      <c r="B24" s="437" t="s">
        <v>493</v>
      </c>
      <c r="C24" s="437" t="s">
        <v>490</v>
      </c>
      <c r="D24" s="440">
        <v>41690</v>
      </c>
      <c r="E24" s="442" t="s">
        <v>491</v>
      </c>
      <c r="F24" s="441">
        <v>41759</v>
      </c>
    </row>
    <row r="25" spans="1:6" x14ac:dyDescent="0.2">
      <c r="A25" s="435" t="s">
        <v>235</v>
      </c>
      <c r="B25" s="439"/>
      <c r="C25" s="439" t="s">
        <v>489</v>
      </c>
      <c r="D25" s="439"/>
      <c r="E25" s="439"/>
      <c r="F25" s="436"/>
    </row>
    <row r="26" spans="1:6" x14ac:dyDescent="0.2">
      <c r="A26" s="433"/>
      <c r="B26" s="438"/>
      <c r="C26" s="438"/>
      <c r="D26" s="438"/>
      <c r="E26" s="438"/>
      <c r="F26" s="434"/>
    </row>
  </sheetData>
  <mergeCells count="1">
    <mergeCell ref="A1:D2"/>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2:Z109"/>
  <sheetViews>
    <sheetView topLeftCell="A49" workbookViewId="0">
      <selection activeCell="F55" sqref="F55"/>
    </sheetView>
  </sheetViews>
  <sheetFormatPr defaultRowHeight="12.75" x14ac:dyDescent="0.2"/>
  <cols>
    <col min="1" max="1" width="19.140625" customWidth="1"/>
    <col min="2" max="2" width="30.7109375" customWidth="1"/>
    <col min="3" max="3" width="14.5703125" customWidth="1"/>
    <col min="4" max="4" width="13.42578125" customWidth="1"/>
    <col min="5" max="5" width="14.7109375" customWidth="1"/>
    <col min="6" max="6" width="18.5703125" bestFit="1" customWidth="1"/>
    <col min="8" max="8" width="11.5703125" bestFit="1" customWidth="1"/>
    <col min="10" max="10" width="11.85546875" customWidth="1"/>
  </cols>
  <sheetData>
    <row r="2" spans="1:21" x14ac:dyDescent="0.2">
      <c r="A2" s="202" t="s">
        <v>416</v>
      </c>
    </row>
    <row r="3" spans="1:21" ht="13.5" thickBot="1" x14ac:dyDescent="0.25"/>
    <row r="4" spans="1:21" ht="15" x14ac:dyDescent="0.25">
      <c r="A4" s="252"/>
      <c r="B4" s="253" t="s">
        <v>308</v>
      </c>
      <c r="C4" s="253"/>
      <c r="D4" s="253"/>
      <c r="E4" s="253"/>
      <c r="F4" s="254"/>
      <c r="G4" s="255"/>
      <c r="J4" s="270" t="s">
        <v>309</v>
      </c>
      <c r="K4" s="270">
        <v>2010</v>
      </c>
      <c r="L4" s="271">
        <v>2015</v>
      </c>
      <c r="M4" s="270">
        <v>2020</v>
      </c>
      <c r="N4" s="271">
        <v>2025</v>
      </c>
      <c r="O4" s="270">
        <v>2030</v>
      </c>
      <c r="P4" s="271">
        <v>2035</v>
      </c>
      <c r="Q4" s="270">
        <v>2040</v>
      </c>
      <c r="R4" s="272">
        <v>2045</v>
      </c>
      <c r="S4" s="270">
        <v>2050</v>
      </c>
      <c r="T4" s="271">
        <v>2055</v>
      </c>
      <c r="U4" s="270">
        <v>2060</v>
      </c>
    </row>
    <row r="5" spans="1:21" ht="15.75" thickBot="1" x14ac:dyDescent="0.3">
      <c r="A5" s="256" t="s">
        <v>309</v>
      </c>
      <c r="B5" s="257">
        <v>2010</v>
      </c>
      <c r="C5" s="257">
        <v>2020</v>
      </c>
      <c r="D5" s="257">
        <v>2030</v>
      </c>
      <c r="E5" s="257">
        <v>2040</v>
      </c>
      <c r="F5" s="257">
        <v>2050</v>
      </c>
      <c r="G5" s="258">
        <v>2060</v>
      </c>
      <c r="J5" s="273" t="s">
        <v>192</v>
      </c>
      <c r="K5" s="274">
        <v>3.51</v>
      </c>
      <c r="L5" s="275">
        <v>4.2</v>
      </c>
      <c r="M5" s="276">
        <v>5.54</v>
      </c>
      <c r="N5" s="275">
        <v>6.6</v>
      </c>
      <c r="O5" s="274">
        <v>7.57</v>
      </c>
      <c r="P5" s="275">
        <v>8.8000000000000007</v>
      </c>
      <c r="Q5" s="274">
        <v>9.93</v>
      </c>
      <c r="R5" s="277">
        <v>10.465</v>
      </c>
      <c r="S5" s="274">
        <v>11</v>
      </c>
      <c r="T5" s="278">
        <v>11.27</v>
      </c>
      <c r="U5" s="274">
        <v>11.54</v>
      </c>
    </row>
    <row r="6" spans="1:21" ht="15.75" thickTop="1" x14ac:dyDescent="0.25">
      <c r="A6" s="259" t="s">
        <v>192</v>
      </c>
      <c r="B6" s="260">
        <v>3.51</v>
      </c>
      <c r="C6" s="260">
        <v>5.54</v>
      </c>
      <c r="D6" s="260">
        <v>7.57</v>
      </c>
      <c r="E6" s="260">
        <v>9.93</v>
      </c>
      <c r="F6" s="260">
        <v>11</v>
      </c>
      <c r="G6" s="261">
        <v>11.54</v>
      </c>
      <c r="J6" s="273" t="s">
        <v>310</v>
      </c>
      <c r="K6" s="274">
        <v>14.89</v>
      </c>
      <c r="L6" s="275">
        <v>16.7</v>
      </c>
      <c r="M6" s="276">
        <v>19.53</v>
      </c>
      <c r="N6" s="275">
        <v>22.2</v>
      </c>
      <c r="O6" s="274">
        <v>24.29</v>
      </c>
      <c r="P6" s="275">
        <v>26</v>
      </c>
      <c r="Q6" s="274">
        <v>27.42</v>
      </c>
      <c r="R6" s="277">
        <v>28.61</v>
      </c>
      <c r="S6" s="274">
        <v>29.8</v>
      </c>
      <c r="T6" s="278">
        <v>29.8</v>
      </c>
      <c r="U6" s="274">
        <v>29.8</v>
      </c>
    </row>
    <row r="7" spans="1:21" ht="15" x14ac:dyDescent="0.25">
      <c r="A7" s="262" t="s">
        <v>310</v>
      </c>
      <c r="B7" s="263">
        <v>14.89</v>
      </c>
      <c r="C7" s="263">
        <v>19.53</v>
      </c>
      <c r="D7" s="263">
        <v>24.29</v>
      </c>
      <c r="E7" s="263">
        <v>27.42</v>
      </c>
      <c r="F7" s="263">
        <v>29.8</v>
      </c>
      <c r="G7" s="264">
        <v>29.8</v>
      </c>
      <c r="J7" s="273" t="s">
        <v>311</v>
      </c>
      <c r="K7" s="274">
        <v>1.72</v>
      </c>
      <c r="L7" s="275">
        <v>2</v>
      </c>
      <c r="M7" s="276">
        <v>2.48</v>
      </c>
      <c r="N7" s="275">
        <v>2.8</v>
      </c>
      <c r="O7" s="274">
        <v>3.03</v>
      </c>
      <c r="P7" s="275">
        <v>3.3</v>
      </c>
      <c r="Q7" s="274">
        <v>3.41</v>
      </c>
      <c r="R7" s="277">
        <v>3.4699999999999998</v>
      </c>
      <c r="S7" s="274">
        <v>3.53</v>
      </c>
      <c r="T7" s="278">
        <v>3.5599999999999996</v>
      </c>
      <c r="U7" s="274">
        <v>3.59</v>
      </c>
    </row>
    <row r="8" spans="1:21" ht="15" x14ac:dyDescent="0.25">
      <c r="A8" s="262" t="s">
        <v>311</v>
      </c>
      <c r="B8" s="263">
        <v>1.72</v>
      </c>
      <c r="C8" s="263">
        <v>2.48</v>
      </c>
      <c r="D8" s="263">
        <v>3.03</v>
      </c>
      <c r="E8" s="263">
        <v>3.41</v>
      </c>
      <c r="F8" s="263">
        <v>3.53</v>
      </c>
      <c r="G8" s="264">
        <v>3.59</v>
      </c>
      <c r="J8" s="273" t="s">
        <v>203</v>
      </c>
      <c r="K8" s="274">
        <v>0.57999999999999996</v>
      </c>
      <c r="L8" s="275">
        <v>0.9</v>
      </c>
      <c r="M8" s="276">
        <v>1.39</v>
      </c>
      <c r="N8" s="275">
        <v>1.9</v>
      </c>
      <c r="O8" s="274">
        <v>2.33</v>
      </c>
      <c r="P8" s="275">
        <v>2.7</v>
      </c>
      <c r="Q8" s="274">
        <v>3.2</v>
      </c>
      <c r="R8" s="277">
        <v>3.2250000000000001</v>
      </c>
      <c r="S8" s="274">
        <v>3.25</v>
      </c>
      <c r="T8" s="278">
        <v>3.27</v>
      </c>
      <c r="U8" s="274">
        <v>3.29</v>
      </c>
    </row>
    <row r="9" spans="1:21" ht="15.75" thickBot="1" x14ac:dyDescent="0.3">
      <c r="A9" s="265" t="s">
        <v>203</v>
      </c>
      <c r="B9" s="266">
        <v>0.57999999999999996</v>
      </c>
      <c r="C9" s="266">
        <v>1.39</v>
      </c>
      <c r="D9" s="266">
        <v>2.33</v>
      </c>
      <c r="E9" s="266">
        <v>3.2</v>
      </c>
      <c r="F9" s="266">
        <v>3.25</v>
      </c>
      <c r="G9" s="267">
        <v>3.29</v>
      </c>
      <c r="J9" s="273" t="s">
        <v>194</v>
      </c>
      <c r="K9" s="274">
        <v>2.16</v>
      </c>
      <c r="L9" s="275">
        <v>3.4</v>
      </c>
      <c r="M9" s="274">
        <v>5.29</v>
      </c>
      <c r="N9" s="278">
        <v>6.8149999999999995</v>
      </c>
      <c r="O9" s="274">
        <v>8.34</v>
      </c>
      <c r="P9" s="278">
        <v>10.129999999999999</v>
      </c>
      <c r="Q9" s="274">
        <v>11.92</v>
      </c>
      <c r="R9" s="277">
        <v>13.035</v>
      </c>
      <c r="S9" s="274">
        <v>14.15</v>
      </c>
      <c r="T9" s="278">
        <v>16.13</v>
      </c>
      <c r="U9" s="274">
        <v>18.11</v>
      </c>
    </row>
    <row r="10" spans="1:21" ht="15.75" thickTop="1" x14ac:dyDescent="0.25">
      <c r="A10" s="262" t="s">
        <v>194</v>
      </c>
      <c r="B10" s="263">
        <v>2.16</v>
      </c>
      <c r="C10" s="263">
        <v>5.29</v>
      </c>
      <c r="D10" s="263">
        <v>8.34</v>
      </c>
      <c r="E10" s="263">
        <v>11.92</v>
      </c>
      <c r="F10" s="263">
        <v>14.15</v>
      </c>
      <c r="G10" s="264">
        <v>18.11</v>
      </c>
      <c r="J10" s="273" t="s">
        <v>195</v>
      </c>
      <c r="K10" s="274">
        <v>25.27</v>
      </c>
      <c r="L10" s="278">
        <v>27.967703227188579</v>
      </c>
      <c r="M10" s="274">
        <v>30.665406454377155</v>
      </c>
      <c r="N10" s="278">
        <v>32.408813687753131</v>
      </c>
      <c r="O10" s="274">
        <v>34.152220921129107</v>
      </c>
      <c r="P10" s="278">
        <v>36.126962597363317</v>
      </c>
      <c r="Q10" s="274">
        <v>38.101704273597534</v>
      </c>
      <c r="R10" s="277">
        <v>39.978856971645754</v>
      </c>
      <c r="S10" s="274">
        <v>41.856009669693982</v>
      </c>
      <c r="T10" s="278">
        <v>43.114640313131758</v>
      </c>
      <c r="U10" s="274">
        <v>44.373270956569534</v>
      </c>
    </row>
    <row r="11" spans="1:21" ht="15" x14ac:dyDescent="0.25">
      <c r="A11" s="262" t="s">
        <v>195</v>
      </c>
      <c r="B11" s="263">
        <v>25.27</v>
      </c>
      <c r="C11" s="263">
        <v>30.665406454377155</v>
      </c>
      <c r="D11" s="263">
        <v>34.152220921129107</v>
      </c>
      <c r="E11" s="263">
        <v>38.101704273597534</v>
      </c>
      <c r="F11" s="263">
        <v>41.856009669693982</v>
      </c>
      <c r="G11" s="264">
        <v>44.373270956569534</v>
      </c>
      <c r="J11" s="273" t="s">
        <v>196</v>
      </c>
      <c r="K11" s="274">
        <v>1.1599999999999999</v>
      </c>
      <c r="L11" s="278">
        <v>1.7399999999999998</v>
      </c>
      <c r="M11" s="274">
        <v>2.3199999999999998</v>
      </c>
      <c r="N11" s="278">
        <v>2.5099999999999998</v>
      </c>
      <c r="O11" s="274">
        <v>2.7</v>
      </c>
      <c r="P11" s="278">
        <v>2.8650000000000002</v>
      </c>
      <c r="Q11" s="274">
        <v>3.03</v>
      </c>
      <c r="R11" s="277">
        <v>3.2050000000000001</v>
      </c>
      <c r="S11" s="274">
        <v>3.38</v>
      </c>
      <c r="T11" s="278">
        <v>3.54</v>
      </c>
      <c r="U11" s="274">
        <v>3.7</v>
      </c>
    </row>
    <row r="12" spans="1:21" ht="15" x14ac:dyDescent="0.25">
      <c r="A12" s="262" t="s">
        <v>196</v>
      </c>
      <c r="B12" s="263">
        <v>1.1599999999999999</v>
      </c>
      <c r="C12" s="263">
        <v>2.3199999999999998</v>
      </c>
      <c r="D12" s="263">
        <v>2.7</v>
      </c>
      <c r="E12" s="263">
        <v>3.03</v>
      </c>
      <c r="F12" s="263">
        <v>3.38</v>
      </c>
      <c r="G12" s="264">
        <v>3.7</v>
      </c>
      <c r="J12" s="273" t="s">
        <v>197</v>
      </c>
      <c r="K12" s="274">
        <v>1.98</v>
      </c>
      <c r="L12" s="278">
        <v>3.335</v>
      </c>
      <c r="M12" s="274">
        <v>4.6900000000000004</v>
      </c>
      <c r="N12" s="278">
        <v>5.2050000000000001</v>
      </c>
      <c r="O12" s="274">
        <v>5.72</v>
      </c>
      <c r="P12" s="278">
        <v>6.23</v>
      </c>
      <c r="Q12" s="274">
        <v>6.74</v>
      </c>
      <c r="R12" s="277">
        <v>7.24</v>
      </c>
      <c r="S12" s="274">
        <v>7.74</v>
      </c>
      <c r="T12" s="278">
        <v>8.26</v>
      </c>
      <c r="U12" s="274">
        <v>8.7799999999999994</v>
      </c>
    </row>
    <row r="13" spans="1:21" ht="15" x14ac:dyDescent="0.25">
      <c r="A13" s="262" t="s">
        <v>197</v>
      </c>
      <c r="B13" s="263">
        <v>1.98</v>
      </c>
      <c r="C13" s="263">
        <v>4.6900000000000004</v>
      </c>
      <c r="D13" s="263">
        <v>5.72</v>
      </c>
      <c r="E13" s="263">
        <v>6.74</v>
      </c>
      <c r="F13" s="263">
        <v>7.74</v>
      </c>
      <c r="G13" s="264">
        <v>8.7799999999999994</v>
      </c>
      <c r="J13" s="273" t="s">
        <v>198</v>
      </c>
      <c r="K13" s="274">
        <v>0.02</v>
      </c>
      <c r="L13" s="278">
        <v>0.36</v>
      </c>
      <c r="M13" s="274">
        <v>0.7</v>
      </c>
      <c r="N13" s="278">
        <v>1.145</v>
      </c>
      <c r="O13" s="274">
        <v>1.59</v>
      </c>
      <c r="P13" s="278">
        <v>2.0049999999999999</v>
      </c>
      <c r="Q13" s="274">
        <v>2.42</v>
      </c>
      <c r="R13" s="277">
        <v>2.81</v>
      </c>
      <c r="S13" s="274">
        <v>3.2</v>
      </c>
      <c r="T13" s="278">
        <v>3.56</v>
      </c>
      <c r="U13" s="274">
        <v>3.92</v>
      </c>
    </row>
    <row r="14" spans="1:21" ht="15" x14ac:dyDescent="0.25">
      <c r="A14" s="262" t="s">
        <v>198</v>
      </c>
      <c r="B14" s="263">
        <v>0.02</v>
      </c>
      <c r="C14" s="263">
        <v>0.7</v>
      </c>
      <c r="D14" s="263">
        <v>1.59</v>
      </c>
      <c r="E14" s="263">
        <v>2.42</v>
      </c>
      <c r="F14" s="263">
        <v>3.2</v>
      </c>
      <c r="G14" s="264">
        <v>3.92</v>
      </c>
      <c r="J14" s="273" t="s">
        <v>199</v>
      </c>
      <c r="K14" s="274">
        <v>7.86</v>
      </c>
      <c r="L14" s="278">
        <v>8.09</v>
      </c>
      <c r="M14" s="274">
        <v>8.32</v>
      </c>
      <c r="N14" s="278">
        <v>9</v>
      </c>
      <c r="O14" s="274">
        <v>9.68</v>
      </c>
      <c r="P14" s="278">
        <v>10.234999999999999</v>
      </c>
      <c r="Q14" s="274">
        <v>10.79</v>
      </c>
      <c r="R14" s="277">
        <v>11.324999999999999</v>
      </c>
      <c r="S14" s="274">
        <v>11.86</v>
      </c>
      <c r="T14" s="278">
        <v>12.385</v>
      </c>
      <c r="U14" s="274">
        <v>12.91</v>
      </c>
    </row>
    <row r="15" spans="1:21" ht="15" x14ac:dyDescent="0.25">
      <c r="A15" s="262" t="s">
        <v>199</v>
      </c>
      <c r="B15" s="263">
        <v>7.86</v>
      </c>
      <c r="C15" s="263">
        <v>8.32</v>
      </c>
      <c r="D15" s="263">
        <v>9.68</v>
      </c>
      <c r="E15" s="263">
        <v>10.79</v>
      </c>
      <c r="F15" s="263">
        <v>11.86</v>
      </c>
      <c r="G15" s="264">
        <v>12.91</v>
      </c>
      <c r="J15" s="273" t="s">
        <v>200</v>
      </c>
      <c r="K15" s="274">
        <v>0.62</v>
      </c>
      <c r="L15" s="278">
        <v>1.98</v>
      </c>
      <c r="M15" s="274">
        <v>3.34</v>
      </c>
      <c r="N15" s="278">
        <v>5.5549999999999997</v>
      </c>
      <c r="O15" s="274">
        <v>7.77</v>
      </c>
      <c r="P15" s="278">
        <v>8.93</v>
      </c>
      <c r="Q15" s="274">
        <v>10.09</v>
      </c>
      <c r="R15" s="277">
        <v>10.445</v>
      </c>
      <c r="S15" s="274">
        <v>10.8</v>
      </c>
      <c r="T15" s="278">
        <v>11.280000000000001</v>
      </c>
      <c r="U15" s="274">
        <v>11.76</v>
      </c>
    </row>
    <row r="16" spans="1:21" ht="15" x14ac:dyDescent="0.25">
      <c r="A16" s="262" t="s">
        <v>200</v>
      </c>
      <c r="B16" s="263">
        <v>0.62</v>
      </c>
      <c r="C16" s="263">
        <v>3.34</v>
      </c>
      <c r="D16" s="263">
        <v>7.77</v>
      </c>
      <c r="E16" s="263">
        <v>10.09</v>
      </c>
      <c r="F16" s="263">
        <v>10.8</v>
      </c>
      <c r="G16" s="264">
        <v>11.76</v>
      </c>
      <c r="J16" s="273" t="s">
        <v>201</v>
      </c>
      <c r="K16" s="274">
        <v>52</v>
      </c>
      <c r="L16" s="278">
        <v>60.95</v>
      </c>
      <c r="M16" s="274">
        <v>69.900000000000006</v>
      </c>
      <c r="N16" s="278">
        <v>76.150000000000006</v>
      </c>
      <c r="O16" s="274">
        <v>82.4</v>
      </c>
      <c r="P16" s="278">
        <v>87.35</v>
      </c>
      <c r="Q16" s="274">
        <v>92.3</v>
      </c>
      <c r="R16" s="277">
        <v>97.5</v>
      </c>
      <c r="S16" s="274">
        <v>102.7</v>
      </c>
      <c r="T16" s="278">
        <v>108.85</v>
      </c>
      <c r="U16" s="274">
        <v>115</v>
      </c>
    </row>
    <row r="17" spans="1:21" ht="15" x14ac:dyDescent="0.25">
      <c r="A17" s="262" t="s">
        <v>201</v>
      </c>
      <c r="B17" s="263">
        <v>52</v>
      </c>
      <c r="C17" s="263">
        <v>69.900000000000006</v>
      </c>
      <c r="D17" s="263">
        <v>82.4</v>
      </c>
      <c r="E17" s="263">
        <v>92.3</v>
      </c>
      <c r="F17" s="263">
        <v>102.7</v>
      </c>
      <c r="G17" s="264">
        <v>115</v>
      </c>
      <c r="J17" s="273" t="s">
        <v>202</v>
      </c>
      <c r="K17" s="274">
        <v>6.52</v>
      </c>
      <c r="L17" s="278">
        <v>7.3149999999999995</v>
      </c>
      <c r="M17" s="274">
        <v>8.11</v>
      </c>
      <c r="N17" s="278">
        <v>9.7850000000000001</v>
      </c>
      <c r="O17" s="274">
        <v>11.46</v>
      </c>
      <c r="P17" s="278">
        <v>13.335000000000001</v>
      </c>
      <c r="Q17" s="274">
        <v>15.21</v>
      </c>
      <c r="R17" s="277">
        <v>17.815000000000001</v>
      </c>
      <c r="S17" s="274">
        <v>20.420000000000002</v>
      </c>
      <c r="T17" s="278">
        <v>22.605</v>
      </c>
      <c r="U17" s="274">
        <v>24.79</v>
      </c>
    </row>
    <row r="18" spans="1:21" ht="15.75" thickBot="1" x14ac:dyDescent="0.3">
      <c r="A18" s="262" t="s">
        <v>202</v>
      </c>
      <c r="B18" s="263">
        <v>6.52</v>
      </c>
      <c r="C18" s="263">
        <v>8.11</v>
      </c>
      <c r="D18" s="263">
        <v>11.46</v>
      </c>
      <c r="E18" s="263">
        <v>15.21</v>
      </c>
      <c r="F18" s="263">
        <v>20.420000000000002</v>
      </c>
      <c r="G18" s="264">
        <v>24.79</v>
      </c>
      <c r="J18" s="270" t="s">
        <v>312</v>
      </c>
      <c r="K18" s="274">
        <v>118.28999999999998</v>
      </c>
      <c r="L18" s="274">
        <v>138.93770322718859</v>
      </c>
      <c r="M18" s="274">
        <v>162.27540645437716</v>
      </c>
      <c r="N18" s="274">
        <v>182.07381368775313</v>
      </c>
      <c r="O18" s="274">
        <v>201.0322209211291</v>
      </c>
      <c r="P18" s="274">
        <v>218.0069625973633</v>
      </c>
      <c r="Q18" s="274">
        <v>234.56170427359754</v>
      </c>
      <c r="R18" s="279">
        <v>249.12385697164575</v>
      </c>
      <c r="S18" s="274">
        <v>263.68600966969399</v>
      </c>
      <c r="T18" s="274">
        <v>277.62464031313175</v>
      </c>
      <c r="U18" s="274">
        <v>291.56327095656957</v>
      </c>
    </row>
    <row r="19" spans="1:21" ht="15.75" thickBot="1" x14ac:dyDescent="0.3">
      <c r="A19" s="268" t="s">
        <v>312</v>
      </c>
      <c r="B19" s="269">
        <f t="shared" ref="B19:G19" si="0">SUM(B6:B18)</f>
        <v>118.28999999999998</v>
      </c>
      <c r="C19" s="269">
        <f t="shared" si="0"/>
        <v>162.27540645437716</v>
      </c>
      <c r="D19" s="269">
        <f t="shared" si="0"/>
        <v>201.0322209211291</v>
      </c>
      <c r="E19" s="269">
        <f t="shared" si="0"/>
        <v>234.56170427359754</v>
      </c>
      <c r="F19" s="269">
        <f t="shared" si="0"/>
        <v>263.68600966969399</v>
      </c>
      <c r="G19" s="269">
        <f t="shared" si="0"/>
        <v>291.56327095656957</v>
      </c>
    </row>
    <row r="22" spans="1:21" ht="13.5" thickBot="1" x14ac:dyDescent="0.25">
      <c r="A22" s="153" t="s">
        <v>415</v>
      </c>
      <c r="J22" t="s">
        <v>205</v>
      </c>
    </row>
    <row r="23" spans="1:21" ht="15.75" thickBot="1" x14ac:dyDescent="0.3">
      <c r="A23" s="175" t="s">
        <v>191</v>
      </c>
      <c r="B23" s="176">
        <v>2010</v>
      </c>
      <c r="C23" s="177">
        <v>2020</v>
      </c>
      <c r="D23" s="177">
        <v>2030</v>
      </c>
      <c r="E23" s="177">
        <v>2040</v>
      </c>
      <c r="F23" s="177">
        <v>2050</v>
      </c>
      <c r="G23" s="178">
        <v>2060</v>
      </c>
      <c r="K23">
        <v>2010</v>
      </c>
      <c r="L23" s="179">
        <v>2015</v>
      </c>
      <c r="M23" s="180">
        <v>2020</v>
      </c>
      <c r="N23" s="181">
        <v>2025</v>
      </c>
      <c r="O23" s="180">
        <v>2030</v>
      </c>
      <c r="P23" s="181">
        <v>2035</v>
      </c>
      <c r="Q23" s="180">
        <v>2040</v>
      </c>
      <c r="R23" s="181">
        <v>2045</v>
      </c>
      <c r="S23">
        <v>2050</v>
      </c>
      <c r="T23" s="179">
        <v>2055</v>
      </c>
      <c r="U23">
        <v>2060</v>
      </c>
    </row>
    <row r="24" spans="1:21" ht="15" x14ac:dyDescent="0.25">
      <c r="A24" s="182" t="s">
        <v>192</v>
      </c>
      <c r="B24" s="183">
        <v>37700</v>
      </c>
      <c r="C24" s="184">
        <v>53100</v>
      </c>
      <c r="D24" s="184">
        <v>74400</v>
      </c>
      <c r="E24" s="184">
        <v>100500</v>
      </c>
      <c r="F24" s="184">
        <v>109200</v>
      </c>
      <c r="G24" s="185">
        <v>112200</v>
      </c>
      <c r="J24" s="182" t="s">
        <v>192</v>
      </c>
      <c r="K24" s="186">
        <v>37700</v>
      </c>
      <c r="L24" s="187">
        <v>41400</v>
      </c>
      <c r="M24" s="188">
        <v>53100</v>
      </c>
      <c r="N24" s="187">
        <v>63000</v>
      </c>
      <c r="O24" s="188">
        <v>74400</v>
      </c>
      <c r="P24" s="187">
        <v>87400</v>
      </c>
      <c r="Q24" s="188">
        <v>100500</v>
      </c>
      <c r="R24" s="181">
        <v>104850</v>
      </c>
      <c r="S24" s="186">
        <v>109200</v>
      </c>
      <c r="T24" s="179">
        <v>110700</v>
      </c>
      <c r="U24" s="186">
        <v>112200</v>
      </c>
    </row>
    <row r="25" spans="1:21" ht="15" x14ac:dyDescent="0.25">
      <c r="A25" s="189" t="s">
        <v>193</v>
      </c>
      <c r="B25" s="190">
        <v>145000</v>
      </c>
      <c r="C25" s="191">
        <v>176400</v>
      </c>
      <c r="D25" s="191">
        <v>208100</v>
      </c>
      <c r="E25" s="191">
        <v>230700</v>
      </c>
      <c r="F25" s="191">
        <v>247900</v>
      </c>
      <c r="G25" s="192">
        <v>248400</v>
      </c>
      <c r="J25" s="189" t="s">
        <v>193</v>
      </c>
      <c r="K25" s="186">
        <v>145000</v>
      </c>
      <c r="L25" s="187">
        <v>159800</v>
      </c>
      <c r="M25" s="188">
        <v>176400</v>
      </c>
      <c r="N25" s="187">
        <v>193200</v>
      </c>
      <c r="O25" s="188">
        <v>208100</v>
      </c>
      <c r="P25" s="187">
        <v>222300</v>
      </c>
      <c r="Q25" s="188">
        <v>230700</v>
      </c>
      <c r="R25" s="181">
        <v>239300</v>
      </c>
      <c r="S25" s="186">
        <v>247900</v>
      </c>
      <c r="T25" s="179">
        <v>248150</v>
      </c>
      <c r="U25" s="186">
        <v>248400</v>
      </c>
    </row>
    <row r="26" spans="1:21" ht="15" x14ac:dyDescent="0.25">
      <c r="A26" s="189" t="s">
        <v>194</v>
      </c>
      <c r="B26" s="190">
        <v>10200</v>
      </c>
      <c r="C26" s="191">
        <v>25900</v>
      </c>
      <c r="D26" s="191">
        <v>41600</v>
      </c>
      <c r="E26" s="191">
        <v>57300</v>
      </c>
      <c r="F26" s="191">
        <v>73400</v>
      </c>
      <c r="G26" s="192">
        <v>94000</v>
      </c>
      <c r="J26" s="189" t="s">
        <v>194</v>
      </c>
      <c r="K26" s="186">
        <v>10200</v>
      </c>
      <c r="L26" s="181">
        <v>18050</v>
      </c>
      <c r="M26" s="188">
        <v>25900</v>
      </c>
      <c r="N26" s="181">
        <v>33750</v>
      </c>
      <c r="O26" s="188">
        <v>41600</v>
      </c>
      <c r="P26" s="181">
        <v>49450</v>
      </c>
      <c r="Q26" s="188">
        <v>57300</v>
      </c>
      <c r="R26" s="181">
        <v>65350</v>
      </c>
      <c r="S26" s="186">
        <v>73400</v>
      </c>
      <c r="T26" s="179">
        <v>83700</v>
      </c>
      <c r="U26" s="186">
        <v>94000</v>
      </c>
    </row>
    <row r="27" spans="1:21" ht="15" x14ac:dyDescent="0.25">
      <c r="A27" s="189" t="s">
        <v>195</v>
      </c>
      <c r="B27" s="190">
        <v>227100</v>
      </c>
      <c r="C27" s="191">
        <v>286400</v>
      </c>
      <c r="D27" s="191">
        <v>329400</v>
      </c>
      <c r="E27" s="191">
        <v>372400</v>
      </c>
      <c r="F27" s="191">
        <v>415400</v>
      </c>
      <c r="G27" s="192">
        <v>458400</v>
      </c>
      <c r="J27" s="189" t="s">
        <v>195</v>
      </c>
      <c r="K27" s="186">
        <v>227100</v>
      </c>
      <c r="L27" s="179">
        <v>256750</v>
      </c>
      <c r="M27" s="188">
        <v>286400</v>
      </c>
      <c r="N27" s="181">
        <v>307900</v>
      </c>
      <c r="O27" s="188">
        <v>329400</v>
      </c>
      <c r="P27" s="181">
        <v>350900</v>
      </c>
      <c r="Q27" s="188">
        <v>372400</v>
      </c>
      <c r="R27" s="181">
        <v>393900</v>
      </c>
      <c r="S27" s="186">
        <v>415400</v>
      </c>
      <c r="T27" s="179">
        <v>436900</v>
      </c>
      <c r="U27" s="186">
        <v>458400</v>
      </c>
    </row>
    <row r="28" spans="1:21" ht="15" x14ac:dyDescent="0.25">
      <c r="A28" s="189" t="s">
        <v>196</v>
      </c>
      <c r="B28" s="190">
        <v>14000</v>
      </c>
      <c r="C28" s="191">
        <v>16800</v>
      </c>
      <c r="D28" s="191">
        <v>20100</v>
      </c>
      <c r="E28" s="191">
        <v>24200</v>
      </c>
      <c r="F28" s="191">
        <v>29000</v>
      </c>
      <c r="G28" s="192">
        <v>33800</v>
      </c>
      <c r="J28" s="189" t="s">
        <v>196</v>
      </c>
      <c r="K28" s="186">
        <v>14000</v>
      </c>
      <c r="L28" s="179">
        <v>15400</v>
      </c>
      <c r="M28" s="188">
        <v>16800</v>
      </c>
      <c r="N28" s="181">
        <v>18450</v>
      </c>
      <c r="O28" s="188">
        <v>20100</v>
      </c>
      <c r="P28" s="181">
        <v>22150</v>
      </c>
      <c r="Q28" s="188">
        <v>24200</v>
      </c>
      <c r="R28" s="181">
        <v>26600</v>
      </c>
      <c r="S28" s="186">
        <v>29000</v>
      </c>
      <c r="T28" s="179">
        <v>31400</v>
      </c>
      <c r="U28" s="186">
        <v>33800</v>
      </c>
    </row>
    <row r="29" spans="1:21" ht="15" x14ac:dyDescent="0.25">
      <c r="A29" s="189" t="s">
        <v>197</v>
      </c>
      <c r="B29" s="190">
        <v>24700</v>
      </c>
      <c r="C29" s="191">
        <v>46700</v>
      </c>
      <c r="D29" s="191">
        <v>61900</v>
      </c>
      <c r="E29" s="191">
        <v>74800</v>
      </c>
      <c r="F29" s="191">
        <v>89000</v>
      </c>
      <c r="G29" s="192">
        <v>103300</v>
      </c>
      <c r="J29" s="189" t="s">
        <v>197</v>
      </c>
      <c r="K29" s="186">
        <v>24700</v>
      </c>
      <c r="L29" s="179">
        <v>35700</v>
      </c>
      <c r="M29" s="186">
        <v>46700</v>
      </c>
      <c r="N29" s="179">
        <v>54300</v>
      </c>
      <c r="O29" s="186">
        <v>61900</v>
      </c>
      <c r="P29" s="179">
        <v>68350</v>
      </c>
      <c r="Q29" s="186">
        <v>74800</v>
      </c>
      <c r="R29" s="179">
        <v>81900</v>
      </c>
      <c r="S29" s="186">
        <v>89000</v>
      </c>
      <c r="T29" s="179">
        <v>96150</v>
      </c>
      <c r="U29" s="186">
        <v>103300</v>
      </c>
    </row>
    <row r="30" spans="1:21" ht="15" x14ac:dyDescent="0.25">
      <c r="A30" s="189" t="s">
        <v>198</v>
      </c>
      <c r="B30" s="190">
        <v>100</v>
      </c>
      <c r="C30" s="191">
        <v>4000</v>
      </c>
      <c r="D30" s="191">
        <v>9300</v>
      </c>
      <c r="E30" s="191">
        <v>14500</v>
      </c>
      <c r="F30" s="191">
        <v>19800</v>
      </c>
      <c r="G30" s="192">
        <v>25100</v>
      </c>
      <c r="J30" s="189" t="s">
        <v>198</v>
      </c>
      <c r="K30" s="186">
        <v>100</v>
      </c>
      <c r="L30" s="179">
        <v>2050</v>
      </c>
      <c r="M30" s="186">
        <v>4000</v>
      </c>
      <c r="N30" s="179">
        <v>6650</v>
      </c>
      <c r="O30" s="186">
        <v>9300</v>
      </c>
      <c r="P30" s="179">
        <v>11900</v>
      </c>
      <c r="Q30" s="186">
        <v>14500</v>
      </c>
      <c r="R30" s="179">
        <v>17150</v>
      </c>
      <c r="S30" s="186">
        <v>19800</v>
      </c>
      <c r="T30" s="179">
        <v>22450</v>
      </c>
      <c r="U30" s="186">
        <v>25100</v>
      </c>
    </row>
    <row r="31" spans="1:21" ht="15" x14ac:dyDescent="0.25">
      <c r="A31" s="189" t="s">
        <v>199</v>
      </c>
      <c r="B31" s="190">
        <v>81000</v>
      </c>
      <c r="C31" s="191">
        <v>94300</v>
      </c>
      <c r="D31" s="191">
        <v>108600</v>
      </c>
      <c r="E31" s="191">
        <v>122800</v>
      </c>
      <c r="F31" s="191">
        <v>137100</v>
      </c>
      <c r="G31" s="192">
        <v>151300</v>
      </c>
      <c r="J31" s="189" t="s">
        <v>199</v>
      </c>
      <c r="K31" s="186">
        <v>81000</v>
      </c>
      <c r="L31" s="179">
        <v>87650</v>
      </c>
      <c r="M31" s="186">
        <v>94300</v>
      </c>
      <c r="N31" s="179">
        <v>101450</v>
      </c>
      <c r="O31" s="186">
        <v>108600</v>
      </c>
      <c r="P31" s="179">
        <v>115700</v>
      </c>
      <c r="Q31" s="186">
        <v>122800</v>
      </c>
      <c r="R31" s="179">
        <v>129950</v>
      </c>
      <c r="S31" s="186">
        <v>137100</v>
      </c>
      <c r="T31" s="179">
        <v>144200</v>
      </c>
      <c r="U31" s="186">
        <v>151300</v>
      </c>
    </row>
    <row r="32" spans="1:21" ht="15" x14ac:dyDescent="0.25">
      <c r="A32" s="189" t="s">
        <v>200</v>
      </c>
      <c r="B32" s="193">
        <v>3700</v>
      </c>
      <c r="C32" s="194">
        <v>24000</v>
      </c>
      <c r="D32" s="194">
        <v>58600</v>
      </c>
      <c r="E32" s="194">
        <v>79900</v>
      </c>
      <c r="F32" s="194">
        <v>87100</v>
      </c>
      <c r="G32" s="195">
        <v>96800</v>
      </c>
      <c r="J32" s="189" t="s">
        <v>200</v>
      </c>
      <c r="K32" s="186">
        <v>3700</v>
      </c>
      <c r="L32" s="179">
        <v>13850</v>
      </c>
      <c r="M32" s="186">
        <v>24000</v>
      </c>
      <c r="N32" s="179">
        <v>41300</v>
      </c>
      <c r="O32" s="186">
        <v>58600</v>
      </c>
      <c r="P32" s="179">
        <v>69250</v>
      </c>
      <c r="Q32" s="186">
        <v>79900</v>
      </c>
      <c r="R32" s="179">
        <v>83500</v>
      </c>
      <c r="S32" s="186">
        <v>87100</v>
      </c>
      <c r="T32" s="179">
        <v>91950</v>
      </c>
      <c r="U32" s="186">
        <v>96800</v>
      </c>
    </row>
    <row r="33" spans="1:26" ht="15" x14ac:dyDescent="0.25">
      <c r="A33" s="189" t="s">
        <v>201</v>
      </c>
      <c r="B33" s="190">
        <v>483300</v>
      </c>
      <c r="C33" s="191">
        <v>638500</v>
      </c>
      <c r="D33" s="191">
        <v>799100</v>
      </c>
      <c r="E33" s="191">
        <v>963200</v>
      </c>
      <c r="F33" s="194">
        <v>1134200</v>
      </c>
      <c r="G33" s="195">
        <v>1316200</v>
      </c>
      <c r="J33" s="189" t="s">
        <v>201</v>
      </c>
      <c r="K33" s="186">
        <v>483300</v>
      </c>
      <c r="L33" s="179">
        <v>560900</v>
      </c>
      <c r="M33" s="186">
        <v>638500</v>
      </c>
      <c r="N33" s="179">
        <v>718800</v>
      </c>
      <c r="O33" s="186">
        <v>799100</v>
      </c>
      <c r="P33" s="179">
        <v>881150</v>
      </c>
      <c r="Q33" s="186">
        <v>963200</v>
      </c>
      <c r="R33" s="179">
        <v>1048700</v>
      </c>
      <c r="S33" s="186">
        <v>1134200</v>
      </c>
      <c r="T33" s="179">
        <v>1225200</v>
      </c>
      <c r="U33" s="186">
        <v>1316200</v>
      </c>
    </row>
    <row r="34" spans="1:26" ht="15" x14ac:dyDescent="0.25">
      <c r="A34" s="189" t="s">
        <v>202</v>
      </c>
      <c r="B34" s="190">
        <v>40900</v>
      </c>
      <c r="C34" s="191">
        <v>56600</v>
      </c>
      <c r="D34" s="191">
        <v>76000</v>
      </c>
      <c r="E34" s="191">
        <v>92200</v>
      </c>
      <c r="F34" s="191">
        <v>111800</v>
      </c>
      <c r="G34" s="192">
        <v>135700</v>
      </c>
      <c r="J34" s="189" t="s">
        <v>202</v>
      </c>
      <c r="K34" s="186">
        <v>40900</v>
      </c>
      <c r="L34" s="179">
        <v>48750</v>
      </c>
      <c r="M34" s="186">
        <v>56600</v>
      </c>
      <c r="N34" s="179">
        <v>66300</v>
      </c>
      <c r="O34" s="186">
        <v>76000</v>
      </c>
      <c r="P34" s="179">
        <v>84100</v>
      </c>
      <c r="Q34" s="186">
        <v>92200</v>
      </c>
      <c r="R34" s="179">
        <v>102000</v>
      </c>
      <c r="S34" s="186">
        <v>111800</v>
      </c>
      <c r="T34" s="179">
        <v>123750</v>
      </c>
      <c r="U34" s="186">
        <v>135700</v>
      </c>
    </row>
    <row r="35" spans="1:26" ht="15.75" thickBot="1" x14ac:dyDescent="0.3">
      <c r="A35" s="196" t="s">
        <v>203</v>
      </c>
      <c r="B35" s="197">
        <v>0</v>
      </c>
      <c r="C35" s="198">
        <v>0</v>
      </c>
      <c r="D35" s="198">
        <v>0</v>
      </c>
      <c r="E35" s="198">
        <v>0</v>
      </c>
      <c r="F35" s="198">
        <v>0</v>
      </c>
      <c r="G35" s="199">
        <v>0</v>
      </c>
      <c r="J35" s="196" t="s">
        <v>203</v>
      </c>
      <c r="K35" s="186">
        <v>0</v>
      </c>
      <c r="L35" s="179">
        <v>0</v>
      </c>
      <c r="M35" s="186">
        <v>0</v>
      </c>
      <c r="N35" s="179">
        <v>0</v>
      </c>
      <c r="O35" s="186">
        <v>0</v>
      </c>
      <c r="P35" s="179">
        <v>0</v>
      </c>
      <c r="Q35" s="186">
        <v>0</v>
      </c>
      <c r="R35" s="179">
        <v>0</v>
      </c>
      <c r="S35" s="186">
        <v>0</v>
      </c>
      <c r="T35" s="179">
        <v>0</v>
      </c>
      <c r="U35" s="186">
        <v>0</v>
      </c>
    </row>
    <row r="36" spans="1:26" ht="14.25" thickTop="1" thickBot="1" x14ac:dyDescent="0.25">
      <c r="A36" s="200" t="s">
        <v>204</v>
      </c>
      <c r="B36" s="201">
        <f>SUM(B24:B35)</f>
        <v>1067700</v>
      </c>
      <c r="C36" s="201">
        <f t="shared" ref="C36:G36" si="1">SUM(C24:C35)</f>
        <v>1422700</v>
      </c>
      <c r="D36" s="201">
        <f t="shared" si="1"/>
        <v>1787100</v>
      </c>
      <c r="E36" s="201">
        <f t="shared" si="1"/>
        <v>2132500</v>
      </c>
      <c r="F36" s="201">
        <f t="shared" si="1"/>
        <v>2453900</v>
      </c>
      <c r="G36" s="201">
        <f t="shared" si="1"/>
        <v>2775200</v>
      </c>
      <c r="J36" t="s">
        <v>204</v>
      </c>
      <c r="K36" s="186">
        <v>1067700</v>
      </c>
      <c r="L36" s="186">
        <v>1240300</v>
      </c>
      <c r="M36" s="186">
        <v>1422700</v>
      </c>
      <c r="N36" s="186">
        <v>1605100</v>
      </c>
      <c r="O36" s="186">
        <v>1787100</v>
      </c>
      <c r="P36" s="186">
        <v>1962650</v>
      </c>
      <c r="Q36" s="186">
        <v>2132500</v>
      </c>
      <c r="R36" s="186">
        <v>2293200</v>
      </c>
      <c r="S36" s="186">
        <v>2453900</v>
      </c>
      <c r="T36" s="186">
        <v>2614550</v>
      </c>
      <c r="U36" s="186">
        <v>2775200</v>
      </c>
    </row>
    <row r="40" spans="1:26" x14ac:dyDescent="0.2">
      <c r="A40" s="217" t="s">
        <v>139</v>
      </c>
      <c r="B40" s="247"/>
      <c r="C40" s="247"/>
      <c r="D40" s="247"/>
      <c r="E40" s="247"/>
      <c r="F40" s="247"/>
      <c r="G40" s="247"/>
      <c r="H40" s="247"/>
      <c r="I40" s="247"/>
      <c r="J40" s="247"/>
      <c r="K40" s="247"/>
      <c r="L40" s="247"/>
      <c r="M40" s="247"/>
      <c r="N40" s="247"/>
      <c r="O40" s="247"/>
      <c r="P40" s="247"/>
      <c r="Q40" s="247"/>
      <c r="R40" s="247"/>
      <c r="S40" s="247"/>
      <c r="T40" s="247"/>
      <c r="U40" s="247"/>
      <c r="V40" s="247"/>
      <c r="W40" s="247"/>
      <c r="X40" s="247"/>
      <c r="Y40" s="247"/>
      <c r="Z40" s="247"/>
    </row>
    <row r="41" spans="1:26" x14ac:dyDescent="0.2">
      <c r="A41" s="154" t="s">
        <v>329</v>
      </c>
    </row>
    <row r="42" spans="1:26" ht="45" x14ac:dyDescent="0.25">
      <c r="A42" s="280" t="s">
        <v>309</v>
      </c>
      <c r="B42" s="281" t="s">
        <v>313</v>
      </c>
      <c r="C42" s="281" t="s">
        <v>215</v>
      </c>
      <c r="D42" s="281" t="s">
        <v>15</v>
      </c>
      <c r="E42" s="281" t="s">
        <v>314</v>
      </c>
      <c r="F42" s="281" t="s">
        <v>148</v>
      </c>
      <c r="G42" s="282" t="s">
        <v>315</v>
      </c>
    </row>
    <row r="43" spans="1:26" ht="15" x14ac:dyDescent="0.25">
      <c r="A43" s="283" t="s">
        <v>192</v>
      </c>
      <c r="B43" s="284" t="s">
        <v>316</v>
      </c>
      <c r="C43" s="285" t="s">
        <v>235</v>
      </c>
      <c r="D43" s="299" t="s">
        <v>160</v>
      </c>
      <c r="E43" s="286" t="s">
        <v>153</v>
      </c>
      <c r="F43" s="300" t="s">
        <v>330</v>
      </c>
      <c r="G43" s="287">
        <v>8.5</v>
      </c>
    </row>
    <row r="44" spans="1:26" ht="15" x14ac:dyDescent="0.25">
      <c r="A44" s="283" t="s">
        <v>310</v>
      </c>
      <c r="B44" s="284" t="s">
        <v>316</v>
      </c>
      <c r="C44" s="285" t="s">
        <v>235</v>
      </c>
      <c r="D44" s="299" t="s">
        <v>160</v>
      </c>
      <c r="E44" s="286" t="s">
        <v>153</v>
      </c>
      <c r="F44" s="300" t="s">
        <v>330</v>
      </c>
      <c r="G44" s="287">
        <v>23.5</v>
      </c>
    </row>
    <row r="45" spans="1:26" ht="15" x14ac:dyDescent="0.25">
      <c r="A45" s="283" t="s">
        <v>311</v>
      </c>
      <c r="B45" s="284" t="s">
        <v>316</v>
      </c>
      <c r="C45" s="285" t="s">
        <v>235</v>
      </c>
      <c r="D45" s="299" t="s">
        <v>160</v>
      </c>
      <c r="E45" s="286" t="s">
        <v>153</v>
      </c>
      <c r="F45" s="300" t="s">
        <v>330</v>
      </c>
      <c r="G45" s="287">
        <v>3.5</v>
      </c>
    </row>
    <row r="46" spans="1:26" ht="15" x14ac:dyDescent="0.25">
      <c r="A46" s="283" t="s">
        <v>203</v>
      </c>
      <c r="B46" s="284" t="s">
        <v>316</v>
      </c>
      <c r="C46" s="285" t="s">
        <v>235</v>
      </c>
      <c r="D46" s="299" t="s">
        <v>160</v>
      </c>
      <c r="E46" s="286" t="s">
        <v>153</v>
      </c>
      <c r="F46" s="300" t="s">
        <v>330</v>
      </c>
      <c r="G46" s="287">
        <v>3.5</v>
      </c>
    </row>
    <row r="47" spans="1:26" ht="15" x14ac:dyDescent="0.25">
      <c r="A47" s="289" t="s">
        <v>194</v>
      </c>
      <c r="B47" s="284" t="s">
        <v>316</v>
      </c>
      <c r="C47" s="285" t="s">
        <v>235</v>
      </c>
      <c r="D47" s="299" t="s">
        <v>160</v>
      </c>
      <c r="E47" s="286" t="s">
        <v>153</v>
      </c>
      <c r="F47" s="300" t="s">
        <v>330</v>
      </c>
      <c r="G47" s="287">
        <v>6</v>
      </c>
    </row>
    <row r="48" spans="1:26" ht="15" x14ac:dyDescent="0.25">
      <c r="A48" s="290" t="s">
        <v>195</v>
      </c>
      <c r="B48" s="284" t="s">
        <v>316</v>
      </c>
      <c r="C48" s="285" t="s">
        <v>235</v>
      </c>
      <c r="D48" s="299" t="s">
        <v>160</v>
      </c>
      <c r="E48" s="286" t="s">
        <v>153</v>
      </c>
      <c r="F48" s="300" t="s">
        <v>330</v>
      </c>
      <c r="G48" s="287">
        <v>10</v>
      </c>
    </row>
    <row r="49" spans="1:26" ht="26.25" x14ac:dyDescent="0.25">
      <c r="A49" s="291"/>
      <c r="B49" s="284" t="s">
        <v>317</v>
      </c>
      <c r="C49" s="285" t="s">
        <v>318</v>
      </c>
      <c r="D49" s="299" t="s">
        <v>160</v>
      </c>
      <c r="E49" s="286" t="s">
        <v>156</v>
      </c>
      <c r="F49" s="286" t="s">
        <v>336</v>
      </c>
      <c r="G49" s="287">
        <v>28.9</v>
      </c>
    </row>
    <row r="50" spans="1:26" ht="26.25" x14ac:dyDescent="0.25">
      <c r="A50" s="291" t="s">
        <v>196</v>
      </c>
      <c r="B50" s="284" t="s">
        <v>319</v>
      </c>
      <c r="C50" s="285" t="s">
        <v>318</v>
      </c>
      <c r="D50" s="299" t="s">
        <v>160</v>
      </c>
      <c r="E50" s="286" t="s">
        <v>156</v>
      </c>
      <c r="F50" s="301" t="s">
        <v>338</v>
      </c>
      <c r="G50" s="287">
        <v>2.6</v>
      </c>
    </row>
    <row r="51" spans="1:26" ht="15" x14ac:dyDescent="0.25">
      <c r="A51" s="290" t="s">
        <v>197</v>
      </c>
      <c r="B51" s="292" t="s">
        <v>320</v>
      </c>
      <c r="C51" s="285" t="s">
        <v>235</v>
      </c>
      <c r="D51" s="299" t="s">
        <v>160</v>
      </c>
      <c r="E51" s="286" t="s">
        <v>153</v>
      </c>
      <c r="F51" s="300" t="s">
        <v>330</v>
      </c>
      <c r="G51" s="288">
        <v>2</v>
      </c>
    </row>
    <row r="52" spans="1:26" ht="15" x14ac:dyDescent="0.25">
      <c r="A52" s="290"/>
      <c r="B52" s="284" t="s">
        <v>321</v>
      </c>
      <c r="C52" s="285" t="s">
        <v>234</v>
      </c>
      <c r="D52" s="299" t="s">
        <v>160</v>
      </c>
      <c r="E52" s="286" t="s">
        <v>153</v>
      </c>
      <c r="F52" s="299" t="s">
        <v>337</v>
      </c>
      <c r="G52" s="287">
        <v>6.67</v>
      </c>
    </row>
    <row r="53" spans="1:26" ht="26.25" x14ac:dyDescent="0.25">
      <c r="A53" s="293" t="s">
        <v>198</v>
      </c>
      <c r="B53" s="294" t="s">
        <v>322</v>
      </c>
      <c r="C53" s="295" t="s">
        <v>234</v>
      </c>
      <c r="D53" s="299" t="s">
        <v>160</v>
      </c>
      <c r="E53" s="286" t="s">
        <v>153</v>
      </c>
      <c r="F53" s="429" t="s">
        <v>466</v>
      </c>
      <c r="G53" s="296">
        <v>0.25</v>
      </c>
    </row>
    <row r="54" spans="1:26" ht="15" x14ac:dyDescent="0.25">
      <c r="A54" s="297"/>
      <c r="B54" s="298" t="s">
        <v>320</v>
      </c>
      <c r="C54" s="285" t="s">
        <v>235</v>
      </c>
      <c r="D54" s="299" t="s">
        <v>160</v>
      </c>
      <c r="E54" s="286" t="s">
        <v>153</v>
      </c>
      <c r="F54" s="300" t="s">
        <v>330</v>
      </c>
      <c r="G54" s="288">
        <v>1</v>
      </c>
    </row>
    <row r="55" spans="1:26" ht="15" x14ac:dyDescent="0.25">
      <c r="A55" s="290" t="s">
        <v>199</v>
      </c>
      <c r="B55" s="284" t="s">
        <v>316</v>
      </c>
      <c r="C55" s="129" t="s">
        <v>235</v>
      </c>
      <c r="D55" s="299" t="s">
        <v>160</v>
      </c>
      <c r="E55" s="286" t="s">
        <v>153</v>
      </c>
      <c r="F55" s="300" t="s">
        <v>330</v>
      </c>
      <c r="G55" s="287">
        <v>5</v>
      </c>
    </row>
    <row r="56" spans="1:26" ht="26.25" x14ac:dyDescent="0.25">
      <c r="A56" s="291"/>
      <c r="B56" s="284" t="s">
        <v>323</v>
      </c>
      <c r="C56" s="285" t="s">
        <v>318</v>
      </c>
      <c r="D56" s="299" t="s">
        <v>160</v>
      </c>
      <c r="E56" s="286" t="s">
        <v>153</v>
      </c>
      <c r="F56" s="300" t="s">
        <v>332</v>
      </c>
      <c r="G56" s="287">
        <v>10.5</v>
      </c>
    </row>
    <row r="57" spans="1:26" ht="26.25" x14ac:dyDescent="0.25">
      <c r="A57" s="291" t="s">
        <v>200</v>
      </c>
      <c r="B57" s="284" t="s">
        <v>324</v>
      </c>
      <c r="C57" s="285" t="s">
        <v>291</v>
      </c>
      <c r="D57" s="299" t="s">
        <v>160</v>
      </c>
      <c r="E57" s="286" t="s">
        <v>153</v>
      </c>
      <c r="F57" s="300" t="s">
        <v>333</v>
      </c>
      <c r="G57" s="287">
        <v>2</v>
      </c>
    </row>
    <row r="58" spans="1:26" ht="26.25" x14ac:dyDescent="0.25">
      <c r="A58" s="290" t="s">
        <v>201</v>
      </c>
      <c r="B58" s="284" t="s">
        <v>325</v>
      </c>
      <c r="C58" s="285" t="s">
        <v>326</v>
      </c>
      <c r="D58" s="299" t="s">
        <v>160</v>
      </c>
      <c r="E58" s="286" t="s">
        <v>156</v>
      </c>
      <c r="F58" s="300" t="s">
        <v>333</v>
      </c>
      <c r="G58" s="287">
        <v>66.099999999999994</v>
      </c>
    </row>
    <row r="59" spans="1:26" ht="26.25" x14ac:dyDescent="0.25">
      <c r="A59" s="291"/>
      <c r="B59" s="284" t="s">
        <v>327</v>
      </c>
      <c r="C59" s="285" t="s">
        <v>318</v>
      </c>
      <c r="D59" s="299" t="s">
        <v>160</v>
      </c>
      <c r="E59" s="299" t="s">
        <v>156</v>
      </c>
      <c r="F59" s="300" t="s">
        <v>334</v>
      </c>
      <c r="G59" s="287">
        <v>11.2</v>
      </c>
    </row>
    <row r="60" spans="1:26" ht="26.25" x14ac:dyDescent="0.25">
      <c r="A60" s="291" t="s">
        <v>202</v>
      </c>
      <c r="B60" s="284" t="s">
        <v>328</v>
      </c>
      <c r="C60" s="285" t="s">
        <v>291</v>
      </c>
      <c r="D60" s="299" t="s">
        <v>160</v>
      </c>
      <c r="E60" s="299" t="s">
        <v>155</v>
      </c>
      <c r="F60" s="300" t="s">
        <v>335</v>
      </c>
      <c r="G60" s="287">
        <v>12</v>
      </c>
    </row>
    <row r="62" spans="1:26" ht="15" x14ac:dyDescent="0.25">
      <c r="A62" s="330" t="s">
        <v>358</v>
      </c>
      <c r="B62" s="247"/>
      <c r="C62" s="247"/>
      <c r="D62" s="247"/>
      <c r="E62" s="247"/>
      <c r="F62" s="247"/>
      <c r="G62" s="247"/>
      <c r="H62" s="247"/>
      <c r="I62" s="247"/>
      <c r="J62" s="247"/>
      <c r="K62" s="247"/>
      <c r="L62" s="247"/>
      <c r="M62" s="247"/>
      <c r="N62" s="247"/>
      <c r="O62" s="247"/>
      <c r="P62" s="247"/>
      <c r="Q62" s="247"/>
      <c r="R62" s="247"/>
      <c r="S62" s="247"/>
      <c r="T62" s="247"/>
      <c r="U62" s="247"/>
      <c r="V62" s="247"/>
      <c r="W62" s="247"/>
      <c r="X62" s="247"/>
      <c r="Y62" s="247"/>
      <c r="Z62" s="247"/>
    </row>
    <row r="63" spans="1:26" x14ac:dyDescent="0.2">
      <c r="A63" s="154" t="s">
        <v>385</v>
      </c>
    </row>
    <row r="65" spans="1:12" x14ac:dyDescent="0.2">
      <c r="A65" t="s">
        <v>383</v>
      </c>
      <c r="B65">
        <v>2010</v>
      </c>
      <c r="C65">
        <v>2015</v>
      </c>
      <c r="D65">
        <v>2020</v>
      </c>
      <c r="E65">
        <v>2025</v>
      </c>
      <c r="F65">
        <v>2030</v>
      </c>
      <c r="G65">
        <v>2035</v>
      </c>
      <c r="H65">
        <v>2040</v>
      </c>
      <c r="I65">
        <v>2045</v>
      </c>
      <c r="J65">
        <v>2050</v>
      </c>
      <c r="K65">
        <v>2055</v>
      </c>
      <c r="L65">
        <v>2060</v>
      </c>
    </row>
    <row r="66" spans="1:12" x14ac:dyDescent="0.2">
      <c r="A66" t="s">
        <v>192</v>
      </c>
      <c r="B66">
        <v>0</v>
      </c>
      <c r="C66">
        <v>0</v>
      </c>
      <c r="D66">
        <v>0</v>
      </c>
      <c r="E66">
        <v>0</v>
      </c>
      <c r="F66">
        <v>0</v>
      </c>
      <c r="G66">
        <v>0.30000000000000071</v>
      </c>
      <c r="H66">
        <v>1.4299999999999997</v>
      </c>
      <c r="I66">
        <v>1.9649999999999999</v>
      </c>
      <c r="J66">
        <v>2.5</v>
      </c>
      <c r="K66">
        <v>2.7699999999999996</v>
      </c>
      <c r="L66">
        <v>3.0399999999999991</v>
      </c>
    </row>
    <row r="67" spans="1:12" x14ac:dyDescent="0.2">
      <c r="A67" t="s">
        <v>310</v>
      </c>
      <c r="B67">
        <v>0</v>
      </c>
      <c r="C67">
        <v>0</v>
      </c>
      <c r="D67">
        <v>0</v>
      </c>
      <c r="E67">
        <v>0</v>
      </c>
      <c r="F67">
        <v>0.78999999999999915</v>
      </c>
      <c r="G67">
        <v>2.5</v>
      </c>
      <c r="H67">
        <v>3.9200000000000017</v>
      </c>
      <c r="I67">
        <v>5.1099999999999994</v>
      </c>
      <c r="J67">
        <v>6.3000000000000007</v>
      </c>
      <c r="K67">
        <v>6.3000000000000007</v>
      </c>
      <c r="L67">
        <v>6.3000000000000007</v>
      </c>
    </row>
    <row r="68" spans="1:12" x14ac:dyDescent="0.2">
      <c r="A68" t="s">
        <v>311</v>
      </c>
      <c r="B68">
        <v>0</v>
      </c>
      <c r="C68">
        <v>0</v>
      </c>
      <c r="D68">
        <v>0</v>
      </c>
      <c r="E68">
        <v>0</v>
      </c>
      <c r="F68">
        <v>0</v>
      </c>
      <c r="G68">
        <v>0</v>
      </c>
      <c r="H68">
        <v>0</v>
      </c>
      <c r="I68">
        <v>0</v>
      </c>
      <c r="J68">
        <v>2.9999999999999805E-2</v>
      </c>
      <c r="K68">
        <v>5.9999999999999609E-2</v>
      </c>
      <c r="L68">
        <v>8.9999999999999858E-2</v>
      </c>
    </row>
    <row r="69" spans="1:12" x14ac:dyDescent="0.2">
      <c r="A69" t="s">
        <v>203</v>
      </c>
      <c r="B69">
        <v>0</v>
      </c>
      <c r="C69">
        <v>0</v>
      </c>
      <c r="D69">
        <v>0</v>
      </c>
      <c r="E69">
        <v>0</v>
      </c>
      <c r="F69">
        <v>0</v>
      </c>
      <c r="G69">
        <v>0</v>
      </c>
      <c r="H69">
        <v>0</v>
      </c>
      <c r="I69">
        <v>0</v>
      </c>
      <c r="J69">
        <v>0</v>
      </c>
      <c r="K69">
        <v>0</v>
      </c>
      <c r="L69">
        <v>0</v>
      </c>
    </row>
    <row r="70" spans="1:12" x14ac:dyDescent="0.2">
      <c r="A70" t="s">
        <v>194</v>
      </c>
      <c r="B70">
        <v>0</v>
      </c>
      <c r="C70">
        <v>0</v>
      </c>
      <c r="D70">
        <v>0</v>
      </c>
      <c r="E70">
        <v>0.8149999999999995</v>
      </c>
      <c r="F70">
        <v>2.34</v>
      </c>
      <c r="G70">
        <v>4.129999999999999</v>
      </c>
      <c r="H70">
        <v>5.92</v>
      </c>
      <c r="I70">
        <v>7.0350000000000001</v>
      </c>
      <c r="J70">
        <v>8.15</v>
      </c>
      <c r="K70">
        <v>10.129999999999999</v>
      </c>
      <c r="L70">
        <v>12.11</v>
      </c>
    </row>
    <row r="71" spans="1:12" x14ac:dyDescent="0.2">
      <c r="A71" t="s">
        <v>195</v>
      </c>
      <c r="B71">
        <v>0</v>
      </c>
      <c r="C71">
        <v>0</v>
      </c>
      <c r="D71">
        <v>0</v>
      </c>
      <c r="E71">
        <v>0</v>
      </c>
      <c r="F71">
        <v>0</v>
      </c>
      <c r="G71">
        <v>0</v>
      </c>
      <c r="H71">
        <v>0</v>
      </c>
      <c r="I71">
        <v>1.07</v>
      </c>
      <c r="J71">
        <v>2.96</v>
      </c>
      <c r="K71">
        <v>4.21</v>
      </c>
      <c r="L71">
        <v>5.47</v>
      </c>
    </row>
    <row r="72" spans="1:12" x14ac:dyDescent="0.2">
      <c r="A72" t="s">
        <v>196</v>
      </c>
      <c r="B72">
        <v>0</v>
      </c>
      <c r="C72">
        <v>0</v>
      </c>
      <c r="D72">
        <v>0</v>
      </c>
      <c r="E72">
        <v>0</v>
      </c>
      <c r="F72">
        <v>0.10000000000000009</v>
      </c>
      <c r="G72">
        <v>0.26500000000000012</v>
      </c>
      <c r="H72">
        <v>0.42999999999999972</v>
      </c>
      <c r="I72">
        <v>0.60499999999999998</v>
      </c>
      <c r="J72">
        <v>0.7799999999999998</v>
      </c>
      <c r="K72">
        <v>0.94</v>
      </c>
      <c r="L72">
        <v>1.1000000000000001</v>
      </c>
    </row>
    <row r="73" spans="1:12" x14ac:dyDescent="0.2">
      <c r="A73" t="s">
        <v>197</v>
      </c>
      <c r="B73">
        <v>0</v>
      </c>
      <c r="C73">
        <v>0</v>
      </c>
      <c r="D73">
        <v>0</v>
      </c>
      <c r="E73">
        <v>0</v>
      </c>
      <c r="F73">
        <v>0</v>
      </c>
      <c r="G73">
        <v>0</v>
      </c>
      <c r="H73">
        <v>7.0000000000000284E-2</v>
      </c>
      <c r="I73">
        <v>0.57000000000000028</v>
      </c>
      <c r="J73">
        <v>1.0700000000000003</v>
      </c>
      <c r="K73">
        <v>1.5899999999999999</v>
      </c>
      <c r="L73">
        <v>2.1099999999999994</v>
      </c>
    </row>
    <row r="74" spans="1:12" x14ac:dyDescent="0.2">
      <c r="A74" t="s">
        <v>384</v>
      </c>
      <c r="B74">
        <v>0</v>
      </c>
      <c r="C74">
        <v>0.10999999999999999</v>
      </c>
      <c r="D74">
        <v>0.44999999999999996</v>
      </c>
      <c r="E74">
        <v>0.89500000000000002</v>
      </c>
      <c r="F74">
        <v>1.34</v>
      </c>
      <c r="G74">
        <v>1.7549999999999999</v>
      </c>
      <c r="H74">
        <v>2.17</v>
      </c>
      <c r="I74">
        <v>2.56</v>
      </c>
      <c r="J74">
        <v>2.95</v>
      </c>
      <c r="K74">
        <v>3.31</v>
      </c>
      <c r="L74">
        <v>3.67</v>
      </c>
    </row>
    <row r="75" spans="1:12" x14ac:dyDescent="0.2">
      <c r="A75" t="s">
        <v>199</v>
      </c>
      <c r="B75">
        <v>0</v>
      </c>
      <c r="C75">
        <v>0</v>
      </c>
      <c r="D75">
        <v>0</v>
      </c>
      <c r="E75">
        <v>0</v>
      </c>
      <c r="F75">
        <v>0</v>
      </c>
      <c r="G75">
        <v>0</v>
      </c>
      <c r="H75">
        <v>0</v>
      </c>
      <c r="I75">
        <v>0</v>
      </c>
      <c r="J75">
        <v>0</v>
      </c>
      <c r="K75">
        <v>0</v>
      </c>
      <c r="L75">
        <v>0</v>
      </c>
    </row>
    <row r="76" spans="1:12" x14ac:dyDescent="0.2">
      <c r="A76" t="s">
        <v>200</v>
      </c>
      <c r="B76">
        <v>0</v>
      </c>
      <c r="C76">
        <v>0</v>
      </c>
      <c r="D76">
        <v>1.3399999999999999</v>
      </c>
      <c r="E76">
        <v>3.5549999999999997</v>
      </c>
      <c r="F76">
        <v>5.77</v>
      </c>
      <c r="G76">
        <v>6.93</v>
      </c>
      <c r="H76">
        <v>8.09</v>
      </c>
      <c r="I76">
        <v>8.4450000000000003</v>
      </c>
      <c r="J76">
        <v>8.8000000000000007</v>
      </c>
      <c r="K76">
        <v>9.2800000000000011</v>
      </c>
      <c r="L76">
        <v>9.76</v>
      </c>
    </row>
    <row r="77" spans="1:12" x14ac:dyDescent="0.2">
      <c r="A77" t="s">
        <v>201</v>
      </c>
      <c r="B77">
        <v>0</v>
      </c>
      <c r="C77">
        <v>0</v>
      </c>
      <c r="D77">
        <v>0</v>
      </c>
      <c r="E77">
        <v>0</v>
      </c>
      <c r="F77">
        <v>5.1000000000000085</v>
      </c>
      <c r="G77">
        <v>10.049999999999997</v>
      </c>
      <c r="H77">
        <v>15</v>
      </c>
      <c r="I77">
        <v>20.200000000000003</v>
      </c>
      <c r="J77">
        <v>25.400000000000006</v>
      </c>
      <c r="K77">
        <v>31.549999999999997</v>
      </c>
      <c r="L77">
        <v>37.700000000000003</v>
      </c>
    </row>
    <row r="78" spans="1:12" x14ac:dyDescent="0.2">
      <c r="A78" t="s">
        <v>202</v>
      </c>
      <c r="B78">
        <v>0</v>
      </c>
      <c r="C78">
        <v>0</v>
      </c>
      <c r="D78">
        <v>0</v>
      </c>
      <c r="E78">
        <v>0</v>
      </c>
      <c r="F78">
        <v>0</v>
      </c>
      <c r="G78">
        <v>1.3350000000000009</v>
      </c>
      <c r="H78">
        <v>3.2100000000000009</v>
      </c>
      <c r="I78">
        <v>5.8150000000000013</v>
      </c>
      <c r="J78">
        <v>8.4200000000000017</v>
      </c>
      <c r="K78">
        <v>10.605</v>
      </c>
      <c r="L78">
        <v>12.79</v>
      </c>
    </row>
    <row r="79" spans="1:12" x14ac:dyDescent="0.2">
      <c r="A79" t="s">
        <v>312</v>
      </c>
      <c r="B79">
        <v>0</v>
      </c>
      <c r="C79">
        <v>0.10999999999999999</v>
      </c>
      <c r="D79">
        <v>1.7899999999999998</v>
      </c>
      <c r="E79">
        <v>5.2649999999999988</v>
      </c>
      <c r="F79">
        <v>15.440000000000008</v>
      </c>
      <c r="G79">
        <v>27.264999999999997</v>
      </c>
      <c r="H79">
        <v>40.24</v>
      </c>
      <c r="I79">
        <v>53.38</v>
      </c>
      <c r="J79">
        <v>67.36</v>
      </c>
      <c r="K79">
        <v>80.75</v>
      </c>
      <c r="L79">
        <v>94.14</v>
      </c>
    </row>
    <row r="86" spans="1:18" x14ac:dyDescent="0.2">
      <c r="A86" s="217" t="s">
        <v>288</v>
      </c>
      <c r="B86" s="247"/>
      <c r="C86" s="247"/>
      <c r="D86" s="247"/>
      <c r="E86" s="247"/>
      <c r="F86" s="247"/>
      <c r="G86" s="247"/>
      <c r="H86" s="247"/>
      <c r="I86" s="247"/>
      <c r="J86" s="247"/>
      <c r="K86" s="247"/>
      <c r="L86" s="247"/>
      <c r="M86" s="247"/>
      <c r="N86" s="247"/>
      <c r="O86" s="247"/>
      <c r="P86" s="247"/>
      <c r="Q86" s="247"/>
      <c r="R86" s="247"/>
    </row>
    <row r="88" spans="1:18" x14ac:dyDescent="0.2">
      <c r="A88" s="153" t="s">
        <v>350</v>
      </c>
      <c r="G88" s="202" t="s">
        <v>39</v>
      </c>
      <c r="H88" s="202" t="s">
        <v>20</v>
      </c>
      <c r="I88" s="202" t="s">
        <v>468</v>
      </c>
    </row>
    <row r="89" spans="1:18" x14ac:dyDescent="0.2">
      <c r="A89" s="431" t="s">
        <v>128</v>
      </c>
      <c r="B89" s="431" t="s">
        <v>339</v>
      </c>
      <c r="C89" s="431" t="s">
        <v>215</v>
      </c>
      <c r="D89" s="431" t="s">
        <v>15</v>
      </c>
      <c r="E89" s="431" t="s">
        <v>44</v>
      </c>
      <c r="F89" s="431" t="s">
        <v>148</v>
      </c>
      <c r="G89" s="431" t="s">
        <v>19</v>
      </c>
      <c r="H89" s="431" t="s">
        <v>467</v>
      </c>
      <c r="I89" s="431" t="s">
        <v>23</v>
      </c>
    </row>
    <row r="90" spans="1:18" x14ac:dyDescent="0.2">
      <c r="A90" t="s">
        <v>192</v>
      </c>
      <c r="B90" t="s">
        <v>341</v>
      </c>
      <c r="C90" t="s">
        <v>342</v>
      </c>
      <c r="D90" t="s">
        <v>160</v>
      </c>
      <c r="E90" t="s">
        <v>153</v>
      </c>
      <c r="F90" t="s">
        <v>330</v>
      </c>
      <c r="G90">
        <v>2</v>
      </c>
      <c r="H90">
        <v>5</v>
      </c>
      <c r="I90">
        <v>2015</v>
      </c>
    </row>
    <row r="91" spans="1:18" x14ac:dyDescent="0.2">
      <c r="A91" t="s">
        <v>192</v>
      </c>
      <c r="B91" t="s">
        <v>343</v>
      </c>
      <c r="C91" t="s">
        <v>342</v>
      </c>
      <c r="D91" t="s">
        <v>160</v>
      </c>
      <c r="E91" t="s">
        <v>153</v>
      </c>
      <c r="F91" t="s">
        <v>330</v>
      </c>
      <c r="G91">
        <v>1.1000000000000001</v>
      </c>
      <c r="H91">
        <v>5</v>
      </c>
      <c r="I91">
        <v>2045</v>
      </c>
    </row>
    <row r="92" spans="1:18" x14ac:dyDescent="0.2">
      <c r="A92" t="s">
        <v>289</v>
      </c>
      <c r="B92" t="s">
        <v>341</v>
      </c>
      <c r="C92" t="s">
        <v>342</v>
      </c>
      <c r="D92" t="s">
        <v>160</v>
      </c>
      <c r="E92" t="s">
        <v>153</v>
      </c>
      <c r="F92" t="s">
        <v>330</v>
      </c>
      <c r="G92">
        <v>5.2</v>
      </c>
      <c r="H92">
        <v>5</v>
      </c>
      <c r="I92">
        <v>2015</v>
      </c>
    </row>
    <row r="93" spans="1:18" x14ac:dyDescent="0.2">
      <c r="A93" t="s">
        <v>289</v>
      </c>
      <c r="B93" t="s">
        <v>344</v>
      </c>
      <c r="C93" t="s">
        <v>342</v>
      </c>
      <c r="D93" t="s">
        <v>160</v>
      </c>
      <c r="E93" t="s">
        <v>153</v>
      </c>
      <c r="F93" t="s">
        <v>330</v>
      </c>
      <c r="G93">
        <v>1.4</v>
      </c>
      <c r="H93">
        <v>5</v>
      </c>
      <c r="I93">
        <v>2045</v>
      </c>
    </row>
    <row r="94" spans="1:18" x14ac:dyDescent="0.2">
      <c r="A94" t="s">
        <v>290</v>
      </c>
      <c r="B94" t="s">
        <v>341</v>
      </c>
      <c r="C94" t="s">
        <v>342</v>
      </c>
      <c r="D94" t="s">
        <v>160</v>
      </c>
      <c r="E94" t="s">
        <v>153</v>
      </c>
      <c r="F94" t="s">
        <v>330</v>
      </c>
      <c r="G94">
        <v>7.1</v>
      </c>
      <c r="H94">
        <v>5</v>
      </c>
      <c r="I94">
        <v>2015</v>
      </c>
    </row>
    <row r="95" spans="1:18" x14ac:dyDescent="0.2">
      <c r="A95" t="s">
        <v>290</v>
      </c>
      <c r="B95" t="s">
        <v>344</v>
      </c>
      <c r="C95" t="s">
        <v>342</v>
      </c>
      <c r="D95" t="s">
        <v>160</v>
      </c>
      <c r="E95" t="s">
        <v>153</v>
      </c>
      <c r="F95" t="s">
        <v>330</v>
      </c>
      <c r="G95">
        <v>5.0999999999999996</v>
      </c>
      <c r="H95">
        <v>5</v>
      </c>
      <c r="I95">
        <v>2045</v>
      </c>
    </row>
    <row r="96" spans="1:18" x14ac:dyDescent="0.2">
      <c r="A96" t="s">
        <v>195</v>
      </c>
      <c r="B96" t="s">
        <v>297</v>
      </c>
      <c r="C96" t="s">
        <v>296</v>
      </c>
      <c r="D96" t="s">
        <v>160</v>
      </c>
      <c r="E96" t="s">
        <v>156</v>
      </c>
      <c r="F96" t="s">
        <v>345</v>
      </c>
      <c r="G96">
        <v>6</v>
      </c>
      <c r="H96">
        <v>6</v>
      </c>
      <c r="I96">
        <v>2025</v>
      </c>
    </row>
    <row r="97" spans="1:9" x14ac:dyDescent="0.2">
      <c r="A97" t="s">
        <v>195</v>
      </c>
      <c r="B97" t="s">
        <v>341</v>
      </c>
      <c r="C97" t="s">
        <v>342</v>
      </c>
      <c r="D97" t="s">
        <v>160</v>
      </c>
      <c r="E97" t="s">
        <v>153</v>
      </c>
      <c r="F97" t="s">
        <v>330</v>
      </c>
      <c r="G97" t="s">
        <v>346</v>
      </c>
      <c r="H97">
        <v>5</v>
      </c>
      <c r="I97">
        <v>2015</v>
      </c>
    </row>
    <row r="98" spans="1:9" x14ac:dyDescent="0.2">
      <c r="A98" t="s">
        <v>196</v>
      </c>
      <c r="B98" t="s">
        <v>293</v>
      </c>
      <c r="C98" t="s">
        <v>294</v>
      </c>
      <c r="D98" t="s">
        <v>160</v>
      </c>
      <c r="E98" t="s">
        <v>156</v>
      </c>
      <c r="F98" t="s">
        <v>338</v>
      </c>
      <c r="G98">
        <v>1.2</v>
      </c>
      <c r="H98">
        <v>8</v>
      </c>
      <c r="I98">
        <v>2020</v>
      </c>
    </row>
    <row r="99" spans="1:9" x14ac:dyDescent="0.2">
      <c r="A99" t="s">
        <v>196</v>
      </c>
      <c r="B99" t="s">
        <v>341</v>
      </c>
      <c r="C99" t="s">
        <v>342</v>
      </c>
      <c r="D99" t="s">
        <v>160</v>
      </c>
      <c r="E99" t="s">
        <v>153</v>
      </c>
      <c r="F99" t="s">
        <v>330</v>
      </c>
      <c r="G99">
        <v>1</v>
      </c>
      <c r="H99">
        <v>5</v>
      </c>
      <c r="I99">
        <v>2015</v>
      </c>
    </row>
    <row r="100" spans="1:9" x14ac:dyDescent="0.2">
      <c r="A100" t="s">
        <v>197</v>
      </c>
      <c r="B100" t="s">
        <v>341</v>
      </c>
      <c r="C100" t="s">
        <v>342</v>
      </c>
      <c r="D100" t="s">
        <v>160</v>
      </c>
      <c r="E100" t="s">
        <v>153</v>
      </c>
      <c r="F100" t="s">
        <v>330</v>
      </c>
      <c r="G100">
        <v>2</v>
      </c>
      <c r="H100">
        <v>5</v>
      </c>
      <c r="I100">
        <v>2015</v>
      </c>
    </row>
    <row r="101" spans="1:9" x14ac:dyDescent="0.2">
      <c r="A101" t="s">
        <v>197</v>
      </c>
      <c r="B101" t="s">
        <v>347</v>
      </c>
      <c r="C101" t="s">
        <v>342</v>
      </c>
      <c r="D101" t="s">
        <v>160</v>
      </c>
      <c r="E101" t="s">
        <v>153</v>
      </c>
      <c r="F101" t="s">
        <v>330</v>
      </c>
      <c r="G101">
        <v>0.2</v>
      </c>
      <c r="H101">
        <v>5</v>
      </c>
      <c r="I101">
        <v>2045</v>
      </c>
    </row>
    <row r="102" spans="1:9" ht="15" x14ac:dyDescent="0.25">
      <c r="A102" t="s">
        <v>198</v>
      </c>
      <c r="B102" t="s">
        <v>298</v>
      </c>
      <c r="C102" t="s">
        <v>234</v>
      </c>
      <c r="D102" t="s">
        <v>160</v>
      </c>
      <c r="E102" t="s">
        <v>153</v>
      </c>
      <c r="F102" s="430" t="s">
        <v>466</v>
      </c>
      <c r="G102">
        <v>0.5</v>
      </c>
      <c r="H102">
        <v>1</v>
      </c>
      <c r="I102">
        <v>2015</v>
      </c>
    </row>
    <row r="103" spans="1:9" ht="15" x14ac:dyDescent="0.25">
      <c r="A103" t="s">
        <v>198</v>
      </c>
      <c r="B103" t="s">
        <v>348</v>
      </c>
      <c r="C103" t="s">
        <v>234</v>
      </c>
      <c r="D103" t="s">
        <v>160</v>
      </c>
      <c r="E103" t="s">
        <v>153</v>
      </c>
      <c r="F103" s="430" t="s">
        <v>466</v>
      </c>
      <c r="G103">
        <v>1.3</v>
      </c>
      <c r="H103">
        <v>5</v>
      </c>
      <c r="I103">
        <v>2025</v>
      </c>
    </row>
    <row r="104" spans="1:9" x14ac:dyDescent="0.2">
      <c r="A104" t="s">
        <v>198</v>
      </c>
      <c r="B104" t="s">
        <v>341</v>
      </c>
      <c r="C104" t="s">
        <v>342</v>
      </c>
      <c r="D104" t="s">
        <v>160</v>
      </c>
      <c r="E104" t="s">
        <v>153</v>
      </c>
      <c r="F104" t="s">
        <v>330</v>
      </c>
      <c r="G104">
        <v>1.5</v>
      </c>
      <c r="H104">
        <v>5</v>
      </c>
      <c r="I104">
        <v>2015</v>
      </c>
    </row>
    <row r="105" spans="1:9" x14ac:dyDescent="0.2">
      <c r="A105" t="s">
        <v>198</v>
      </c>
      <c r="B105" t="s">
        <v>347</v>
      </c>
      <c r="C105" t="s">
        <v>342</v>
      </c>
      <c r="D105" t="s">
        <v>160</v>
      </c>
      <c r="E105" t="s">
        <v>153</v>
      </c>
      <c r="F105" t="s">
        <v>330</v>
      </c>
      <c r="G105">
        <v>0.5</v>
      </c>
      <c r="H105">
        <v>5</v>
      </c>
      <c r="I105">
        <v>2045</v>
      </c>
    </row>
    <row r="106" spans="1:9" x14ac:dyDescent="0.2">
      <c r="A106" t="s">
        <v>199</v>
      </c>
      <c r="B106" t="s">
        <v>295</v>
      </c>
      <c r="C106" t="s">
        <v>296</v>
      </c>
      <c r="D106" t="s">
        <v>160</v>
      </c>
      <c r="E106" t="s">
        <v>153</v>
      </c>
      <c r="F106" t="s">
        <v>331</v>
      </c>
      <c r="G106">
        <v>2.1</v>
      </c>
      <c r="H106">
        <v>7</v>
      </c>
      <c r="I106">
        <v>2035</v>
      </c>
    </row>
    <row r="107" spans="1:9" x14ac:dyDescent="0.2">
      <c r="A107" t="s">
        <v>200</v>
      </c>
      <c r="B107" t="s">
        <v>341</v>
      </c>
      <c r="C107" t="s">
        <v>342</v>
      </c>
      <c r="D107" t="s">
        <v>160</v>
      </c>
      <c r="E107" t="s">
        <v>153</v>
      </c>
      <c r="F107" t="s">
        <v>330</v>
      </c>
      <c r="G107">
        <v>6</v>
      </c>
      <c r="H107">
        <v>5</v>
      </c>
      <c r="I107">
        <v>2015</v>
      </c>
    </row>
    <row r="108" spans="1:9" x14ac:dyDescent="0.2">
      <c r="A108" t="s">
        <v>200</v>
      </c>
      <c r="B108" t="s">
        <v>292</v>
      </c>
      <c r="C108" t="s">
        <v>291</v>
      </c>
      <c r="D108" t="s">
        <v>160</v>
      </c>
      <c r="E108" t="s">
        <v>153</v>
      </c>
      <c r="F108" t="s">
        <v>333</v>
      </c>
      <c r="G108">
        <v>2</v>
      </c>
      <c r="H108">
        <v>3</v>
      </c>
      <c r="I108">
        <v>2017</v>
      </c>
    </row>
    <row r="109" spans="1:9" x14ac:dyDescent="0.2">
      <c r="A109" t="s">
        <v>200</v>
      </c>
      <c r="B109" t="s">
        <v>349</v>
      </c>
      <c r="C109" t="s">
        <v>291</v>
      </c>
      <c r="D109" t="s">
        <v>160</v>
      </c>
      <c r="E109" t="s">
        <v>153</v>
      </c>
      <c r="F109" t="s">
        <v>333</v>
      </c>
      <c r="G109">
        <v>4</v>
      </c>
      <c r="H109">
        <v>10</v>
      </c>
      <c r="I109">
        <v>2025</v>
      </c>
    </row>
  </sheetData>
  <conditionalFormatting sqref="J24:J35">
    <cfRule type="expression" dxfId="41" priority="19">
      <formula>J24=$B$1</formula>
    </cfRule>
  </conditionalFormatting>
  <conditionalFormatting sqref="A6:G18">
    <cfRule type="expression" dxfId="40" priority="18">
      <formula>$A6=$B$1</formula>
    </cfRule>
  </conditionalFormatting>
  <conditionalFormatting sqref="J5:U17">
    <cfRule type="expression" dxfId="39" priority="17">
      <formula>$J5=$B$1</formula>
    </cfRule>
  </conditionalFormatting>
  <conditionalFormatting sqref="F43">
    <cfRule type="expression" dxfId="38" priority="16">
      <formula>$N43&gt;0</formula>
    </cfRule>
  </conditionalFormatting>
  <conditionalFormatting sqref="F44">
    <cfRule type="expression" dxfId="37" priority="15">
      <formula>$N44&gt;0</formula>
    </cfRule>
  </conditionalFormatting>
  <conditionalFormatting sqref="F45">
    <cfRule type="expression" dxfId="36" priority="14">
      <formula>$N45&gt;0</formula>
    </cfRule>
  </conditionalFormatting>
  <conditionalFormatting sqref="F46">
    <cfRule type="expression" dxfId="35" priority="13">
      <formula>$N46&gt;0</formula>
    </cfRule>
  </conditionalFormatting>
  <conditionalFormatting sqref="F47">
    <cfRule type="expression" dxfId="34" priority="12">
      <formula>$N47&gt;0</formula>
    </cfRule>
  </conditionalFormatting>
  <conditionalFormatting sqref="F48">
    <cfRule type="expression" dxfId="33" priority="11">
      <formula>$N48&gt;0</formula>
    </cfRule>
  </conditionalFormatting>
  <conditionalFormatting sqref="F51">
    <cfRule type="expression" dxfId="32" priority="9">
      <formula>$N51&gt;0</formula>
    </cfRule>
  </conditionalFormatting>
  <conditionalFormatting sqref="F54">
    <cfRule type="expression" dxfId="31" priority="8">
      <formula>$N54&gt;0</formula>
    </cfRule>
  </conditionalFormatting>
  <conditionalFormatting sqref="F55">
    <cfRule type="expression" dxfId="30" priority="7">
      <formula>$N55&gt;0</formula>
    </cfRule>
  </conditionalFormatting>
  <conditionalFormatting sqref="F56">
    <cfRule type="expression" dxfId="29" priority="6">
      <formula>$N56&gt;0</formula>
    </cfRule>
  </conditionalFormatting>
  <conditionalFormatting sqref="F57">
    <cfRule type="expression" dxfId="28" priority="5">
      <formula>$N57&gt;0</formula>
    </cfRule>
  </conditionalFormatting>
  <conditionalFormatting sqref="F58">
    <cfRule type="expression" dxfId="27" priority="4">
      <formula>$N58&gt;0</formula>
    </cfRule>
  </conditionalFormatting>
  <conditionalFormatting sqref="F59">
    <cfRule type="expression" dxfId="26" priority="3">
      <formula>$N59&gt;0</formula>
    </cfRule>
  </conditionalFormatting>
  <conditionalFormatting sqref="F60">
    <cfRule type="expression" dxfId="25" priority="2">
      <formula>$N60&gt;0</formula>
    </cfRule>
  </conditionalFormatting>
  <conditionalFormatting sqref="F50">
    <cfRule type="expression" dxfId="24" priority="1">
      <formula>$N50&gt;0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I46"/>
  <sheetViews>
    <sheetView topLeftCell="A28" workbookViewId="0">
      <selection activeCell="E42" sqref="E42"/>
    </sheetView>
  </sheetViews>
  <sheetFormatPr defaultRowHeight="12.75" x14ac:dyDescent="0.2"/>
  <cols>
    <col min="1" max="1" width="26.28515625" customWidth="1"/>
    <col min="2" max="2" width="17.7109375" customWidth="1"/>
    <col min="4" max="4" width="8.5703125" customWidth="1"/>
    <col min="6" max="6" width="11.5703125" customWidth="1"/>
  </cols>
  <sheetData>
    <row r="1" spans="1:9" x14ac:dyDescent="0.2">
      <c r="A1" s="202" t="s">
        <v>449</v>
      </c>
    </row>
    <row r="3" spans="1:9" x14ac:dyDescent="0.2">
      <c r="A3" s="202" t="s">
        <v>425</v>
      </c>
      <c r="B3" s="202" t="s">
        <v>427</v>
      </c>
    </row>
    <row r="4" spans="1:9" x14ac:dyDescent="0.2">
      <c r="A4" s="202" t="s">
        <v>14</v>
      </c>
      <c r="B4" s="202" t="s">
        <v>426</v>
      </c>
    </row>
    <row r="8" spans="1:9" x14ac:dyDescent="0.2">
      <c r="A8" s="202" t="s">
        <v>130</v>
      </c>
    </row>
    <row r="10" spans="1:9" x14ac:dyDescent="0.2">
      <c r="A10" s="243" t="s">
        <v>119</v>
      </c>
      <c r="B10" s="243" t="s">
        <v>120</v>
      </c>
      <c r="C10" s="153">
        <v>2010</v>
      </c>
      <c r="D10" s="153">
        <v>2020</v>
      </c>
      <c r="E10" s="153">
        <v>2030</v>
      </c>
      <c r="F10" s="153">
        <v>2040</v>
      </c>
      <c r="G10" s="153">
        <v>2050</v>
      </c>
      <c r="H10" s="153">
        <v>2060</v>
      </c>
      <c r="I10" s="153"/>
    </row>
    <row r="11" spans="1:9" x14ac:dyDescent="0.2">
      <c r="A11" t="s">
        <v>110</v>
      </c>
      <c r="B11" t="s">
        <v>110</v>
      </c>
      <c r="C11">
        <v>1</v>
      </c>
      <c r="D11">
        <v>1.8</v>
      </c>
      <c r="E11">
        <v>2.4</v>
      </c>
      <c r="F11">
        <v>2.9</v>
      </c>
      <c r="G11">
        <v>3.2</v>
      </c>
      <c r="H11">
        <v>3.3</v>
      </c>
    </row>
    <row r="12" spans="1:9" x14ac:dyDescent="0.2">
      <c r="A12" t="s">
        <v>111</v>
      </c>
      <c r="B12" t="s">
        <v>111</v>
      </c>
      <c r="C12">
        <v>0.6</v>
      </c>
      <c r="D12">
        <v>1</v>
      </c>
      <c r="E12">
        <v>1.4</v>
      </c>
      <c r="F12">
        <v>2</v>
      </c>
      <c r="G12">
        <v>2.2999999999999998</v>
      </c>
      <c r="H12">
        <v>2.6</v>
      </c>
    </row>
    <row r="13" spans="1:9" x14ac:dyDescent="0.2">
      <c r="A13" t="s">
        <v>112</v>
      </c>
      <c r="B13" t="s">
        <v>112</v>
      </c>
      <c r="C13">
        <v>0.45</v>
      </c>
      <c r="D13">
        <v>0.5</v>
      </c>
      <c r="E13">
        <v>0.5</v>
      </c>
      <c r="F13">
        <v>0.5</v>
      </c>
      <c r="G13">
        <v>0.5</v>
      </c>
      <c r="H13">
        <v>0.5</v>
      </c>
    </row>
    <row r="14" spans="1:9" x14ac:dyDescent="0.2">
      <c r="A14" t="s">
        <v>113</v>
      </c>
      <c r="B14" t="s">
        <v>113</v>
      </c>
      <c r="C14">
        <v>0</v>
      </c>
      <c r="D14">
        <v>0</v>
      </c>
      <c r="E14">
        <v>0</v>
      </c>
      <c r="F14">
        <v>0</v>
      </c>
      <c r="G14">
        <v>0</v>
      </c>
      <c r="H14">
        <v>0</v>
      </c>
    </row>
    <row r="15" spans="1:9" x14ac:dyDescent="0.2">
      <c r="A15" t="s">
        <v>121</v>
      </c>
      <c r="B15" t="s">
        <v>121</v>
      </c>
      <c r="C15">
        <f>0.05*SUM(C11:C14)</f>
        <v>0.10250000000000002</v>
      </c>
      <c r="D15">
        <f t="shared" ref="D15:H15" si="0">0.03*SUM(D11:D14)</f>
        <v>9.8999999999999991E-2</v>
      </c>
      <c r="E15">
        <f t="shared" si="0"/>
        <v>0.129</v>
      </c>
      <c r="F15">
        <f t="shared" si="0"/>
        <v>0.16200000000000001</v>
      </c>
      <c r="G15">
        <f t="shared" si="0"/>
        <v>0.18</v>
      </c>
      <c r="H15">
        <f t="shared" si="0"/>
        <v>0.192</v>
      </c>
    </row>
    <row r="16" spans="1:9" x14ac:dyDescent="0.2">
      <c r="A16" s="146" t="s">
        <v>121</v>
      </c>
      <c r="B16" s="146" t="s">
        <v>123</v>
      </c>
      <c r="C16">
        <f>0.04*SUM(C11:C15,C17)</f>
        <v>8.9790000000000009E-2</v>
      </c>
      <c r="D16">
        <f t="shared" ref="D16:H16" si="1">0.02*SUM(D11:D15,D17)</f>
        <v>7.0158000000000012E-2</v>
      </c>
      <c r="E16">
        <f t="shared" si="1"/>
        <v>9.1417999999999999E-2</v>
      </c>
      <c r="F16">
        <f t="shared" si="1"/>
        <v>0.11480400000000002</v>
      </c>
      <c r="G16">
        <f t="shared" si="1"/>
        <v>0.12756000000000001</v>
      </c>
      <c r="H16">
        <f t="shared" si="1"/>
        <v>0.13606400000000002</v>
      </c>
    </row>
    <row r="17" spans="1:8" x14ac:dyDescent="0.2">
      <c r="A17" s="146" t="s">
        <v>122</v>
      </c>
      <c r="B17" s="146" t="s">
        <v>124</v>
      </c>
      <c r="C17">
        <f>C15*0.9</f>
        <v>9.2250000000000026E-2</v>
      </c>
      <c r="D17">
        <f>D15*1.1</f>
        <v>0.1089</v>
      </c>
      <c r="E17">
        <f t="shared" ref="E17:H17" si="2">E15*1.1</f>
        <v>0.14190000000000003</v>
      </c>
      <c r="F17">
        <f t="shared" si="2"/>
        <v>0.17820000000000003</v>
      </c>
      <c r="G17">
        <f t="shared" si="2"/>
        <v>0.19800000000000001</v>
      </c>
      <c r="H17">
        <f t="shared" si="2"/>
        <v>0.21120000000000003</v>
      </c>
    </row>
    <row r="18" spans="1:8" x14ac:dyDescent="0.2">
      <c r="A18" s="202" t="s">
        <v>275</v>
      </c>
      <c r="B18" s="146" t="s">
        <v>149</v>
      </c>
      <c r="C18">
        <v>0.3</v>
      </c>
      <c r="D18">
        <v>0.3</v>
      </c>
      <c r="E18">
        <v>0.3</v>
      </c>
      <c r="F18">
        <v>0.55000000000000004</v>
      </c>
      <c r="G18">
        <v>0.55000000000000004</v>
      </c>
      <c r="H18">
        <v>0.55000000000000004</v>
      </c>
    </row>
    <row r="21" spans="1:8" x14ac:dyDescent="0.2">
      <c r="A21" s="153" t="s">
        <v>415</v>
      </c>
      <c r="C21" s="153">
        <v>2010</v>
      </c>
      <c r="D21" s="153">
        <v>2020</v>
      </c>
      <c r="E21" s="153">
        <v>2030</v>
      </c>
      <c r="F21" s="153">
        <v>2040</v>
      </c>
      <c r="G21" s="153">
        <v>2050</v>
      </c>
      <c r="H21" s="153">
        <v>2060</v>
      </c>
    </row>
    <row r="22" spans="1:8" x14ac:dyDescent="0.2">
      <c r="C22" s="336">
        <f>C11*1000000/80</f>
        <v>12500</v>
      </c>
      <c r="D22" s="336">
        <f>D11*1000000/75</f>
        <v>24000</v>
      </c>
      <c r="E22" s="336">
        <f>E11*1000000/72</f>
        <v>33333.333333333336</v>
      </c>
      <c r="F22" s="336">
        <f>F11*1000000/70</f>
        <v>41428.571428571428</v>
      </c>
      <c r="G22" s="336">
        <f>G11*1000000/68</f>
        <v>47058.823529411762</v>
      </c>
      <c r="H22" s="336">
        <f>H11*1000000/65</f>
        <v>50769.230769230766</v>
      </c>
    </row>
    <row r="24" spans="1:8" x14ac:dyDescent="0.2">
      <c r="A24" s="154" t="s">
        <v>149</v>
      </c>
    </row>
    <row r="25" spans="1:8" ht="38.25" x14ac:dyDescent="0.2">
      <c r="A25" s="129" t="s">
        <v>274</v>
      </c>
      <c r="B25" s="203" t="s">
        <v>429</v>
      </c>
      <c r="C25" s="129" t="s">
        <v>182</v>
      </c>
      <c r="D25" s="129" t="s">
        <v>174</v>
      </c>
      <c r="E25" s="129" t="s">
        <v>175</v>
      </c>
      <c r="F25" s="129" t="s">
        <v>177</v>
      </c>
      <c r="G25" s="129" t="s">
        <v>178</v>
      </c>
    </row>
    <row r="26" spans="1:8" x14ac:dyDescent="0.2">
      <c r="A26" s="202" t="s">
        <v>428</v>
      </c>
      <c r="B26" s="202" t="s">
        <v>430</v>
      </c>
      <c r="C26">
        <v>0.3</v>
      </c>
      <c r="D26">
        <v>2000</v>
      </c>
      <c r="E26">
        <v>2030</v>
      </c>
      <c r="F26" s="202" t="s">
        <v>180</v>
      </c>
      <c r="G26">
        <v>8</v>
      </c>
    </row>
    <row r="27" spans="1:8" x14ac:dyDescent="0.2">
      <c r="A27" s="202" t="s">
        <v>431</v>
      </c>
      <c r="B27" s="202" t="s">
        <v>432</v>
      </c>
      <c r="C27">
        <v>1.5</v>
      </c>
      <c r="D27">
        <v>2000</v>
      </c>
      <c r="F27" s="202" t="s">
        <v>33</v>
      </c>
      <c r="G27">
        <v>12</v>
      </c>
    </row>
    <row r="29" spans="1:8" x14ac:dyDescent="0.2">
      <c r="A29" s="154" t="s">
        <v>433</v>
      </c>
    </row>
    <row r="30" spans="1:8" ht="38.25" x14ac:dyDescent="0.2">
      <c r="A30" s="129" t="s">
        <v>173</v>
      </c>
      <c r="B30" s="129" t="s">
        <v>206</v>
      </c>
      <c r="C30" s="129" t="s">
        <v>182</v>
      </c>
      <c r="D30" s="129" t="s">
        <v>174</v>
      </c>
      <c r="E30" s="129" t="s">
        <v>175</v>
      </c>
      <c r="F30" s="129" t="s">
        <v>177</v>
      </c>
      <c r="G30" s="129" t="s">
        <v>178</v>
      </c>
      <c r="H30" s="129" t="s">
        <v>176</v>
      </c>
    </row>
    <row r="31" spans="1:8" x14ac:dyDescent="0.2">
      <c r="A31" s="202" t="s">
        <v>434</v>
      </c>
      <c r="B31" s="202" t="s">
        <v>435</v>
      </c>
      <c r="C31">
        <v>5</v>
      </c>
      <c r="D31">
        <v>2005</v>
      </c>
      <c r="E31">
        <v>2055</v>
      </c>
      <c r="F31" s="202" t="s">
        <v>33</v>
      </c>
      <c r="G31" s="202">
        <v>12</v>
      </c>
    </row>
    <row r="32" spans="1:8" x14ac:dyDescent="0.2">
      <c r="A32" s="202" t="s">
        <v>431</v>
      </c>
      <c r="B32" s="202" t="s">
        <v>432</v>
      </c>
      <c r="C32">
        <v>1.5</v>
      </c>
      <c r="D32">
        <v>2000</v>
      </c>
      <c r="F32" s="202" t="s">
        <v>33</v>
      </c>
      <c r="G32">
        <v>12</v>
      </c>
    </row>
    <row r="34" spans="1:9" x14ac:dyDescent="0.2">
      <c r="A34" s="154" t="s">
        <v>436</v>
      </c>
    </row>
    <row r="35" spans="1:9" ht="38.25" x14ac:dyDescent="0.2">
      <c r="A35" s="129" t="s">
        <v>129</v>
      </c>
      <c r="B35" s="129" t="s">
        <v>44</v>
      </c>
      <c r="C35" s="129" t="s">
        <v>15</v>
      </c>
      <c r="D35" s="129" t="s">
        <v>148</v>
      </c>
      <c r="E35" s="129" t="s">
        <v>164</v>
      </c>
    </row>
    <row r="36" spans="1:9" x14ac:dyDescent="0.2">
      <c r="A36" s="202" t="s">
        <v>106</v>
      </c>
      <c r="B36" s="202" t="s">
        <v>153</v>
      </c>
      <c r="C36" s="202" t="s">
        <v>160</v>
      </c>
      <c r="D36" t="s">
        <v>330</v>
      </c>
      <c r="E36">
        <v>2</v>
      </c>
    </row>
    <row r="37" spans="1:9" x14ac:dyDescent="0.2">
      <c r="A37" s="202" t="s">
        <v>437</v>
      </c>
      <c r="B37" t="s">
        <v>153</v>
      </c>
      <c r="C37" t="s">
        <v>160</v>
      </c>
      <c r="D37" t="s">
        <v>165</v>
      </c>
      <c r="E37">
        <v>3.2</v>
      </c>
    </row>
    <row r="40" spans="1:9" x14ac:dyDescent="0.2">
      <c r="A40" s="154" t="s">
        <v>209</v>
      </c>
      <c r="C40" t="s">
        <v>239</v>
      </c>
    </row>
    <row r="41" spans="1:9" ht="38.25" x14ac:dyDescent="0.2">
      <c r="A41" s="153" t="s">
        <v>147</v>
      </c>
      <c r="B41" s="338" t="s">
        <v>215</v>
      </c>
      <c r="C41" s="338" t="s">
        <v>15</v>
      </c>
      <c r="D41" s="338" t="s">
        <v>44</v>
      </c>
      <c r="E41" s="338" t="s">
        <v>148</v>
      </c>
      <c r="F41" s="338" t="s">
        <v>241</v>
      </c>
      <c r="G41" s="338" t="s">
        <v>216</v>
      </c>
      <c r="H41" s="338" t="s">
        <v>150</v>
      </c>
      <c r="I41" s="338" t="s">
        <v>230</v>
      </c>
    </row>
    <row r="42" spans="1:9" x14ac:dyDescent="0.2">
      <c r="A42" t="s">
        <v>106</v>
      </c>
      <c r="B42" t="s">
        <v>235</v>
      </c>
      <c r="C42" t="s">
        <v>160</v>
      </c>
      <c r="D42" t="s">
        <v>153</v>
      </c>
      <c r="E42" t="s">
        <v>330</v>
      </c>
      <c r="F42">
        <v>3</v>
      </c>
      <c r="G42">
        <v>2015</v>
      </c>
      <c r="H42">
        <v>4</v>
      </c>
      <c r="I42" s="202" t="s">
        <v>440</v>
      </c>
    </row>
    <row r="43" spans="1:9" x14ac:dyDescent="0.2">
      <c r="A43" s="202" t="s">
        <v>438</v>
      </c>
      <c r="B43" s="202" t="s">
        <v>231</v>
      </c>
      <c r="C43" s="202" t="s">
        <v>160</v>
      </c>
      <c r="D43" s="202" t="s">
        <v>153</v>
      </c>
      <c r="E43" s="202" t="s">
        <v>165</v>
      </c>
      <c r="F43">
        <v>10</v>
      </c>
      <c r="G43">
        <v>2025</v>
      </c>
      <c r="H43">
        <v>3</v>
      </c>
      <c r="I43" s="337" t="s">
        <v>439</v>
      </c>
    </row>
    <row r="44" spans="1:9" x14ac:dyDescent="0.2">
      <c r="A44" s="202" t="s">
        <v>441</v>
      </c>
      <c r="B44" s="202" t="s">
        <v>296</v>
      </c>
      <c r="C44" s="202" t="s">
        <v>160</v>
      </c>
      <c r="D44" s="202" t="s">
        <v>153</v>
      </c>
      <c r="E44" s="202" t="s">
        <v>165</v>
      </c>
      <c r="F44">
        <v>25</v>
      </c>
      <c r="G44">
        <v>2040</v>
      </c>
      <c r="H44">
        <v>2</v>
      </c>
    </row>
    <row r="45" spans="1:9" x14ac:dyDescent="0.2">
      <c r="A45" s="202" t="s">
        <v>442</v>
      </c>
      <c r="B45" s="202" t="s">
        <v>234</v>
      </c>
      <c r="C45" s="202" t="s">
        <v>160</v>
      </c>
      <c r="D45" s="202" t="s">
        <v>156</v>
      </c>
      <c r="F45">
        <v>1</v>
      </c>
      <c r="G45">
        <v>2014</v>
      </c>
      <c r="H45">
        <v>4</v>
      </c>
      <c r="I45" s="202" t="s">
        <v>440</v>
      </c>
    </row>
    <row r="46" spans="1:9" x14ac:dyDescent="0.2">
      <c r="A46" s="202" t="s">
        <v>443</v>
      </c>
      <c r="B46" s="202" t="s">
        <v>232</v>
      </c>
      <c r="C46" s="202" t="s">
        <v>160</v>
      </c>
      <c r="D46" s="202" t="s">
        <v>153</v>
      </c>
      <c r="E46" s="202" t="s">
        <v>165</v>
      </c>
      <c r="F46">
        <v>5</v>
      </c>
      <c r="G46">
        <v>2019</v>
      </c>
      <c r="H46">
        <v>4</v>
      </c>
    </row>
  </sheetData>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6600"/>
  </sheetPr>
  <dimension ref="A1:P91"/>
  <sheetViews>
    <sheetView zoomScaleNormal="100" workbookViewId="0">
      <selection activeCell="D21" sqref="D21"/>
    </sheetView>
  </sheetViews>
  <sheetFormatPr defaultRowHeight="12.75" x14ac:dyDescent="0.2"/>
  <cols>
    <col min="1" max="1" width="3.5703125" customWidth="1"/>
    <col min="2" max="2" width="26.5703125" customWidth="1"/>
    <col min="3" max="3" width="23.28515625" customWidth="1"/>
    <col min="4" max="4" width="10" customWidth="1"/>
    <col min="5" max="5" width="11.85546875" bestFit="1" customWidth="1"/>
    <col min="6" max="6" width="16.7109375" bestFit="1" customWidth="1"/>
    <col min="7" max="7" width="11.140625" customWidth="1"/>
    <col min="8" max="8" width="9.7109375" customWidth="1"/>
  </cols>
  <sheetData>
    <row r="1" spans="2:14" x14ac:dyDescent="0.2">
      <c r="B1" s="166" t="s">
        <v>128</v>
      </c>
      <c r="C1" s="152" t="s">
        <v>198</v>
      </c>
      <c r="E1" s="202" t="s">
        <v>43</v>
      </c>
      <c r="F1" s="211">
        <v>41692</v>
      </c>
      <c r="G1" s="202" t="s">
        <v>417</v>
      </c>
    </row>
    <row r="2" spans="2:14" x14ac:dyDescent="0.2">
      <c r="B2" s="166" t="s">
        <v>14</v>
      </c>
      <c r="C2" s="152" t="s">
        <v>494</v>
      </c>
    </row>
    <row r="3" spans="2:14" x14ac:dyDescent="0.2">
      <c r="B3" s="166"/>
      <c r="C3" s="370"/>
    </row>
    <row r="4" spans="2:14" ht="15.75" x14ac:dyDescent="0.25">
      <c r="B4" s="130"/>
      <c r="C4" s="370"/>
    </row>
    <row r="5" spans="2:14" x14ac:dyDescent="0.2">
      <c r="B5" s="154" t="s">
        <v>130</v>
      </c>
    </row>
    <row r="6" spans="2:14" x14ac:dyDescent="0.2">
      <c r="B6" s="243" t="s">
        <v>119</v>
      </c>
      <c r="C6" s="243" t="s">
        <v>120</v>
      </c>
      <c r="D6" s="243">
        <v>2010</v>
      </c>
      <c r="E6" s="243">
        <v>2020</v>
      </c>
      <c r="F6" s="243">
        <v>2030</v>
      </c>
      <c r="G6" s="243">
        <v>2040</v>
      </c>
      <c r="H6" s="243">
        <v>2050</v>
      </c>
      <c r="I6" s="243">
        <v>2060</v>
      </c>
    </row>
    <row r="7" spans="2:14" x14ac:dyDescent="0.2">
      <c r="B7" t="s">
        <v>110</v>
      </c>
      <c r="D7" s="152">
        <f>1912+2374+348+2635+4+1844+137</f>
        <v>9254</v>
      </c>
      <c r="E7" s="152">
        <f>57355+71212+10438+79059+111+55321+4096</f>
        <v>277592</v>
      </c>
      <c r="F7" s="152">
        <f>133827+166161+24354+184470+259+129083+9557</f>
        <v>647711</v>
      </c>
      <c r="G7" s="152">
        <f>210300+261111+38271+289882+407+202845+15019</f>
        <v>1017835</v>
      </c>
      <c r="H7" s="152">
        <f>286773+356060+52188+395294+555+276607+20480</f>
        <v>1387957</v>
      </c>
      <c r="I7" s="152">
        <f>363246+451010+66104+500705+703+350369+25942</f>
        <v>1758079</v>
      </c>
      <c r="K7" s="202" t="s">
        <v>389</v>
      </c>
    </row>
    <row r="8" spans="2:14" x14ac:dyDescent="0.2">
      <c r="B8" s="202" t="s">
        <v>495</v>
      </c>
      <c r="D8" s="152">
        <f>2569+3128+1073+4005+4+589+641+1883</f>
        <v>13892</v>
      </c>
      <c r="E8" s="152">
        <f>77063+93825+32175+120150+113+17663+19238+56475</f>
        <v>416702</v>
      </c>
      <c r="F8" s="152">
        <f>179813+218925+75075+280350+263+41213+44888+131775</f>
        <v>972302</v>
      </c>
      <c r="G8" s="152">
        <f>282563+344025+117975+440550+413+64763+70538+207075</f>
        <v>1527902</v>
      </c>
      <c r="H8" s="152">
        <f>385313+469125+160875+600750+563+88313+96188+282375</f>
        <v>2083502</v>
      </c>
      <c r="I8" s="152">
        <f>488063+594225+203775+760950+713+111863+121838+357675</f>
        <v>2639102</v>
      </c>
      <c r="K8" s="202" t="s">
        <v>390</v>
      </c>
    </row>
    <row r="9" spans="2:14" x14ac:dyDescent="0.2">
      <c r="B9" s="146" t="s">
        <v>122</v>
      </c>
      <c r="C9" s="146" t="s">
        <v>124</v>
      </c>
      <c r="D9" s="444">
        <f>(SUM(D7:D8))*0.075</f>
        <v>1735.95</v>
      </c>
      <c r="E9" s="444">
        <f t="shared" ref="E9:I9" si="0">(SUM(E7:E8))*0.075</f>
        <v>52072.049999999996</v>
      </c>
      <c r="F9" s="444">
        <f t="shared" si="0"/>
        <v>121500.97499999999</v>
      </c>
      <c r="G9" s="444">
        <f t="shared" si="0"/>
        <v>190930.27499999999</v>
      </c>
      <c r="H9" s="444">
        <f t="shared" si="0"/>
        <v>260359.42499999999</v>
      </c>
      <c r="I9" s="444">
        <f t="shared" si="0"/>
        <v>329788.57500000001</v>
      </c>
    </row>
    <row r="10" spans="2:14" x14ac:dyDescent="0.2">
      <c r="B10" s="202" t="s">
        <v>496</v>
      </c>
      <c r="D10" s="444">
        <f>SUM(D7:D9)*0.0285*1*-1</f>
        <v>-709.13557500000002</v>
      </c>
      <c r="E10" s="444">
        <f>SUM(E7:E9)*0.0285*2*-1</f>
        <v>-42542.864850000005</v>
      </c>
      <c r="F10" s="444">
        <f>SUM(F7:F9)*0.0285*3*-1</f>
        <v>-148899.44486250001</v>
      </c>
      <c r="G10" s="444">
        <f>SUM(G7:G9)*0.0285*4*-1</f>
        <v>-311980.06935000001</v>
      </c>
      <c r="H10" s="444">
        <f>SUM(H7:H9)*0.0285*5*-1</f>
        <v>-531784.12556249998</v>
      </c>
      <c r="I10" s="444">
        <f>SUM(I7:I9)*0.0285*6*-1</f>
        <v>-808311.79732500017</v>
      </c>
    </row>
    <row r="12" spans="2:14" x14ac:dyDescent="0.2">
      <c r="B12" s="154" t="s">
        <v>276</v>
      </c>
      <c r="C12" s="202" t="s">
        <v>277</v>
      </c>
    </row>
    <row r="13" spans="2:14" x14ac:dyDescent="0.2">
      <c r="B13" s="243" t="s">
        <v>119</v>
      </c>
      <c r="C13" s="243" t="s">
        <v>120</v>
      </c>
      <c r="D13" s="243">
        <v>2010</v>
      </c>
      <c r="E13" s="243">
        <v>2015</v>
      </c>
      <c r="F13" s="243">
        <v>2020</v>
      </c>
      <c r="G13" s="243">
        <v>2025</v>
      </c>
      <c r="H13" s="243">
        <v>2030</v>
      </c>
      <c r="I13" s="243">
        <v>2035</v>
      </c>
      <c r="J13" s="243">
        <v>2040</v>
      </c>
      <c r="K13" s="243">
        <v>2045</v>
      </c>
      <c r="L13" s="243">
        <v>2050</v>
      </c>
      <c r="M13" s="243">
        <v>2055</v>
      </c>
      <c r="N13" s="243">
        <v>2060</v>
      </c>
    </row>
    <row r="14" spans="2:14" x14ac:dyDescent="0.2">
      <c r="B14" s="244" t="str">
        <f t="shared" ref="B14:C16" si="1">IF(ISBLANK(B7),"",B7)</f>
        <v>Residential</v>
      </c>
      <c r="C14" s="244" t="str">
        <f t="shared" si="1"/>
        <v/>
      </c>
      <c r="D14" s="333">
        <f>D7/1000000</f>
        <v>9.2540000000000001E-3</v>
      </c>
      <c r="E14" s="333">
        <f>AVERAGE(D14,F14)</f>
        <v>0.14342299999999999</v>
      </c>
      <c r="F14" s="333">
        <f>E7/1000000</f>
        <v>0.27759200000000001</v>
      </c>
      <c r="G14" s="333">
        <f>AVERAGE(F14,H14)</f>
        <v>0.46265149999999999</v>
      </c>
      <c r="H14" s="333">
        <f>F7/1000000</f>
        <v>0.64771100000000004</v>
      </c>
      <c r="I14" s="333">
        <f>AVERAGE(H14,J14)</f>
        <v>0.83277299999999999</v>
      </c>
      <c r="J14" s="333">
        <f>G7/1000000</f>
        <v>1.017835</v>
      </c>
      <c r="K14" s="333">
        <f>AVERAGE(J14,L14)</f>
        <v>1.202896</v>
      </c>
      <c r="L14" s="333">
        <f>H7/1000000</f>
        <v>1.3879570000000001</v>
      </c>
      <c r="M14" s="333">
        <f>AVERAGE(L14,N14)</f>
        <v>1.573018</v>
      </c>
      <c r="N14" s="333">
        <f>I7/1000000</f>
        <v>1.7580789999999999</v>
      </c>
    </row>
    <row r="15" spans="2:14" x14ac:dyDescent="0.2">
      <c r="B15" s="244" t="str">
        <f t="shared" si="1"/>
        <v>Commercial/Industrial</v>
      </c>
      <c r="C15" s="244" t="str">
        <f t="shared" si="1"/>
        <v/>
      </c>
      <c r="D15" s="333">
        <f t="shared" ref="D15:D16" si="2">D8/1000000</f>
        <v>1.3892E-2</v>
      </c>
      <c r="E15" s="333">
        <f t="shared" ref="E15" si="3">AVERAGE(D15,F15)</f>
        <v>0.21529700000000002</v>
      </c>
      <c r="F15" s="333">
        <f t="shared" ref="F15:F16" si="4">E8/1000000</f>
        <v>0.41670200000000002</v>
      </c>
      <c r="G15" s="333">
        <f t="shared" ref="G15" si="5">AVERAGE(F15,H15)</f>
        <v>0.69450199999999995</v>
      </c>
      <c r="H15" s="333">
        <f t="shared" ref="H15:H16" si="6">F8/1000000</f>
        <v>0.972302</v>
      </c>
      <c r="I15" s="333">
        <f t="shared" ref="I15" si="7">AVERAGE(H15,J15)</f>
        <v>1.250102</v>
      </c>
      <c r="J15" s="333">
        <f t="shared" ref="J15:J16" si="8">G8/1000000</f>
        <v>1.5279020000000001</v>
      </c>
      <c r="K15" s="333">
        <f t="shared" ref="K15" si="9">AVERAGE(J15,L15)</f>
        <v>1.8057020000000001</v>
      </c>
      <c r="L15" s="333">
        <f t="shared" ref="L15:L16" si="10">H8/1000000</f>
        <v>2.0835020000000002</v>
      </c>
      <c r="M15" s="333">
        <f t="shared" ref="M15" si="11">AVERAGE(L15,N15)</f>
        <v>2.3613020000000002</v>
      </c>
      <c r="N15" s="333">
        <f t="shared" ref="N15:N16" si="12">I8/1000000</f>
        <v>2.6391019999999998</v>
      </c>
    </row>
    <row r="16" spans="2:14" x14ac:dyDescent="0.2">
      <c r="B16" s="244" t="str">
        <f t="shared" si="1"/>
        <v>Non-Revenue</v>
      </c>
      <c r="C16" s="244" t="str">
        <f t="shared" si="1"/>
        <v>Other Non-Revenue</v>
      </c>
      <c r="D16" s="333">
        <f t="shared" si="2"/>
        <v>1.73595E-3</v>
      </c>
      <c r="E16" s="333">
        <f>AVERAGE(D16,F16)</f>
        <v>2.6903999999999997E-2</v>
      </c>
      <c r="F16" s="333">
        <f t="shared" si="4"/>
        <v>5.2072049999999995E-2</v>
      </c>
      <c r="G16" s="333">
        <f>AVERAGE(F16,H16)</f>
        <v>8.6786512499999996E-2</v>
      </c>
      <c r="H16" s="333">
        <f t="shared" si="6"/>
        <v>0.121500975</v>
      </c>
      <c r="I16" s="333">
        <f>AVERAGE(H16,J16)</f>
        <v>0.156215625</v>
      </c>
      <c r="J16" s="333">
        <f t="shared" si="8"/>
        <v>0.19093027499999998</v>
      </c>
      <c r="K16" s="333">
        <f>AVERAGE(J16,L16)</f>
        <v>0.22564484999999998</v>
      </c>
      <c r="L16" s="333">
        <f t="shared" si="10"/>
        <v>0.26035942499999998</v>
      </c>
      <c r="M16" s="333">
        <f>AVERAGE(L16,N16)</f>
        <v>0.295074</v>
      </c>
      <c r="N16" s="333">
        <f t="shared" si="12"/>
        <v>0.32978857500000003</v>
      </c>
    </row>
    <row r="17" spans="2:16" x14ac:dyDescent="0.2">
      <c r="B17" s="443" t="s">
        <v>496</v>
      </c>
      <c r="C17" s="244"/>
      <c r="D17" s="333">
        <f>D10/1000000</f>
        <v>-7.0913557500000004E-4</v>
      </c>
      <c r="E17" s="333">
        <f>AVERAGE(D17,F17)</f>
        <v>-2.1626000212500003E-2</v>
      </c>
      <c r="F17" s="333">
        <f>E10/1000000</f>
        <v>-4.2542864850000008E-2</v>
      </c>
      <c r="G17" s="333">
        <f>AVERAGE(F17,H17)</f>
        <v>-9.5721154856250004E-2</v>
      </c>
      <c r="H17" s="333">
        <f>F10/1000000</f>
        <v>-0.14889944486250001</v>
      </c>
      <c r="I17" s="333">
        <f>AVERAGE(H17,J17)</f>
        <v>-0.23043975710625</v>
      </c>
      <c r="J17" s="333">
        <f>G10/1000000</f>
        <v>-0.31198006935</v>
      </c>
      <c r="K17" s="333">
        <f>AVERAGE(J17,L17)</f>
        <v>-0.42188209745624999</v>
      </c>
      <c r="L17" s="333">
        <f>H10/1000000</f>
        <v>-0.53178412556249999</v>
      </c>
      <c r="M17" s="333">
        <f>AVERAGE(L17,N17)</f>
        <v>-0.67004796144375001</v>
      </c>
      <c r="N17" s="333">
        <f>I10/1000000</f>
        <v>-0.80831179732500014</v>
      </c>
    </row>
    <row r="18" spans="2:16" x14ac:dyDescent="0.2">
      <c r="C18" s="146" t="s">
        <v>127</v>
      </c>
      <c r="D18" s="445">
        <f>ROUND(SUM(D14:D17),1)</f>
        <v>0</v>
      </c>
      <c r="E18" s="445">
        <f t="shared" ref="E18:N18" si="13">ROUND(SUM(E14:E17),1)</f>
        <v>0.4</v>
      </c>
      <c r="F18" s="445">
        <f t="shared" si="13"/>
        <v>0.7</v>
      </c>
      <c r="G18" s="445">
        <f t="shared" si="13"/>
        <v>1.1000000000000001</v>
      </c>
      <c r="H18" s="445">
        <f t="shared" si="13"/>
        <v>1.6</v>
      </c>
      <c r="I18" s="445">
        <f t="shared" si="13"/>
        <v>2</v>
      </c>
      <c r="J18" s="445">
        <f t="shared" si="13"/>
        <v>2.4</v>
      </c>
      <c r="K18" s="445">
        <f t="shared" si="13"/>
        <v>2.8</v>
      </c>
      <c r="L18" s="445">
        <f t="shared" si="13"/>
        <v>3.2</v>
      </c>
      <c r="M18" s="445">
        <f t="shared" si="13"/>
        <v>3.6</v>
      </c>
      <c r="N18" s="445">
        <f t="shared" si="13"/>
        <v>3.9</v>
      </c>
      <c r="P18" s="202" t="s">
        <v>279</v>
      </c>
    </row>
    <row r="31" spans="2:16" x14ac:dyDescent="0.2">
      <c r="B31" s="154" t="s">
        <v>415</v>
      </c>
    </row>
    <row r="32" spans="2:16" x14ac:dyDescent="0.2">
      <c r="D32" s="243">
        <v>2010</v>
      </c>
      <c r="E32" s="243">
        <v>2020</v>
      </c>
      <c r="F32" s="243">
        <v>2030</v>
      </c>
      <c r="G32" s="243">
        <v>2040</v>
      </c>
      <c r="H32" s="243">
        <v>2050</v>
      </c>
      <c r="I32" s="243">
        <v>2060</v>
      </c>
    </row>
    <row r="33" spans="2:14" x14ac:dyDescent="0.2">
      <c r="B33" s="146" t="s">
        <v>131</v>
      </c>
      <c r="C33" s="146" t="s">
        <v>169</v>
      </c>
      <c r="D33" s="167">
        <v>132</v>
      </c>
      <c r="E33" s="167">
        <v>3966</v>
      </c>
      <c r="F33" s="167">
        <v>9253</v>
      </c>
      <c r="G33" s="167">
        <v>14541</v>
      </c>
      <c r="H33" s="167">
        <v>19828</v>
      </c>
      <c r="I33" s="167">
        <v>25115</v>
      </c>
    </row>
    <row r="35" spans="2:14" x14ac:dyDescent="0.2">
      <c r="B35" s="202" t="s">
        <v>278</v>
      </c>
      <c r="C35" s="202" t="s">
        <v>277</v>
      </c>
    </row>
    <row r="36" spans="2:14" x14ac:dyDescent="0.2">
      <c r="D36" s="243">
        <v>2010</v>
      </c>
      <c r="E36" s="243">
        <v>2015</v>
      </c>
      <c r="F36" s="243">
        <v>2020</v>
      </c>
      <c r="G36" s="243">
        <v>2025</v>
      </c>
      <c r="H36" s="243">
        <v>2030</v>
      </c>
      <c r="I36" s="243">
        <v>2035</v>
      </c>
      <c r="J36" s="243">
        <v>2040</v>
      </c>
      <c r="K36" s="243">
        <v>2045</v>
      </c>
      <c r="L36" s="243">
        <v>2050</v>
      </c>
      <c r="M36" s="243">
        <v>2055</v>
      </c>
      <c r="N36" s="243">
        <v>2060</v>
      </c>
    </row>
    <row r="37" spans="2:14" x14ac:dyDescent="0.2">
      <c r="D37" s="214">
        <f>D33</f>
        <v>132</v>
      </c>
      <c r="E37" s="214">
        <f>AVERAGE(D37,F37)</f>
        <v>2049</v>
      </c>
      <c r="F37" s="214">
        <f>E33</f>
        <v>3966</v>
      </c>
      <c r="G37" s="214">
        <f>AVERAGE(F37,H37)</f>
        <v>6609.5</v>
      </c>
      <c r="H37" s="214">
        <f>F33</f>
        <v>9253</v>
      </c>
      <c r="I37" s="214">
        <f>AVERAGE(H37,J37)</f>
        <v>11897</v>
      </c>
      <c r="J37" s="214">
        <f>G33</f>
        <v>14541</v>
      </c>
      <c r="K37" s="214">
        <f>AVERAGE(J37,L37)</f>
        <v>17184.5</v>
      </c>
      <c r="L37" s="214">
        <f>H33</f>
        <v>19828</v>
      </c>
      <c r="M37" s="214">
        <f>AVERAGE(L37,N37)</f>
        <v>22471.5</v>
      </c>
      <c r="N37" s="214">
        <f>I33</f>
        <v>25115</v>
      </c>
    </row>
    <row r="40" spans="2:14" x14ac:dyDescent="0.2">
      <c r="B40" s="154" t="s">
        <v>273</v>
      </c>
    </row>
    <row r="41" spans="2:14" ht="38.25" x14ac:dyDescent="0.2">
      <c r="B41" s="168" t="s">
        <v>274</v>
      </c>
      <c r="C41" s="168" t="s">
        <v>429</v>
      </c>
      <c r="D41" s="168" t="s">
        <v>182</v>
      </c>
      <c r="E41" s="168" t="s">
        <v>174</v>
      </c>
      <c r="F41" s="168" t="s">
        <v>175</v>
      </c>
      <c r="G41" s="168" t="s">
        <v>177</v>
      </c>
      <c r="H41" s="168" t="s">
        <v>178</v>
      </c>
    </row>
    <row r="42" spans="2:14" x14ac:dyDescent="0.2">
      <c r="B42" s="167"/>
      <c r="C42" s="167"/>
      <c r="D42" s="167"/>
      <c r="E42" s="167"/>
      <c r="F42" s="167"/>
      <c r="G42" s="167"/>
      <c r="H42" s="167"/>
      <c r="K42" s="202" t="s">
        <v>391</v>
      </c>
    </row>
    <row r="43" spans="2:14" x14ac:dyDescent="0.2">
      <c r="B43" s="167"/>
      <c r="C43" s="167"/>
      <c r="D43" s="167"/>
      <c r="E43" s="167"/>
      <c r="F43" s="167"/>
      <c r="G43" s="167"/>
      <c r="H43" s="167"/>
    </row>
    <row r="44" spans="2:14" x14ac:dyDescent="0.2">
      <c r="B44" s="167"/>
      <c r="C44" s="167"/>
      <c r="D44" s="167"/>
      <c r="E44" s="167"/>
      <c r="F44" s="167"/>
      <c r="G44" s="167"/>
      <c r="H44" s="167"/>
    </row>
    <row r="54" spans="2:12" x14ac:dyDescent="0.2">
      <c r="B54" s="154" t="s">
        <v>163</v>
      </c>
    </row>
    <row r="55" spans="2:12" x14ac:dyDescent="0.2">
      <c r="C55" s="202" t="s">
        <v>448</v>
      </c>
    </row>
    <row r="56" spans="2:12" ht="38.25" x14ac:dyDescent="0.2">
      <c r="B56" s="168" t="s">
        <v>129</v>
      </c>
      <c r="C56" s="168" t="s">
        <v>44</v>
      </c>
      <c r="D56" s="168" t="s">
        <v>15</v>
      </c>
      <c r="E56" s="168" t="s">
        <v>148</v>
      </c>
      <c r="F56" s="168" t="s">
        <v>164</v>
      </c>
      <c r="I56" t="s">
        <v>152</v>
      </c>
      <c r="J56" s="162" t="s">
        <v>151</v>
      </c>
    </row>
    <row r="57" spans="2:12" x14ac:dyDescent="0.2">
      <c r="B57" s="167" t="s">
        <v>497</v>
      </c>
      <c r="C57" s="167" t="s">
        <v>153</v>
      </c>
      <c r="D57" s="167" t="s">
        <v>160</v>
      </c>
      <c r="E57" s="167" t="s">
        <v>165</v>
      </c>
      <c r="F57" s="167">
        <v>0.25</v>
      </c>
      <c r="J57" s="146" t="s">
        <v>153</v>
      </c>
      <c r="L57" s="146" t="s">
        <v>156</v>
      </c>
    </row>
    <row r="58" spans="2:12" x14ac:dyDescent="0.2">
      <c r="B58" s="167"/>
      <c r="C58" s="167"/>
      <c r="D58" s="167"/>
      <c r="E58" s="167"/>
      <c r="F58" s="167"/>
      <c r="J58" s="146" t="s">
        <v>154</v>
      </c>
      <c r="L58" s="146" t="s">
        <v>157</v>
      </c>
    </row>
    <row r="59" spans="2:12" x14ac:dyDescent="0.2">
      <c r="B59" s="167"/>
      <c r="C59" s="167"/>
      <c r="D59" s="167"/>
      <c r="E59" s="167"/>
      <c r="F59" s="167"/>
      <c r="J59" s="146" t="s">
        <v>155</v>
      </c>
    </row>
    <row r="60" spans="2:12" x14ac:dyDescent="0.2">
      <c r="I60" s="146" t="s">
        <v>158</v>
      </c>
      <c r="K60" s="162" t="s">
        <v>159</v>
      </c>
    </row>
    <row r="62" spans="2:12" x14ac:dyDescent="0.2">
      <c r="B62" s="204" t="s">
        <v>272</v>
      </c>
    </row>
    <row r="63" spans="2:12" ht="38.25" x14ac:dyDescent="0.2">
      <c r="B63" s="168" t="s">
        <v>173</v>
      </c>
      <c r="C63" s="168" t="s">
        <v>206</v>
      </c>
      <c r="D63" s="168" t="s">
        <v>182</v>
      </c>
      <c r="E63" s="168" t="s">
        <v>174</v>
      </c>
      <c r="F63" s="168" t="s">
        <v>175</v>
      </c>
      <c r="G63" s="168" t="s">
        <v>177</v>
      </c>
      <c r="H63" s="168" t="s">
        <v>178</v>
      </c>
      <c r="I63" s="168" t="s">
        <v>176</v>
      </c>
    </row>
    <row r="64" spans="2:12" x14ac:dyDescent="0.2">
      <c r="B64" s="167"/>
      <c r="C64" s="167"/>
      <c r="D64" s="167"/>
      <c r="E64" s="167"/>
      <c r="F64" s="167"/>
      <c r="G64" s="167"/>
      <c r="H64" s="167"/>
      <c r="I64" s="167"/>
      <c r="K64" s="202" t="s">
        <v>450</v>
      </c>
    </row>
    <row r="65" spans="1:11" x14ac:dyDescent="0.2">
      <c r="B65" s="167"/>
      <c r="C65" s="167"/>
      <c r="D65" s="167"/>
      <c r="E65" s="167"/>
      <c r="F65" s="167"/>
      <c r="G65" s="167"/>
      <c r="H65" s="167"/>
      <c r="I65" s="167"/>
      <c r="K65" s="202" t="s">
        <v>451</v>
      </c>
    </row>
    <row r="66" spans="1:11" x14ac:dyDescent="0.2">
      <c r="B66" s="167"/>
      <c r="C66" s="167"/>
      <c r="D66" s="167"/>
      <c r="E66" s="167"/>
      <c r="F66" s="167"/>
      <c r="G66" s="167"/>
      <c r="H66" s="167"/>
      <c r="I66" s="167"/>
    </row>
    <row r="71" spans="1:11" x14ac:dyDescent="0.2">
      <c r="B71" s="154" t="s">
        <v>209</v>
      </c>
      <c r="C71" s="202" t="s">
        <v>239</v>
      </c>
    </row>
    <row r="72" spans="1:11" ht="38.25" x14ac:dyDescent="0.2">
      <c r="A72" s="202" t="s">
        <v>240</v>
      </c>
      <c r="B72" s="168" t="s">
        <v>147</v>
      </c>
      <c r="C72" s="168" t="s">
        <v>215</v>
      </c>
      <c r="D72" s="168" t="s">
        <v>15</v>
      </c>
      <c r="E72" s="168" t="s">
        <v>44</v>
      </c>
      <c r="F72" s="168" t="s">
        <v>148</v>
      </c>
      <c r="G72" s="168" t="s">
        <v>241</v>
      </c>
      <c r="H72" s="168" t="s">
        <v>216</v>
      </c>
      <c r="I72" s="168" t="s">
        <v>150</v>
      </c>
      <c r="J72" s="168" t="s">
        <v>230</v>
      </c>
    </row>
    <row r="73" spans="1:11" x14ac:dyDescent="0.2">
      <c r="A73" s="213">
        <v>1</v>
      </c>
      <c r="B73" s="167" t="s">
        <v>106</v>
      </c>
      <c r="C73" s="167" t="s">
        <v>235</v>
      </c>
      <c r="D73" s="167" t="s">
        <v>160</v>
      </c>
      <c r="E73" s="167" t="s">
        <v>153</v>
      </c>
      <c r="F73" s="167" t="s">
        <v>330</v>
      </c>
      <c r="G73" s="167"/>
      <c r="H73" s="167">
        <v>2015</v>
      </c>
      <c r="I73" s="212">
        <v>3</v>
      </c>
      <c r="J73" s="167" t="s">
        <v>500</v>
      </c>
      <c r="K73" s="202" t="s">
        <v>238</v>
      </c>
    </row>
    <row r="74" spans="1:11" x14ac:dyDescent="0.2">
      <c r="A74" s="213">
        <v>2</v>
      </c>
      <c r="B74" s="167" t="s">
        <v>498</v>
      </c>
      <c r="C74" s="167" t="s">
        <v>236</v>
      </c>
      <c r="D74" s="167" t="s">
        <v>160</v>
      </c>
      <c r="E74" s="167" t="s">
        <v>153</v>
      </c>
      <c r="F74" s="167" t="s">
        <v>165</v>
      </c>
      <c r="G74" s="167"/>
      <c r="H74" s="167">
        <v>2012</v>
      </c>
      <c r="I74" s="212">
        <v>2</v>
      </c>
      <c r="J74" s="167" t="s">
        <v>499</v>
      </c>
    </row>
    <row r="75" spans="1:11" x14ac:dyDescent="0.2">
      <c r="A75" s="213">
        <v>3</v>
      </c>
      <c r="B75" s="167"/>
      <c r="C75" s="167" t="s">
        <v>231</v>
      </c>
      <c r="D75" s="167" t="s">
        <v>160</v>
      </c>
      <c r="E75" s="167"/>
      <c r="F75" s="167"/>
      <c r="G75" s="167"/>
      <c r="H75" s="167"/>
      <c r="I75" s="212"/>
      <c r="J75" s="167"/>
    </row>
    <row r="76" spans="1:11" x14ac:dyDescent="0.2">
      <c r="A76" s="213">
        <v>4</v>
      </c>
      <c r="B76" s="167"/>
      <c r="C76" s="167" t="s">
        <v>232</v>
      </c>
      <c r="D76" s="167" t="s">
        <v>160</v>
      </c>
      <c r="E76" s="167"/>
      <c r="F76" s="167"/>
      <c r="G76" s="167"/>
      <c r="H76" s="167"/>
      <c r="I76" s="212"/>
      <c r="J76" s="167"/>
    </row>
    <row r="77" spans="1:11" x14ac:dyDescent="0.2">
      <c r="A77" s="213">
        <v>5</v>
      </c>
      <c r="B77" s="167"/>
      <c r="C77" s="167" t="s">
        <v>233</v>
      </c>
      <c r="D77" s="167" t="s">
        <v>160</v>
      </c>
      <c r="E77" s="167"/>
      <c r="F77" s="167"/>
      <c r="G77" s="167"/>
      <c r="H77" s="167"/>
      <c r="I77" s="212"/>
      <c r="J77" s="167"/>
    </row>
    <row r="78" spans="1:11" x14ac:dyDescent="0.2">
      <c r="A78" s="213">
        <v>6</v>
      </c>
      <c r="B78" s="167"/>
      <c r="C78" s="167" t="s">
        <v>237</v>
      </c>
      <c r="D78" s="167" t="s">
        <v>160</v>
      </c>
      <c r="E78" s="167"/>
      <c r="F78" s="167"/>
      <c r="G78" s="167"/>
      <c r="H78" s="167"/>
      <c r="I78" s="212"/>
      <c r="J78" s="167"/>
    </row>
    <row r="79" spans="1:11" x14ac:dyDescent="0.2">
      <c r="A79" s="213">
        <v>7</v>
      </c>
      <c r="B79" s="167"/>
      <c r="C79" s="167" t="s">
        <v>234</v>
      </c>
      <c r="D79" s="167" t="s">
        <v>160</v>
      </c>
      <c r="E79" s="167"/>
      <c r="F79" s="167"/>
      <c r="G79" s="167"/>
      <c r="H79" s="167"/>
      <c r="I79" s="212"/>
      <c r="J79" s="167"/>
    </row>
    <row r="80" spans="1:11" x14ac:dyDescent="0.2">
      <c r="A80" s="213">
        <v>8</v>
      </c>
      <c r="B80" s="167"/>
      <c r="C80" s="167"/>
      <c r="D80" s="167"/>
      <c r="E80" s="167"/>
      <c r="F80" s="167"/>
      <c r="G80" s="167"/>
      <c r="H80" s="167"/>
      <c r="I80" s="212"/>
      <c r="J80" s="167"/>
    </row>
    <row r="81" spans="1:10" x14ac:dyDescent="0.2">
      <c r="A81" s="213"/>
      <c r="B81" s="167"/>
      <c r="C81" s="167"/>
      <c r="D81" s="167"/>
      <c r="E81" s="167"/>
      <c r="F81" s="167"/>
      <c r="G81" s="167"/>
      <c r="H81" s="167"/>
      <c r="I81" s="212"/>
      <c r="J81" s="167"/>
    </row>
    <row r="82" spans="1:10" x14ac:dyDescent="0.2">
      <c r="A82" s="213"/>
      <c r="B82" s="167"/>
      <c r="C82" s="167"/>
      <c r="D82" s="167"/>
      <c r="E82" s="167"/>
      <c r="F82" s="167"/>
      <c r="G82" s="167"/>
      <c r="H82" s="167"/>
      <c r="I82" s="212"/>
      <c r="J82" s="167"/>
    </row>
    <row r="86" spans="1:10" x14ac:dyDescent="0.2">
      <c r="B86" s="154" t="s">
        <v>387</v>
      </c>
    </row>
    <row r="87" spans="1:10" x14ac:dyDescent="0.2">
      <c r="B87" s="215" t="s">
        <v>386</v>
      </c>
      <c r="C87" s="202" t="s">
        <v>388</v>
      </c>
    </row>
    <row r="88" spans="1:10" x14ac:dyDescent="0.2">
      <c r="B88" s="215" t="s">
        <v>418</v>
      </c>
      <c r="C88" s="202" t="s">
        <v>419</v>
      </c>
    </row>
    <row r="89" spans="1:10" x14ac:dyDescent="0.2">
      <c r="B89" s="215" t="s">
        <v>263</v>
      </c>
      <c r="C89" s="202" t="s">
        <v>420</v>
      </c>
    </row>
    <row r="91" spans="1:10" x14ac:dyDescent="0.2">
      <c r="B91" s="202" t="s">
        <v>421</v>
      </c>
      <c r="C91" s="202" t="s">
        <v>422</v>
      </c>
    </row>
  </sheetData>
  <hyperlinks>
    <hyperlink ref="J56" r:id="rId1"/>
    <hyperlink ref="K60" r:id="rId2"/>
  </hyperlinks>
  <pageMargins left="0.7" right="0.7" top="0.75" bottom="0.75" header="0.3" footer="0.3"/>
  <pageSetup orientation="portrait" verticalDpi="0"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499984740745262"/>
  </sheetPr>
  <dimension ref="A2:Z135"/>
  <sheetViews>
    <sheetView zoomScale="130" zoomScaleNormal="130" workbookViewId="0">
      <selection activeCell="D101" sqref="D101"/>
    </sheetView>
  </sheetViews>
  <sheetFormatPr defaultRowHeight="12.75" x14ac:dyDescent="0.2"/>
  <cols>
    <col min="1" max="1" width="4.28515625" customWidth="1"/>
    <col min="2" max="2" width="29.85546875" customWidth="1"/>
    <col min="3" max="4" width="12.140625" customWidth="1"/>
    <col min="5" max="5" width="15.7109375" customWidth="1"/>
    <col min="6" max="6" width="12.28515625" customWidth="1"/>
    <col min="7" max="7" width="15.140625" customWidth="1"/>
    <col min="8" max="8" width="11.85546875" customWidth="1"/>
    <col min="9" max="9" width="20.5703125" customWidth="1"/>
    <col min="10" max="10" width="14.7109375" customWidth="1"/>
    <col min="11" max="17" width="7" customWidth="1"/>
    <col min="18" max="21" width="8" bestFit="1" customWidth="1"/>
    <col min="22" max="22" width="7" customWidth="1"/>
  </cols>
  <sheetData>
    <row r="2" spans="2:23" x14ac:dyDescent="0.2">
      <c r="B2" s="158" t="s">
        <v>125</v>
      </c>
      <c r="C2" s="159"/>
      <c r="D2" s="159"/>
      <c r="E2" s="159"/>
      <c r="F2" s="159"/>
      <c r="G2" s="159"/>
      <c r="H2" s="159"/>
      <c r="I2" s="159"/>
      <c r="J2" s="159"/>
      <c r="K2" s="159"/>
      <c r="L2" s="159"/>
      <c r="M2" s="159"/>
      <c r="N2" s="159"/>
      <c r="O2" s="159"/>
      <c r="P2" s="159"/>
      <c r="Q2" s="159"/>
      <c r="R2" s="159"/>
      <c r="S2" s="159"/>
      <c r="T2" s="159"/>
      <c r="U2" s="159"/>
      <c r="V2" s="159"/>
    </row>
    <row r="3" spans="2:23" x14ac:dyDescent="0.2">
      <c r="B3" s="205"/>
      <c r="C3" s="206" t="s">
        <v>132</v>
      </c>
      <c r="D3" s="205"/>
      <c r="E3" s="205"/>
      <c r="F3" s="205"/>
      <c r="G3" s="205"/>
      <c r="H3" s="205"/>
      <c r="I3" s="205"/>
      <c r="K3" s="207" t="s">
        <v>133</v>
      </c>
      <c r="L3" s="208"/>
      <c r="M3" s="208"/>
      <c r="N3" s="208"/>
      <c r="O3" s="208"/>
      <c r="P3" s="208"/>
      <c r="Q3" s="208"/>
      <c r="R3" s="208"/>
      <c r="S3" s="208"/>
      <c r="T3" s="208"/>
      <c r="U3" s="208"/>
      <c r="V3" s="208"/>
    </row>
    <row r="5" spans="2:23" ht="15" x14ac:dyDescent="0.25">
      <c r="B5" s="28" t="s">
        <v>134</v>
      </c>
    </row>
    <row r="6" spans="2:23" x14ac:dyDescent="0.2">
      <c r="C6" s="146" t="s">
        <v>135</v>
      </c>
    </row>
    <row r="7" spans="2:23" x14ac:dyDescent="0.2">
      <c r="K7" s="146" t="s">
        <v>126</v>
      </c>
    </row>
    <row r="10" spans="2:23" ht="15.75" thickBot="1" x14ac:dyDescent="0.3">
      <c r="B10" s="28" t="s">
        <v>207</v>
      </c>
      <c r="K10" s="28" t="s">
        <v>137</v>
      </c>
    </row>
    <row r="11" spans="2:23" ht="15.75" thickTop="1" thickBot="1" x14ac:dyDescent="0.25">
      <c r="B11" s="146" t="s">
        <v>136</v>
      </c>
      <c r="J11" s="387" t="s">
        <v>453</v>
      </c>
      <c r="K11" s="156">
        <v>2010</v>
      </c>
      <c r="L11" s="157">
        <v>2015</v>
      </c>
      <c r="M11" s="157">
        <v>2020</v>
      </c>
      <c r="N11" s="157">
        <v>2025</v>
      </c>
      <c r="O11" s="157">
        <v>2030</v>
      </c>
      <c r="P11" s="157">
        <v>2035</v>
      </c>
      <c r="Q11" s="157">
        <v>2040</v>
      </c>
      <c r="R11" s="157">
        <v>2045</v>
      </c>
      <c r="S11" s="157">
        <v>2050</v>
      </c>
      <c r="T11" s="157">
        <v>2055</v>
      </c>
      <c r="U11" s="157">
        <v>2060</v>
      </c>
    </row>
    <row r="12" spans="2:23" ht="18" customHeight="1" thickTop="1" thickBot="1" x14ac:dyDescent="0.25">
      <c r="J12" s="371" t="s">
        <v>454</v>
      </c>
      <c r="K12" s="155">
        <f>ROUND(DataIn!D37,-2)</f>
        <v>100</v>
      </c>
      <c r="L12" s="155">
        <f>ROUND(DataIn!E37,-2)</f>
        <v>2000</v>
      </c>
      <c r="M12" s="155">
        <f>ROUND(DataIn!F37,-2)</f>
        <v>4000</v>
      </c>
      <c r="N12" s="155">
        <f>ROUND(DataIn!G37,-2)</f>
        <v>6600</v>
      </c>
      <c r="O12" s="155">
        <f>ROUND(DataIn!H37,-2)</f>
        <v>9300</v>
      </c>
      <c r="P12" s="155">
        <f>ROUND(DataIn!I37,-2)</f>
        <v>11900</v>
      </c>
      <c r="Q12" s="155">
        <f>ROUND(DataIn!J37,-2)</f>
        <v>14500</v>
      </c>
      <c r="R12" s="155">
        <f>ROUND(DataIn!K37,-2)</f>
        <v>17200</v>
      </c>
      <c r="S12" s="155">
        <f>ROUND(DataIn!L37,-2)</f>
        <v>19800</v>
      </c>
      <c r="T12" s="155">
        <f>ROUND(DataIn!M37,-2)</f>
        <v>22500</v>
      </c>
      <c r="U12" s="155">
        <f>ROUND(DataIn!N37,-2)</f>
        <v>25100</v>
      </c>
    </row>
    <row r="13" spans="2:23" ht="15" thickBot="1" x14ac:dyDescent="0.25">
      <c r="J13" s="371" t="s">
        <v>455</v>
      </c>
      <c r="K13" s="388">
        <f>ROUND(DataIn!D38,-2)</f>
        <v>0</v>
      </c>
      <c r="L13" s="388">
        <f>ROUND(DataIn!E38,-2)</f>
        <v>0</v>
      </c>
      <c r="M13" s="388">
        <f>ROUND(DataIn!F38,-2)</f>
        <v>0</v>
      </c>
      <c r="N13" s="388">
        <f>ROUND(DataIn!G38,-2)</f>
        <v>0</v>
      </c>
      <c r="O13" s="388">
        <f>ROUND(DataIn!H38,-2)</f>
        <v>0</v>
      </c>
      <c r="P13" s="388">
        <f>ROUND(DataIn!I38,-2)</f>
        <v>0</v>
      </c>
      <c r="Q13" s="388">
        <f>ROUND(DataIn!J38,-2)</f>
        <v>0</v>
      </c>
      <c r="R13" s="388">
        <f>ROUND(DataIn!K38,-2)</f>
        <v>0</v>
      </c>
      <c r="S13" s="388">
        <f>ROUND(DataIn!L38,-2)</f>
        <v>0</v>
      </c>
      <c r="T13" s="388">
        <f>ROUND(DataIn!M38,-2)</f>
        <v>0</v>
      </c>
      <c r="U13" s="388">
        <f>ROUND(DataIn!N38,-2)</f>
        <v>0</v>
      </c>
      <c r="W13" s="202" t="s">
        <v>457</v>
      </c>
    </row>
    <row r="14" spans="2:23" ht="15" thickBot="1" x14ac:dyDescent="0.25">
      <c r="B14" s="153" t="s">
        <v>170</v>
      </c>
      <c r="J14" s="389" t="s">
        <v>456</v>
      </c>
      <c r="K14" s="155">
        <f>ROUND(DataIn!D39,-2)</f>
        <v>0</v>
      </c>
      <c r="L14" s="155">
        <f>ROUND(DataIn!E39,-2)</f>
        <v>0</v>
      </c>
      <c r="M14" s="155">
        <f>ROUND(DataIn!F39,-2)</f>
        <v>0</v>
      </c>
      <c r="N14" s="155">
        <f>ROUND(DataIn!G39,-2)</f>
        <v>0</v>
      </c>
      <c r="O14" s="155">
        <f>ROUND(DataIn!H39,-2)</f>
        <v>0</v>
      </c>
      <c r="P14" s="155">
        <f>ROUND(DataIn!I39,-2)</f>
        <v>0</v>
      </c>
      <c r="Q14" s="155">
        <f>ROUND(DataIn!J39,-2)</f>
        <v>0</v>
      </c>
      <c r="R14" s="155">
        <f>ROUND(DataIn!K39,-2)</f>
        <v>0</v>
      </c>
      <c r="S14" s="155">
        <f>ROUND(DataIn!L39,-2)</f>
        <v>0</v>
      </c>
      <c r="T14" s="155">
        <f>ROUND(DataIn!M39,-2)</f>
        <v>0</v>
      </c>
      <c r="U14" s="155">
        <f>ROUND(DataIn!N39,-2)</f>
        <v>0</v>
      </c>
    </row>
    <row r="15" spans="2:23" ht="17.25" thickTop="1" thickBot="1" x14ac:dyDescent="0.25">
      <c r="B15" s="202" t="s">
        <v>213</v>
      </c>
      <c r="J15" s="361" t="s">
        <v>127</v>
      </c>
      <c r="K15" s="390">
        <f>SUM(K12:K14)</f>
        <v>100</v>
      </c>
      <c r="L15" s="390">
        <f t="shared" ref="L15:U15" si="0">SUM(L12:L14)</f>
        <v>2000</v>
      </c>
      <c r="M15" s="390">
        <f t="shared" si="0"/>
        <v>4000</v>
      </c>
      <c r="N15" s="390">
        <f t="shared" si="0"/>
        <v>6600</v>
      </c>
      <c r="O15" s="390">
        <f t="shared" si="0"/>
        <v>9300</v>
      </c>
      <c r="P15" s="390">
        <f t="shared" si="0"/>
        <v>11900</v>
      </c>
      <c r="Q15" s="390">
        <f t="shared" si="0"/>
        <v>14500</v>
      </c>
      <c r="R15" s="390">
        <f t="shared" si="0"/>
        <v>17200</v>
      </c>
      <c r="S15" s="390">
        <f t="shared" si="0"/>
        <v>19800</v>
      </c>
      <c r="T15" s="390">
        <f t="shared" si="0"/>
        <v>22500</v>
      </c>
      <c r="U15" s="390">
        <f t="shared" si="0"/>
        <v>25100</v>
      </c>
      <c r="W15" s="202" t="s">
        <v>458</v>
      </c>
    </row>
    <row r="16" spans="2:23" ht="13.5" thickTop="1" x14ac:dyDescent="0.2"/>
    <row r="18" spans="2:22" ht="13.5" thickBot="1" x14ac:dyDescent="0.25">
      <c r="B18" s="153" t="s">
        <v>268</v>
      </c>
      <c r="J18" s="202" t="s">
        <v>403</v>
      </c>
    </row>
    <row r="19" spans="2:22" ht="48.75" thickTop="1" thickBot="1" x14ac:dyDescent="0.25">
      <c r="B19" s="147" t="s">
        <v>173</v>
      </c>
      <c r="C19" s="148" t="s">
        <v>14</v>
      </c>
      <c r="D19" s="148" t="s">
        <v>182</v>
      </c>
      <c r="E19" s="148" t="s">
        <v>174</v>
      </c>
      <c r="F19" s="148" t="s">
        <v>175</v>
      </c>
      <c r="G19" s="148" t="s">
        <v>177</v>
      </c>
      <c r="H19" s="148" t="s">
        <v>178</v>
      </c>
      <c r="J19" s="460" t="s">
        <v>274</v>
      </c>
      <c r="K19" s="384" t="s">
        <v>305</v>
      </c>
      <c r="L19" s="458">
        <v>2010</v>
      </c>
      <c r="M19" s="458">
        <v>2015</v>
      </c>
      <c r="N19" s="458">
        <v>2020</v>
      </c>
      <c r="O19" s="458">
        <v>2025</v>
      </c>
      <c r="P19" s="458">
        <v>2030</v>
      </c>
      <c r="Q19" s="458">
        <v>2035</v>
      </c>
      <c r="R19" s="458">
        <v>2040</v>
      </c>
      <c r="S19" s="458">
        <v>2045</v>
      </c>
      <c r="T19" s="458">
        <v>2050</v>
      </c>
      <c r="U19" s="458">
        <v>2055</v>
      </c>
      <c r="V19" s="458">
        <v>2060</v>
      </c>
    </row>
    <row r="20" spans="2:22" ht="17.25" thickTop="1" thickBot="1" x14ac:dyDescent="0.25">
      <c r="B20" s="149" t="s">
        <v>183</v>
      </c>
      <c r="C20" s="161" t="s">
        <v>161</v>
      </c>
      <c r="D20" s="223">
        <v>2</v>
      </c>
      <c r="E20" s="224">
        <v>2010</v>
      </c>
      <c r="F20" s="224">
        <v>2060</v>
      </c>
      <c r="G20" s="225" t="s">
        <v>180</v>
      </c>
      <c r="H20" s="224">
        <v>12</v>
      </c>
      <c r="J20" s="461"/>
      <c r="K20" s="385" t="s">
        <v>306</v>
      </c>
      <c r="L20" s="459"/>
      <c r="M20" s="459"/>
      <c r="N20" s="459"/>
      <c r="O20" s="459"/>
      <c r="P20" s="459"/>
      <c r="Q20" s="459"/>
      <c r="R20" s="459"/>
      <c r="S20" s="459"/>
      <c r="T20" s="459"/>
      <c r="U20" s="459"/>
      <c r="V20" s="459"/>
    </row>
    <row r="21" spans="2:22" ht="17.25" thickBot="1" x14ac:dyDescent="0.25">
      <c r="B21" s="149"/>
      <c r="C21" s="161" t="s">
        <v>161</v>
      </c>
      <c r="D21" s="226"/>
      <c r="E21" s="227"/>
      <c r="F21" s="227"/>
      <c r="G21" s="228"/>
      <c r="H21" s="227"/>
      <c r="J21" s="371" t="s">
        <v>307</v>
      </c>
      <c r="K21" s="251">
        <v>1</v>
      </c>
      <c r="L21" s="341">
        <v>1</v>
      </c>
      <c r="M21" s="341">
        <v>1</v>
      </c>
      <c r="N21" s="341">
        <v>1</v>
      </c>
      <c r="O21" s="341">
        <v>1</v>
      </c>
      <c r="P21" s="341">
        <v>2</v>
      </c>
      <c r="Q21" s="341">
        <v>2</v>
      </c>
      <c r="R21" s="341">
        <v>2</v>
      </c>
      <c r="S21" s="341">
        <v>2</v>
      </c>
      <c r="T21" s="341">
        <v>2</v>
      </c>
      <c r="U21" s="341">
        <v>2</v>
      </c>
      <c r="V21" s="341">
        <v>2</v>
      </c>
    </row>
    <row r="22" spans="2:22" ht="17.25" thickBot="1" x14ac:dyDescent="0.25">
      <c r="B22" s="149"/>
      <c r="C22" s="161" t="s">
        <v>161</v>
      </c>
      <c r="D22" s="226"/>
      <c r="E22" s="227"/>
      <c r="F22" s="227"/>
      <c r="G22" s="228"/>
      <c r="H22" s="227"/>
      <c r="J22" s="379"/>
      <c r="K22" s="380"/>
      <c r="L22" s="381"/>
      <c r="M22" s="382"/>
      <c r="N22" s="382"/>
      <c r="O22" s="383"/>
      <c r="P22" s="382"/>
      <c r="Q22" s="382"/>
      <c r="R22" s="382"/>
      <c r="S22" s="382"/>
      <c r="T22" s="382"/>
      <c r="U22" s="382"/>
      <c r="V22" s="382"/>
    </row>
    <row r="23" spans="2:22" ht="17.25" thickTop="1" thickBot="1" x14ac:dyDescent="0.25">
      <c r="B23" s="163"/>
      <c r="C23" s="164"/>
      <c r="D23" s="229"/>
      <c r="E23" s="230"/>
      <c r="F23" s="230"/>
      <c r="G23" s="231"/>
      <c r="H23" s="230"/>
      <c r="J23" s="165" t="s">
        <v>127</v>
      </c>
      <c r="K23" s="172"/>
      <c r="L23" s="173"/>
      <c r="M23" s="173"/>
      <c r="N23" s="173"/>
      <c r="O23" s="173"/>
      <c r="P23" s="173"/>
      <c r="Q23" s="173"/>
      <c r="R23" s="173"/>
      <c r="S23" s="173"/>
      <c r="T23" s="173"/>
      <c r="U23" s="173"/>
      <c r="V23" s="173"/>
    </row>
    <row r="24" spans="2:22" ht="17.25" thickTop="1" thickBot="1" x14ac:dyDescent="0.25">
      <c r="B24" s="165" t="s">
        <v>127</v>
      </c>
      <c r="C24" s="172"/>
      <c r="D24" s="173"/>
      <c r="E24" s="173"/>
      <c r="F24" s="173"/>
      <c r="G24" s="173"/>
      <c r="H24" s="173"/>
    </row>
    <row r="25" spans="2:22" ht="13.5" thickTop="1" x14ac:dyDescent="0.2"/>
    <row r="30" spans="2:22" x14ac:dyDescent="0.2">
      <c r="B30" s="158" t="s">
        <v>142</v>
      </c>
      <c r="C30" s="159"/>
      <c r="D30" s="159"/>
      <c r="E30" s="159"/>
      <c r="F30" s="159"/>
      <c r="G30" s="159"/>
      <c r="H30" s="159"/>
      <c r="I30" s="159"/>
      <c r="J30" s="159"/>
      <c r="K30" s="159"/>
      <c r="L30" s="159"/>
      <c r="M30" s="159"/>
      <c r="N30" s="159"/>
      <c r="O30" s="159"/>
      <c r="P30" s="159"/>
      <c r="Q30" s="159"/>
      <c r="R30" s="159"/>
      <c r="S30" s="159"/>
      <c r="T30" s="159"/>
      <c r="U30" s="159"/>
      <c r="V30" s="159"/>
    </row>
    <row r="32" spans="2:22" x14ac:dyDescent="0.2">
      <c r="B32" s="146" t="s">
        <v>143</v>
      </c>
    </row>
    <row r="35" spans="2:22" x14ac:dyDescent="0.2">
      <c r="B35" s="158" t="s">
        <v>139</v>
      </c>
      <c r="C35" s="158"/>
      <c r="D35" s="158"/>
      <c r="E35" s="158"/>
      <c r="F35" s="158"/>
      <c r="G35" s="158"/>
      <c r="H35" s="158"/>
      <c r="I35" s="158"/>
      <c r="J35" s="158"/>
      <c r="K35" s="158"/>
      <c r="L35" s="158"/>
      <c r="M35" s="158"/>
      <c r="N35" s="158"/>
      <c r="O35" s="158"/>
      <c r="P35" s="158"/>
      <c r="Q35" s="158"/>
      <c r="R35" s="158"/>
      <c r="S35" s="158"/>
      <c r="T35" s="158"/>
      <c r="U35" s="158"/>
      <c r="V35" s="158"/>
    </row>
    <row r="37" spans="2:22" ht="13.5" thickBot="1" x14ac:dyDescent="0.25">
      <c r="B37" s="146" t="s">
        <v>179</v>
      </c>
    </row>
    <row r="38" spans="2:22" ht="48.75" thickTop="1" thickBot="1" x14ac:dyDescent="0.25">
      <c r="B38" s="147" t="s">
        <v>173</v>
      </c>
      <c r="C38" s="148" t="s">
        <v>14</v>
      </c>
      <c r="D38" s="148" t="s">
        <v>182</v>
      </c>
      <c r="E38" s="148" t="s">
        <v>174</v>
      </c>
      <c r="F38" s="148" t="s">
        <v>175</v>
      </c>
      <c r="G38" s="148" t="s">
        <v>177</v>
      </c>
      <c r="H38" s="148" t="s">
        <v>178</v>
      </c>
      <c r="I38" s="148" t="s">
        <v>176</v>
      </c>
      <c r="K38" s="146" t="s">
        <v>181</v>
      </c>
    </row>
    <row r="39" spans="2:22" ht="17.25" thickTop="1" thickBot="1" x14ac:dyDescent="0.25">
      <c r="B39" s="149"/>
      <c r="C39" s="161" t="s">
        <v>161</v>
      </c>
      <c r="D39" s="223"/>
      <c r="E39" s="224"/>
      <c r="F39" s="224"/>
      <c r="G39" s="225"/>
      <c r="H39" s="224"/>
      <c r="I39" s="223"/>
      <c r="L39" s="146" t="s">
        <v>184</v>
      </c>
    </row>
    <row r="40" spans="2:22" ht="16.5" thickBot="1" x14ac:dyDescent="0.25">
      <c r="B40" s="149"/>
      <c r="C40" s="161" t="s">
        <v>161</v>
      </c>
      <c r="D40" s="226"/>
      <c r="E40" s="227"/>
      <c r="F40" s="227"/>
      <c r="G40" s="228"/>
      <c r="H40" s="227"/>
      <c r="I40" s="226"/>
    </row>
    <row r="41" spans="2:22" ht="16.5" thickBot="1" x14ac:dyDescent="0.25">
      <c r="B41" s="149"/>
      <c r="C41" s="161" t="s">
        <v>161</v>
      </c>
      <c r="D41" s="226"/>
      <c r="E41" s="227"/>
      <c r="F41" s="227"/>
      <c r="G41" s="228"/>
      <c r="H41" s="227"/>
      <c r="I41" s="226"/>
      <c r="K41" t="str">
        <f>DataIn!K64</f>
        <v>Note: In general, DWR wants to see the entire Contract amount available for supply for both sales and purchase contracts.</v>
      </c>
    </row>
    <row r="42" spans="2:22" ht="16.5" thickBot="1" x14ac:dyDescent="0.25">
      <c r="B42" s="163"/>
      <c r="C42" s="164"/>
      <c r="D42" s="229"/>
      <c r="E42" s="230"/>
      <c r="F42" s="230"/>
      <c r="G42" s="231"/>
      <c r="H42" s="230"/>
      <c r="I42" s="229"/>
      <c r="K42" t="str">
        <f>DataIn!K65</f>
        <v>If you use the equivalent supply column to claim a lower supply than the contract amount, explain why in Section III.</v>
      </c>
    </row>
    <row r="43" spans="2:22" ht="17.25" thickTop="1" thickBot="1" x14ac:dyDescent="0.25">
      <c r="B43" s="165" t="s">
        <v>127</v>
      </c>
      <c r="C43" s="172"/>
      <c r="D43" s="173"/>
      <c r="E43" s="173"/>
      <c r="F43" s="173"/>
      <c r="G43" s="173"/>
      <c r="H43" s="173"/>
      <c r="I43" s="174">
        <f>SUMIF(G39:G42,"Regular",I39:I42)</f>
        <v>0</v>
      </c>
      <c r="K43" s="202" t="s">
        <v>452</v>
      </c>
    </row>
    <row r="44" spans="2:22" ht="13.5" thickTop="1" x14ac:dyDescent="0.2"/>
    <row r="47" spans="2:22" ht="13.5" thickBot="1" x14ac:dyDescent="0.25">
      <c r="B47" s="146" t="s">
        <v>144</v>
      </c>
    </row>
    <row r="48" spans="2:22" ht="31.5" customHeight="1" thickTop="1" thickBot="1" x14ac:dyDescent="0.25">
      <c r="B48" s="147" t="s">
        <v>147</v>
      </c>
      <c r="C48" s="148" t="s">
        <v>14</v>
      </c>
      <c r="D48" s="148" t="s">
        <v>15</v>
      </c>
      <c r="E48" s="148" t="s">
        <v>44</v>
      </c>
      <c r="F48" s="148" t="s">
        <v>148</v>
      </c>
      <c r="G48" s="148" t="s">
        <v>150</v>
      </c>
      <c r="J48" t="s">
        <v>162</v>
      </c>
    </row>
    <row r="49" spans="2:22" ht="17.25" thickTop="1" thickBot="1" x14ac:dyDescent="0.25">
      <c r="B49" s="149" t="str">
        <f>DataIn!B57</f>
        <v>City of Mebane</v>
      </c>
      <c r="C49" s="161" t="str">
        <f>DataIn!$C$2</f>
        <v>N/A</v>
      </c>
      <c r="D49" s="342" t="str">
        <f>DataIn!D57</f>
        <v>SW</v>
      </c>
      <c r="E49" s="343" t="str">
        <f>DataIn!C57</f>
        <v>Haw (2-1)</v>
      </c>
      <c r="F49" s="343" t="str">
        <f>DataIn!E57</f>
        <v>WS-II</v>
      </c>
      <c r="G49" s="449">
        <v>0.25</v>
      </c>
      <c r="J49" t="s">
        <v>152</v>
      </c>
      <c r="K49" s="162" t="s">
        <v>151</v>
      </c>
    </row>
    <row r="50" spans="2:22" ht="16.5" thickBot="1" x14ac:dyDescent="0.25">
      <c r="B50" s="149" t="s">
        <v>235</v>
      </c>
      <c r="C50" s="161" t="str">
        <f>DataIn!$C$2</f>
        <v>N/A</v>
      </c>
      <c r="D50" s="345" t="s">
        <v>160</v>
      </c>
      <c r="E50" s="346">
        <f>DataIn!C58</f>
        <v>0</v>
      </c>
      <c r="F50" s="346">
        <f>DataIn!E58</f>
        <v>0</v>
      </c>
      <c r="G50" s="347">
        <f>DataIn!F58</f>
        <v>0</v>
      </c>
      <c r="K50" s="146" t="s">
        <v>153</v>
      </c>
      <c r="M50" s="146" t="s">
        <v>156</v>
      </c>
    </row>
    <row r="51" spans="2:22" ht="16.5" thickBot="1" x14ac:dyDescent="0.25">
      <c r="B51" s="149">
        <f>DataIn!B59</f>
        <v>0</v>
      </c>
      <c r="C51" s="161" t="str">
        <f>DataIn!$C$2</f>
        <v>N/A</v>
      </c>
      <c r="D51" s="345">
        <f>DataIn!D59</f>
        <v>0</v>
      </c>
      <c r="E51" s="346">
        <f>DataIn!C59</f>
        <v>0</v>
      </c>
      <c r="F51" s="346">
        <f>DataIn!E59</f>
        <v>0</v>
      </c>
      <c r="G51" s="347">
        <f>DataIn!F59</f>
        <v>0</v>
      </c>
      <c r="K51" s="146" t="s">
        <v>154</v>
      </c>
      <c r="M51" s="146" t="s">
        <v>157</v>
      </c>
    </row>
    <row r="52" spans="2:22" ht="16.5" thickBot="1" x14ac:dyDescent="0.25">
      <c r="B52" s="163"/>
      <c r="C52" s="164"/>
      <c r="D52" s="348"/>
      <c r="E52" s="348"/>
      <c r="F52" s="348"/>
      <c r="G52" s="349"/>
      <c r="K52" s="146" t="s">
        <v>155</v>
      </c>
    </row>
    <row r="53" spans="2:22" ht="17.25" thickTop="1" thickBot="1" x14ac:dyDescent="0.25">
      <c r="B53" s="165" t="s">
        <v>127</v>
      </c>
      <c r="C53" s="172"/>
      <c r="D53" s="173"/>
      <c r="E53" s="173"/>
      <c r="F53" s="173"/>
      <c r="G53" s="450">
        <f>SUM(G49:G52)</f>
        <v>0.25</v>
      </c>
      <c r="J53" s="146" t="s">
        <v>158</v>
      </c>
      <c r="L53" s="162" t="s">
        <v>159</v>
      </c>
    </row>
    <row r="54" spans="2:22" ht="13.5" thickTop="1" x14ac:dyDescent="0.2"/>
    <row r="56" spans="2:22" x14ac:dyDescent="0.2">
      <c r="B56" s="209" t="s">
        <v>208</v>
      </c>
      <c r="C56" s="159"/>
      <c r="D56" s="159"/>
      <c r="E56" s="159"/>
      <c r="F56" s="159"/>
      <c r="G56" s="159"/>
      <c r="H56" s="159"/>
      <c r="I56" s="159"/>
      <c r="J56" s="159"/>
      <c r="K56" s="159"/>
      <c r="L56" s="159"/>
      <c r="M56" s="159"/>
      <c r="N56" s="159"/>
      <c r="O56" s="159"/>
      <c r="P56" s="159"/>
      <c r="Q56" s="159"/>
      <c r="R56" s="159"/>
      <c r="S56" s="159"/>
      <c r="T56" s="159"/>
      <c r="U56" s="159"/>
      <c r="V56" s="159"/>
    </row>
    <row r="58" spans="2:22" x14ac:dyDescent="0.2">
      <c r="B58" s="146" t="s">
        <v>145</v>
      </c>
      <c r="K58" t="str">
        <f>B58</f>
        <v>Table IV.1 - Water Supply Needs</v>
      </c>
    </row>
    <row r="59" spans="2:22" ht="13.5" thickBot="1" x14ac:dyDescent="0.25">
      <c r="B59" t="s">
        <v>146</v>
      </c>
    </row>
    <row r="60" spans="2:22" ht="17.25" thickTop="1" thickBot="1" x14ac:dyDescent="0.25">
      <c r="J60" s="147"/>
      <c r="K60" s="148">
        <v>2010</v>
      </c>
      <c r="L60" s="148">
        <v>2015</v>
      </c>
      <c r="M60" s="148">
        <v>2020</v>
      </c>
      <c r="N60" s="148">
        <v>2025</v>
      </c>
      <c r="O60" s="148">
        <v>2030</v>
      </c>
      <c r="P60" s="148">
        <v>2035</v>
      </c>
      <c r="Q60" s="148">
        <v>2040</v>
      </c>
      <c r="R60" s="148">
        <v>2045</v>
      </c>
      <c r="S60" s="148">
        <v>2050</v>
      </c>
      <c r="T60" s="148">
        <v>2055</v>
      </c>
      <c r="U60" s="148">
        <v>2060</v>
      </c>
    </row>
    <row r="61" spans="2:22" ht="17.25" thickTop="1" thickBot="1" x14ac:dyDescent="0.25">
      <c r="J61" s="149" t="s">
        <v>166</v>
      </c>
      <c r="K61" s="232">
        <f>'Population&amp;Demand Projections'!C115</f>
        <v>2.4172814425000001E-2</v>
      </c>
      <c r="L61" s="232">
        <f>'Population&amp;Demand Projections'!D115</f>
        <v>0.36399799978750003</v>
      </c>
      <c r="M61" s="232">
        <f>'Population&amp;Demand Projections'!E115</f>
        <v>0.70382318514999997</v>
      </c>
      <c r="N61" s="232">
        <f>'Population&amp;Demand Projections'!F115</f>
        <v>1.14821885764375</v>
      </c>
      <c r="O61" s="232">
        <f>'Population&amp;Demand Projections'!G115</f>
        <v>1.5926145301375001</v>
      </c>
      <c r="P61" s="232">
        <f>'Population&amp;Demand Projections'!H115</f>
        <v>2.00865086789375</v>
      </c>
      <c r="Q61" s="232">
        <f>'Population&amp;Demand Projections'!I115</f>
        <v>2.4246872056499997</v>
      </c>
      <c r="R61" s="232">
        <f>'Population&amp;Demand Projections'!J115</f>
        <v>2.8123607525437504</v>
      </c>
      <c r="S61" s="232">
        <f>'Population&amp;Demand Projections'!K115</f>
        <v>3.2000342994375002</v>
      </c>
      <c r="T61" s="232">
        <f>'Population&amp;Demand Projections'!L115</f>
        <v>3.5593460385562503</v>
      </c>
      <c r="U61" s="232">
        <f>'Population&amp;Demand Projections'!M115</f>
        <v>3.918657777675</v>
      </c>
    </row>
    <row r="62" spans="2:22" ht="16.5" thickBot="1" x14ac:dyDescent="0.25">
      <c r="J62" s="149" t="s">
        <v>19</v>
      </c>
      <c r="K62" s="233">
        <f>'Population&amp;Demand Projections'!C101+'Population&amp;Demand Projections'!C102+'Population&amp;Demand Projections'!C103</f>
        <v>0.25</v>
      </c>
      <c r="L62" s="233">
        <f>'Population&amp;Demand Projections'!D101+'Population&amp;Demand Projections'!D102+'Population&amp;Demand Projections'!D103</f>
        <v>0.25</v>
      </c>
      <c r="M62" s="233">
        <f>'Population&amp;Demand Projections'!E101+'Population&amp;Demand Projections'!E102+'Population&amp;Demand Projections'!E103</f>
        <v>0.25</v>
      </c>
      <c r="N62" s="233">
        <f>'Population&amp;Demand Projections'!F101+'Population&amp;Demand Projections'!F102+'Population&amp;Demand Projections'!F103</f>
        <v>0.25</v>
      </c>
      <c r="O62" s="233">
        <f>'Population&amp;Demand Projections'!G101+'Population&amp;Demand Projections'!G102+'Population&amp;Demand Projections'!G103</f>
        <v>0.25</v>
      </c>
      <c r="P62" s="233">
        <f>'Population&amp;Demand Projections'!H101+'Population&amp;Demand Projections'!H102+'Population&amp;Demand Projections'!H103</f>
        <v>0.25</v>
      </c>
      <c r="Q62" s="233">
        <f>'Population&amp;Demand Projections'!I101+'Population&amp;Demand Projections'!I102+'Population&amp;Demand Projections'!I103</f>
        <v>0.25</v>
      </c>
      <c r="R62" s="233">
        <f>'Population&amp;Demand Projections'!J101+'Population&amp;Demand Projections'!J102+'Population&amp;Demand Projections'!J103</f>
        <v>0.25</v>
      </c>
      <c r="S62" s="233">
        <f>'Population&amp;Demand Projections'!K101+'Population&amp;Demand Projections'!K102+'Population&amp;Demand Projections'!K103</f>
        <v>0.25</v>
      </c>
      <c r="T62" s="233">
        <f>'Population&amp;Demand Projections'!L101+'Population&amp;Demand Projections'!L102+'Population&amp;Demand Projections'!L103</f>
        <v>0.25</v>
      </c>
      <c r="U62" s="233">
        <f>'Population&amp;Demand Projections'!M101+'Population&amp;Demand Projections'!M102+'Population&amp;Demand Projections'!M103</f>
        <v>0.25</v>
      </c>
    </row>
    <row r="63" spans="2:22" ht="32.25" thickBot="1" x14ac:dyDescent="0.25">
      <c r="J63" s="149" t="s">
        <v>168</v>
      </c>
      <c r="K63" s="234">
        <f>K61/K62</f>
        <v>9.6691257700000005E-2</v>
      </c>
      <c r="L63" s="234">
        <f t="shared" ref="L63:U63" si="1">L61/L62</f>
        <v>1.4559919991500001</v>
      </c>
      <c r="M63" s="234">
        <f t="shared" si="1"/>
        <v>2.8152927405999999</v>
      </c>
      <c r="N63" s="234">
        <f t="shared" si="1"/>
        <v>4.5928754305749999</v>
      </c>
      <c r="O63" s="234">
        <f t="shared" si="1"/>
        <v>6.3704581205500004</v>
      </c>
      <c r="P63" s="234">
        <f t="shared" si="1"/>
        <v>8.0346034715750001</v>
      </c>
      <c r="Q63" s="234">
        <f t="shared" si="1"/>
        <v>9.6987488225999989</v>
      </c>
      <c r="R63" s="234">
        <f t="shared" si="1"/>
        <v>11.249443010175002</v>
      </c>
      <c r="S63" s="234">
        <f t="shared" si="1"/>
        <v>12.800137197750001</v>
      </c>
      <c r="T63" s="234">
        <f t="shared" si="1"/>
        <v>14.237384154225001</v>
      </c>
      <c r="U63" s="234">
        <f t="shared" si="1"/>
        <v>15.6746311107</v>
      </c>
    </row>
    <row r="64" spans="2:22" ht="16.5" thickBot="1" x14ac:dyDescent="0.25">
      <c r="J64" s="235" t="s">
        <v>167</v>
      </c>
      <c r="K64" s="386">
        <f>IF((K61-K62)&gt;0,K61-K62,0)</f>
        <v>0</v>
      </c>
      <c r="L64" s="386">
        <f t="shared" ref="L64:U64" si="2">IF((L61-L62)&gt;0,L61-L62,0)</f>
        <v>0.11399799978750003</v>
      </c>
      <c r="M64" s="386">
        <f t="shared" si="2"/>
        <v>0.45382318514999997</v>
      </c>
      <c r="N64" s="386">
        <f t="shared" si="2"/>
        <v>0.89821885764374998</v>
      </c>
      <c r="O64" s="386">
        <f t="shared" si="2"/>
        <v>1.3426145301375001</v>
      </c>
      <c r="P64" s="386">
        <f t="shared" si="2"/>
        <v>1.75865086789375</v>
      </c>
      <c r="Q64" s="386">
        <f t="shared" si="2"/>
        <v>2.1746872056499997</v>
      </c>
      <c r="R64" s="386">
        <f t="shared" si="2"/>
        <v>2.5623607525437504</v>
      </c>
      <c r="S64" s="386">
        <f t="shared" si="2"/>
        <v>2.9500342994375002</v>
      </c>
      <c r="T64" s="386">
        <f t="shared" si="2"/>
        <v>3.3093460385562503</v>
      </c>
      <c r="U64" s="386">
        <f t="shared" si="2"/>
        <v>3.668657777675</v>
      </c>
    </row>
    <row r="69" spans="2:22" x14ac:dyDescent="0.2">
      <c r="B69" s="160" t="s">
        <v>185</v>
      </c>
      <c r="C69" s="159"/>
      <c r="D69" s="159"/>
      <c r="E69" s="159"/>
      <c r="F69" s="159"/>
      <c r="G69" s="159"/>
      <c r="H69" s="159"/>
      <c r="I69" s="159"/>
      <c r="J69" s="159"/>
      <c r="K69" s="159"/>
      <c r="L69" s="159"/>
      <c r="M69" s="159"/>
      <c r="N69" s="159"/>
      <c r="O69" s="159"/>
      <c r="P69" s="159"/>
      <c r="Q69" s="159"/>
      <c r="R69" s="159"/>
      <c r="S69" s="159"/>
      <c r="T69" s="159"/>
      <c r="U69" s="159"/>
      <c r="V69" s="159"/>
    </row>
    <row r="71" spans="2:22" x14ac:dyDescent="0.2">
      <c r="B71" s="202" t="s">
        <v>214</v>
      </c>
    </row>
    <row r="72" spans="2:22" ht="13.5" thickBot="1" x14ac:dyDescent="0.25">
      <c r="B72" s="153" t="s">
        <v>392</v>
      </c>
    </row>
    <row r="73" spans="2:22" ht="33" thickTop="1" thickBot="1" x14ac:dyDescent="0.25">
      <c r="B73" s="147" t="s">
        <v>147</v>
      </c>
      <c r="C73" s="148" t="s">
        <v>215</v>
      </c>
      <c r="D73" s="148" t="s">
        <v>44</v>
      </c>
      <c r="E73" s="148" t="s">
        <v>148</v>
      </c>
      <c r="F73" s="148" t="s">
        <v>224</v>
      </c>
      <c r="G73" s="148" t="s">
        <v>150</v>
      </c>
      <c r="H73" s="148" t="s">
        <v>229</v>
      </c>
    </row>
    <row r="74" spans="2:22" ht="17.25" thickTop="1" thickBot="1" x14ac:dyDescent="0.25">
      <c r="B74" s="170" t="str">
        <f>DataIn!B73</f>
        <v>Jordan Lake Allocation</v>
      </c>
      <c r="C74" s="251" t="str">
        <f>DataIn!C73</f>
        <v>Jordan Lake</v>
      </c>
      <c r="D74" s="376" t="str">
        <f>DataIn!E73</f>
        <v>Haw (2-1)</v>
      </c>
      <c r="E74" s="451" t="s">
        <v>330</v>
      </c>
      <c r="F74" s="343">
        <f>DataIn!H73</f>
        <v>2015</v>
      </c>
      <c r="G74" s="344">
        <f>DataIn!I73</f>
        <v>3</v>
      </c>
      <c r="H74" s="344" t="str">
        <f>DataIn!J73</f>
        <v>2.0-4.0</v>
      </c>
    </row>
    <row r="75" spans="2:22" ht="16.5" thickBot="1" x14ac:dyDescent="0.25">
      <c r="B75" s="170" t="str">
        <f>DataIn!B74</f>
        <v>Mebane Supply</v>
      </c>
      <c r="C75" s="251" t="str">
        <f>DataIn!C74</f>
        <v>Other</v>
      </c>
      <c r="D75" s="377" t="str">
        <f>DataIn!E74</f>
        <v>Haw (2-1)</v>
      </c>
      <c r="E75" s="377" t="str">
        <f>DataIn!F74</f>
        <v>WS-II</v>
      </c>
      <c r="F75" s="346">
        <f>DataIn!H74</f>
        <v>2012</v>
      </c>
      <c r="G75" s="347">
        <f>DataIn!F83</f>
        <v>0</v>
      </c>
      <c r="H75" s="347">
        <f>DataIn!G83</f>
        <v>0</v>
      </c>
    </row>
    <row r="76" spans="2:22" ht="29.25" thickBot="1" x14ac:dyDescent="0.25">
      <c r="B76" s="170">
        <f>DataIn!B75</f>
        <v>0</v>
      </c>
      <c r="C76" s="251" t="str">
        <f>DataIn!C75</f>
        <v>Modify Reservoir</v>
      </c>
      <c r="D76" s="377">
        <f>DataIn!E75</f>
        <v>0</v>
      </c>
      <c r="E76" s="377">
        <f>DataIn!F75</f>
        <v>0</v>
      </c>
      <c r="F76" s="346">
        <f>DataIn!H75</f>
        <v>0</v>
      </c>
      <c r="G76" s="347">
        <f>DataIn!F84</f>
        <v>0</v>
      </c>
      <c r="H76" s="347">
        <f>DataIn!G84</f>
        <v>0</v>
      </c>
    </row>
    <row r="77" spans="2:22" ht="29.25" thickBot="1" x14ac:dyDescent="0.25">
      <c r="B77" s="170">
        <f>DataIn!B76</f>
        <v>0</v>
      </c>
      <c r="C77" s="251" t="str">
        <f>DataIn!C76</f>
        <v>Stream Withdrawal</v>
      </c>
      <c r="D77" s="377">
        <f>DataIn!E76</f>
        <v>0</v>
      </c>
      <c r="E77" s="377">
        <f>DataIn!F76</f>
        <v>0</v>
      </c>
      <c r="F77" s="346">
        <f>DataIn!H76</f>
        <v>0</v>
      </c>
      <c r="G77" s="347">
        <f>DataIn!F85</f>
        <v>0</v>
      </c>
      <c r="H77" s="347">
        <f>DataIn!G85</f>
        <v>0</v>
      </c>
    </row>
    <row r="78" spans="2:22" ht="29.25" thickBot="1" x14ac:dyDescent="0.25">
      <c r="B78" s="170">
        <f>DataIn!B77</f>
        <v>0</v>
      </c>
      <c r="C78" s="251" t="str">
        <f>DataIn!C77</f>
        <v>Storage Allocation</v>
      </c>
      <c r="D78" s="377">
        <f>DataIn!E77</f>
        <v>0</v>
      </c>
      <c r="E78" s="377">
        <f>DataIn!F77</f>
        <v>0</v>
      </c>
      <c r="F78" s="346">
        <f>DataIn!H77</f>
        <v>0</v>
      </c>
      <c r="G78" s="347">
        <f>DataIn!F86</f>
        <v>0</v>
      </c>
      <c r="H78" s="347">
        <f>DataIn!G86</f>
        <v>0</v>
      </c>
    </row>
    <row r="79" spans="2:22" ht="29.25" thickBot="1" x14ac:dyDescent="0.25">
      <c r="B79" s="170">
        <f>DataIn!B78</f>
        <v>0</v>
      </c>
      <c r="C79" s="251" t="str">
        <f>DataIn!C78</f>
        <v>Quarry/Raw Transfer</v>
      </c>
      <c r="D79" s="377">
        <f>DataIn!E78</f>
        <v>0</v>
      </c>
      <c r="E79" s="377">
        <f>DataIn!F78</f>
        <v>0</v>
      </c>
      <c r="F79" s="346">
        <f>DataIn!H78</f>
        <v>0</v>
      </c>
      <c r="G79" s="347">
        <f>DataIn!F87</f>
        <v>0</v>
      </c>
      <c r="H79" s="347">
        <f>DataIn!G87</f>
        <v>0</v>
      </c>
    </row>
    <row r="80" spans="2:22" ht="16.5" thickBot="1" x14ac:dyDescent="0.25">
      <c r="B80" s="170">
        <f>DataIn!B79</f>
        <v>0</v>
      </c>
      <c r="C80" s="251" t="str">
        <f>DataIn!C79</f>
        <v>Purchase</v>
      </c>
      <c r="D80" s="377">
        <f>DataIn!E79</f>
        <v>0</v>
      </c>
      <c r="E80" s="377">
        <f>DataIn!F79</f>
        <v>0</v>
      </c>
      <c r="F80" s="346">
        <f>DataIn!H79</f>
        <v>0</v>
      </c>
      <c r="G80" s="347">
        <f>DataIn!F88</f>
        <v>0</v>
      </c>
      <c r="H80" s="347">
        <f>DataIn!G88</f>
        <v>0</v>
      </c>
    </row>
    <row r="81" spans="2:8" ht="17.25" thickBot="1" x14ac:dyDescent="0.25">
      <c r="B81" s="378">
        <f>DataIn!B80</f>
        <v>0</v>
      </c>
      <c r="C81" s="351">
        <f>DataIn!C80</f>
        <v>0</v>
      </c>
      <c r="D81" s="352"/>
      <c r="E81" s="352"/>
      <c r="F81" s="350"/>
      <c r="G81" s="349"/>
      <c r="H81" s="349"/>
    </row>
    <row r="82" spans="2:8" ht="13.5" thickTop="1" x14ac:dyDescent="0.2"/>
    <row r="83" spans="2:8" x14ac:dyDescent="0.2">
      <c r="B83" s="153" t="s">
        <v>393</v>
      </c>
    </row>
    <row r="84" spans="2:8" x14ac:dyDescent="0.2">
      <c r="B84" s="153"/>
    </row>
    <row r="85" spans="2:8" ht="13.5" thickBot="1" x14ac:dyDescent="0.25">
      <c r="B85" s="153" t="s">
        <v>394</v>
      </c>
    </row>
    <row r="86" spans="2:8" ht="17.25" thickTop="1" thickBot="1" x14ac:dyDescent="0.25">
      <c r="B86" s="147" t="s">
        <v>301</v>
      </c>
      <c r="C86" s="148" t="s">
        <v>91</v>
      </c>
      <c r="D86" s="148" t="s">
        <v>92</v>
      </c>
    </row>
    <row r="87" spans="2:8" ht="17.25" thickTop="1" thickBot="1" x14ac:dyDescent="0.25">
      <c r="B87" s="373" t="s">
        <v>299</v>
      </c>
      <c r="C87" s="339">
        <f>'Population&amp;Demand Projections'!$J$116</f>
        <v>2.5623607525437504</v>
      </c>
      <c r="D87" s="339">
        <f>'Population&amp;Demand Projections'!$J$116</f>
        <v>2.5623607525437504</v>
      </c>
    </row>
    <row r="88" spans="2:8" ht="16.5" thickBot="1" x14ac:dyDescent="0.25">
      <c r="B88" s="374" t="s">
        <v>300</v>
      </c>
      <c r="C88" s="340">
        <f>'Population&amp;Demand Projections'!$M$116</f>
        <v>3.668657777675</v>
      </c>
      <c r="D88" s="340">
        <f>'Population&amp;Demand Projections'!$M$116</f>
        <v>3.668657777675</v>
      </c>
    </row>
    <row r="89" spans="2:8" ht="16.5" thickBot="1" x14ac:dyDescent="0.25">
      <c r="B89" s="236" t="s">
        <v>269</v>
      </c>
      <c r="C89" s="237"/>
      <c r="D89" s="237"/>
    </row>
    <row r="90" spans="2:8" ht="16.5" thickBot="1" x14ac:dyDescent="0.25">
      <c r="B90" s="375" t="s">
        <v>302</v>
      </c>
      <c r="C90" s="226">
        <f>IF('Supply Alternative 1'!$A23&gt;0,'Supply Alternative 1'!$G23,0)</f>
        <v>2</v>
      </c>
      <c r="D90" s="226">
        <f>IF('Supply Alternative 2'!$A23&gt;0,'Supply Alternative 2'!$G23,0)</f>
        <v>4</v>
      </c>
      <c r="G90" s="202" t="s">
        <v>395</v>
      </c>
    </row>
    <row r="91" spans="2:8" ht="16.5" thickBot="1" x14ac:dyDescent="0.25">
      <c r="B91" s="375" t="s">
        <v>522</v>
      </c>
      <c r="C91" s="226">
        <f>IF('Supply Alternative 1'!$A24&gt;0,'Supply Alternative 1'!$G24,0)</f>
        <v>2</v>
      </c>
      <c r="D91" s="226">
        <f>IF('Supply Alternative 2'!$A24&gt;0,'Supply Alternative 2'!$G24,0)</f>
        <v>0</v>
      </c>
    </row>
    <row r="92" spans="2:8" ht="20.25" thickTop="1" thickBot="1" x14ac:dyDescent="0.25">
      <c r="B92" s="210" t="s">
        <v>270</v>
      </c>
      <c r="C92" s="238">
        <f>SUM(C90:C91)</f>
        <v>4</v>
      </c>
      <c r="D92" s="238">
        <f>SUM(D90:D91)</f>
        <v>4</v>
      </c>
    </row>
    <row r="93" spans="2:8" ht="13.5" thickTop="1" x14ac:dyDescent="0.2"/>
    <row r="95" spans="2:8" ht="13.5" thickBot="1" x14ac:dyDescent="0.25">
      <c r="B95" s="153" t="s">
        <v>396</v>
      </c>
    </row>
    <row r="96" spans="2:8" ht="17.25" thickTop="1" thickBot="1" x14ac:dyDescent="0.25">
      <c r="B96" s="147" t="s">
        <v>18</v>
      </c>
      <c r="C96" s="148" t="s">
        <v>91</v>
      </c>
      <c r="D96" s="148" t="s">
        <v>92</v>
      </c>
    </row>
    <row r="97" spans="2:6" ht="14.25" thickTop="1" thickBot="1" x14ac:dyDescent="0.25">
      <c r="B97" s="353" t="s">
        <v>304</v>
      </c>
      <c r="C97" s="354">
        <f>'Supply Alternatives Summary'!B12</f>
        <v>1.5</v>
      </c>
      <c r="D97" s="354">
        <f>'Supply Alternatives Summary'!C12</f>
        <v>3</v>
      </c>
    </row>
    <row r="98" spans="2:6" ht="13.5" thickBot="1" x14ac:dyDescent="0.25">
      <c r="B98" s="353" t="s">
        <v>93</v>
      </c>
      <c r="C98" s="355">
        <f>'Supply Alternatives Summary'!B13</f>
        <v>3</v>
      </c>
      <c r="D98" s="355">
        <f>'Supply Alternatives Summary'!C13</f>
        <v>3</v>
      </c>
    </row>
    <row r="99" spans="2:6" ht="13.5" thickBot="1" x14ac:dyDescent="0.25">
      <c r="B99" s="353" t="s">
        <v>94</v>
      </c>
      <c r="C99" s="356" t="str">
        <f>'Supply Alternatives Summary'!B14</f>
        <v>Less Than</v>
      </c>
      <c r="D99" s="356" t="str">
        <f>'Supply Alternatives Summary'!C14</f>
        <v>More Than</v>
      </c>
    </row>
    <row r="100" spans="2:6" ht="13.5" thickBot="1" x14ac:dyDescent="0.25">
      <c r="B100" s="353" t="s">
        <v>95</v>
      </c>
      <c r="C100" s="356" t="str">
        <f>'Supply Alternatives Summary'!B15</f>
        <v>WS IV B NSW CA</v>
      </c>
      <c r="D100" s="356" t="str">
        <f>'Supply Alternatives Summary'!C15</f>
        <v>WS IV B NSW CA</v>
      </c>
    </row>
    <row r="101" spans="2:6" ht="30.75" thickBot="1" x14ac:dyDescent="0.45">
      <c r="B101" s="353" t="s">
        <v>354</v>
      </c>
      <c r="C101" s="356">
        <f>'Supply Alternatives Summary'!B16</f>
        <v>2015</v>
      </c>
      <c r="D101" s="356">
        <f>'Supply Alternatives Summary'!C16</f>
        <v>2015</v>
      </c>
      <c r="E101" s="249" t="s">
        <v>303</v>
      </c>
      <c r="F101" s="248" t="s">
        <v>242</v>
      </c>
    </row>
    <row r="102" spans="2:6" ht="13.5" thickBot="1" x14ac:dyDescent="0.25">
      <c r="B102" s="353" t="s">
        <v>96</v>
      </c>
      <c r="C102" s="356">
        <f>'Supply Alternatives Summary'!B17</f>
        <v>0.8</v>
      </c>
      <c r="D102" s="356">
        <f>'Supply Alternatives Summary'!C17</f>
        <v>0.8</v>
      </c>
      <c r="F102" s="202" t="s">
        <v>444</v>
      </c>
    </row>
    <row r="103" spans="2:6" ht="13.5" thickBot="1" x14ac:dyDescent="0.25">
      <c r="B103" s="353" t="s">
        <v>97</v>
      </c>
      <c r="C103" s="356" t="str">
        <f>'Supply Alternatives Summary'!B18</f>
        <v>Yes, JLP</v>
      </c>
      <c r="D103" s="356" t="str">
        <f>'Supply Alternatives Summary'!C18</f>
        <v>Yes</v>
      </c>
    </row>
    <row r="104" spans="2:6" ht="13.5" thickBot="1" x14ac:dyDescent="0.25">
      <c r="B104" s="353" t="s">
        <v>98</v>
      </c>
      <c r="C104" s="356" t="str">
        <f>'Supply Alternatives Summary'!B19</f>
        <v>Not Complex</v>
      </c>
      <c r="D104" s="356" t="str">
        <f>'Supply Alternatives Summary'!C19</f>
        <v>Complex</v>
      </c>
    </row>
    <row r="105" spans="2:6" ht="13.5" thickBot="1" x14ac:dyDescent="0.25">
      <c r="B105" s="353" t="s">
        <v>99</v>
      </c>
      <c r="C105" s="356" t="str">
        <f>'Supply Alternatives Summary'!B20</f>
        <v>Not Complex</v>
      </c>
      <c r="D105" s="356" t="str">
        <f>'Supply Alternatives Summary'!C20</f>
        <v>Not Complex</v>
      </c>
    </row>
    <row r="106" spans="2:6" ht="13.5" thickBot="1" x14ac:dyDescent="0.25">
      <c r="B106" s="353" t="s">
        <v>100</v>
      </c>
      <c r="C106" s="356" t="str">
        <f>'Supply Alternatives Summary'!B21</f>
        <v>Complex</v>
      </c>
      <c r="D106" s="356" t="str">
        <f>'Supply Alternatives Summary'!C21</f>
        <v>Complex</v>
      </c>
    </row>
    <row r="107" spans="2:6" ht="13.5" thickBot="1" x14ac:dyDescent="0.25">
      <c r="B107" s="353" t="s">
        <v>101</v>
      </c>
      <c r="C107" s="356" t="str">
        <f>'Supply Alternatives Summary'!B22</f>
        <v>Few</v>
      </c>
      <c r="D107" s="356" t="str">
        <f>'Supply Alternatives Summary'!C22</f>
        <v>Few</v>
      </c>
    </row>
    <row r="108" spans="2:6" ht="13.5" thickBot="1" x14ac:dyDescent="0.25">
      <c r="B108" s="353" t="s">
        <v>102</v>
      </c>
      <c r="C108" s="356" t="str">
        <f>'Supply Alternatives Summary'!B23</f>
        <v xml:space="preserve">Yes </v>
      </c>
      <c r="D108" s="356" t="str">
        <f>'Supply Alternatives Summary'!C23</f>
        <v>Yes</v>
      </c>
    </row>
    <row r="109" spans="2:6" ht="13.5" thickBot="1" x14ac:dyDescent="0.25">
      <c r="B109" s="353" t="s">
        <v>103</v>
      </c>
      <c r="C109" s="355">
        <f>'Supply Alternatives Summary'!B24</f>
        <v>2</v>
      </c>
      <c r="D109" s="355">
        <f>'Supply Alternatives Summary'!C24</f>
        <v>2.9</v>
      </c>
    </row>
    <row r="110" spans="2:6" ht="13.5" thickBot="1" x14ac:dyDescent="0.25">
      <c r="B110" s="353" t="s">
        <v>104</v>
      </c>
      <c r="C110" s="357">
        <f>'Supply Alternatives Summary'!B25</f>
        <v>24.799572222222221</v>
      </c>
      <c r="D110" s="357">
        <f>'Supply Alternatives Summary'!C25</f>
        <v>37.376922222222227</v>
      </c>
    </row>
    <row r="111" spans="2:6" ht="16.5" thickBot="1" x14ac:dyDescent="0.25">
      <c r="B111" s="163"/>
      <c r="C111" s="250"/>
      <c r="D111" s="250"/>
    </row>
    <row r="112" spans="2:6" ht="20.25" thickTop="1" thickBot="1" x14ac:dyDescent="0.25">
      <c r="B112" s="210" t="s">
        <v>225</v>
      </c>
      <c r="C112" s="173">
        <v>1</v>
      </c>
      <c r="D112" s="173"/>
    </row>
    <row r="113" spans="1:26" ht="13.5" thickTop="1" x14ac:dyDescent="0.2"/>
    <row r="115" spans="1:26" ht="13.5" thickBot="1" x14ac:dyDescent="0.25">
      <c r="B115" s="217" t="s">
        <v>358</v>
      </c>
      <c r="D115" s="247"/>
    </row>
    <row r="116" spans="1:26" ht="17.25" thickTop="1" thickBot="1" x14ac:dyDescent="0.25">
      <c r="E116" s="173"/>
      <c r="F116" s="173"/>
      <c r="G116" s="173"/>
    </row>
    <row r="117" spans="1:26" ht="13.5" thickTop="1" x14ac:dyDescent="0.2">
      <c r="B117" s="153" t="s">
        <v>397</v>
      </c>
    </row>
    <row r="118" spans="1:26" x14ac:dyDescent="0.2">
      <c r="B118" s="202" t="s">
        <v>398</v>
      </c>
    </row>
    <row r="119" spans="1:26" x14ac:dyDescent="0.2">
      <c r="A119" s="247"/>
      <c r="E119" s="247"/>
      <c r="F119" s="247"/>
      <c r="G119" s="247"/>
      <c r="H119" s="247"/>
      <c r="I119" s="247"/>
      <c r="J119" s="247"/>
      <c r="K119" s="247"/>
      <c r="L119" s="247"/>
      <c r="M119" s="247"/>
      <c r="N119" s="247"/>
      <c r="O119" s="247"/>
      <c r="P119" s="247"/>
      <c r="Q119" s="247"/>
      <c r="R119" s="247"/>
      <c r="S119" s="247"/>
      <c r="T119" s="247"/>
      <c r="U119" s="247"/>
      <c r="V119" s="247"/>
      <c r="W119" s="247"/>
      <c r="X119" s="247"/>
      <c r="Y119" s="247"/>
      <c r="Z119" s="247"/>
    </row>
    <row r="121" spans="1:26" ht="13.5" thickBot="1" x14ac:dyDescent="0.25"/>
    <row r="122" spans="1:26" ht="16.5" customHeight="1" thickTop="1" x14ac:dyDescent="0.2">
      <c r="I122" s="464" t="s">
        <v>147</v>
      </c>
      <c r="J122" s="462" t="s">
        <v>340</v>
      </c>
      <c r="K122" s="462">
        <v>2010</v>
      </c>
      <c r="L122" s="462">
        <v>2015</v>
      </c>
      <c r="M122" s="462">
        <v>2020</v>
      </c>
      <c r="N122" s="462">
        <v>2025</v>
      </c>
      <c r="O122" s="462">
        <v>2030</v>
      </c>
      <c r="P122" s="462">
        <v>2035</v>
      </c>
      <c r="Q122" s="462">
        <v>2040</v>
      </c>
      <c r="R122" s="462">
        <v>2045</v>
      </c>
      <c r="S122" s="462">
        <v>2050</v>
      </c>
      <c r="T122" s="462">
        <v>2055</v>
      </c>
      <c r="U122" s="462">
        <v>2060</v>
      </c>
    </row>
    <row r="123" spans="1:26" ht="13.5" thickBot="1" x14ac:dyDescent="0.25">
      <c r="I123" s="465"/>
      <c r="J123" s="463"/>
      <c r="K123" s="463"/>
      <c r="L123" s="463"/>
      <c r="M123" s="463"/>
      <c r="N123" s="463"/>
      <c r="O123" s="463"/>
      <c r="P123" s="463"/>
      <c r="Q123" s="463"/>
      <c r="R123" s="463"/>
      <c r="S123" s="463"/>
      <c r="T123" s="463"/>
      <c r="U123" s="463"/>
    </row>
    <row r="124" spans="1:26" ht="20.25" customHeight="1" thickTop="1" thickBot="1" x14ac:dyDescent="0.25">
      <c r="I124" s="371" t="str">
        <f>VLOOKUP(1,'Supply Alternative 1'!$A$23:$I$29,2)</f>
        <v>Jordan Lake Allocation</v>
      </c>
      <c r="J124" s="251">
        <f>VLOOKUP(1,'Supply Alternative 1'!$A$23:$I$29,9)</f>
        <v>2015</v>
      </c>
      <c r="K124" s="358">
        <f>'Supply Alternative 1'!C8</f>
        <v>0</v>
      </c>
      <c r="L124" s="358">
        <f>'Supply Alternative 1'!D8</f>
        <v>2</v>
      </c>
      <c r="M124" s="358">
        <f>'Supply Alternative 1'!E8</f>
        <v>2</v>
      </c>
      <c r="N124" s="358">
        <f>'Supply Alternative 1'!F8</f>
        <v>2</v>
      </c>
      <c r="O124" s="358">
        <f>'Supply Alternative 1'!G8</f>
        <v>2</v>
      </c>
      <c r="P124" s="358">
        <f>'Supply Alternative 1'!H8</f>
        <v>2</v>
      </c>
      <c r="Q124" s="358">
        <f>'Supply Alternative 1'!I8</f>
        <v>2</v>
      </c>
      <c r="R124" s="358">
        <f>'Supply Alternative 1'!J8</f>
        <v>2</v>
      </c>
      <c r="S124" s="358">
        <f>'Supply Alternative 1'!K8</f>
        <v>2</v>
      </c>
      <c r="T124" s="358">
        <f>'Supply Alternative 1'!L8</f>
        <v>2</v>
      </c>
      <c r="U124" s="358">
        <f>'Supply Alternative 1'!M8</f>
        <v>2</v>
      </c>
    </row>
    <row r="125" spans="1:26" ht="17.25" thickBot="1" x14ac:dyDescent="0.25">
      <c r="I125" s="371" t="str">
        <f>VLOOKUP(2,'Supply Alternative 1'!$A$23:$I$29,2)</f>
        <v>Mebane Supply</v>
      </c>
      <c r="J125" s="251">
        <f>VLOOKUP(2,'Supply Alternative 1'!$A$23:$I$29,9, FALSE)</f>
        <v>2012</v>
      </c>
      <c r="K125" s="359">
        <f>'Supply Alternative 1'!C9</f>
        <v>0</v>
      </c>
      <c r="L125" s="359">
        <f>'Supply Alternative 1'!D9</f>
        <v>2</v>
      </c>
      <c r="M125" s="359">
        <f>'Supply Alternative 1'!E9</f>
        <v>2</v>
      </c>
      <c r="N125" s="359">
        <f>'Supply Alternative 1'!F9</f>
        <v>2</v>
      </c>
      <c r="O125" s="359">
        <f>'Supply Alternative 1'!G9</f>
        <v>2</v>
      </c>
      <c r="P125" s="359">
        <f>'Supply Alternative 1'!H9</f>
        <v>2</v>
      </c>
      <c r="Q125" s="359">
        <f>'Supply Alternative 1'!I9</f>
        <v>2</v>
      </c>
      <c r="R125" s="359">
        <f>'Supply Alternative 1'!J9</f>
        <v>2</v>
      </c>
      <c r="S125" s="359">
        <f>'Supply Alternative 1'!K9</f>
        <v>2</v>
      </c>
      <c r="T125" s="359">
        <f>'Supply Alternative 1'!L9</f>
        <v>2</v>
      </c>
      <c r="U125" s="359">
        <f>'Supply Alternative 1'!M9</f>
        <v>2</v>
      </c>
    </row>
    <row r="126" spans="1:26" ht="17.25" thickBot="1" x14ac:dyDescent="0.25">
      <c r="I126" s="371" t="str">
        <f>VLOOKUP(3,'Supply Alternative 1'!$A$23:$I$29,2)</f>
        <v>Mebane Supply</v>
      </c>
      <c r="J126" s="251" t="e">
        <f>VLOOKUP(3,'Supply Alternative 1'!$A$23:$I$29,9,FALSE)</f>
        <v>#N/A</v>
      </c>
      <c r="K126" s="360">
        <f>'Supply Alternative 1'!C10</f>
        <v>0</v>
      </c>
      <c r="L126" s="360">
        <f>'Supply Alternative 1'!D10</f>
        <v>0</v>
      </c>
      <c r="M126" s="360">
        <f>'Supply Alternative 1'!E10</f>
        <v>0</v>
      </c>
      <c r="N126" s="360">
        <f>'Supply Alternative 1'!F10</f>
        <v>0</v>
      </c>
      <c r="O126" s="360">
        <f>'Supply Alternative 1'!G10</f>
        <v>0</v>
      </c>
      <c r="P126" s="360">
        <f>'Supply Alternative 1'!H10</f>
        <v>0</v>
      </c>
      <c r="Q126" s="360">
        <f>'Supply Alternative 1'!I10</f>
        <v>0</v>
      </c>
      <c r="R126" s="360">
        <f>'Supply Alternative 1'!J10</f>
        <v>0</v>
      </c>
      <c r="S126" s="360">
        <f>'Supply Alternative 1'!K10</f>
        <v>0</v>
      </c>
      <c r="T126" s="360">
        <f>'Supply Alternative 1'!L10</f>
        <v>0</v>
      </c>
      <c r="U126" s="360">
        <f>'Supply Alternative 1'!M10</f>
        <v>0</v>
      </c>
      <c r="W126" s="202" t="s">
        <v>446</v>
      </c>
    </row>
    <row r="127" spans="1:26" ht="17.25" thickBot="1" x14ac:dyDescent="0.25">
      <c r="I127" s="372" t="e">
        <f>VLOOKUP(4,'Supply Alternative 1'!$A$23:$I$29,2,FALSE)</f>
        <v>#N/A</v>
      </c>
      <c r="J127" s="351" t="e">
        <f>VLOOKUP(4,'Supply Alternative 1'!$A$23:$I$29,9,FALSE)</f>
        <v>#N/A</v>
      </c>
      <c r="K127" s="352"/>
      <c r="L127" s="352"/>
      <c r="M127" s="352"/>
      <c r="N127" s="352"/>
      <c r="O127" s="352"/>
      <c r="P127" s="352"/>
      <c r="Q127" s="352"/>
      <c r="R127" s="352"/>
      <c r="S127" s="352"/>
      <c r="T127" s="352"/>
      <c r="U127" s="352"/>
    </row>
    <row r="128" spans="1:26" ht="17.25" thickTop="1" thickBot="1" x14ac:dyDescent="0.25">
      <c r="I128" s="361" t="s">
        <v>447</v>
      </c>
      <c r="J128" s="173"/>
      <c r="K128" s="173">
        <f t="shared" ref="K128:U128" si="3">SUM(K124:K127)</f>
        <v>0</v>
      </c>
      <c r="L128" s="173">
        <f t="shared" si="3"/>
        <v>4</v>
      </c>
      <c r="M128" s="173">
        <f t="shared" si="3"/>
        <v>4</v>
      </c>
      <c r="N128" s="173">
        <f t="shared" si="3"/>
        <v>4</v>
      </c>
      <c r="O128" s="173">
        <f t="shared" si="3"/>
        <v>4</v>
      </c>
      <c r="P128" s="173">
        <f t="shared" si="3"/>
        <v>4</v>
      </c>
      <c r="Q128" s="173">
        <f t="shared" si="3"/>
        <v>4</v>
      </c>
      <c r="R128" s="173">
        <f t="shared" si="3"/>
        <v>4</v>
      </c>
      <c r="S128" s="173">
        <f t="shared" si="3"/>
        <v>4</v>
      </c>
      <c r="T128" s="173">
        <f t="shared" si="3"/>
        <v>4</v>
      </c>
      <c r="U128" s="173">
        <f t="shared" si="3"/>
        <v>4</v>
      </c>
    </row>
    <row r="129" spans="2:2" ht="13.5" thickTop="1" x14ac:dyDescent="0.2"/>
    <row r="131" spans="2:2" x14ac:dyDescent="0.2">
      <c r="B131" s="153" t="s">
        <v>399</v>
      </c>
    </row>
    <row r="132" spans="2:2" x14ac:dyDescent="0.2">
      <c r="B132" s="202" t="s">
        <v>400</v>
      </c>
    </row>
    <row r="134" spans="2:2" x14ac:dyDescent="0.2">
      <c r="B134" s="153" t="s">
        <v>401</v>
      </c>
    </row>
    <row r="135" spans="2:2" x14ac:dyDescent="0.2">
      <c r="B135" s="202" t="s">
        <v>402</v>
      </c>
    </row>
  </sheetData>
  <mergeCells count="25">
    <mergeCell ref="U122:U123"/>
    <mergeCell ref="I122:I123"/>
    <mergeCell ref="K122:K123"/>
    <mergeCell ref="P122:P123"/>
    <mergeCell ref="Q122:Q123"/>
    <mergeCell ref="R122:R123"/>
    <mergeCell ref="S122:S123"/>
    <mergeCell ref="T122:T123"/>
    <mergeCell ref="J122:J123"/>
    <mergeCell ref="L122:L123"/>
    <mergeCell ref="M122:M123"/>
    <mergeCell ref="N122:N123"/>
    <mergeCell ref="O122:O123"/>
    <mergeCell ref="V19:V20"/>
    <mergeCell ref="J19:J20"/>
    <mergeCell ref="L19:L20"/>
    <mergeCell ref="M19:M20"/>
    <mergeCell ref="N19:N20"/>
    <mergeCell ref="O19:O20"/>
    <mergeCell ref="P19:P20"/>
    <mergeCell ref="R19:R20"/>
    <mergeCell ref="S19:S20"/>
    <mergeCell ref="T19:T20"/>
    <mergeCell ref="U19:U20"/>
    <mergeCell ref="Q19:Q20"/>
  </mergeCells>
  <conditionalFormatting sqref="C112">
    <cfRule type="iconSet" priority="20">
      <iconSet iconSet="3Symbols2" showValue="0">
        <cfvo type="percent" val="0"/>
        <cfvo type="percent" val="33"/>
        <cfvo type="percent" val="67"/>
      </iconSet>
    </cfRule>
  </conditionalFormatting>
  <conditionalFormatting sqref="C104:D106">
    <cfRule type="cellIs" dxfId="23" priority="18" operator="equal">
      <formula>"Not Complex"</formula>
    </cfRule>
    <cfRule type="cellIs" dxfId="22" priority="19" operator="equal">
      <formula>"Complex"</formula>
    </cfRule>
  </conditionalFormatting>
  <conditionalFormatting sqref="C104:D106">
    <cfRule type="cellIs" dxfId="21" priority="17" operator="equal">
      <formula>"Very Complex"</formula>
    </cfRule>
  </conditionalFormatting>
  <conditionalFormatting sqref="C99:D99">
    <cfRule type="cellIs" dxfId="20" priority="15" operator="equal">
      <formula>"Less Than"</formula>
    </cfRule>
    <cfRule type="cellIs" dxfId="19" priority="16" operator="equal">
      <formula>"The Same"</formula>
    </cfRule>
  </conditionalFormatting>
  <conditionalFormatting sqref="C99:D99">
    <cfRule type="cellIs" dxfId="18" priority="14" operator="equal">
      <formula>"More Than"</formula>
    </cfRule>
  </conditionalFormatting>
  <conditionalFormatting sqref="K63:U63">
    <cfRule type="cellIs" dxfId="17" priority="12" operator="greaterThan">
      <formula>1</formula>
    </cfRule>
    <cfRule type="cellIs" dxfId="16" priority="13" operator="between">
      <formula>0.8</formula>
      <formula>0.9999</formula>
    </cfRule>
  </conditionalFormatting>
  <conditionalFormatting sqref="C90:D91">
    <cfRule type="cellIs" dxfId="15" priority="11" operator="equal">
      <formula>0</formula>
    </cfRule>
  </conditionalFormatting>
  <conditionalFormatting sqref="K124:U127">
    <cfRule type="cellIs" dxfId="14" priority="1" operator="equal">
      <formula>0</formula>
    </cfRule>
  </conditionalFormatting>
  <conditionalFormatting sqref="L124:U124">
    <cfRule type="expression" dxfId="13" priority="9">
      <formula>L124&gt;K124</formula>
    </cfRule>
  </conditionalFormatting>
  <conditionalFormatting sqref="K124:U124">
    <cfRule type="expression" dxfId="12" priority="8">
      <formula>U124=T124</formula>
    </cfRule>
  </conditionalFormatting>
  <conditionalFormatting sqref="K126:U126">
    <cfRule type="expression" dxfId="11" priority="2">
      <formula>U126&gt;T126</formula>
    </cfRule>
    <cfRule type="expression" dxfId="10" priority="6">
      <formula>K126=J126</formula>
    </cfRule>
  </conditionalFormatting>
  <conditionalFormatting sqref="K125:U125">
    <cfRule type="expression" dxfId="9" priority="3">
      <formula>K125&gt;J125</formula>
    </cfRule>
    <cfRule type="expression" dxfId="8" priority="5">
      <formula>U125=T125</formula>
    </cfRule>
  </conditionalFormatting>
  <hyperlinks>
    <hyperlink ref="K49" r:id="rId1"/>
    <hyperlink ref="L53" r:id="rId2"/>
  </hyperlinks>
  <pageMargins left="0.7" right="0.7" top="0.75" bottom="0.75" header="0.3" footer="0.3"/>
  <pageSetup orientation="portrait" verticalDpi="0" r:id="rId3"/>
  <legacy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89999084444715716"/>
  </sheetPr>
  <dimension ref="A2:Z102"/>
  <sheetViews>
    <sheetView zoomScale="115" zoomScaleNormal="115" workbookViewId="0">
      <selection activeCell="K15" sqref="K15"/>
    </sheetView>
  </sheetViews>
  <sheetFormatPr defaultRowHeight="12.75" x14ac:dyDescent="0.2"/>
  <cols>
    <col min="8" max="8" width="15.140625" customWidth="1"/>
    <col min="9" max="9" width="13.42578125" customWidth="1"/>
    <col min="11" max="11" width="26.85546875" bestFit="1" customWidth="1"/>
  </cols>
  <sheetData>
    <row r="2" spans="1:26" x14ac:dyDescent="0.2">
      <c r="A2" s="158" t="s">
        <v>125</v>
      </c>
      <c r="B2" s="159"/>
      <c r="C2" s="159"/>
      <c r="D2" s="159"/>
      <c r="E2" s="159"/>
      <c r="F2" s="159"/>
      <c r="G2" s="159"/>
      <c r="H2" s="159"/>
      <c r="I2" s="159"/>
      <c r="J2" s="159"/>
      <c r="K2" s="159"/>
      <c r="L2" s="159"/>
      <c r="M2" s="159"/>
      <c r="N2" s="159"/>
      <c r="O2" s="159"/>
      <c r="P2" s="159"/>
      <c r="Q2" s="159"/>
      <c r="R2" s="159"/>
      <c r="S2" s="159"/>
      <c r="T2" s="159"/>
      <c r="U2" s="159"/>
      <c r="V2" s="159"/>
      <c r="W2" s="159"/>
      <c r="X2" s="159"/>
      <c r="Y2" s="159"/>
      <c r="Z2" s="159"/>
    </row>
    <row r="3" spans="1:26" x14ac:dyDescent="0.2">
      <c r="A3" s="153"/>
    </row>
    <row r="4" spans="1:26" x14ac:dyDescent="0.2">
      <c r="A4" s="153" t="s">
        <v>187</v>
      </c>
    </row>
    <row r="5" spans="1:26" x14ac:dyDescent="0.2">
      <c r="A5" s="153"/>
      <c r="B5" s="146" t="s">
        <v>189</v>
      </c>
    </row>
    <row r="6" spans="1:26" x14ac:dyDescent="0.2">
      <c r="A6" s="153"/>
    </row>
    <row r="7" spans="1:26" x14ac:dyDescent="0.2">
      <c r="A7" s="153"/>
    </row>
    <row r="8" spans="1:26" x14ac:dyDescent="0.2">
      <c r="A8" s="153"/>
    </row>
    <row r="9" spans="1:26" x14ac:dyDescent="0.2">
      <c r="A9" s="153"/>
    </row>
    <row r="10" spans="1:26" x14ac:dyDescent="0.2">
      <c r="A10" s="153"/>
    </row>
    <row r="12" spans="1:26" x14ac:dyDescent="0.2">
      <c r="A12" s="153" t="s">
        <v>186</v>
      </c>
      <c r="L12" s="146" t="s">
        <v>188</v>
      </c>
      <c r="M12" s="146" t="s">
        <v>172</v>
      </c>
    </row>
    <row r="35" spans="1:26" x14ac:dyDescent="0.2">
      <c r="A35" s="160" t="s">
        <v>138</v>
      </c>
      <c r="B35" s="159"/>
      <c r="C35" s="159"/>
      <c r="D35" s="159"/>
      <c r="E35" s="159"/>
      <c r="F35" s="159"/>
      <c r="G35" s="159"/>
      <c r="H35" s="159"/>
      <c r="I35" s="159"/>
      <c r="J35" s="159"/>
      <c r="K35" s="159"/>
      <c r="L35" s="159"/>
      <c r="M35" s="159"/>
      <c r="N35" s="159"/>
      <c r="O35" s="159"/>
      <c r="P35" s="159"/>
      <c r="Q35" s="159"/>
      <c r="R35" s="159"/>
      <c r="S35" s="159"/>
      <c r="T35" s="159"/>
      <c r="U35" s="159"/>
      <c r="V35" s="159"/>
      <c r="W35" s="159"/>
      <c r="X35" s="159"/>
      <c r="Y35" s="159"/>
      <c r="Z35" s="159"/>
    </row>
    <row r="37" spans="1:26" x14ac:dyDescent="0.2">
      <c r="B37" s="146" t="s">
        <v>190</v>
      </c>
    </row>
    <row r="40" spans="1:26" x14ac:dyDescent="0.2">
      <c r="A40" s="160" t="s">
        <v>139</v>
      </c>
      <c r="B40" s="159"/>
      <c r="C40" s="159"/>
      <c r="D40" s="159"/>
      <c r="E40" s="159"/>
      <c r="F40" s="159"/>
      <c r="G40" s="159"/>
      <c r="H40" s="159"/>
      <c r="I40" s="159"/>
      <c r="J40" s="159"/>
      <c r="K40" s="159"/>
      <c r="L40" s="159"/>
      <c r="M40" s="159"/>
      <c r="N40" s="159"/>
      <c r="O40" s="159"/>
      <c r="P40" s="159"/>
      <c r="Q40" s="159"/>
      <c r="R40" s="159"/>
      <c r="S40" s="159"/>
      <c r="T40" s="159"/>
      <c r="U40" s="159"/>
      <c r="V40" s="159"/>
      <c r="W40" s="159"/>
      <c r="X40" s="159"/>
      <c r="Y40" s="159"/>
      <c r="Z40" s="159"/>
    </row>
    <row r="42" spans="1:26" x14ac:dyDescent="0.2">
      <c r="A42" s="146" t="s">
        <v>140</v>
      </c>
    </row>
    <row r="43" spans="1:26" x14ac:dyDescent="0.2">
      <c r="A43" s="146" t="s">
        <v>141</v>
      </c>
    </row>
    <row r="45" spans="1:26" x14ac:dyDescent="0.2">
      <c r="A45" s="209" t="s">
        <v>358</v>
      </c>
      <c r="B45" s="159"/>
      <c r="C45" s="159"/>
      <c r="D45" s="159"/>
      <c r="E45" s="159"/>
      <c r="F45" s="159"/>
      <c r="G45" s="159"/>
      <c r="H45" s="159"/>
      <c r="I45" s="159"/>
      <c r="J45" s="159"/>
      <c r="K45" s="159"/>
      <c r="L45" s="159"/>
      <c r="M45" s="159"/>
      <c r="N45" s="159"/>
      <c r="O45" s="159"/>
      <c r="P45" s="159"/>
      <c r="Q45" s="159"/>
      <c r="R45" s="159"/>
      <c r="S45" s="159"/>
      <c r="T45" s="159"/>
      <c r="U45" s="159"/>
      <c r="V45" s="159"/>
      <c r="W45" s="159"/>
      <c r="X45" s="159"/>
      <c r="Y45" s="159"/>
      <c r="Z45" s="159"/>
    </row>
    <row r="46" spans="1:26" x14ac:dyDescent="0.2">
      <c r="B46" s="146" t="s">
        <v>190</v>
      </c>
    </row>
    <row r="47" spans="1:26" x14ac:dyDescent="0.2">
      <c r="A47" s="202" t="s">
        <v>464</v>
      </c>
      <c r="B47" s="202" t="s">
        <v>465</v>
      </c>
    </row>
    <row r="48" spans="1:26" x14ac:dyDescent="0.2">
      <c r="B48" s="146"/>
      <c r="L48">
        <v>2010</v>
      </c>
      <c r="M48">
        <v>2015</v>
      </c>
      <c r="N48">
        <v>2020</v>
      </c>
      <c r="O48">
        <v>2025</v>
      </c>
      <c r="P48">
        <v>2030</v>
      </c>
      <c r="Q48">
        <v>2035</v>
      </c>
      <c r="R48">
        <v>2040</v>
      </c>
      <c r="S48">
        <v>2045</v>
      </c>
      <c r="T48">
        <v>2050</v>
      </c>
      <c r="U48">
        <v>2055</v>
      </c>
      <c r="V48">
        <v>2060</v>
      </c>
    </row>
    <row r="49" spans="2:22" x14ac:dyDescent="0.2">
      <c r="B49" s="146"/>
      <c r="K49" s="202" t="s">
        <v>461</v>
      </c>
      <c r="L49" s="428">
        <f>'Population&amp;Demand Projections'!C105</f>
        <v>0.25</v>
      </c>
      <c r="M49" s="428">
        <f>'Population&amp;Demand Projections'!D105</f>
        <v>0.25</v>
      </c>
      <c r="N49" s="428">
        <f>'Population&amp;Demand Projections'!E105</f>
        <v>0.25</v>
      </c>
      <c r="O49" s="428">
        <f>'Population&amp;Demand Projections'!F105</f>
        <v>0.25</v>
      </c>
      <c r="P49" s="428">
        <f>'Population&amp;Demand Projections'!G105</f>
        <v>0.25</v>
      </c>
      <c r="Q49" s="428">
        <f>'Population&amp;Demand Projections'!H105</f>
        <v>0.25</v>
      </c>
      <c r="R49" s="428">
        <f>'Population&amp;Demand Projections'!I105</f>
        <v>0.25</v>
      </c>
      <c r="S49" s="428">
        <f>'Population&amp;Demand Projections'!J105</f>
        <v>0.25</v>
      </c>
      <c r="T49" s="428">
        <f>'Population&amp;Demand Projections'!K105</f>
        <v>0.25</v>
      </c>
      <c r="U49" s="428">
        <f>'Population&amp;Demand Projections'!L105</f>
        <v>0.25</v>
      </c>
      <c r="V49" s="428">
        <f>'Population&amp;Demand Projections'!M105</f>
        <v>0.25</v>
      </c>
    </row>
    <row r="50" spans="2:22" x14ac:dyDescent="0.2">
      <c r="B50" s="146"/>
      <c r="K50" s="202" t="s">
        <v>462</v>
      </c>
      <c r="L50">
        <f>'Population&amp;Demand Projections'!$C$115</f>
        <v>2.4172814425000001E-2</v>
      </c>
      <c r="M50">
        <f>'Population&amp;Demand Projections'!$C$115</f>
        <v>2.4172814425000001E-2</v>
      </c>
      <c r="N50">
        <f>'Population&amp;Demand Projections'!$C$115</f>
        <v>2.4172814425000001E-2</v>
      </c>
      <c r="O50">
        <f>'Population&amp;Demand Projections'!$C$115</f>
        <v>2.4172814425000001E-2</v>
      </c>
      <c r="P50">
        <f>'Population&amp;Demand Projections'!$C$115</f>
        <v>2.4172814425000001E-2</v>
      </c>
      <c r="Q50">
        <f>'Population&amp;Demand Projections'!$C$115</f>
        <v>2.4172814425000001E-2</v>
      </c>
      <c r="R50">
        <f>'Population&amp;Demand Projections'!$C$115</f>
        <v>2.4172814425000001E-2</v>
      </c>
      <c r="S50">
        <f>'Population&amp;Demand Projections'!$C$115</f>
        <v>2.4172814425000001E-2</v>
      </c>
      <c r="T50">
        <f>'Population&amp;Demand Projections'!$C$115</f>
        <v>2.4172814425000001E-2</v>
      </c>
      <c r="U50">
        <f>'Population&amp;Demand Projections'!$C$115</f>
        <v>2.4172814425000001E-2</v>
      </c>
      <c r="V50">
        <f>'Population&amp;Demand Projections'!$C$115</f>
        <v>2.4172814425000001E-2</v>
      </c>
    </row>
    <row r="51" spans="2:22" x14ac:dyDescent="0.2">
      <c r="B51" s="146"/>
      <c r="K51" s="202" t="s">
        <v>463</v>
      </c>
      <c r="L51" s="428">
        <f>MIN('Population&amp;Demand Projections'!C115-ReportFigures!L50,ReportFigures!L49-ReportFigures!L50)</f>
        <v>0</v>
      </c>
      <c r="M51" s="428">
        <f>MIN('Population&amp;Demand Projections'!D115-ReportFigures!M50,ReportFigures!M49-ReportFigures!M50)</f>
        <v>0.22582718557500001</v>
      </c>
      <c r="N51" s="428">
        <f>MIN('Population&amp;Demand Projections'!E115-ReportFigures!N50,ReportFigures!N49-ReportFigures!N50)</f>
        <v>0.22582718557500001</v>
      </c>
      <c r="O51" s="428">
        <f>MIN('Population&amp;Demand Projections'!F115-ReportFigures!O50,ReportFigures!O49-ReportFigures!O50)</f>
        <v>0.22582718557500001</v>
      </c>
      <c r="P51" s="428">
        <f>MIN('Population&amp;Demand Projections'!G115-ReportFigures!P50,ReportFigures!P49-ReportFigures!P50)</f>
        <v>0.22582718557500001</v>
      </c>
      <c r="Q51" s="428">
        <f>MIN('Population&amp;Demand Projections'!H115-ReportFigures!Q50,ReportFigures!Q49-ReportFigures!Q50)</f>
        <v>0.22582718557500001</v>
      </c>
      <c r="R51" s="428">
        <f>MIN('Population&amp;Demand Projections'!I115-ReportFigures!R50,ReportFigures!R49-ReportFigures!R50)</f>
        <v>0.22582718557500001</v>
      </c>
      <c r="S51" s="428">
        <f>MIN('Population&amp;Demand Projections'!J115-ReportFigures!S50,ReportFigures!S49-ReportFigures!S50)</f>
        <v>0.22582718557500001</v>
      </c>
      <c r="T51" s="428">
        <f>MIN('Population&amp;Demand Projections'!K115-ReportFigures!T50,ReportFigures!T49-ReportFigures!T50)</f>
        <v>0.22582718557500001</v>
      </c>
      <c r="U51" s="428">
        <f>MIN('Population&amp;Demand Projections'!L115-ReportFigures!U50,ReportFigures!U49-ReportFigures!U50)</f>
        <v>0.22582718557500001</v>
      </c>
      <c r="V51" s="428">
        <f>MIN('Population&amp;Demand Projections'!M115-ReportFigures!V50,ReportFigures!V49-ReportFigures!V50)</f>
        <v>0.22582718557500001</v>
      </c>
    </row>
    <row r="52" spans="2:22" x14ac:dyDescent="0.2">
      <c r="B52" s="146"/>
      <c r="K52" s="202" t="s">
        <v>385</v>
      </c>
      <c r="L52" s="428">
        <f>MAX('Population&amp;Demand Projections'!C115-L49,0)</f>
        <v>0</v>
      </c>
      <c r="M52" s="428">
        <f>MAX('Population&amp;Demand Projections'!D115-M49,0)</f>
        <v>0.11399799978750003</v>
      </c>
      <c r="N52" s="428">
        <f>MAX('Population&amp;Demand Projections'!E115-N49,0)</f>
        <v>0.45382318514999997</v>
      </c>
      <c r="O52" s="428">
        <f>MAX('Population&amp;Demand Projections'!F115-O49,0)</f>
        <v>0.89821885764374998</v>
      </c>
      <c r="P52" s="428">
        <f>MAX('Population&amp;Demand Projections'!G115-P49,0)</f>
        <v>1.3426145301375001</v>
      </c>
      <c r="Q52" s="428">
        <f>MAX('Population&amp;Demand Projections'!H115-Q49,0)</f>
        <v>1.75865086789375</v>
      </c>
      <c r="R52" s="428">
        <f>MAX('Population&amp;Demand Projections'!I115-R49,0)</f>
        <v>2.1746872056499997</v>
      </c>
      <c r="S52" s="428">
        <f>MAX('Population&amp;Demand Projections'!J115-S49,0)</f>
        <v>2.5623607525437504</v>
      </c>
      <c r="T52" s="428">
        <f>MAX('Population&amp;Demand Projections'!K115-T49,0)</f>
        <v>2.9500342994375002</v>
      </c>
      <c r="U52" s="428">
        <f>MAX('Population&amp;Demand Projections'!L115-U49,0)</f>
        <v>3.3093460385562503</v>
      </c>
      <c r="V52" s="428">
        <f>MAX('Population&amp;Demand Projections'!M115-V49,0)</f>
        <v>3.668657777675</v>
      </c>
    </row>
    <row r="53" spans="2:22" x14ac:dyDescent="0.2">
      <c r="B53" s="146"/>
    </row>
    <row r="54" spans="2:22" x14ac:dyDescent="0.2">
      <c r="B54" s="146"/>
    </row>
    <row r="55" spans="2:22" x14ac:dyDescent="0.2">
      <c r="B55" s="146"/>
    </row>
    <row r="56" spans="2:22" x14ac:dyDescent="0.2">
      <c r="B56" s="146"/>
    </row>
    <row r="57" spans="2:22" x14ac:dyDescent="0.2">
      <c r="B57" s="146"/>
    </row>
    <row r="58" spans="2:22" x14ac:dyDescent="0.2">
      <c r="B58" s="146"/>
    </row>
    <row r="59" spans="2:22" x14ac:dyDescent="0.2">
      <c r="B59" s="146"/>
    </row>
    <row r="60" spans="2:22" x14ac:dyDescent="0.2">
      <c r="B60" s="146"/>
    </row>
    <row r="61" spans="2:22" x14ac:dyDescent="0.2">
      <c r="B61" s="146"/>
    </row>
    <row r="62" spans="2:22" x14ac:dyDescent="0.2">
      <c r="B62" s="146"/>
    </row>
    <row r="63" spans="2:22" x14ac:dyDescent="0.2">
      <c r="B63" s="146"/>
    </row>
    <row r="64" spans="2:22" x14ac:dyDescent="0.2">
      <c r="B64" s="146"/>
    </row>
    <row r="66" spans="1:26" x14ac:dyDescent="0.2">
      <c r="A66" s="217" t="s">
        <v>357</v>
      </c>
      <c r="B66" s="247"/>
      <c r="C66" s="247"/>
      <c r="D66" s="247"/>
      <c r="E66" s="247"/>
      <c r="F66" s="247"/>
      <c r="G66" s="247"/>
      <c r="H66" s="247"/>
      <c r="I66" s="247"/>
      <c r="J66" s="247"/>
      <c r="K66" s="247"/>
      <c r="L66" s="247"/>
      <c r="M66" s="247"/>
      <c r="N66" s="247"/>
      <c r="O66" s="247"/>
      <c r="P66" s="247"/>
      <c r="Q66" s="247"/>
      <c r="R66" s="247"/>
      <c r="S66" s="247"/>
      <c r="T66" s="247"/>
      <c r="U66" s="247"/>
      <c r="V66" s="247"/>
      <c r="W66" s="247"/>
      <c r="X66" s="247"/>
      <c r="Y66" s="247"/>
      <c r="Z66" s="247"/>
    </row>
    <row r="68" spans="1:26" ht="15" x14ac:dyDescent="0.2">
      <c r="A68" s="327" t="s">
        <v>360</v>
      </c>
      <c r="G68" s="202" t="s">
        <v>361</v>
      </c>
    </row>
    <row r="69" spans="1:26" ht="15" x14ac:dyDescent="0.2">
      <c r="A69" s="327"/>
      <c r="G69" s="202"/>
    </row>
    <row r="71" spans="1:26" ht="15" x14ac:dyDescent="0.2">
      <c r="A71" s="327" t="s">
        <v>359</v>
      </c>
      <c r="I71" s="202" t="s">
        <v>362</v>
      </c>
    </row>
    <row r="73" spans="1:26" x14ac:dyDescent="0.2">
      <c r="J73">
        <v>2010</v>
      </c>
      <c r="K73">
        <v>2015</v>
      </c>
      <c r="L73">
        <v>2020</v>
      </c>
      <c r="M73">
        <v>2025</v>
      </c>
      <c r="N73">
        <v>2030</v>
      </c>
      <c r="O73">
        <v>2035</v>
      </c>
      <c r="P73">
        <v>2040</v>
      </c>
      <c r="Q73">
        <v>2045</v>
      </c>
      <c r="R73">
        <v>2050</v>
      </c>
      <c r="S73">
        <v>2055</v>
      </c>
      <c r="T73">
        <v>2060</v>
      </c>
    </row>
    <row r="74" spans="1:26" x14ac:dyDescent="0.2">
      <c r="I74" s="202" t="s">
        <v>167</v>
      </c>
      <c r="J74" s="428">
        <f>MAX('Population&amp;Demand Projections'!C$116,0)</f>
        <v>0</v>
      </c>
      <c r="K74" s="428">
        <f>MAX('Population&amp;Demand Projections'!D$116,0)</f>
        <v>0.11399799978750003</v>
      </c>
      <c r="L74" s="428">
        <f>MAX('Population&amp;Demand Projections'!E$116,0)</f>
        <v>0.45382318514999997</v>
      </c>
      <c r="M74" s="428">
        <f>MAX('Population&amp;Demand Projections'!F$116,0)</f>
        <v>0.89821885764374998</v>
      </c>
      <c r="N74" s="428">
        <f>MAX('Population&amp;Demand Projections'!G$116,0)</f>
        <v>1.3426145301375001</v>
      </c>
      <c r="O74" s="428">
        <f>MAX('Population&amp;Demand Projections'!H$116,0)</f>
        <v>1.75865086789375</v>
      </c>
      <c r="P74" s="428">
        <f>MAX('Population&amp;Demand Projections'!I$116,0)</f>
        <v>2.1746872056499997</v>
      </c>
      <c r="Q74" s="428">
        <f>MAX('Population&amp;Demand Projections'!J$116,0)</f>
        <v>2.5623607525437504</v>
      </c>
      <c r="R74" s="428">
        <f>MAX('Population&amp;Demand Projections'!K$116,0)</f>
        <v>2.9500342994375002</v>
      </c>
      <c r="S74" s="428">
        <f>MAX('Population&amp;Demand Projections'!L$116,0)</f>
        <v>3.3093460385562503</v>
      </c>
      <c r="T74" s="428">
        <f>MAX('Population&amp;Demand Projections'!M$116,0)</f>
        <v>3.668657777675</v>
      </c>
    </row>
    <row r="75" spans="1:26" x14ac:dyDescent="0.2">
      <c r="I75" s="202" t="s">
        <v>355</v>
      </c>
      <c r="J75">
        <f>SUM('Supply Alternative 1'!C$8:C$10)</f>
        <v>0</v>
      </c>
      <c r="K75">
        <v>3</v>
      </c>
      <c r="L75">
        <v>3</v>
      </c>
      <c r="M75">
        <v>3</v>
      </c>
      <c r="N75">
        <v>3</v>
      </c>
      <c r="O75">
        <v>3</v>
      </c>
      <c r="P75">
        <v>3</v>
      </c>
      <c r="Q75">
        <v>3</v>
      </c>
      <c r="R75">
        <f>SUM('Supply Alternative 1'!K$8:K$10)</f>
        <v>4</v>
      </c>
      <c r="S75">
        <f>SUM('Supply Alternative 1'!L$8:L$10)</f>
        <v>4</v>
      </c>
      <c r="T75">
        <f>SUM('Supply Alternative 1'!M$8:M$10)</f>
        <v>4</v>
      </c>
    </row>
    <row r="76" spans="1:26" x14ac:dyDescent="0.2">
      <c r="I76" s="202" t="s">
        <v>356</v>
      </c>
      <c r="J76">
        <f>SUM('Supply Alternative 2'!C$8:C$10)</f>
        <v>0</v>
      </c>
      <c r="K76">
        <v>3</v>
      </c>
      <c r="L76">
        <v>3</v>
      </c>
      <c r="M76">
        <v>3</v>
      </c>
      <c r="N76">
        <v>3</v>
      </c>
      <c r="O76">
        <v>3</v>
      </c>
      <c r="P76">
        <v>3</v>
      </c>
      <c r="Q76">
        <v>3</v>
      </c>
      <c r="R76">
        <f>SUM('Supply Alternative 2'!K$8:K$10)</f>
        <v>4</v>
      </c>
      <c r="S76">
        <f>SUM('Supply Alternative 2'!L$8:L$10)</f>
        <v>4</v>
      </c>
      <c r="T76">
        <f>SUM('Supply Alternative 2'!M$8:M$10)</f>
        <v>4</v>
      </c>
    </row>
    <row r="77" spans="1:26" x14ac:dyDescent="0.2">
      <c r="I77" s="202"/>
    </row>
    <row r="78" spans="1:26" x14ac:dyDescent="0.2">
      <c r="I78" s="202"/>
    </row>
    <row r="79" spans="1:26" x14ac:dyDescent="0.2">
      <c r="I79" s="202"/>
    </row>
    <row r="92" spans="1:26" x14ac:dyDescent="0.2">
      <c r="A92" s="153" t="s">
        <v>405</v>
      </c>
    </row>
    <row r="93" spans="1:26" x14ac:dyDescent="0.2">
      <c r="B93" s="202" t="s">
        <v>404</v>
      </c>
    </row>
    <row r="95" spans="1:26" x14ac:dyDescent="0.2">
      <c r="A95" s="209" t="s">
        <v>363</v>
      </c>
      <c r="B95" s="159"/>
      <c r="C95" s="159"/>
      <c r="D95" s="159"/>
      <c r="E95" s="159"/>
      <c r="F95" s="159"/>
      <c r="G95" s="159"/>
      <c r="H95" s="159"/>
      <c r="I95" s="159"/>
      <c r="J95" s="159"/>
      <c r="K95" s="159"/>
      <c r="L95" s="159"/>
      <c r="M95" s="159"/>
      <c r="N95" s="159"/>
      <c r="O95" s="159"/>
      <c r="P95" s="159"/>
      <c r="Q95" s="159"/>
      <c r="R95" s="159"/>
      <c r="S95" s="159"/>
      <c r="T95" s="159"/>
      <c r="U95" s="159"/>
      <c r="V95" s="159"/>
      <c r="W95" s="159"/>
      <c r="X95" s="159"/>
      <c r="Y95" s="159"/>
      <c r="Z95" s="159"/>
    </row>
    <row r="97" spans="1:20" x14ac:dyDescent="0.2">
      <c r="A97" s="202"/>
      <c r="B97" s="146" t="s">
        <v>190</v>
      </c>
    </row>
    <row r="99" spans="1:20" x14ac:dyDescent="0.2">
      <c r="J99">
        <v>2010</v>
      </c>
      <c r="K99">
        <v>2015</v>
      </c>
      <c r="L99">
        <v>2020</v>
      </c>
      <c r="M99">
        <v>2025</v>
      </c>
      <c r="N99">
        <v>2030</v>
      </c>
      <c r="O99">
        <v>2035</v>
      </c>
      <c r="P99">
        <v>2040</v>
      </c>
      <c r="Q99">
        <v>2045</v>
      </c>
      <c r="R99">
        <v>2050</v>
      </c>
      <c r="S99">
        <v>2055</v>
      </c>
      <c r="T99">
        <v>2060</v>
      </c>
    </row>
    <row r="100" spans="1:20" x14ac:dyDescent="0.2">
      <c r="I100" s="202" t="s">
        <v>167</v>
      </c>
      <c r="J100" s="428">
        <f>MAX('Population&amp;Demand Projections'!C$116,0)</f>
        <v>0</v>
      </c>
      <c r="K100" s="428">
        <f>MAX('Population&amp;Demand Projections'!D$116,0)</f>
        <v>0.11399799978750003</v>
      </c>
      <c r="L100" s="428">
        <f>MAX('Population&amp;Demand Projections'!E$116,0)</f>
        <v>0.45382318514999997</v>
      </c>
      <c r="M100" s="428">
        <f>MAX('Population&amp;Demand Projections'!F$116,0)</f>
        <v>0.89821885764374998</v>
      </c>
      <c r="N100" s="428">
        <f>MAX('Population&amp;Demand Projections'!G$116,0)</f>
        <v>1.3426145301375001</v>
      </c>
      <c r="O100" s="428">
        <f>MAX('Population&amp;Demand Projections'!H$116,0)</f>
        <v>1.75865086789375</v>
      </c>
      <c r="P100" s="428">
        <f>MAX('Population&amp;Demand Projections'!I$116,0)</f>
        <v>2.1746872056499997</v>
      </c>
      <c r="Q100" s="428">
        <f>MAX('Population&amp;Demand Projections'!J$116,0)</f>
        <v>2.5623607525437504</v>
      </c>
      <c r="R100" s="428">
        <f>MAX('Population&amp;Demand Projections'!K$116,0)</f>
        <v>2.9500342994375002</v>
      </c>
      <c r="S100" s="428">
        <f>MAX('Population&amp;Demand Projections'!L$116,0)</f>
        <v>3.3093460385562503</v>
      </c>
      <c r="T100" s="428">
        <f>MAX('Population&amp;Demand Projections'!M$116,0)</f>
        <v>3.668657777675</v>
      </c>
    </row>
    <row r="101" spans="1:20" x14ac:dyDescent="0.2">
      <c r="I101" s="202" t="s">
        <v>106</v>
      </c>
      <c r="J101">
        <f>SUM('Supply Alternative 1'!C$8:C$10)</f>
        <v>0</v>
      </c>
      <c r="K101">
        <v>1.5</v>
      </c>
      <c r="L101">
        <v>1.5</v>
      </c>
      <c r="M101">
        <v>1.5</v>
      </c>
      <c r="N101">
        <v>1.5</v>
      </c>
      <c r="O101">
        <v>1.5</v>
      </c>
      <c r="P101">
        <v>1.5</v>
      </c>
      <c r="Q101">
        <v>1.5</v>
      </c>
      <c r="R101">
        <v>2</v>
      </c>
      <c r="S101">
        <v>2</v>
      </c>
      <c r="T101">
        <v>2</v>
      </c>
    </row>
    <row r="102" spans="1:20" x14ac:dyDescent="0.2">
      <c r="I102" s="202" t="s">
        <v>497</v>
      </c>
      <c r="J102">
        <f>SUM('Supply Alternative 2'!C$8:C$10)</f>
        <v>0</v>
      </c>
      <c r="K102">
        <v>1.5</v>
      </c>
      <c r="L102">
        <v>1.5</v>
      </c>
      <c r="M102">
        <v>1.5</v>
      </c>
      <c r="N102">
        <v>1.5</v>
      </c>
      <c r="O102">
        <v>1.5</v>
      </c>
      <c r="P102">
        <v>1.5</v>
      </c>
      <c r="Q102">
        <v>1.5</v>
      </c>
      <c r="R102">
        <v>2</v>
      </c>
      <c r="S102">
        <v>2</v>
      </c>
      <c r="T102">
        <v>2</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B4:N19"/>
  <sheetViews>
    <sheetView tabSelected="1" workbookViewId="0">
      <selection activeCell="N20" sqref="N20"/>
    </sheetView>
  </sheetViews>
  <sheetFormatPr defaultRowHeight="12.75" x14ac:dyDescent="0.2"/>
  <cols>
    <col min="2" max="2" width="18.7109375" customWidth="1"/>
    <col min="3" max="3" width="17.28515625" customWidth="1"/>
    <col min="4" max="14" width="5.42578125" customWidth="1"/>
  </cols>
  <sheetData>
    <row r="4" spans="2:14" x14ac:dyDescent="0.2">
      <c r="B4" s="146" t="s">
        <v>171</v>
      </c>
    </row>
    <row r="5" spans="2:14" ht="13.5" thickBot="1" x14ac:dyDescent="0.25"/>
    <row r="6" spans="2:14" ht="17.25" thickTop="1" thickBot="1" x14ac:dyDescent="0.25">
      <c r="B6" s="147" t="s">
        <v>119</v>
      </c>
      <c r="C6" s="148" t="s">
        <v>120</v>
      </c>
      <c r="D6" s="148">
        <v>2010</v>
      </c>
      <c r="E6" s="148">
        <v>2015</v>
      </c>
      <c r="F6" s="148">
        <v>2020</v>
      </c>
      <c r="G6" s="148">
        <v>2025</v>
      </c>
      <c r="H6" s="148">
        <v>2030</v>
      </c>
      <c r="I6" s="148">
        <v>2035</v>
      </c>
      <c r="J6" s="148">
        <v>2040</v>
      </c>
      <c r="K6" s="148">
        <v>2045</v>
      </c>
      <c r="L6" s="148">
        <v>2050</v>
      </c>
      <c r="M6" s="148">
        <v>2055</v>
      </c>
      <c r="N6" s="148">
        <v>2060</v>
      </c>
    </row>
    <row r="7" spans="2:14" ht="18" thickTop="1" thickBot="1" x14ac:dyDescent="0.25">
      <c r="B7" s="170" t="str">
        <f>DataIn!B14</f>
        <v>Residential</v>
      </c>
      <c r="C7" s="171" t="str">
        <f>DataIn!C14</f>
        <v/>
      </c>
      <c r="D7" s="334">
        <f>DataIn!D14</f>
        <v>9.2540000000000001E-3</v>
      </c>
      <c r="E7" s="334">
        <f>DataIn!E14</f>
        <v>0.14342299999999999</v>
      </c>
      <c r="F7" s="334">
        <f>DataIn!F14</f>
        <v>0.27759200000000001</v>
      </c>
      <c r="G7" s="334">
        <f>DataIn!G14</f>
        <v>0.46265149999999999</v>
      </c>
      <c r="H7" s="334">
        <f>DataIn!H14</f>
        <v>0.64771100000000004</v>
      </c>
      <c r="I7" s="334">
        <f>DataIn!I14</f>
        <v>0.83277299999999999</v>
      </c>
      <c r="J7" s="334">
        <f>DataIn!J14</f>
        <v>1.017835</v>
      </c>
      <c r="K7" s="334">
        <f>DataIn!K14</f>
        <v>1.202896</v>
      </c>
      <c r="L7" s="334">
        <f>DataIn!L14</f>
        <v>1.3879570000000001</v>
      </c>
      <c r="M7" s="334">
        <f>DataIn!M14</f>
        <v>1.573018</v>
      </c>
      <c r="N7" s="334">
        <f>DataIn!N14</f>
        <v>1.7580789999999999</v>
      </c>
    </row>
    <row r="8" spans="2:14" ht="17.25" thickBot="1" x14ac:dyDescent="0.25">
      <c r="B8" s="170" t="str">
        <f>DataIn!B15</f>
        <v>Commercial/Industrial</v>
      </c>
      <c r="C8" s="171" t="str">
        <f>DataIn!C15</f>
        <v/>
      </c>
      <c r="D8" s="335">
        <f>DataIn!D15</f>
        <v>1.3892E-2</v>
      </c>
      <c r="E8" s="335">
        <f>DataIn!E15</f>
        <v>0.21529700000000002</v>
      </c>
      <c r="F8" s="335">
        <f>DataIn!F15</f>
        <v>0.41670200000000002</v>
      </c>
      <c r="G8" s="335">
        <f>DataIn!G15</f>
        <v>0.69450199999999995</v>
      </c>
      <c r="H8" s="335">
        <f>DataIn!H15</f>
        <v>0.972302</v>
      </c>
      <c r="I8" s="335">
        <f>DataIn!I15</f>
        <v>1.250102</v>
      </c>
      <c r="J8" s="335">
        <f>DataIn!J15</f>
        <v>1.5279020000000001</v>
      </c>
      <c r="K8" s="335">
        <f>DataIn!K15</f>
        <v>1.8057020000000001</v>
      </c>
      <c r="L8" s="335">
        <f>DataIn!L15</f>
        <v>2.0835020000000002</v>
      </c>
      <c r="M8" s="335">
        <f>DataIn!M15</f>
        <v>2.3613020000000002</v>
      </c>
      <c r="N8" s="335">
        <f>DataIn!N15</f>
        <v>2.6391019999999998</v>
      </c>
    </row>
    <row r="9" spans="2:14" ht="17.25" thickBot="1" x14ac:dyDescent="0.25">
      <c r="B9" s="170" t="str">
        <f>DataIn!B16</f>
        <v>Non-Revenue</v>
      </c>
      <c r="C9" s="171" t="str">
        <f>DataIn!C16</f>
        <v>Other Non-Revenue</v>
      </c>
      <c r="D9" s="335">
        <f>DataIn!D16</f>
        <v>1.73595E-3</v>
      </c>
      <c r="E9" s="335">
        <f>DataIn!E16</f>
        <v>2.6903999999999997E-2</v>
      </c>
      <c r="F9" s="335">
        <f>DataIn!F16</f>
        <v>5.2072049999999995E-2</v>
      </c>
      <c r="G9" s="335">
        <f>DataIn!G16</f>
        <v>8.6786512499999996E-2</v>
      </c>
      <c r="H9" s="335">
        <f>DataIn!H16</f>
        <v>0.121500975</v>
      </c>
      <c r="I9" s="335">
        <f>DataIn!I16</f>
        <v>0.156215625</v>
      </c>
      <c r="J9" s="335">
        <f>DataIn!J16</f>
        <v>0.19093027499999998</v>
      </c>
      <c r="K9" s="335">
        <f>DataIn!K16</f>
        <v>0.22564484999999998</v>
      </c>
      <c r="L9" s="335">
        <f>DataIn!L16</f>
        <v>0.26035942499999998</v>
      </c>
      <c r="M9" s="335">
        <f>DataIn!M16</f>
        <v>0.295074</v>
      </c>
      <c r="N9" s="335">
        <f>DataIn!N16</f>
        <v>0.32978857500000003</v>
      </c>
    </row>
    <row r="10" spans="2:14" ht="17.25" thickBot="1" x14ac:dyDescent="0.25">
      <c r="B10" s="170" t="str">
        <f>DataIn!B17</f>
        <v>Conservation</v>
      </c>
      <c r="C10" s="456"/>
      <c r="D10" s="457">
        <f>DataIn!D17</f>
        <v>-7.0913557500000004E-4</v>
      </c>
      <c r="E10" s="457">
        <f>DataIn!E17</f>
        <v>-2.1626000212500003E-2</v>
      </c>
      <c r="F10" s="457">
        <f>DataIn!F17</f>
        <v>-4.2542864850000008E-2</v>
      </c>
      <c r="G10" s="457">
        <f>DataIn!G17</f>
        <v>-9.5721154856250004E-2</v>
      </c>
      <c r="H10" s="457">
        <f>DataIn!H17</f>
        <v>-0.14889944486250001</v>
      </c>
      <c r="I10" s="457">
        <f>DataIn!I17</f>
        <v>-0.23043975710625</v>
      </c>
      <c r="J10" s="457">
        <f>DataIn!J17</f>
        <v>-0.31198006935</v>
      </c>
      <c r="K10" s="457">
        <f>DataIn!K17</f>
        <v>-0.42188209745624999</v>
      </c>
      <c r="L10" s="457">
        <f>DataIn!L17</f>
        <v>-0.53178412556249999</v>
      </c>
      <c r="M10" s="457">
        <f>DataIn!M17</f>
        <v>-0.67004796144375001</v>
      </c>
      <c r="N10" s="457">
        <f>DataIn!N17</f>
        <v>-0.80831179732500014</v>
      </c>
    </row>
    <row r="11" spans="2:14" ht="18" thickTop="1" thickBot="1" x14ac:dyDescent="0.25">
      <c r="B11" s="150" t="s">
        <v>127</v>
      </c>
      <c r="C11" s="151"/>
      <c r="D11" s="169">
        <f>SUM(D7:D10)</f>
        <v>2.4172814425000001E-2</v>
      </c>
      <c r="E11" s="169">
        <f t="shared" ref="E11:N11" si="0">SUM(E7:E10)</f>
        <v>0.36399799978750003</v>
      </c>
      <c r="F11" s="169">
        <f t="shared" si="0"/>
        <v>0.70382318514999997</v>
      </c>
      <c r="G11" s="169">
        <f t="shared" si="0"/>
        <v>1.14821885764375</v>
      </c>
      <c r="H11" s="169">
        <f t="shared" si="0"/>
        <v>1.5926145301375001</v>
      </c>
      <c r="I11" s="169">
        <f t="shared" si="0"/>
        <v>2.00865086789375</v>
      </c>
      <c r="J11" s="169">
        <f t="shared" si="0"/>
        <v>2.4246872056499997</v>
      </c>
      <c r="K11" s="169">
        <f t="shared" si="0"/>
        <v>2.8123607525437504</v>
      </c>
      <c r="L11" s="169">
        <f t="shared" si="0"/>
        <v>3.2000342994375002</v>
      </c>
      <c r="M11" s="169">
        <f t="shared" si="0"/>
        <v>3.5593460385562503</v>
      </c>
      <c r="N11" s="169">
        <f t="shared" si="0"/>
        <v>3.918657777675</v>
      </c>
    </row>
    <row r="12" spans="2:14" ht="13.5" thickTop="1" x14ac:dyDescent="0.2"/>
    <row r="13" spans="2:14" x14ac:dyDescent="0.2">
      <c r="D13" s="445">
        <f>D11-D10</f>
        <v>2.488195E-2</v>
      </c>
      <c r="E13" s="445">
        <f t="shared" ref="E13:N13" si="1">E11-E10</f>
        <v>0.38562400000000002</v>
      </c>
      <c r="F13" s="445">
        <f t="shared" si="1"/>
        <v>0.74636605</v>
      </c>
      <c r="G13" s="445">
        <f t="shared" si="1"/>
        <v>1.2439400125</v>
      </c>
      <c r="H13" s="445">
        <f t="shared" si="1"/>
        <v>1.7415139750000002</v>
      </c>
      <c r="I13" s="445">
        <f t="shared" si="1"/>
        <v>2.2390906250000002</v>
      </c>
      <c r="J13" s="445">
        <f t="shared" si="1"/>
        <v>2.7366672749999998</v>
      </c>
      <c r="K13" s="445">
        <f t="shared" si="1"/>
        <v>3.2342428500000002</v>
      </c>
      <c r="L13" s="445">
        <f t="shared" si="1"/>
        <v>3.7318184250000002</v>
      </c>
      <c r="M13" s="445">
        <f t="shared" si="1"/>
        <v>4.2293940000000001</v>
      </c>
      <c r="N13" s="445">
        <f t="shared" si="1"/>
        <v>4.726969575</v>
      </c>
    </row>
    <row r="18" ht="13.5" thickBot="1" x14ac:dyDescent="0.25"/>
    <row r="19" ht="13.5" thickTop="1" x14ac:dyDescent="0.2"/>
  </sheetData>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2:D57"/>
  <sheetViews>
    <sheetView workbookViewId="0">
      <selection activeCell="D41" sqref="D41"/>
    </sheetView>
  </sheetViews>
  <sheetFormatPr defaultRowHeight="12.75" x14ac:dyDescent="0.2"/>
  <cols>
    <col min="2" max="2" width="23.85546875" customWidth="1"/>
    <col min="3" max="3" width="25.85546875" customWidth="1"/>
    <col min="4" max="4" width="70" customWidth="1"/>
  </cols>
  <sheetData>
    <row r="2" spans="2:4" ht="15.75" x14ac:dyDescent="0.25">
      <c r="B2" s="47" t="s">
        <v>280</v>
      </c>
      <c r="C2" s="153"/>
    </row>
    <row r="3" spans="2:4" x14ac:dyDescent="0.2">
      <c r="B3" s="245" t="s">
        <v>281</v>
      </c>
      <c r="C3" s="246" t="str">
        <f>DataIn!C1</f>
        <v>Orange County</v>
      </c>
    </row>
    <row r="4" spans="2:4" x14ac:dyDescent="0.2">
      <c r="B4" s="245" t="s">
        <v>282</v>
      </c>
      <c r="C4" s="246" t="str">
        <f>DataIn!C2</f>
        <v>N/A</v>
      </c>
    </row>
    <row r="5" spans="2:4" x14ac:dyDescent="0.2">
      <c r="B5" s="245" t="s">
        <v>283</v>
      </c>
      <c r="C5" s="246" t="s">
        <v>489</v>
      </c>
    </row>
    <row r="6" spans="2:4" x14ac:dyDescent="0.2">
      <c r="B6" s="245" t="s">
        <v>284</v>
      </c>
      <c r="C6" s="246" t="s">
        <v>501</v>
      </c>
    </row>
    <row r="7" spans="2:4" x14ac:dyDescent="0.2">
      <c r="B7" s="245" t="s">
        <v>285</v>
      </c>
      <c r="C7" s="446" t="s">
        <v>502</v>
      </c>
    </row>
    <row r="8" spans="2:4" x14ac:dyDescent="0.2">
      <c r="B8" s="245" t="s">
        <v>286</v>
      </c>
      <c r="C8" s="246" t="s">
        <v>503</v>
      </c>
    </row>
    <row r="9" spans="2:4" x14ac:dyDescent="0.2">
      <c r="B9" s="245" t="s">
        <v>287</v>
      </c>
      <c r="C9" s="246"/>
    </row>
    <row r="10" spans="2:4" x14ac:dyDescent="0.2">
      <c r="B10" s="245"/>
      <c r="C10" s="246"/>
    </row>
    <row r="11" spans="2:4" x14ac:dyDescent="0.2">
      <c r="B11" s="245"/>
      <c r="C11" s="246"/>
    </row>
    <row r="16" spans="2:4" ht="15.75" x14ac:dyDescent="0.25">
      <c r="B16" s="131" t="s">
        <v>116</v>
      </c>
      <c r="C16" s="129"/>
      <c r="D16" s="129"/>
    </row>
    <row r="17" spans="2:4" ht="13.5" thickBot="1" x14ac:dyDescent="0.25">
      <c r="B17" s="129"/>
      <c r="C17" s="129"/>
      <c r="D17" s="129"/>
    </row>
    <row r="18" spans="2:4" ht="17.25" thickTop="1" thickBot="1" x14ac:dyDescent="0.25">
      <c r="B18" s="147" t="s">
        <v>107</v>
      </c>
      <c r="C18" s="148" t="s">
        <v>108</v>
      </c>
      <c r="D18" s="148" t="s">
        <v>109</v>
      </c>
    </row>
    <row r="19" spans="2:4" ht="19.5" thickTop="1" x14ac:dyDescent="0.2">
      <c r="B19" s="421" t="s">
        <v>110</v>
      </c>
      <c r="C19" s="422" t="s">
        <v>504</v>
      </c>
      <c r="D19" s="396" t="s">
        <v>505</v>
      </c>
    </row>
    <row r="20" spans="2:4" ht="18.75" x14ac:dyDescent="0.2">
      <c r="B20" s="391"/>
      <c r="C20" s="423"/>
      <c r="D20" s="397"/>
    </row>
    <row r="21" spans="2:4" ht="18.75" x14ac:dyDescent="0.2">
      <c r="B21" s="391"/>
      <c r="C21" s="423"/>
      <c r="D21" s="397"/>
    </row>
    <row r="22" spans="2:4" ht="19.5" thickBot="1" x14ac:dyDescent="0.25">
      <c r="B22" s="391"/>
      <c r="C22" s="424"/>
      <c r="D22" s="397"/>
    </row>
    <row r="23" spans="2:4" ht="18.75" x14ac:dyDescent="0.2">
      <c r="B23" s="410" t="s">
        <v>495</v>
      </c>
      <c r="C23" s="401" t="s">
        <v>506</v>
      </c>
      <c r="D23" s="398" t="s">
        <v>507</v>
      </c>
    </row>
    <row r="24" spans="2:4" ht="18.75" x14ac:dyDescent="0.2">
      <c r="B24" s="392"/>
      <c r="C24" s="402"/>
      <c r="D24" s="398"/>
    </row>
    <row r="25" spans="2:4" ht="18.75" x14ac:dyDescent="0.2">
      <c r="B25" s="392"/>
      <c r="C25" s="402"/>
      <c r="D25" s="398"/>
    </row>
    <row r="26" spans="2:4" ht="19.5" thickBot="1" x14ac:dyDescent="0.25">
      <c r="B26" s="392"/>
      <c r="C26" s="403"/>
      <c r="D26" s="398"/>
    </row>
    <row r="27" spans="2:4" ht="18.75" x14ac:dyDescent="0.2">
      <c r="B27" s="411" t="s">
        <v>112</v>
      </c>
      <c r="C27" s="418"/>
      <c r="D27" s="397"/>
    </row>
    <row r="28" spans="2:4" ht="18.75" x14ac:dyDescent="0.2">
      <c r="B28" s="393"/>
      <c r="C28" s="419"/>
      <c r="D28" s="397"/>
    </row>
    <row r="29" spans="2:4" ht="18.75" x14ac:dyDescent="0.2">
      <c r="B29" s="393"/>
      <c r="C29" s="419"/>
      <c r="D29" s="397"/>
    </row>
    <row r="30" spans="2:4" ht="19.5" thickBot="1" x14ac:dyDescent="0.25">
      <c r="B30" s="393"/>
      <c r="C30" s="420"/>
      <c r="D30" s="397"/>
    </row>
    <row r="31" spans="2:4" ht="18.75" x14ac:dyDescent="0.2">
      <c r="B31" s="412" t="s">
        <v>113</v>
      </c>
      <c r="C31" s="404"/>
      <c r="D31" s="398"/>
    </row>
    <row r="32" spans="2:4" ht="18.75" x14ac:dyDescent="0.2">
      <c r="B32" s="394"/>
      <c r="C32" s="405"/>
      <c r="D32" s="398"/>
    </row>
    <row r="33" spans="2:4" ht="18.75" x14ac:dyDescent="0.2">
      <c r="B33" s="394"/>
      <c r="C33" s="405"/>
      <c r="D33" s="398"/>
    </row>
    <row r="34" spans="2:4" ht="19.5" thickBot="1" x14ac:dyDescent="0.25">
      <c r="B34" s="394"/>
      <c r="C34" s="406"/>
      <c r="D34" s="398"/>
    </row>
    <row r="35" spans="2:4" ht="18.75" x14ac:dyDescent="0.2">
      <c r="B35" s="413" t="s">
        <v>114</v>
      </c>
      <c r="C35" s="407"/>
      <c r="D35" s="397"/>
    </row>
    <row r="36" spans="2:4" ht="18.75" x14ac:dyDescent="0.2">
      <c r="B36" s="395"/>
      <c r="C36" s="408"/>
      <c r="D36" s="397"/>
    </row>
    <row r="37" spans="2:4" ht="18.75" x14ac:dyDescent="0.2">
      <c r="B37" s="395"/>
      <c r="C37" s="408"/>
      <c r="D37" s="397"/>
    </row>
    <row r="38" spans="2:4" ht="18.75" x14ac:dyDescent="0.2">
      <c r="B38" s="395"/>
      <c r="C38" s="408"/>
      <c r="D38" s="397"/>
    </row>
    <row r="39" spans="2:4" ht="19.5" thickBot="1" x14ac:dyDescent="0.25">
      <c r="B39" s="395"/>
      <c r="C39" s="409"/>
      <c r="D39" s="397"/>
    </row>
    <row r="40" spans="2:4" ht="18.75" x14ac:dyDescent="0.3">
      <c r="B40" s="414" t="s">
        <v>122</v>
      </c>
      <c r="C40" s="425" t="s">
        <v>459</v>
      </c>
      <c r="D40" s="447" t="s">
        <v>508</v>
      </c>
    </row>
    <row r="41" spans="2:4" ht="18.75" x14ac:dyDescent="0.3">
      <c r="B41" s="415"/>
      <c r="C41" s="426" t="s">
        <v>460</v>
      </c>
      <c r="D41" s="399"/>
    </row>
    <row r="42" spans="2:4" ht="19.5" customHeight="1" x14ac:dyDescent="0.3">
      <c r="B42" s="416"/>
      <c r="C42" s="426" t="s">
        <v>124</v>
      </c>
      <c r="D42" s="399"/>
    </row>
    <row r="43" spans="2:4" ht="18.75" x14ac:dyDescent="0.3">
      <c r="B43" s="415"/>
      <c r="C43" s="426"/>
      <c r="D43" s="399"/>
    </row>
    <row r="44" spans="2:4" ht="18.75" x14ac:dyDescent="0.3">
      <c r="B44" s="415"/>
      <c r="C44" s="426"/>
      <c r="D44" s="399"/>
    </row>
    <row r="45" spans="2:4" ht="19.5" thickBot="1" x14ac:dyDescent="0.35">
      <c r="B45" s="417"/>
      <c r="C45" s="427"/>
      <c r="D45" s="400"/>
    </row>
    <row r="46" spans="2:4" x14ac:dyDescent="0.2">
      <c r="B46" s="129"/>
      <c r="C46" s="129"/>
      <c r="D46" s="129"/>
    </row>
    <row r="47" spans="2:4" x14ac:dyDescent="0.2">
      <c r="B47" s="129"/>
      <c r="C47" s="129"/>
      <c r="D47" s="129"/>
    </row>
    <row r="48" spans="2:4" x14ac:dyDescent="0.2">
      <c r="B48" s="129"/>
      <c r="C48" s="129"/>
      <c r="D48" s="129"/>
    </row>
    <row r="49" spans="2:4" ht="15.75" x14ac:dyDescent="0.25">
      <c r="B49" s="130" t="s">
        <v>115</v>
      </c>
      <c r="C49" s="129"/>
      <c r="D49" s="129"/>
    </row>
    <row r="50" spans="2:4" x14ac:dyDescent="0.2">
      <c r="B50" s="129"/>
      <c r="C50" s="129"/>
      <c r="D50" s="129"/>
    </row>
    <row r="51" spans="2:4" x14ac:dyDescent="0.2">
      <c r="B51" s="129"/>
      <c r="C51" s="129"/>
      <c r="D51" s="129"/>
    </row>
    <row r="52" spans="2:4" x14ac:dyDescent="0.2">
      <c r="B52" s="129"/>
      <c r="C52" s="129"/>
      <c r="D52" s="129"/>
    </row>
    <row r="53" spans="2:4" x14ac:dyDescent="0.2">
      <c r="B53" s="129"/>
      <c r="C53" s="129"/>
      <c r="D53" s="129"/>
    </row>
    <row r="54" spans="2:4" x14ac:dyDescent="0.2">
      <c r="B54" s="129"/>
      <c r="C54" s="129"/>
      <c r="D54" s="129"/>
    </row>
    <row r="55" spans="2:4" x14ac:dyDescent="0.2">
      <c r="B55" s="129"/>
      <c r="C55" s="129"/>
      <c r="D55" s="129"/>
    </row>
    <row r="56" spans="2:4" x14ac:dyDescent="0.2">
      <c r="B56" s="129"/>
      <c r="C56" s="129"/>
      <c r="D56" s="129"/>
    </row>
    <row r="57" spans="2:4" x14ac:dyDescent="0.2">
      <c r="B57" s="129"/>
      <c r="C57" s="129"/>
      <c r="D57" s="129"/>
    </row>
  </sheetData>
  <hyperlinks>
    <hyperlink ref="C7" r:id="rId1"/>
  </hyperlinks>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66"/>
    <pageSetUpPr fitToPage="1"/>
  </sheetPr>
  <dimension ref="B2:N117"/>
  <sheetViews>
    <sheetView topLeftCell="A94" zoomScale="80" zoomScaleNormal="80" workbookViewId="0">
      <selection activeCell="J116" sqref="J116"/>
    </sheetView>
  </sheetViews>
  <sheetFormatPr defaultRowHeight="15.95" customHeight="1" x14ac:dyDescent="0.2"/>
  <cols>
    <col min="1" max="1" width="1.85546875" style="27" customWidth="1"/>
    <col min="2" max="2" width="54.140625" style="27" customWidth="1"/>
    <col min="3" max="3" width="17.28515625" style="31" customWidth="1"/>
    <col min="4" max="14" width="16.7109375" style="31" customWidth="1"/>
    <col min="15" max="16384" width="9.140625" style="27"/>
  </cols>
  <sheetData>
    <row r="2" spans="2:14" ht="15.95" customHeight="1" x14ac:dyDescent="0.25">
      <c r="B2" s="47" t="s">
        <v>72</v>
      </c>
    </row>
    <row r="3" spans="2:14" ht="15.95" customHeight="1" x14ac:dyDescent="0.25">
      <c r="B3" s="94" t="s">
        <v>42</v>
      </c>
      <c r="C3" s="89" t="str">
        <f>DataIn!C1</f>
        <v>Orange County</v>
      </c>
      <c r="D3" s="90"/>
      <c r="E3" s="91"/>
    </row>
    <row r="4" spans="2:14" ht="15.95" customHeight="1" x14ac:dyDescent="0.25">
      <c r="B4" s="94" t="s">
        <v>43</v>
      </c>
      <c r="C4" s="92">
        <f>DataIn!F1</f>
        <v>41692</v>
      </c>
      <c r="D4" s="90"/>
      <c r="E4" s="91"/>
    </row>
    <row r="5" spans="2:14" ht="15.95" customHeight="1" x14ac:dyDescent="0.25">
      <c r="B5" s="94"/>
      <c r="C5" s="106"/>
      <c r="D5" s="32"/>
      <c r="E5" s="32"/>
    </row>
    <row r="6" spans="2:14" s="107" customFormat="1" ht="24" customHeight="1" x14ac:dyDescent="0.2">
      <c r="B6" s="108" t="s">
        <v>67</v>
      </c>
      <c r="C6" s="109"/>
      <c r="D6" s="109"/>
      <c r="E6" s="109"/>
      <c r="F6" s="109"/>
      <c r="G6" s="109"/>
      <c r="H6" s="109"/>
      <c r="I6" s="109"/>
      <c r="J6" s="109"/>
      <c r="K6" s="109"/>
      <c r="L6" s="109"/>
      <c r="M6" s="109"/>
      <c r="N6" s="109"/>
    </row>
    <row r="7" spans="2:14" ht="15.95" customHeight="1" x14ac:dyDescent="0.25">
      <c r="B7" s="139" t="s">
        <v>68</v>
      </c>
      <c r="C7" s="140"/>
      <c r="D7" s="140"/>
      <c r="E7" s="140"/>
      <c r="F7" s="140"/>
      <c r="G7" s="140"/>
      <c r="H7" s="140"/>
      <c r="I7" s="140"/>
      <c r="J7" s="140"/>
      <c r="K7" s="140"/>
      <c r="L7" s="140"/>
      <c r="M7" s="140"/>
      <c r="N7" s="141"/>
    </row>
    <row r="8" spans="2:14" ht="15.95" customHeight="1" x14ac:dyDescent="0.25">
      <c r="B8" s="142"/>
      <c r="C8" s="143"/>
      <c r="D8" s="144">
        <v>2010</v>
      </c>
      <c r="E8" s="145">
        <v>2015</v>
      </c>
      <c r="F8" s="145">
        <v>2020</v>
      </c>
      <c r="G8" s="145">
        <v>2025</v>
      </c>
      <c r="H8" s="145">
        <v>2030</v>
      </c>
      <c r="I8" s="145">
        <v>2035</v>
      </c>
      <c r="J8" s="145">
        <v>2040</v>
      </c>
      <c r="K8" s="145">
        <v>2045</v>
      </c>
      <c r="L8" s="145">
        <v>2050</v>
      </c>
      <c r="M8" s="145">
        <v>2055</v>
      </c>
      <c r="N8" s="145">
        <v>2060</v>
      </c>
    </row>
    <row r="9" spans="2:14" ht="15.95" customHeight="1" x14ac:dyDescent="0.25">
      <c r="B9" s="134" t="s">
        <v>117</v>
      </c>
      <c r="C9" s="135"/>
      <c r="D9" s="135">
        <f>DataIn!D37</f>
        <v>132</v>
      </c>
      <c r="E9" s="135">
        <f>DataIn!E37</f>
        <v>2049</v>
      </c>
      <c r="F9" s="135">
        <f>DataIn!F37</f>
        <v>3966</v>
      </c>
      <c r="G9" s="135">
        <f>DataIn!G37</f>
        <v>6609.5</v>
      </c>
      <c r="H9" s="135">
        <f>DataIn!H37</f>
        <v>9253</v>
      </c>
      <c r="I9" s="135">
        <f>DataIn!I37</f>
        <v>11897</v>
      </c>
      <c r="J9" s="135">
        <f>DataIn!J37</f>
        <v>14541</v>
      </c>
      <c r="K9" s="135">
        <f>DataIn!K37</f>
        <v>17184.5</v>
      </c>
      <c r="L9" s="135">
        <f>DataIn!L37</f>
        <v>19828</v>
      </c>
      <c r="M9" s="135">
        <f>DataIn!M37</f>
        <v>22471.5</v>
      </c>
      <c r="N9" s="135">
        <f>DataIn!N37</f>
        <v>25115</v>
      </c>
    </row>
    <row r="10" spans="2:14" ht="15.95" customHeight="1" x14ac:dyDescent="0.25">
      <c r="B10" s="136" t="s">
        <v>118</v>
      </c>
      <c r="C10" s="135"/>
      <c r="D10" s="135"/>
      <c r="E10" s="135"/>
      <c r="F10" s="135"/>
      <c r="G10" s="135"/>
      <c r="H10" s="135"/>
      <c r="I10" s="135"/>
      <c r="J10" s="135"/>
      <c r="K10" s="135"/>
      <c r="L10" s="135"/>
      <c r="M10" s="135"/>
      <c r="N10" s="135"/>
    </row>
    <row r="11" spans="2:14" ht="15.95" customHeight="1" x14ac:dyDescent="0.25">
      <c r="B11" s="137" t="s">
        <v>53</v>
      </c>
      <c r="C11" s="138"/>
      <c r="D11" s="138"/>
      <c r="E11" s="138"/>
      <c r="F11" s="138"/>
      <c r="G11" s="138"/>
      <c r="H11" s="138"/>
      <c r="I11" s="138"/>
      <c r="J11" s="138"/>
      <c r="K11" s="138"/>
      <c r="L11" s="138"/>
      <c r="M11" s="138"/>
      <c r="N11" s="138"/>
    </row>
    <row r="12" spans="2:14" s="28" customFormat="1" ht="15.95" customHeight="1" x14ac:dyDescent="0.25">
      <c r="B12" s="132"/>
      <c r="C12" s="133" t="s">
        <v>54</v>
      </c>
      <c r="D12" s="133" t="s">
        <v>55</v>
      </c>
      <c r="E12" s="133" t="s">
        <v>65</v>
      </c>
      <c r="F12" s="133" t="s">
        <v>64</v>
      </c>
      <c r="G12" s="133" t="s">
        <v>63</v>
      </c>
      <c r="H12" s="133" t="s">
        <v>62</v>
      </c>
      <c r="I12" s="133" t="s">
        <v>61</v>
      </c>
      <c r="J12" s="133" t="s">
        <v>60</v>
      </c>
      <c r="K12" s="133" t="s">
        <v>59</v>
      </c>
      <c r="L12" s="133" t="s">
        <v>58</v>
      </c>
      <c r="M12" s="133" t="s">
        <v>57</v>
      </c>
      <c r="N12" s="133" t="s">
        <v>56</v>
      </c>
    </row>
    <row r="14" spans="2:14" ht="15.95" customHeight="1" x14ac:dyDescent="0.25">
      <c r="B14" s="35" t="s">
        <v>69</v>
      </c>
      <c r="C14" s="36"/>
      <c r="D14" s="64"/>
      <c r="E14" s="64"/>
      <c r="F14" s="64"/>
      <c r="G14" s="64"/>
      <c r="H14" s="64"/>
      <c r="I14" s="64"/>
      <c r="J14" s="64"/>
      <c r="K14" s="64"/>
      <c r="L14" s="64"/>
      <c r="M14" s="64"/>
      <c r="N14" s="65"/>
    </row>
    <row r="15" spans="2:14" ht="15.95" customHeight="1" x14ac:dyDescent="0.25">
      <c r="B15" s="37"/>
      <c r="C15" s="38"/>
      <c r="D15" s="66">
        <v>2010</v>
      </c>
      <c r="E15" s="67">
        <v>2015</v>
      </c>
      <c r="F15" s="67">
        <v>2020</v>
      </c>
      <c r="G15" s="67">
        <v>2025</v>
      </c>
      <c r="H15" s="67">
        <v>2030</v>
      </c>
      <c r="I15" s="67">
        <v>2035</v>
      </c>
      <c r="J15" s="67">
        <v>2040</v>
      </c>
      <c r="K15" s="67">
        <v>2045</v>
      </c>
      <c r="L15" s="67">
        <v>2050</v>
      </c>
      <c r="M15" s="67">
        <v>2055</v>
      </c>
      <c r="N15" s="67">
        <v>2060</v>
      </c>
    </row>
    <row r="16" spans="2:14" ht="15.95" customHeight="1" x14ac:dyDescent="0.25">
      <c r="B16" s="34" t="s">
        <v>0</v>
      </c>
      <c r="C16" s="39"/>
      <c r="D16" s="83">
        <f>DataIn!D14</f>
        <v>9.2540000000000001E-3</v>
      </c>
      <c r="E16" s="83">
        <f>DataIn!E14</f>
        <v>0.14342299999999999</v>
      </c>
      <c r="F16" s="83">
        <f>DataIn!F14</f>
        <v>0.27759200000000001</v>
      </c>
      <c r="G16" s="83">
        <f>DataIn!G14</f>
        <v>0.46265149999999999</v>
      </c>
      <c r="H16" s="83">
        <f>DataIn!H14</f>
        <v>0.64771100000000004</v>
      </c>
      <c r="I16" s="83">
        <f>DataIn!I14</f>
        <v>0.83277299999999999</v>
      </c>
      <c r="J16" s="83">
        <f>DataIn!J14</f>
        <v>1.017835</v>
      </c>
      <c r="K16" s="83">
        <f>DataIn!K14</f>
        <v>1.202896</v>
      </c>
      <c r="L16" s="83">
        <f>DataIn!L14</f>
        <v>1.3879570000000001</v>
      </c>
      <c r="M16" s="83">
        <f>DataIn!M14</f>
        <v>1.573018</v>
      </c>
      <c r="N16" s="83">
        <f>DataIn!N14</f>
        <v>1.7580789999999999</v>
      </c>
    </row>
    <row r="17" spans="2:14" ht="15.95" customHeight="1" x14ac:dyDescent="0.25">
      <c r="B17" s="63"/>
      <c r="C17" s="39"/>
      <c r="D17" s="83"/>
      <c r="E17" s="40"/>
      <c r="F17" s="40"/>
      <c r="G17" s="40"/>
      <c r="H17" s="40"/>
      <c r="I17" s="40"/>
      <c r="J17" s="40"/>
      <c r="K17" s="40"/>
      <c r="L17" s="40"/>
      <c r="M17" s="68"/>
      <c r="N17" s="68"/>
    </row>
    <row r="18" spans="2:14" ht="15.95" customHeight="1" x14ac:dyDescent="0.25">
      <c r="B18" s="63"/>
      <c r="C18" s="39"/>
      <c r="D18" s="83"/>
      <c r="E18" s="40"/>
      <c r="F18" s="40"/>
      <c r="G18" s="40"/>
      <c r="H18" s="40"/>
      <c r="I18" s="40"/>
      <c r="J18" s="40"/>
      <c r="K18" s="40"/>
      <c r="L18" s="40"/>
      <c r="M18" s="68"/>
      <c r="N18" s="68"/>
    </row>
    <row r="19" spans="2:14" ht="15.95" customHeight="1" x14ac:dyDescent="0.25">
      <c r="B19" s="63"/>
      <c r="C19" s="39"/>
      <c r="D19" s="83"/>
      <c r="E19" s="40"/>
      <c r="F19" s="40"/>
      <c r="G19" s="40"/>
      <c r="H19" s="40"/>
      <c r="I19" s="40"/>
      <c r="J19" s="40"/>
      <c r="K19" s="40"/>
      <c r="L19" s="40"/>
      <c r="M19" s="68"/>
      <c r="N19" s="68"/>
    </row>
    <row r="20" spans="2:14" ht="15.95" customHeight="1" x14ac:dyDescent="0.25">
      <c r="B20" s="37"/>
      <c r="C20" s="39"/>
      <c r="D20" s="83"/>
      <c r="E20" s="40"/>
      <c r="F20" s="40"/>
      <c r="G20" s="40"/>
      <c r="H20" s="40"/>
      <c r="I20" s="40"/>
      <c r="J20" s="40"/>
      <c r="K20" s="40"/>
      <c r="L20" s="40"/>
      <c r="M20" s="68"/>
      <c r="N20" s="68"/>
    </row>
    <row r="21" spans="2:14" ht="15.95" customHeight="1" x14ac:dyDescent="0.25">
      <c r="B21" s="37" t="s">
        <v>1</v>
      </c>
      <c r="C21" s="39"/>
      <c r="D21" s="83">
        <f>DataIn!D15</f>
        <v>1.3892E-2</v>
      </c>
      <c r="E21" s="83">
        <f>DataIn!E15</f>
        <v>0.21529700000000002</v>
      </c>
      <c r="F21" s="83">
        <f>DataIn!F15</f>
        <v>0.41670200000000002</v>
      </c>
      <c r="G21" s="83">
        <f>DataIn!G15</f>
        <v>0.69450199999999995</v>
      </c>
      <c r="H21" s="83">
        <f>DataIn!H15</f>
        <v>0.972302</v>
      </c>
      <c r="I21" s="83">
        <f>DataIn!I15</f>
        <v>1.250102</v>
      </c>
      <c r="J21" s="83">
        <f>DataIn!J15</f>
        <v>1.5279020000000001</v>
      </c>
      <c r="K21" s="83">
        <f>DataIn!K15</f>
        <v>1.8057020000000001</v>
      </c>
      <c r="L21" s="83">
        <f>DataIn!L15</f>
        <v>2.0835020000000002</v>
      </c>
      <c r="M21" s="83">
        <f>DataIn!M15</f>
        <v>2.3613020000000002</v>
      </c>
      <c r="N21" s="83">
        <f>DataIn!N15</f>
        <v>2.6391019999999998</v>
      </c>
    </row>
    <row r="22" spans="2:14" ht="15.95" customHeight="1" x14ac:dyDescent="0.25">
      <c r="B22" s="63"/>
      <c r="C22" s="39"/>
      <c r="D22" s="83"/>
      <c r="E22" s="40"/>
      <c r="F22" s="40"/>
      <c r="G22" s="40"/>
      <c r="H22" s="40"/>
      <c r="I22" s="40"/>
      <c r="J22" s="40"/>
      <c r="K22" s="40"/>
      <c r="L22" s="40"/>
      <c r="M22" s="68"/>
      <c r="N22" s="68"/>
    </row>
    <row r="23" spans="2:14" ht="15.95" customHeight="1" x14ac:dyDescent="0.25">
      <c r="B23" s="63"/>
      <c r="C23" s="39"/>
      <c r="D23" s="83"/>
      <c r="E23" s="40"/>
      <c r="F23" s="40"/>
      <c r="G23" s="40"/>
      <c r="H23" s="40"/>
      <c r="I23" s="40"/>
      <c r="J23" s="40"/>
      <c r="K23" s="40"/>
      <c r="L23" s="40"/>
      <c r="M23" s="68"/>
      <c r="N23" s="68"/>
    </row>
    <row r="24" spans="2:14" ht="15.95" customHeight="1" x14ac:dyDescent="0.25">
      <c r="B24" s="63"/>
      <c r="C24" s="39"/>
      <c r="D24" s="83"/>
      <c r="E24" s="40"/>
      <c r="F24" s="40"/>
      <c r="G24" s="40"/>
      <c r="H24" s="40"/>
      <c r="I24" s="40"/>
      <c r="J24" s="40"/>
      <c r="K24" s="40"/>
      <c r="L24" s="40"/>
      <c r="M24" s="68"/>
      <c r="N24" s="68"/>
    </row>
    <row r="25" spans="2:14" ht="15.95" customHeight="1" x14ac:dyDescent="0.25">
      <c r="B25" s="37"/>
      <c r="C25" s="39"/>
      <c r="D25" s="83"/>
      <c r="E25" s="40"/>
      <c r="F25" s="40"/>
      <c r="G25" s="40"/>
      <c r="H25" s="40"/>
      <c r="I25" s="40"/>
      <c r="J25" s="40"/>
      <c r="K25" s="40"/>
      <c r="L25" s="40"/>
      <c r="M25" s="68"/>
      <c r="N25" s="68"/>
    </row>
    <row r="26" spans="2:14" ht="15.95" customHeight="1" x14ac:dyDescent="0.25">
      <c r="B26" s="37" t="s">
        <v>2</v>
      </c>
      <c r="C26" s="39"/>
      <c r="D26" s="83"/>
      <c r="E26" s="83"/>
      <c r="F26" s="83"/>
      <c r="G26" s="83"/>
      <c r="H26" s="83"/>
      <c r="I26" s="83"/>
      <c r="J26" s="83"/>
      <c r="K26" s="83"/>
      <c r="L26" s="83"/>
      <c r="M26" s="83"/>
      <c r="N26" s="83"/>
    </row>
    <row r="27" spans="2:14" ht="15.95" customHeight="1" x14ac:dyDescent="0.25">
      <c r="B27" s="63"/>
      <c r="C27" s="39"/>
      <c r="D27" s="83"/>
      <c r="E27" s="40"/>
      <c r="F27" s="40"/>
      <c r="G27" s="40"/>
      <c r="H27" s="40"/>
      <c r="I27" s="40"/>
      <c r="J27" s="40"/>
      <c r="K27" s="40"/>
      <c r="L27" s="40"/>
      <c r="M27" s="68"/>
      <c r="N27" s="68"/>
    </row>
    <row r="28" spans="2:14" ht="15.95" customHeight="1" x14ac:dyDescent="0.25">
      <c r="B28" s="63"/>
      <c r="C28" s="39"/>
      <c r="D28" s="83"/>
      <c r="E28" s="40"/>
      <c r="F28" s="40"/>
      <c r="G28" s="40"/>
      <c r="H28" s="40"/>
      <c r="I28" s="40"/>
      <c r="J28" s="40"/>
      <c r="K28" s="40"/>
      <c r="L28" s="40"/>
      <c r="M28" s="68"/>
      <c r="N28" s="68"/>
    </row>
    <row r="29" spans="2:14" ht="15.95" customHeight="1" x14ac:dyDescent="0.25">
      <c r="B29" s="63"/>
      <c r="C29" s="39"/>
      <c r="D29" s="83"/>
      <c r="E29" s="40"/>
      <c r="F29" s="40"/>
      <c r="G29" s="40"/>
      <c r="H29" s="40"/>
      <c r="I29" s="40"/>
      <c r="J29" s="40"/>
      <c r="K29" s="40"/>
      <c r="L29" s="40"/>
      <c r="M29" s="68"/>
      <c r="N29" s="68"/>
    </row>
    <row r="30" spans="2:14" ht="15.95" customHeight="1" x14ac:dyDescent="0.25">
      <c r="B30" s="37"/>
      <c r="C30" s="39"/>
      <c r="D30" s="83"/>
      <c r="E30" s="40"/>
      <c r="F30" s="40"/>
      <c r="G30" s="40"/>
      <c r="H30" s="40"/>
      <c r="I30" s="40"/>
      <c r="J30" s="40"/>
      <c r="K30" s="40"/>
      <c r="L30" s="40"/>
      <c r="M30" s="68"/>
      <c r="N30" s="68"/>
    </row>
    <row r="31" spans="2:14" ht="15.95" customHeight="1" x14ac:dyDescent="0.25">
      <c r="B31" s="37" t="s">
        <v>3</v>
      </c>
      <c r="C31" s="39"/>
      <c r="D31" s="83"/>
      <c r="E31" s="83"/>
      <c r="F31" s="83"/>
      <c r="G31" s="83"/>
      <c r="H31" s="83"/>
      <c r="I31" s="83"/>
      <c r="J31" s="83"/>
      <c r="K31" s="83"/>
      <c r="L31" s="83"/>
      <c r="M31" s="83"/>
      <c r="N31" s="83"/>
    </row>
    <row r="32" spans="2:14" ht="15.95" customHeight="1" x14ac:dyDescent="0.25">
      <c r="B32" s="63"/>
      <c r="C32" s="39"/>
      <c r="D32" s="83"/>
      <c r="E32" s="40"/>
      <c r="F32" s="40"/>
      <c r="G32" s="40"/>
      <c r="H32" s="40"/>
      <c r="I32" s="40"/>
      <c r="J32" s="40"/>
      <c r="K32" s="40"/>
      <c r="L32" s="40"/>
      <c r="M32" s="68"/>
      <c r="N32" s="68"/>
    </row>
    <row r="33" spans="2:14" ht="15.95" customHeight="1" x14ac:dyDescent="0.25">
      <c r="B33" s="63"/>
      <c r="C33" s="39"/>
      <c r="D33" s="83"/>
      <c r="E33" s="40"/>
      <c r="F33" s="40"/>
      <c r="G33" s="40"/>
      <c r="H33" s="40"/>
      <c r="I33" s="40"/>
      <c r="J33" s="40"/>
      <c r="K33" s="40"/>
      <c r="L33" s="40"/>
      <c r="M33" s="68"/>
      <c r="N33" s="68"/>
    </row>
    <row r="34" spans="2:14" ht="15.95" customHeight="1" x14ac:dyDescent="0.25">
      <c r="B34" s="63"/>
      <c r="C34" s="39"/>
      <c r="D34" s="83"/>
      <c r="E34" s="40"/>
      <c r="F34" s="40"/>
      <c r="G34" s="40"/>
      <c r="H34" s="40"/>
      <c r="I34" s="40"/>
      <c r="J34" s="40"/>
      <c r="K34" s="40"/>
      <c r="L34" s="40"/>
      <c r="M34" s="68"/>
      <c r="N34" s="68"/>
    </row>
    <row r="35" spans="2:14" ht="15.95" customHeight="1" x14ac:dyDescent="0.25">
      <c r="B35" s="37"/>
      <c r="C35" s="39"/>
      <c r="D35" s="84"/>
      <c r="E35" s="76"/>
      <c r="F35" s="76"/>
      <c r="G35" s="76"/>
      <c r="H35" s="76"/>
      <c r="I35" s="76"/>
      <c r="J35" s="76"/>
      <c r="K35" s="76"/>
      <c r="L35" s="76"/>
      <c r="M35" s="77"/>
      <c r="N35" s="77"/>
    </row>
    <row r="36" spans="2:14" ht="15.95" customHeight="1" x14ac:dyDescent="0.2">
      <c r="B36" s="240" t="s">
        <v>46</v>
      </c>
      <c r="C36" s="241"/>
      <c r="D36" s="242">
        <f t="shared" ref="D36:N36" si="0">SUM(D16:D35)</f>
        <v>2.3146E-2</v>
      </c>
      <c r="E36" s="242">
        <f t="shared" si="0"/>
        <v>0.35872000000000004</v>
      </c>
      <c r="F36" s="242">
        <f t="shared" si="0"/>
        <v>0.69429399999999997</v>
      </c>
      <c r="G36" s="242">
        <f t="shared" si="0"/>
        <v>1.1571534999999999</v>
      </c>
      <c r="H36" s="242">
        <f t="shared" si="0"/>
        <v>1.6200130000000001</v>
      </c>
      <c r="I36" s="242">
        <f t="shared" si="0"/>
        <v>2.082875</v>
      </c>
      <c r="J36" s="242">
        <f t="shared" si="0"/>
        <v>2.5457369999999999</v>
      </c>
      <c r="K36" s="242">
        <f t="shared" si="0"/>
        <v>3.0085980000000001</v>
      </c>
      <c r="L36" s="242">
        <f>SUM(L16:L35)</f>
        <v>3.4714590000000003</v>
      </c>
      <c r="M36" s="242">
        <f t="shared" si="0"/>
        <v>3.9343200000000005</v>
      </c>
      <c r="N36" s="242">
        <f t="shared" si="0"/>
        <v>4.3971809999999998</v>
      </c>
    </row>
    <row r="37" spans="2:14" ht="15.95" customHeight="1" x14ac:dyDescent="0.25">
      <c r="B37" s="37" t="s">
        <v>510</v>
      </c>
      <c r="C37" s="81">
        <v>0.05</v>
      </c>
      <c r="D37" s="369">
        <f>DataIn!D16</f>
        <v>1.73595E-3</v>
      </c>
      <c r="E37" s="369">
        <f>DataIn!E16</f>
        <v>2.6903999999999997E-2</v>
      </c>
      <c r="F37" s="369">
        <f>DataIn!F16</f>
        <v>5.2072049999999995E-2</v>
      </c>
      <c r="G37" s="369">
        <f>DataIn!G16</f>
        <v>8.6786512499999996E-2</v>
      </c>
      <c r="H37" s="369">
        <f>DataIn!H16</f>
        <v>0.121500975</v>
      </c>
      <c r="I37" s="369">
        <f>DataIn!I16</f>
        <v>0.156215625</v>
      </c>
      <c r="J37" s="369">
        <f>DataIn!J16</f>
        <v>0.19093027499999998</v>
      </c>
      <c r="K37" s="369">
        <f>DataIn!K16</f>
        <v>0.22564484999999998</v>
      </c>
      <c r="L37" s="369">
        <f>DataIn!L16</f>
        <v>0.26035942499999998</v>
      </c>
      <c r="M37" s="369">
        <f>DataIn!M16</f>
        <v>0.295074</v>
      </c>
      <c r="N37" s="369">
        <f>DataIn!N16</f>
        <v>0.32978857500000003</v>
      </c>
    </row>
    <row r="38" spans="2:14" ht="15.95" customHeight="1" x14ac:dyDescent="0.25">
      <c r="B38" s="37" t="s">
        <v>511</v>
      </c>
      <c r="C38" s="81"/>
      <c r="D38" s="369">
        <f>DataIn!D17</f>
        <v>-7.0913557500000004E-4</v>
      </c>
      <c r="E38" s="369">
        <f>DataIn!E17</f>
        <v>-2.1626000212500003E-2</v>
      </c>
      <c r="F38" s="369">
        <f>DataIn!F17</f>
        <v>-4.2542864850000008E-2</v>
      </c>
      <c r="G38" s="369">
        <f>DataIn!G17</f>
        <v>-9.5721154856250004E-2</v>
      </c>
      <c r="H38" s="369">
        <f>DataIn!H17</f>
        <v>-0.14889944486250001</v>
      </c>
      <c r="I38" s="369">
        <f>DataIn!I17</f>
        <v>-0.23043975710625</v>
      </c>
      <c r="J38" s="369">
        <f>DataIn!J17</f>
        <v>-0.31198006935</v>
      </c>
      <c r="K38" s="369">
        <f>DataIn!K17</f>
        <v>-0.42188209745624999</v>
      </c>
      <c r="L38" s="369">
        <f>DataIn!L17</f>
        <v>-0.53178412556249999</v>
      </c>
      <c r="M38" s="369">
        <f>DataIn!M17</f>
        <v>-0.67004796144375001</v>
      </c>
      <c r="N38" s="369">
        <f>DataIn!N17</f>
        <v>-0.80831179732500014</v>
      </c>
    </row>
    <row r="39" spans="2:14" s="28" customFormat="1" ht="15.95" customHeight="1" x14ac:dyDescent="0.25">
      <c r="B39" s="37" t="s">
        <v>509</v>
      </c>
      <c r="C39" s="39"/>
      <c r="D39" s="369">
        <f>SUM(D36:D38)</f>
        <v>2.4172814425000001E-2</v>
      </c>
      <c r="E39" s="369">
        <f t="shared" ref="E39:N39" si="1">SUM(E36:E38)</f>
        <v>0.36399799978750003</v>
      </c>
      <c r="F39" s="369">
        <f t="shared" si="1"/>
        <v>0.70382318514999997</v>
      </c>
      <c r="G39" s="369">
        <f t="shared" si="1"/>
        <v>1.14821885764375</v>
      </c>
      <c r="H39" s="369">
        <f t="shared" si="1"/>
        <v>1.5926145301375001</v>
      </c>
      <c r="I39" s="369">
        <f t="shared" si="1"/>
        <v>2.00865086789375</v>
      </c>
      <c r="J39" s="369">
        <f t="shared" si="1"/>
        <v>2.4246872056499997</v>
      </c>
      <c r="K39" s="369">
        <f t="shared" si="1"/>
        <v>2.8123607525437504</v>
      </c>
      <c r="L39" s="369">
        <f t="shared" si="1"/>
        <v>3.2000342994375002</v>
      </c>
      <c r="M39" s="369">
        <f t="shared" si="1"/>
        <v>3.5593460385562503</v>
      </c>
      <c r="N39" s="369">
        <f t="shared" si="1"/>
        <v>3.918657777675</v>
      </c>
    </row>
    <row r="40" spans="2:14" s="28" customFormat="1" ht="15.95" customHeight="1" x14ac:dyDescent="0.25">
      <c r="B40" s="110"/>
      <c r="C40" s="111"/>
      <c r="D40" s="112"/>
      <c r="E40" s="112"/>
      <c r="F40" s="112"/>
      <c r="G40" s="112"/>
      <c r="H40" s="112"/>
      <c r="I40" s="112"/>
      <c r="J40" s="112"/>
      <c r="K40" s="112"/>
      <c r="L40" s="112"/>
      <c r="M40" s="112"/>
      <c r="N40" s="112"/>
    </row>
    <row r="41" spans="2:14" ht="15.95" customHeight="1" x14ac:dyDescent="0.25">
      <c r="B41" s="41" t="s">
        <v>48</v>
      </c>
      <c r="C41" s="42"/>
      <c r="D41" s="49">
        <v>2010</v>
      </c>
      <c r="E41" s="49">
        <v>2015</v>
      </c>
      <c r="F41" s="49">
        <v>2020</v>
      </c>
      <c r="G41" s="49">
        <v>2025</v>
      </c>
      <c r="H41" s="49">
        <v>2030</v>
      </c>
      <c r="I41" s="49">
        <v>2035</v>
      </c>
      <c r="J41" s="49">
        <v>2040</v>
      </c>
      <c r="K41" s="49">
        <v>2045</v>
      </c>
      <c r="L41" s="49">
        <v>2050</v>
      </c>
      <c r="M41" s="49">
        <v>2055</v>
      </c>
      <c r="N41" s="49">
        <v>2060</v>
      </c>
    </row>
    <row r="42" spans="2:14" ht="15.95" customHeight="1" x14ac:dyDescent="0.25">
      <c r="B42" s="43" t="s">
        <v>66</v>
      </c>
      <c r="C42" s="69"/>
      <c r="D42" s="45"/>
      <c r="E42" s="45"/>
      <c r="F42" s="45"/>
      <c r="G42" s="45"/>
      <c r="H42" s="45"/>
      <c r="I42" s="45"/>
      <c r="J42" s="45"/>
      <c r="K42" s="45"/>
      <c r="L42" s="45"/>
      <c r="M42" s="45"/>
      <c r="N42" s="69"/>
    </row>
    <row r="43" spans="2:14" ht="15.95" customHeight="1" x14ac:dyDescent="0.25">
      <c r="B43" s="43">
        <f>DataIn!B42</f>
        <v>0</v>
      </c>
      <c r="C43" s="69"/>
      <c r="D43" s="45"/>
      <c r="E43" s="45"/>
      <c r="F43" s="45"/>
      <c r="G43" s="45"/>
      <c r="H43" s="45"/>
      <c r="I43" s="45"/>
      <c r="J43" s="45"/>
      <c r="K43" s="45"/>
      <c r="L43" s="45"/>
      <c r="M43" s="45"/>
      <c r="N43" s="69"/>
    </row>
    <row r="44" spans="2:14" ht="15.95" customHeight="1" x14ac:dyDescent="0.25">
      <c r="B44" s="43"/>
      <c r="C44" s="69"/>
      <c r="D44" s="45"/>
      <c r="E44" s="45"/>
      <c r="F44" s="45"/>
      <c r="G44" s="45"/>
      <c r="H44" s="45"/>
      <c r="I44" s="45"/>
      <c r="J44" s="45"/>
      <c r="K44" s="45"/>
      <c r="L44" s="45"/>
      <c r="M44" s="45"/>
      <c r="N44" s="69"/>
    </row>
    <row r="45" spans="2:14" ht="15.95" customHeight="1" x14ac:dyDescent="0.25">
      <c r="B45" s="43"/>
      <c r="C45" s="69"/>
      <c r="D45" s="45"/>
      <c r="E45" s="45"/>
      <c r="F45" s="45"/>
      <c r="G45" s="45"/>
      <c r="H45" s="45"/>
      <c r="I45" s="45"/>
      <c r="J45" s="45"/>
      <c r="K45" s="45"/>
      <c r="L45" s="45"/>
      <c r="M45" s="45"/>
      <c r="N45" s="69"/>
    </row>
    <row r="46" spans="2:14" ht="15.95" customHeight="1" x14ac:dyDescent="0.25">
      <c r="B46" s="43"/>
      <c r="C46" s="69"/>
      <c r="D46" s="45"/>
      <c r="E46" s="45"/>
      <c r="F46" s="45"/>
      <c r="G46" s="45"/>
      <c r="H46" s="45"/>
      <c r="I46" s="45"/>
      <c r="J46" s="45"/>
      <c r="K46" s="45"/>
      <c r="L46" s="45"/>
      <c r="M46" s="45"/>
      <c r="N46" s="69"/>
    </row>
    <row r="47" spans="2:14" ht="15.95" customHeight="1" x14ac:dyDescent="0.25">
      <c r="B47" s="43" t="s">
        <v>50</v>
      </c>
      <c r="C47" s="69"/>
      <c r="D47" s="45"/>
      <c r="E47" s="45"/>
      <c r="F47" s="45"/>
      <c r="G47" s="45"/>
      <c r="H47" s="45"/>
      <c r="I47" s="45"/>
      <c r="J47" s="45"/>
      <c r="K47" s="45"/>
      <c r="L47" s="45"/>
      <c r="M47" s="45"/>
      <c r="N47" s="69"/>
    </row>
    <row r="48" spans="2:14" ht="15.95" customHeight="1" x14ac:dyDescent="0.25">
      <c r="B48" s="43"/>
      <c r="C48" s="69"/>
      <c r="D48" s="45"/>
      <c r="E48" s="45"/>
      <c r="F48" s="45"/>
      <c r="G48" s="45"/>
      <c r="H48" s="45"/>
      <c r="I48" s="45"/>
      <c r="J48" s="45"/>
      <c r="K48" s="45"/>
      <c r="L48" s="45"/>
      <c r="M48" s="45"/>
      <c r="N48" s="69"/>
    </row>
    <row r="49" spans="2:14" ht="15.95" customHeight="1" x14ac:dyDescent="0.25">
      <c r="B49" s="43"/>
      <c r="C49" s="69"/>
      <c r="D49" s="45"/>
      <c r="E49" s="45"/>
      <c r="F49" s="45"/>
      <c r="G49" s="45"/>
      <c r="H49" s="45"/>
      <c r="I49" s="45"/>
      <c r="J49" s="45"/>
      <c r="K49" s="45"/>
      <c r="L49" s="45"/>
      <c r="M49" s="45"/>
      <c r="N49" s="69"/>
    </row>
    <row r="50" spans="2:14" ht="15.95" customHeight="1" x14ac:dyDescent="0.25">
      <c r="B50" s="43"/>
      <c r="C50" s="69"/>
      <c r="D50" s="45"/>
      <c r="E50" s="45"/>
      <c r="F50" s="45"/>
      <c r="G50" s="45"/>
      <c r="H50" s="45"/>
      <c r="I50" s="45"/>
      <c r="J50" s="45"/>
      <c r="K50" s="45"/>
      <c r="L50" s="45"/>
      <c r="M50" s="45"/>
      <c r="N50" s="69"/>
    </row>
    <row r="51" spans="2:14" ht="15.95" customHeight="1" x14ac:dyDescent="0.25">
      <c r="B51" s="43"/>
      <c r="C51" s="69"/>
      <c r="D51" s="45"/>
      <c r="E51" s="45"/>
      <c r="F51" s="45"/>
      <c r="G51" s="45"/>
      <c r="H51" s="45"/>
      <c r="I51" s="45"/>
      <c r="J51" s="45"/>
      <c r="K51" s="45"/>
      <c r="L51" s="45"/>
      <c r="M51" s="45"/>
      <c r="N51" s="69"/>
    </row>
    <row r="52" spans="2:14" ht="15.95" customHeight="1" x14ac:dyDescent="0.25">
      <c r="B52" s="43" t="s">
        <v>47</v>
      </c>
      <c r="C52" s="44"/>
      <c r="D52" s="78">
        <f>SUM(D42:D51)</f>
        <v>0</v>
      </c>
      <c r="E52" s="78">
        <f t="shared" ref="E52:N52" si="2">SUM(E42:E51)</f>
        <v>0</v>
      </c>
      <c r="F52" s="78">
        <f t="shared" si="2"/>
        <v>0</v>
      </c>
      <c r="G52" s="78">
        <f t="shared" si="2"/>
        <v>0</v>
      </c>
      <c r="H52" s="78">
        <f t="shared" si="2"/>
        <v>0</v>
      </c>
      <c r="I52" s="78">
        <f t="shared" si="2"/>
        <v>0</v>
      </c>
      <c r="J52" s="78">
        <f t="shared" si="2"/>
        <v>0</v>
      </c>
      <c r="K52" s="78">
        <f t="shared" si="2"/>
        <v>0</v>
      </c>
      <c r="L52" s="78">
        <f>SUM(L42:L51)</f>
        <v>0</v>
      </c>
      <c r="M52" s="78">
        <f t="shared" si="2"/>
        <v>0</v>
      </c>
      <c r="N52" s="78">
        <f t="shared" si="2"/>
        <v>0</v>
      </c>
    </row>
    <row r="53" spans="2:14" s="28" customFormat="1" ht="15.95" customHeight="1" x14ac:dyDescent="0.25">
      <c r="B53" s="43" t="s">
        <v>49</v>
      </c>
      <c r="C53" s="46"/>
      <c r="D53" s="82">
        <f>D39+D52</f>
        <v>2.4172814425000001E-2</v>
      </c>
      <c r="E53" s="82">
        <f t="shared" ref="E53:N53" si="3">E39+E52</f>
        <v>0.36399799978750003</v>
      </c>
      <c r="F53" s="82">
        <f t="shared" si="3"/>
        <v>0.70382318514999997</v>
      </c>
      <c r="G53" s="82">
        <f t="shared" si="3"/>
        <v>1.14821885764375</v>
      </c>
      <c r="H53" s="82">
        <f t="shared" si="3"/>
        <v>1.5926145301375001</v>
      </c>
      <c r="I53" s="82">
        <f t="shared" si="3"/>
        <v>2.00865086789375</v>
      </c>
      <c r="J53" s="82">
        <f t="shared" si="3"/>
        <v>2.4246872056499997</v>
      </c>
      <c r="K53" s="82">
        <f t="shared" si="3"/>
        <v>2.8123607525437504</v>
      </c>
      <c r="L53" s="82">
        <f>L39+L52</f>
        <v>3.2000342994375002</v>
      </c>
      <c r="M53" s="82">
        <f t="shared" si="3"/>
        <v>3.5593460385562503</v>
      </c>
      <c r="N53" s="82">
        <f t="shared" si="3"/>
        <v>3.918657777675</v>
      </c>
    </row>
    <row r="54" spans="2:14" ht="15.95" customHeight="1" x14ac:dyDescent="0.25">
      <c r="B54" s="47"/>
      <c r="C54" s="48"/>
      <c r="D54" s="54">
        <v>2010</v>
      </c>
      <c r="E54" s="55">
        <v>2015</v>
      </c>
      <c r="F54" s="55">
        <v>2020</v>
      </c>
      <c r="G54" s="55">
        <v>2025</v>
      </c>
      <c r="H54" s="55">
        <v>2030</v>
      </c>
      <c r="I54" s="55">
        <v>2035</v>
      </c>
      <c r="J54" s="55">
        <v>2040</v>
      </c>
      <c r="K54" s="55">
        <v>2045</v>
      </c>
      <c r="L54" s="55">
        <v>2050</v>
      </c>
      <c r="M54" s="55">
        <v>2055</v>
      </c>
      <c r="N54" s="55">
        <v>2060</v>
      </c>
    </row>
    <row r="56" spans="2:14" ht="15.95" customHeight="1" thickBot="1" x14ac:dyDescent="0.25"/>
    <row r="57" spans="2:14" ht="15.95" customHeight="1" thickBot="1" x14ac:dyDescent="0.3">
      <c r="B57" s="28"/>
      <c r="H57" s="33"/>
      <c r="I57" s="85"/>
    </row>
    <row r="58" spans="2:14" ht="15.95" customHeight="1" x14ac:dyDescent="0.25">
      <c r="B58" s="28"/>
      <c r="I58" s="32"/>
      <c r="J58" s="32"/>
    </row>
    <row r="59" spans="2:14" ht="15.95" customHeight="1" x14ac:dyDescent="0.25">
      <c r="B59" s="28"/>
      <c r="I59" s="32"/>
      <c r="J59" s="32"/>
    </row>
    <row r="60" spans="2:14" ht="15.95" customHeight="1" x14ac:dyDescent="0.25">
      <c r="B60" s="28"/>
      <c r="I60" s="32"/>
      <c r="J60" s="32"/>
    </row>
    <row r="61" spans="2:14" ht="15.95" customHeight="1" x14ac:dyDescent="0.25">
      <c r="B61" s="28"/>
      <c r="I61" s="32"/>
      <c r="J61" s="32"/>
    </row>
    <row r="62" spans="2:14" ht="15.95" customHeight="1" x14ac:dyDescent="0.25">
      <c r="B62" s="28"/>
      <c r="I62" s="32"/>
      <c r="J62" s="32"/>
    </row>
    <row r="63" spans="2:14" ht="15.95" customHeight="1" x14ac:dyDescent="0.25">
      <c r="B63" s="28"/>
      <c r="I63" s="32"/>
      <c r="J63" s="32"/>
    </row>
    <row r="64" spans="2:14" ht="15.95" customHeight="1" x14ac:dyDescent="0.25">
      <c r="B64" s="28"/>
      <c r="I64" s="32"/>
      <c r="J64" s="32"/>
    </row>
    <row r="65" spans="2:14" ht="15.95" customHeight="1" x14ac:dyDescent="0.25">
      <c r="B65" s="28"/>
      <c r="I65" s="32"/>
      <c r="J65" s="32"/>
    </row>
    <row r="66" spans="2:14" ht="15.95" customHeight="1" x14ac:dyDescent="0.25">
      <c r="B66" s="28"/>
      <c r="I66" s="32"/>
      <c r="J66" s="32"/>
    </row>
    <row r="67" spans="2:14" ht="15.95" customHeight="1" x14ac:dyDescent="0.25">
      <c r="B67" s="28"/>
      <c r="I67" s="32"/>
      <c r="J67" s="32"/>
    </row>
    <row r="68" spans="2:14" ht="15.95" customHeight="1" x14ac:dyDescent="0.25">
      <c r="B68" s="28"/>
      <c r="I68" s="32"/>
      <c r="J68" s="32"/>
    </row>
    <row r="69" spans="2:14" ht="15.95" customHeight="1" x14ac:dyDescent="0.25">
      <c r="B69" s="28"/>
      <c r="I69" s="32"/>
      <c r="J69" s="32"/>
    </row>
    <row r="70" spans="2:14" ht="15.95" customHeight="1" x14ac:dyDescent="0.25">
      <c r="B70" s="28"/>
      <c r="I70" s="32"/>
      <c r="J70" s="32"/>
    </row>
    <row r="75" spans="2:14" s="47" customFormat="1" ht="15.95" customHeight="1" x14ac:dyDescent="0.25">
      <c r="B75" s="41" t="s">
        <v>70</v>
      </c>
      <c r="C75" s="42"/>
      <c r="D75" s="42"/>
      <c r="E75" s="42"/>
      <c r="F75" s="42"/>
      <c r="G75" s="42"/>
      <c r="H75" s="53"/>
      <c r="I75" s="86"/>
      <c r="J75" s="86"/>
      <c r="K75" s="86"/>
      <c r="L75" s="86"/>
      <c r="M75" s="86"/>
      <c r="N75" s="86"/>
    </row>
    <row r="76" spans="2:14" s="47" customFormat="1" ht="15.95" customHeight="1" x14ac:dyDescent="0.25">
      <c r="B76" s="466" t="s">
        <v>25</v>
      </c>
      <c r="C76" s="467"/>
      <c r="D76" s="466" t="s">
        <v>26</v>
      </c>
      <c r="E76" s="468"/>
      <c r="F76" s="468"/>
      <c r="G76" s="87" t="s">
        <v>30</v>
      </c>
      <c r="H76" s="87" t="s">
        <v>32</v>
      </c>
      <c r="I76" s="86"/>
      <c r="J76" s="86"/>
      <c r="K76" s="86"/>
      <c r="L76" s="86"/>
      <c r="M76" s="86"/>
      <c r="N76" s="86"/>
    </row>
    <row r="77" spans="2:14" s="47" customFormat="1" ht="15.95" customHeight="1" x14ac:dyDescent="0.25">
      <c r="B77" s="48" t="s">
        <v>27</v>
      </c>
      <c r="C77" s="48" t="s">
        <v>14</v>
      </c>
      <c r="D77" s="48" t="s">
        <v>24</v>
      </c>
      <c r="E77" s="48" t="s">
        <v>28</v>
      </c>
      <c r="F77" s="48" t="s">
        <v>29</v>
      </c>
      <c r="G77" s="88" t="s">
        <v>31</v>
      </c>
      <c r="H77" s="88" t="s">
        <v>33</v>
      </c>
      <c r="I77" s="86"/>
      <c r="J77" s="86"/>
      <c r="K77" s="86"/>
      <c r="L77" s="86"/>
      <c r="M77" s="86"/>
      <c r="N77" s="86"/>
    </row>
    <row r="78" spans="2:14" ht="15.95" customHeight="1" x14ac:dyDescent="0.2">
      <c r="B78" s="29"/>
      <c r="C78" s="30"/>
      <c r="D78" s="30"/>
      <c r="E78" s="30"/>
      <c r="F78" s="30"/>
      <c r="G78" s="30"/>
      <c r="H78" s="30"/>
    </row>
    <row r="79" spans="2:14" ht="15.95" customHeight="1" x14ac:dyDescent="0.2">
      <c r="B79" s="29"/>
      <c r="C79" s="30"/>
      <c r="D79" s="30"/>
      <c r="E79" s="30"/>
      <c r="F79" s="30"/>
      <c r="G79" s="30"/>
      <c r="H79" s="30"/>
    </row>
    <row r="80" spans="2:14" ht="15.95" customHeight="1" x14ac:dyDescent="0.2">
      <c r="B80" s="29"/>
      <c r="C80" s="30"/>
      <c r="D80" s="30"/>
      <c r="E80" s="30"/>
      <c r="F80" s="30"/>
      <c r="G80" s="30"/>
      <c r="H80" s="30"/>
    </row>
    <row r="81" spans="2:14" ht="15.95" customHeight="1" x14ac:dyDescent="0.2">
      <c r="B81" s="29"/>
      <c r="C81" s="30"/>
      <c r="D81" s="30"/>
      <c r="E81" s="30"/>
      <c r="F81" s="30"/>
      <c r="G81" s="30"/>
      <c r="H81" s="30"/>
    </row>
    <row r="82" spans="2:14" ht="15.95" customHeight="1" x14ac:dyDescent="0.2">
      <c r="B82" s="29"/>
      <c r="C82" s="30"/>
      <c r="D82" s="30"/>
      <c r="E82" s="30"/>
      <c r="F82" s="30"/>
      <c r="G82" s="30"/>
      <c r="H82" s="30"/>
    </row>
    <row r="83" spans="2:14" ht="15.95" customHeight="1" x14ac:dyDescent="0.2">
      <c r="B83" s="29"/>
      <c r="C83" s="30"/>
      <c r="D83" s="30"/>
      <c r="E83" s="30"/>
      <c r="F83" s="30"/>
      <c r="G83" s="30"/>
      <c r="H83" s="30"/>
    </row>
    <row r="84" spans="2:14" ht="15.95" customHeight="1" x14ac:dyDescent="0.2">
      <c r="B84" s="29"/>
      <c r="C84" s="30"/>
      <c r="D84" s="30"/>
      <c r="E84" s="30"/>
      <c r="F84" s="30"/>
      <c r="G84" s="30"/>
      <c r="H84" s="30"/>
    </row>
    <row r="85" spans="2:14" ht="15.95" customHeight="1" x14ac:dyDescent="0.2">
      <c r="B85" s="105"/>
      <c r="C85" s="71"/>
      <c r="D85" s="71"/>
      <c r="E85" s="71"/>
      <c r="F85" s="71"/>
      <c r="G85" s="71"/>
      <c r="H85" s="71"/>
    </row>
    <row r="87" spans="2:14" s="47" customFormat="1" ht="15.95" customHeight="1" x14ac:dyDescent="0.25">
      <c r="B87" s="95" t="s">
        <v>71</v>
      </c>
      <c r="C87" s="96"/>
      <c r="D87" s="96"/>
      <c r="E87" s="96"/>
      <c r="F87" s="96"/>
      <c r="G87" s="96"/>
      <c r="H87" s="96"/>
      <c r="I87" s="97"/>
      <c r="J87" s="86"/>
      <c r="K87" s="86"/>
      <c r="L87" s="86"/>
      <c r="M87" s="86"/>
      <c r="N87" s="86"/>
    </row>
    <row r="88" spans="2:14" s="47" customFormat="1" ht="15.95" customHeight="1" x14ac:dyDescent="0.25">
      <c r="B88" s="98" t="s">
        <v>13</v>
      </c>
      <c r="C88" s="99" t="s">
        <v>14</v>
      </c>
      <c r="D88" s="100" t="s">
        <v>15</v>
      </c>
      <c r="E88" s="99" t="s">
        <v>16</v>
      </c>
      <c r="F88" s="100" t="s">
        <v>17</v>
      </c>
      <c r="G88" s="99" t="s">
        <v>80</v>
      </c>
      <c r="H88" s="100" t="s">
        <v>20</v>
      </c>
      <c r="I88" s="99" t="s">
        <v>22</v>
      </c>
      <c r="J88" s="86"/>
      <c r="K88" s="86"/>
      <c r="L88" s="86"/>
      <c r="M88" s="86"/>
      <c r="N88" s="86"/>
    </row>
    <row r="89" spans="2:14" s="47" customFormat="1" ht="15.95" customHeight="1" x14ac:dyDescent="0.25">
      <c r="B89" s="101"/>
      <c r="C89" s="102"/>
      <c r="D89" s="100"/>
      <c r="E89" s="102"/>
      <c r="F89" s="100" t="s">
        <v>18</v>
      </c>
      <c r="G89" s="102" t="s">
        <v>19</v>
      </c>
      <c r="H89" s="100" t="s">
        <v>21</v>
      </c>
      <c r="I89" s="102" t="s">
        <v>23</v>
      </c>
      <c r="J89" s="86"/>
      <c r="K89" s="86"/>
      <c r="L89" s="86"/>
      <c r="M89" s="86"/>
      <c r="N89" s="86"/>
    </row>
    <row r="90" spans="2:14" ht="15.95" customHeight="1" x14ac:dyDescent="0.25">
      <c r="B90" s="103"/>
      <c r="C90" s="104"/>
      <c r="D90" s="104"/>
      <c r="E90" s="104"/>
      <c r="F90" s="104"/>
      <c r="G90" s="326"/>
      <c r="H90" s="104"/>
      <c r="I90" s="326"/>
    </row>
    <row r="91" spans="2:14" ht="15.95" customHeight="1" x14ac:dyDescent="0.25">
      <c r="B91" s="103"/>
      <c r="C91" s="104"/>
      <c r="D91" s="104"/>
      <c r="E91" s="104"/>
      <c r="F91" s="104"/>
      <c r="G91" s="326"/>
      <c r="H91" s="104"/>
      <c r="I91" s="326"/>
    </row>
    <row r="92" spans="2:14" ht="15.95" customHeight="1" x14ac:dyDescent="0.25">
      <c r="B92" s="103"/>
      <c r="C92" s="104"/>
      <c r="D92" s="104"/>
      <c r="E92" s="104"/>
      <c r="F92" s="104"/>
      <c r="G92" s="326"/>
      <c r="H92" s="104"/>
      <c r="I92" s="326"/>
    </row>
    <row r="93" spans="2:14" ht="15.95" customHeight="1" x14ac:dyDescent="0.25">
      <c r="B93" s="103"/>
      <c r="C93" s="104"/>
      <c r="D93" s="104"/>
      <c r="E93" s="104"/>
      <c r="F93" s="104"/>
      <c r="G93" s="326"/>
      <c r="H93" s="104"/>
      <c r="I93" s="326"/>
    </row>
    <row r="94" spans="2:14" ht="15.95" customHeight="1" x14ac:dyDescent="0.25">
      <c r="B94" s="103"/>
      <c r="C94" s="104"/>
      <c r="D94" s="104"/>
      <c r="E94" s="104"/>
      <c r="F94" s="104"/>
      <c r="G94" s="326"/>
      <c r="H94" s="104"/>
      <c r="I94" s="326"/>
    </row>
    <row r="95" spans="2:14" ht="15.95" customHeight="1" x14ac:dyDescent="0.25">
      <c r="B95" s="103"/>
      <c r="C95" s="104"/>
      <c r="D95" s="104"/>
      <c r="E95" s="104"/>
      <c r="F95" s="104"/>
      <c r="G95" s="326"/>
      <c r="H95" s="104"/>
      <c r="I95" s="326"/>
    </row>
    <row r="96" spans="2:14" ht="15.95" customHeight="1" x14ac:dyDescent="0.25">
      <c r="B96" s="103"/>
      <c r="C96" s="104"/>
      <c r="D96" s="104"/>
      <c r="E96" s="104"/>
      <c r="F96" s="104"/>
      <c r="G96" s="326"/>
      <c r="H96" s="104"/>
      <c r="I96" s="326"/>
    </row>
    <row r="98" spans="2:14" ht="15.95" customHeight="1" x14ac:dyDescent="0.2">
      <c r="N98" s="71"/>
    </row>
    <row r="99" spans="2:14" s="28" customFormat="1" ht="27" customHeight="1" x14ac:dyDescent="0.25">
      <c r="B99" s="113" t="s">
        <v>73</v>
      </c>
      <c r="C99" s="53"/>
      <c r="D99" s="42"/>
      <c r="E99" s="42"/>
      <c r="F99" s="42"/>
      <c r="G99" s="42"/>
      <c r="H99" s="42"/>
      <c r="I99" s="42"/>
      <c r="J99" s="42"/>
      <c r="K99" s="42"/>
      <c r="L99" s="42"/>
      <c r="M99" s="53"/>
      <c r="N99" s="72"/>
    </row>
    <row r="100" spans="2:14" s="28" customFormat="1" ht="15.95" customHeight="1" x14ac:dyDescent="0.25">
      <c r="B100" s="50" t="s">
        <v>5</v>
      </c>
      <c r="C100" s="49">
        <v>2010</v>
      </c>
      <c r="D100" s="55">
        <v>2015</v>
      </c>
      <c r="E100" s="55">
        <v>2020</v>
      </c>
      <c r="F100" s="55">
        <v>2025</v>
      </c>
      <c r="G100" s="55">
        <v>2030</v>
      </c>
      <c r="H100" s="55">
        <v>2035</v>
      </c>
      <c r="I100" s="55">
        <v>2040</v>
      </c>
      <c r="J100" s="55">
        <v>2045</v>
      </c>
      <c r="K100" s="55">
        <v>2050</v>
      </c>
      <c r="L100" s="62">
        <v>2055</v>
      </c>
      <c r="M100" s="49">
        <v>2060</v>
      </c>
      <c r="N100" s="72"/>
    </row>
    <row r="101" spans="2:14" s="28" customFormat="1" ht="15.95" customHeight="1" x14ac:dyDescent="0.25">
      <c r="B101" s="56" t="s">
        <v>74</v>
      </c>
      <c r="C101" s="366">
        <f>ReportTables!$G$53</f>
        <v>0.25</v>
      </c>
      <c r="D101" s="366">
        <f>ReportTables!$G$53</f>
        <v>0.25</v>
      </c>
      <c r="E101" s="366">
        <f>ReportTables!$G$53</f>
        <v>0.25</v>
      </c>
      <c r="F101" s="366">
        <f>ReportTables!$G$53</f>
        <v>0.25</v>
      </c>
      <c r="G101" s="366">
        <f>ReportTables!$G$53</f>
        <v>0.25</v>
      </c>
      <c r="H101" s="366">
        <f>ReportTables!$G$53</f>
        <v>0.25</v>
      </c>
      <c r="I101" s="366">
        <f>ReportTables!$G$53</f>
        <v>0.25</v>
      </c>
      <c r="J101" s="366">
        <f>ReportTables!$G$53</f>
        <v>0.25</v>
      </c>
      <c r="K101" s="366">
        <f>ReportTables!$G$53</f>
        <v>0.25</v>
      </c>
      <c r="L101" s="366">
        <f>ReportTables!$G$53</f>
        <v>0.25</v>
      </c>
      <c r="M101" s="366">
        <f>ReportTables!$G$53</f>
        <v>0.25</v>
      </c>
      <c r="N101" s="73"/>
    </row>
    <row r="102" spans="2:14" s="28" customFormat="1" ht="15.95" customHeight="1" x14ac:dyDescent="0.25">
      <c r="B102" s="56" t="s">
        <v>75</v>
      </c>
      <c r="C102" s="366"/>
      <c r="D102" s="366"/>
      <c r="E102" s="366"/>
      <c r="F102" s="366"/>
      <c r="G102" s="366"/>
      <c r="H102" s="366"/>
      <c r="I102" s="366"/>
      <c r="J102" s="366"/>
      <c r="K102" s="366"/>
      <c r="L102" s="367"/>
      <c r="M102" s="366"/>
      <c r="N102" s="73"/>
    </row>
    <row r="103" spans="2:14" s="28" customFormat="1" ht="15.95" customHeight="1" x14ac:dyDescent="0.25">
      <c r="B103" s="56" t="s">
        <v>76</v>
      </c>
      <c r="C103" s="366">
        <f>ReportTables!$I$43</f>
        <v>0</v>
      </c>
      <c r="D103" s="366">
        <f>ReportTables!$I$43</f>
        <v>0</v>
      </c>
      <c r="E103" s="366">
        <f>ReportTables!$I$43</f>
        <v>0</v>
      </c>
      <c r="F103" s="366">
        <f>ReportTables!$I$43</f>
        <v>0</v>
      </c>
      <c r="G103" s="366">
        <f>ReportTables!$I$43</f>
        <v>0</v>
      </c>
      <c r="H103" s="366">
        <f>ReportTables!$I$43</f>
        <v>0</v>
      </c>
      <c r="I103" s="366">
        <f>ReportTables!$I$43</f>
        <v>0</v>
      </c>
      <c r="J103" s="366">
        <f>ReportTables!$I$43</f>
        <v>0</v>
      </c>
      <c r="K103" s="366">
        <f>ReportTables!$I$43</f>
        <v>0</v>
      </c>
      <c r="L103" s="366">
        <f>ReportTables!$I$43</f>
        <v>0</v>
      </c>
      <c r="M103" s="366">
        <f>ReportTables!$I$43</f>
        <v>0</v>
      </c>
      <c r="N103" s="73"/>
    </row>
    <row r="104" spans="2:14" s="28" customFormat="1" ht="15.95" customHeight="1" x14ac:dyDescent="0.25">
      <c r="B104" s="56" t="s">
        <v>77</v>
      </c>
      <c r="C104" s="366">
        <f>SUMIF($I$90:$I$96,"&lt;="&amp;C100,$G$90:$G$96)</f>
        <v>0</v>
      </c>
      <c r="D104" s="366">
        <f t="shared" ref="D104:M104" si="4">SUMIF($I$90:$I$96,"&lt;="&amp;D100,$G$90:$G$96)</f>
        <v>0</v>
      </c>
      <c r="E104" s="366">
        <f t="shared" si="4"/>
        <v>0</v>
      </c>
      <c r="F104" s="366">
        <f t="shared" si="4"/>
        <v>0</v>
      </c>
      <c r="G104" s="366">
        <f t="shared" si="4"/>
        <v>0</v>
      </c>
      <c r="H104" s="366">
        <f t="shared" si="4"/>
        <v>0</v>
      </c>
      <c r="I104" s="366">
        <f t="shared" si="4"/>
        <v>0</v>
      </c>
      <c r="J104" s="366">
        <f t="shared" si="4"/>
        <v>0</v>
      </c>
      <c r="K104" s="366">
        <f t="shared" si="4"/>
        <v>0</v>
      </c>
      <c r="L104" s="366">
        <f t="shared" si="4"/>
        <v>0</v>
      </c>
      <c r="M104" s="366">
        <f t="shared" si="4"/>
        <v>0</v>
      </c>
      <c r="N104" s="73"/>
    </row>
    <row r="105" spans="2:14" s="28" customFormat="1" ht="15.95" customHeight="1" x14ac:dyDescent="0.25">
      <c r="B105" s="51" t="s">
        <v>4</v>
      </c>
      <c r="C105" s="368">
        <f>SUM(C101:C104)</f>
        <v>0.25</v>
      </c>
      <c r="D105" s="368">
        <f>SUM(D101:D104)</f>
        <v>0.25</v>
      </c>
      <c r="E105" s="368">
        <f t="shared" ref="E105:M105" si="5">SUM(E101:E104)</f>
        <v>0.25</v>
      </c>
      <c r="F105" s="368">
        <f t="shared" si="5"/>
        <v>0.25</v>
      </c>
      <c r="G105" s="368">
        <f t="shared" si="5"/>
        <v>0.25</v>
      </c>
      <c r="H105" s="368">
        <f t="shared" si="5"/>
        <v>0.25</v>
      </c>
      <c r="I105" s="368">
        <f t="shared" si="5"/>
        <v>0.25</v>
      </c>
      <c r="J105" s="368">
        <f t="shared" si="5"/>
        <v>0.25</v>
      </c>
      <c r="K105" s="368">
        <f t="shared" si="5"/>
        <v>0.25</v>
      </c>
      <c r="L105" s="368">
        <f t="shared" si="5"/>
        <v>0.25</v>
      </c>
      <c r="M105" s="368">
        <f t="shared" si="5"/>
        <v>0.25</v>
      </c>
      <c r="N105" s="73"/>
    </row>
    <row r="106" spans="2:14" s="28" customFormat="1" ht="15.95" customHeight="1" x14ac:dyDescent="0.25">
      <c r="B106" s="56" t="s">
        <v>6</v>
      </c>
      <c r="C106" s="366">
        <f>D39</f>
        <v>2.4172814425000001E-2</v>
      </c>
      <c r="D106" s="366">
        <f t="shared" ref="D106:M106" si="6">E39</f>
        <v>0.36399799978750003</v>
      </c>
      <c r="E106" s="366">
        <f t="shared" si="6"/>
        <v>0.70382318514999997</v>
      </c>
      <c r="F106" s="366">
        <f t="shared" si="6"/>
        <v>1.14821885764375</v>
      </c>
      <c r="G106" s="366">
        <f t="shared" si="6"/>
        <v>1.5926145301375001</v>
      </c>
      <c r="H106" s="366">
        <f t="shared" si="6"/>
        <v>2.00865086789375</v>
      </c>
      <c r="I106" s="366">
        <f t="shared" si="6"/>
        <v>2.4246872056499997</v>
      </c>
      <c r="J106" s="366">
        <f t="shared" si="6"/>
        <v>2.8123607525437504</v>
      </c>
      <c r="K106" s="366">
        <f t="shared" si="6"/>
        <v>3.2000342994375002</v>
      </c>
      <c r="L106" s="366">
        <f t="shared" si="6"/>
        <v>3.5593460385562503</v>
      </c>
      <c r="M106" s="366">
        <f t="shared" si="6"/>
        <v>3.918657777675</v>
      </c>
      <c r="N106" s="73"/>
    </row>
    <row r="107" spans="2:14" s="28" customFormat="1" ht="15.95" customHeight="1" x14ac:dyDescent="0.25">
      <c r="B107" s="56" t="s">
        <v>78</v>
      </c>
      <c r="C107" s="366">
        <f>SUM(D43:D46)</f>
        <v>0</v>
      </c>
      <c r="D107" s="366">
        <f t="shared" ref="D107:M107" si="7">SUM(E43:E46)</f>
        <v>0</v>
      </c>
      <c r="E107" s="366">
        <f t="shared" si="7"/>
        <v>0</v>
      </c>
      <c r="F107" s="366">
        <f t="shared" si="7"/>
        <v>0</v>
      </c>
      <c r="G107" s="366">
        <f t="shared" si="7"/>
        <v>0</v>
      </c>
      <c r="H107" s="366">
        <f t="shared" si="7"/>
        <v>0</v>
      </c>
      <c r="I107" s="366">
        <f t="shared" si="7"/>
        <v>0</v>
      </c>
      <c r="J107" s="366">
        <f t="shared" si="7"/>
        <v>0</v>
      </c>
      <c r="K107" s="366">
        <f t="shared" si="7"/>
        <v>0</v>
      </c>
      <c r="L107" s="366">
        <f t="shared" si="7"/>
        <v>0</v>
      </c>
      <c r="M107" s="366">
        <f t="shared" si="7"/>
        <v>0</v>
      </c>
      <c r="N107" s="73"/>
    </row>
    <row r="108" spans="2:14" s="28" customFormat="1" ht="15.95" customHeight="1" x14ac:dyDescent="0.25">
      <c r="B108" s="56" t="s">
        <v>79</v>
      </c>
      <c r="C108" s="366">
        <f>SUM(D48:D51)</f>
        <v>0</v>
      </c>
      <c r="D108" s="366">
        <f t="shared" ref="D108:M108" si="8">SUM(E48:E51)</f>
        <v>0</v>
      </c>
      <c r="E108" s="366">
        <f t="shared" si="8"/>
        <v>0</v>
      </c>
      <c r="F108" s="366">
        <f t="shared" si="8"/>
        <v>0</v>
      </c>
      <c r="G108" s="366">
        <f t="shared" si="8"/>
        <v>0</v>
      </c>
      <c r="H108" s="366">
        <f t="shared" si="8"/>
        <v>0</v>
      </c>
      <c r="I108" s="366">
        <f t="shared" si="8"/>
        <v>0</v>
      </c>
      <c r="J108" s="366">
        <f t="shared" si="8"/>
        <v>0</v>
      </c>
      <c r="K108" s="366">
        <f t="shared" si="8"/>
        <v>0</v>
      </c>
      <c r="L108" s="366">
        <f t="shared" si="8"/>
        <v>0</v>
      </c>
      <c r="M108" s="366">
        <f t="shared" si="8"/>
        <v>0</v>
      </c>
      <c r="N108" s="73"/>
    </row>
    <row r="109" spans="2:14" s="28" customFormat="1" ht="15.95" customHeight="1" x14ac:dyDescent="0.25">
      <c r="B109" s="51" t="s">
        <v>7</v>
      </c>
      <c r="C109" s="368">
        <f>SUM(C106:C108)</f>
        <v>2.4172814425000001E-2</v>
      </c>
      <c r="D109" s="368">
        <f>SUM(D106:D108)</f>
        <v>0.36399799978750003</v>
      </c>
      <c r="E109" s="368">
        <f t="shared" ref="E109:M109" si="9">SUM(E106:E108)</f>
        <v>0.70382318514999997</v>
      </c>
      <c r="F109" s="368">
        <f t="shared" si="9"/>
        <v>1.14821885764375</v>
      </c>
      <c r="G109" s="368">
        <f t="shared" si="9"/>
        <v>1.5926145301375001</v>
      </c>
      <c r="H109" s="368">
        <f t="shared" si="9"/>
        <v>2.00865086789375</v>
      </c>
      <c r="I109" s="368">
        <f t="shared" si="9"/>
        <v>2.4246872056499997</v>
      </c>
      <c r="J109" s="368">
        <f t="shared" si="9"/>
        <v>2.8123607525437504</v>
      </c>
      <c r="K109" s="368">
        <f t="shared" si="9"/>
        <v>3.2000342994375002</v>
      </c>
      <c r="L109" s="368">
        <f>SUM(L106:L108)</f>
        <v>3.5593460385562503</v>
      </c>
      <c r="M109" s="368">
        <f t="shared" si="9"/>
        <v>3.918657777675</v>
      </c>
      <c r="N109" s="73"/>
    </row>
    <row r="110" spans="2:14" s="28" customFormat="1" ht="18" x14ac:dyDescent="0.25">
      <c r="B110" s="56" t="s">
        <v>8</v>
      </c>
      <c r="C110" s="239">
        <f>(C109/C105)</f>
        <v>9.6691257700000005E-2</v>
      </c>
      <c r="D110" s="239">
        <f>(D109/D105)</f>
        <v>1.4559919991500001</v>
      </c>
      <c r="E110" s="239">
        <f t="shared" ref="E110:M110" si="10">(E109/E105)</f>
        <v>2.8152927405999999</v>
      </c>
      <c r="F110" s="239">
        <f t="shared" si="10"/>
        <v>4.5928754305749999</v>
      </c>
      <c r="G110" s="239">
        <f t="shared" si="10"/>
        <v>6.3704581205500004</v>
      </c>
      <c r="H110" s="239">
        <f t="shared" si="10"/>
        <v>8.0346034715750001</v>
      </c>
      <c r="I110" s="239">
        <f t="shared" si="10"/>
        <v>9.6987488225999989</v>
      </c>
      <c r="J110" s="239">
        <f t="shared" si="10"/>
        <v>11.249443010175002</v>
      </c>
      <c r="K110" s="239">
        <f t="shared" si="10"/>
        <v>12.800137197750001</v>
      </c>
      <c r="L110" s="239">
        <f>(L109/L105)</f>
        <v>14.237384154225001</v>
      </c>
      <c r="M110" s="239">
        <f t="shared" si="10"/>
        <v>15.6746311107</v>
      </c>
      <c r="N110" s="74"/>
    </row>
    <row r="111" spans="2:14" s="28" customFormat="1" ht="7.5" customHeight="1" x14ac:dyDescent="0.25">
      <c r="B111" s="56"/>
      <c r="C111" s="57"/>
      <c r="D111" s="57"/>
      <c r="E111" s="57"/>
      <c r="F111" s="57"/>
      <c r="G111" s="57"/>
      <c r="H111" s="57"/>
      <c r="I111" s="57"/>
      <c r="J111" s="57"/>
      <c r="K111" s="57"/>
      <c r="L111" s="57"/>
      <c r="M111" s="45"/>
      <c r="N111" s="72"/>
    </row>
    <row r="112" spans="2:14" s="28" customFormat="1" ht="15.95" customHeight="1" x14ac:dyDescent="0.25">
      <c r="B112" s="52" t="s">
        <v>9</v>
      </c>
      <c r="C112" s="58"/>
      <c r="D112" s="59"/>
      <c r="E112" s="59"/>
      <c r="F112" s="59"/>
      <c r="G112" s="59"/>
      <c r="H112" s="59"/>
      <c r="I112" s="59"/>
      <c r="J112" s="59"/>
      <c r="K112" s="59"/>
      <c r="L112" s="59"/>
      <c r="M112" s="75"/>
      <c r="N112" s="72"/>
    </row>
    <row r="113" spans="2:14" s="28" customFormat="1" ht="15.95" customHeight="1" x14ac:dyDescent="0.25">
      <c r="B113" s="60" t="s">
        <v>10</v>
      </c>
      <c r="C113" s="365">
        <f>C107</f>
        <v>0</v>
      </c>
      <c r="D113" s="365">
        <f t="shared" ref="D113:M113" si="11">D107</f>
        <v>0</v>
      </c>
      <c r="E113" s="365">
        <f t="shared" si="11"/>
        <v>0</v>
      </c>
      <c r="F113" s="365">
        <f t="shared" si="11"/>
        <v>0</v>
      </c>
      <c r="G113" s="365">
        <f t="shared" si="11"/>
        <v>0</v>
      </c>
      <c r="H113" s="365">
        <f t="shared" si="11"/>
        <v>0</v>
      </c>
      <c r="I113" s="365">
        <f t="shared" si="11"/>
        <v>0</v>
      </c>
      <c r="J113" s="365">
        <f t="shared" si="11"/>
        <v>0</v>
      </c>
      <c r="K113" s="365">
        <f t="shared" si="11"/>
        <v>0</v>
      </c>
      <c r="L113" s="365">
        <f t="shared" si="11"/>
        <v>0</v>
      </c>
      <c r="M113" s="365">
        <f t="shared" si="11"/>
        <v>0</v>
      </c>
      <c r="N113" s="72"/>
    </row>
    <row r="114" spans="2:14" s="28" customFormat="1" ht="15.95" customHeight="1" x14ac:dyDescent="0.25">
      <c r="B114" s="61" t="s">
        <v>11</v>
      </c>
      <c r="C114" s="365">
        <f>C107</f>
        <v>0</v>
      </c>
      <c r="D114" s="365">
        <f t="shared" ref="D114:M114" si="12">D107</f>
        <v>0</v>
      </c>
      <c r="E114" s="365">
        <f t="shared" si="12"/>
        <v>0</v>
      </c>
      <c r="F114" s="365">
        <f t="shared" si="12"/>
        <v>0</v>
      </c>
      <c r="G114" s="365">
        <f t="shared" si="12"/>
        <v>0</v>
      </c>
      <c r="H114" s="365">
        <f t="shared" si="12"/>
        <v>0</v>
      </c>
      <c r="I114" s="365">
        <f t="shared" si="12"/>
        <v>0</v>
      </c>
      <c r="J114" s="365">
        <f t="shared" si="12"/>
        <v>0</v>
      </c>
      <c r="K114" s="365">
        <f t="shared" si="12"/>
        <v>0</v>
      </c>
      <c r="L114" s="365">
        <f t="shared" si="12"/>
        <v>0</v>
      </c>
      <c r="M114" s="365">
        <f t="shared" si="12"/>
        <v>0</v>
      </c>
      <c r="N114" s="72"/>
    </row>
    <row r="115" spans="2:14" s="28" customFormat="1" ht="15.95" customHeight="1" x14ac:dyDescent="0.25">
      <c r="B115" s="61" t="s">
        <v>12</v>
      </c>
      <c r="C115" s="365">
        <f>(C106+C113+C114)</f>
        <v>2.4172814425000001E-2</v>
      </c>
      <c r="D115" s="365">
        <f>(D106+D113+D114)</f>
        <v>0.36399799978750003</v>
      </c>
      <c r="E115" s="365">
        <f t="shared" ref="E115:M115" si="13">(E106+E113+E114)</f>
        <v>0.70382318514999997</v>
      </c>
      <c r="F115" s="365">
        <f t="shared" si="13"/>
        <v>1.14821885764375</v>
      </c>
      <c r="G115" s="365">
        <f t="shared" si="13"/>
        <v>1.5926145301375001</v>
      </c>
      <c r="H115" s="365">
        <f t="shared" si="13"/>
        <v>2.00865086789375</v>
      </c>
      <c r="I115" s="365">
        <f t="shared" si="13"/>
        <v>2.4246872056499997</v>
      </c>
      <c r="J115" s="365">
        <f t="shared" si="13"/>
        <v>2.8123607525437504</v>
      </c>
      <c r="K115" s="365">
        <f t="shared" si="13"/>
        <v>3.2000342994375002</v>
      </c>
      <c r="L115" s="365">
        <f>(L106+L113+L114)</f>
        <v>3.5593460385562503</v>
      </c>
      <c r="M115" s="365">
        <f t="shared" si="13"/>
        <v>3.918657777675</v>
      </c>
      <c r="N115" s="72"/>
    </row>
    <row r="116" spans="2:14" s="28" customFormat="1" ht="15.95" customHeight="1" x14ac:dyDescent="0.25">
      <c r="B116" s="114" t="s">
        <v>89</v>
      </c>
      <c r="C116" s="80">
        <f>(C115-C105)</f>
        <v>-0.22582718557500001</v>
      </c>
      <c r="D116" s="80">
        <f t="shared" ref="D116:M116" si="14">(D115-D105)</f>
        <v>0.11399799978750003</v>
      </c>
      <c r="E116" s="80">
        <f t="shared" si="14"/>
        <v>0.45382318514999997</v>
      </c>
      <c r="F116" s="80">
        <f t="shared" si="14"/>
        <v>0.89821885764374998</v>
      </c>
      <c r="G116" s="80">
        <f t="shared" si="14"/>
        <v>1.3426145301375001</v>
      </c>
      <c r="H116" s="80">
        <f t="shared" si="14"/>
        <v>1.75865086789375</v>
      </c>
      <c r="I116" s="80">
        <f t="shared" si="14"/>
        <v>2.1746872056499997</v>
      </c>
      <c r="J116" s="80">
        <f t="shared" si="14"/>
        <v>2.5623607525437504</v>
      </c>
      <c r="K116" s="80">
        <f t="shared" si="14"/>
        <v>2.9500342994375002</v>
      </c>
      <c r="L116" s="80">
        <f t="shared" si="14"/>
        <v>3.3093460385562503</v>
      </c>
      <c r="M116" s="80">
        <f t="shared" si="14"/>
        <v>3.668657777675</v>
      </c>
      <c r="N116" s="73"/>
    </row>
    <row r="117" spans="2:14" ht="15.95" customHeight="1" x14ac:dyDescent="0.2">
      <c r="N117" s="70"/>
    </row>
  </sheetData>
  <mergeCells count="2">
    <mergeCell ref="B76:C76"/>
    <mergeCell ref="D76:F76"/>
  </mergeCells>
  <phoneticPr fontId="5" type="noConversion"/>
  <conditionalFormatting sqref="C101:M104">
    <cfRule type="cellIs" dxfId="7" priority="2" operator="equal">
      <formula>0</formula>
    </cfRule>
  </conditionalFormatting>
  <conditionalFormatting sqref="C106:M108">
    <cfRule type="cellIs" dxfId="6" priority="1" operator="equal">
      <formula>0</formula>
    </cfRule>
  </conditionalFormatting>
  <pageMargins left="0.7" right="0.7" top="0.75" bottom="0.75" header="0.3" footer="0.3"/>
  <pageSetup paperSize="3" scale="61"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Instructions</vt:lpstr>
      <vt:lpstr>JLPData</vt:lpstr>
      <vt:lpstr>Example Data</vt:lpstr>
      <vt:lpstr>DataIn</vt:lpstr>
      <vt:lpstr>ReportTables</vt:lpstr>
      <vt:lpstr>ReportFigures</vt:lpstr>
      <vt:lpstr>DemandTables</vt:lpstr>
      <vt:lpstr>ContactInfo_Use Sector Desc</vt:lpstr>
      <vt:lpstr>Population&amp;Demand Projections</vt:lpstr>
      <vt:lpstr>Supply Alternative 1</vt:lpstr>
      <vt:lpstr>Supply Alternative 2</vt:lpstr>
      <vt:lpstr>Supply Alternatives Summary</vt:lpstr>
      <vt:lpstr>Sheet1</vt:lpstr>
    </vt:vector>
  </TitlesOfParts>
  <Company>NC Division of Water Resources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Donald J. Rayno</dc:creator>
  <cp:lastModifiedBy>Lenovo</cp:lastModifiedBy>
  <cp:lastPrinted>2014-02-04T18:21:48Z</cp:lastPrinted>
  <dcterms:created xsi:type="dcterms:W3CDTF">2000-10-23T21:54:55Z</dcterms:created>
  <dcterms:modified xsi:type="dcterms:W3CDTF">2014-05-01T17:57:13Z</dcterms:modified>
</cp:coreProperties>
</file>