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_dir\Pittsboro\'10 projects\PT.10.07 - Update Water Projections (JLP)\final application\"/>
    </mc:Choice>
  </mc:AlternateContent>
  <bookViews>
    <workbookView xWindow="0" yWindow="0" windowWidth="26460" windowHeight="12060" tabRatio="707" activeTab="9"/>
  </bookViews>
  <sheets>
    <sheet name="JLPData" sheetId="13" r:id="rId1"/>
    <sheet name="DataIn" sheetId="9" r:id="rId2"/>
    <sheet name="ReportTables" sheetId="10" r:id="rId3"/>
    <sheet name="ReportFigures" sheetId="12" r:id="rId4"/>
    <sheet name="DemandTables" sheetId="11" r:id="rId5"/>
    <sheet name="ContactInfo_Use Sector Desc" sheetId="8" r:id="rId6"/>
    <sheet name="Population&amp;Demand Projections" sheetId="1" r:id="rId7"/>
    <sheet name="Supply Alternative 1" sheetId="2" r:id="rId8"/>
    <sheet name="Supply Alternative 2" sheetId="3" r:id="rId9"/>
    <sheet name="Supply Alternatives Summary" sheetId="7" r:id="rId10"/>
  </sheets>
  <calcPr calcId="152511"/>
  <pivotCaches>
    <pivotCache cacheId="0" r:id="rId11"/>
  </pivotCaches>
</workbook>
</file>

<file path=xl/calcChain.xml><?xml version="1.0" encoding="utf-8"?>
<calcChain xmlns="http://schemas.openxmlformats.org/spreadsheetml/2006/main">
  <c r="C87" i="10" l="1"/>
  <c r="C24" i="2" l="1"/>
  <c r="D24" i="2"/>
  <c r="E24" i="2"/>
  <c r="F24" i="2"/>
  <c r="B25" i="2"/>
  <c r="C25" i="2"/>
  <c r="D25" i="2"/>
  <c r="E25" i="2"/>
  <c r="F25" i="2"/>
  <c r="G25" i="2"/>
  <c r="H25" i="2"/>
  <c r="I25" i="2"/>
  <c r="B26" i="2"/>
  <c r="C26" i="2"/>
  <c r="D26" i="2"/>
  <c r="E26" i="2"/>
  <c r="F26" i="2"/>
  <c r="G26" i="2"/>
  <c r="H26" i="2"/>
  <c r="I26" i="2"/>
  <c r="B27" i="2"/>
  <c r="C27" i="2"/>
  <c r="D27" i="2"/>
  <c r="E27" i="2"/>
  <c r="F27" i="2"/>
  <c r="G27" i="2"/>
  <c r="H27" i="2"/>
  <c r="I27" i="2"/>
  <c r="B28" i="2"/>
  <c r="C28" i="2"/>
  <c r="D28" i="2"/>
  <c r="E28" i="2"/>
  <c r="F28" i="2"/>
  <c r="G28" i="2"/>
  <c r="H28" i="2"/>
  <c r="I28" i="2"/>
  <c r="B29" i="2"/>
  <c r="C29" i="2"/>
  <c r="D29" i="2"/>
  <c r="E29" i="2"/>
  <c r="F29" i="2"/>
  <c r="G29" i="2"/>
  <c r="H29" i="2"/>
  <c r="I29" i="2"/>
  <c r="B30" i="2"/>
  <c r="C30" i="2"/>
  <c r="D30" i="2"/>
  <c r="E30" i="2"/>
  <c r="F30" i="2"/>
  <c r="G30" i="2"/>
  <c r="H30" i="2"/>
  <c r="I30" i="2"/>
  <c r="G70" i="10" l="1"/>
  <c r="D22" i="10" l="1"/>
  <c r="C28" i="7" l="1"/>
  <c r="B28" i="7"/>
  <c r="C21" i="10" l="1"/>
  <c r="B21" i="10"/>
  <c r="C20" i="10"/>
  <c r="B20" i="10"/>
  <c r="I7" i="9" l="1"/>
  <c r="H7" i="9"/>
  <c r="G7" i="9"/>
  <c r="F7" i="9"/>
  <c r="E7" i="9"/>
  <c r="D7" i="9"/>
  <c r="H72" i="10" l="1"/>
  <c r="H71" i="10"/>
  <c r="G72" i="10"/>
  <c r="G71" i="10"/>
  <c r="C46" i="1"/>
  <c r="C45" i="1"/>
  <c r="B46" i="1"/>
  <c r="B45" i="1"/>
  <c r="K13" i="10" l="1"/>
  <c r="L13" i="10"/>
  <c r="M13" i="10"/>
  <c r="N13" i="10"/>
  <c r="O13" i="10"/>
  <c r="P13" i="10"/>
  <c r="Q13" i="10"/>
  <c r="R13" i="10"/>
  <c r="S13" i="10"/>
  <c r="T13" i="10"/>
  <c r="U13" i="10"/>
  <c r="K14" i="10"/>
  <c r="L14" i="10"/>
  <c r="M14" i="10"/>
  <c r="N14" i="10"/>
  <c r="O14" i="10"/>
  <c r="P14" i="10"/>
  <c r="Q14" i="10"/>
  <c r="R14" i="10"/>
  <c r="S14" i="10"/>
  <c r="T14" i="10"/>
  <c r="U14" i="10"/>
  <c r="D10" i="3"/>
  <c r="E10" i="3"/>
  <c r="C10" i="3"/>
  <c r="B3" i="7" l="1"/>
  <c r="E102" i="10"/>
  <c r="F102" i="10"/>
  <c r="G102" i="10"/>
  <c r="D23" i="2"/>
  <c r="G19" i="13" l="1"/>
  <c r="F19" i="13"/>
  <c r="E19" i="13"/>
  <c r="D19" i="13"/>
  <c r="C19" i="13"/>
  <c r="B19" i="13"/>
  <c r="D86" i="10" l="1"/>
  <c r="C17" i="3"/>
  <c r="D17" i="3"/>
  <c r="I23" i="2" l="1"/>
  <c r="D102" i="1"/>
  <c r="D108" i="1" s="1"/>
  <c r="E102" i="1"/>
  <c r="E108" i="1" s="1"/>
  <c r="F102" i="1"/>
  <c r="F108" i="1" s="1"/>
  <c r="G102" i="1"/>
  <c r="G108" i="1" s="1"/>
  <c r="H102" i="1"/>
  <c r="H108" i="1" s="1"/>
  <c r="I102" i="1"/>
  <c r="I108" i="1" s="1"/>
  <c r="J102" i="1"/>
  <c r="J108" i="1" s="1"/>
  <c r="K102" i="1"/>
  <c r="K108" i="1" s="1"/>
  <c r="L102" i="1"/>
  <c r="L108" i="1" s="1"/>
  <c r="M102" i="1"/>
  <c r="M108" i="1" s="1"/>
  <c r="C102" i="1"/>
  <c r="C108" i="1" s="1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I25" i="3"/>
  <c r="H25" i="3"/>
  <c r="G25" i="3"/>
  <c r="F25" i="3"/>
  <c r="E25" i="3"/>
  <c r="D25" i="3"/>
  <c r="C25" i="3"/>
  <c r="B25" i="3"/>
  <c r="I24" i="3"/>
  <c r="H24" i="3"/>
  <c r="G24" i="3"/>
  <c r="D88" i="10" s="1"/>
  <c r="F24" i="3"/>
  <c r="E24" i="3"/>
  <c r="D24" i="3"/>
  <c r="C24" i="3"/>
  <c r="B24" i="3"/>
  <c r="F23" i="3"/>
  <c r="E23" i="3"/>
  <c r="D23" i="3"/>
  <c r="C23" i="3"/>
  <c r="B23" i="3"/>
  <c r="C23" i="2"/>
  <c r="D89" i="10" l="1"/>
  <c r="D90" i="10" s="1"/>
  <c r="H10" i="3"/>
  <c r="L10" i="3"/>
  <c r="M10" i="3"/>
  <c r="J10" i="3"/>
  <c r="G10" i="3"/>
  <c r="K10" i="3"/>
  <c r="I10" i="3"/>
  <c r="F10" i="3"/>
  <c r="B8" i="3"/>
  <c r="B10" i="3"/>
  <c r="B9" i="3"/>
  <c r="E8" i="3"/>
  <c r="I8" i="3"/>
  <c r="M8" i="3"/>
  <c r="C8" i="3"/>
  <c r="F8" i="3"/>
  <c r="J8" i="3"/>
  <c r="G8" i="3"/>
  <c r="K8" i="3"/>
  <c r="D8" i="3"/>
  <c r="H8" i="3"/>
  <c r="L8" i="3"/>
  <c r="G9" i="3"/>
  <c r="K9" i="3"/>
  <c r="D9" i="3"/>
  <c r="H9" i="3"/>
  <c r="L9" i="3"/>
  <c r="E9" i="3"/>
  <c r="I9" i="3"/>
  <c r="M9" i="3"/>
  <c r="F9" i="3"/>
  <c r="J9" i="3"/>
  <c r="C9" i="3"/>
  <c r="C88" i="10" l="1"/>
  <c r="C89" i="10"/>
  <c r="J122" i="10"/>
  <c r="J123" i="10"/>
  <c r="H23" i="2"/>
  <c r="F23" i="2"/>
  <c r="E23" i="2"/>
  <c r="B23" i="2"/>
  <c r="C8" i="2" l="1"/>
  <c r="K121" i="10" s="1"/>
  <c r="B9" i="2"/>
  <c r="I122" i="10"/>
  <c r="B8" i="2"/>
  <c r="C86" i="10"/>
  <c r="C90" i="10" s="1"/>
  <c r="G8" i="2"/>
  <c r="I8" i="2"/>
  <c r="Q121" i="10" s="1"/>
  <c r="H8" i="2"/>
  <c r="P121" i="10" s="1"/>
  <c r="F8" i="2"/>
  <c r="N121" i="10" s="1"/>
  <c r="L8" i="2"/>
  <c r="T121" i="10" s="1"/>
  <c r="J8" i="2"/>
  <c r="R121" i="10" s="1"/>
  <c r="K8" i="2"/>
  <c r="S121" i="10" s="1"/>
  <c r="M8" i="2"/>
  <c r="U121" i="10" s="1"/>
  <c r="D8" i="2"/>
  <c r="L121" i="10" s="1"/>
  <c r="E8" i="2"/>
  <c r="M121" i="10" s="1"/>
  <c r="D10" i="2"/>
  <c r="L123" i="10" s="1"/>
  <c r="F10" i="2"/>
  <c r="N123" i="10" s="1"/>
  <c r="C10" i="2"/>
  <c r="K123" i="10" s="1"/>
  <c r="E10" i="2"/>
  <c r="M123" i="10" s="1"/>
  <c r="M10" i="2"/>
  <c r="B10" i="2"/>
  <c r="G9" i="2"/>
  <c r="O122" i="10" s="1"/>
  <c r="K9" i="2"/>
  <c r="S122" i="10" s="1"/>
  <c r="E9" i="2"/>
  <c r="M122" i="10" s="1"/>
  <c r="C9" i="2"/>
  <c r="D9" i="2"/>
  <c r="L122" i="10" s="1"/>
  <c r="H9" i="2"/>
  <c r="P122" i="10" s="1"/>
  <c r="L9" i="2"/>
  <c r="T122" i="10" s="1"/>
  <c r="I9" i="2"/>
  <c r="Q122" i="10" s="1"/>
  <c r="M9" i="2"/>
  <c r="U122" i="10" s="1"/>
  <c r="F9" i="2"/>
  <c r="N122" i="10" s="1"/>
  <c r="J9" i="2"/>
  <c r="R122" i="10" s="1"/>
  <c r="D108" i="10"/>
  <c r="E108" i="10"/>
  <c r="F108" i="10"/>
  <c r="G108" i="10"/>
  <c r="C109" i="10"/>
  <c r="D109" i="10"/>
  <c r="E109" i="10"/>
  <c r="F109" i="10"/>
  <c r="G109" i="10"/>
  <c r="E107" i="10"/>
  <c r="F107" i="10"/>
  <c r="G107" i="10"/>
  <c r="B71" i="10"/>
  <c r="B88" i="10" s="1"/>
  <c r="B72" i="10"/>
  <c r="B89" i="10" s="1"/>
  <c r="B73" i="10"/>
  <c r="B74" i="10"/>
  <c r="B75" i="10"/>
  <c r="B76" i="10"/>
  <c r="B77" i="10"/>
  <c r="B70" i="10"/>
  <c r="C71" i="10"/>
  <c r="C72" i="10"/>
  <c r="C73" i="10"/>
  <c r="C74" i="10"/>
  <c r="C75" i="10"/>
  <c r="C76" i="10"/>
  <c r="C77" i="10"/>
  <c r="C70" i="10"/>
  <c r="D70" i="10"/>
  <c r="E70" i="10"/>
  <c r="D71" i="10"/>
  <c r="E71" i="10"/>
  <c r="D72" i="10"/>
  <c r="E72" i="10"/>
  <c r="D73" i="10"/>
  <c r="E73" i="10"/>
  <c r="D74" i="10"/>
  <c r="E74" i="10"/>
  <c r="D75" i="10"/>
  <c r="E75" i="10"/>
  <c r="D76" i="10"/>
  <c r="E76" i="10"/>
  <c r="F71" i="10"/>
  <c r="F72" i="10"/>
  <c r="F73" i="10"/>
  <c r="F74" i="10"/>
  <c r="F75" i="10"/>
  <c r="F76" i="10"/>
  <c r="F70" i="10"/>
  <c r="H70" i="10"/>
  <c r="U125" i="10" l="1"/>
  <c r="N125" i="10"/>
  <c r="S125" i="10"/>
  <c r="P125" i="10"/>
  <c r="J67" i="12"/>
  <c r="K122" i="10"/>
  <c r="K125" i="10" s="1"/>
  <c r="M125" i="10"/>
  <c r="Q125" i="10"/>
  <c r="R125" i="10"/>
  <c r="L125" i="10"/>
  <c r="T125" i="10"/>
  <c r="N67" i="12"/>
  <c r="O121" i="10"/>
  <c r="O125" i="10" s="1"/>
  <c r="K67" i="12"/>
  <c r="L67" i="12"/>
  <c r="P67" i="12"/>
  <c r="T67" i="12"/>
  <c r="M67" i="12"/>
  <c r="S67" i="12"/>
  <c r="Q67" i="12"/>
  <c r="R67" i="12"/>
  <c r="O67" i="12"/>
  <c r="D26" i="9"/>
  <c r="D46" i="1" s="1"/>
  <c r="C101" i="1" s="1"/>
  <c r="C107" i="1" s="1"/>
  <c r="F26" i="9"/>
  <c r="F46" i="1" s="1"/>
  <c r="E101" i="1" s="1"/>
  <c r="E107" i="1" s="1"/>
  <c r="H26" i="9"/>
  <c r="H46" i="1" s="1"/>
  <c r="G101" i="1" s="1"/>
  <c r="G107" i="1" s="1"/>
  <c r="J26" i="9"/>
  <c r="J46" i="1" s="1"/>
  <c r="I101" i="1" s="1"/>
  <c r="I107" i="1" s="1"/>
  <c r="L26" i="9"/>
  <c r="L46" i="1" s="1"/>
  <c r="K101" i="1" s="1"/>
  <c r="K107" i="1" s="1"/>
  <c r="N26" i="9"/>
  <c r="H73" i="10"/>
  <c r="H74" i="10"/>
  <c r="H75" i="10"/>
  <c r="H76" i="10"/>
  <c r="C4" i="1"/>
  <c r="B4" i="7" s="1"/>
  <c r="C3" i="1"/>
  <c r="F98" i="10"/>
  <c r="G98" i="10"/>
  <c r="F99" i="10"/>
  <c r="G99" i="10"/>
  <c r="G106" i="10"/>
  <c r="F106" i="10"/>
  <c r="E106" i="10"/>
  <c r="D106" i="10"/>
  <c r="G105" i="10"/>
  <c r="F105" i="10"/>
  <c r="E105" i="10"/>
  <c r="G104" i="10"/>
  <c r="F104" i="10"/>
  <c r="E104" i="10"/>
  <c r="D104" i="10"/>
  <c r="C104" i="10"/>
  <c r="G103" i="10"/>
  <c r="F103" i="10"/>
  <c r="E103" i="10"/>
  <c r="D103" i="10"/>
  <c r="C103" i="10"/>
  <c r="G101" i="10"/>
  <c r="F101" i="10"/>
  <c r="E101" i="10"/>
  <c r="D101" i="10"/>
  <c r="C101" i="10"/>
  <c r="G100" i="10"/>
  <c r="F100" i="10"/>
  <c r="E100" i="10"/>
  <c r="D100" i="10"/>
  <c r="C100" i="10"/>
  <c r="E99" i="10"/>
  <c r="D99" i="10"/>
  <c r="C99" i="10"/>
  <c r="E98" i="10"/>
  <c r="D98" i="10"/>
  <c r="C98" i="10"/>
  <c r="E111" i="10"/>
  <c r="F111" i="10"/>
  <c r="G111" i="10"/>
  <c r="E110" i="10"/>
  <c r="F110" i="10"/>
  <c r="G110" i="10"/>
  <c r="M26" i="9" l="1"/>
  <c r="M46" i="1" s="1"/>
  <c r="L101" i="1" s="1"/>
  <c r="L107" i="1" s="1"/>
  <c r="N46" i="1"/>
  <c r="M101" i="1" s="1"/>
  <c r="M107" i="1" s="1"/>
  <c r="G26" i="9"/>
  <c r="K26" i="9"/>
  <c r="E26" i="9"/>
  <c r="I26" i="9"/>
  <c r="G73" i="10"/>
  <c r="G74" i="10"/>
  <c r="G75" i="10"/>
  <c r="G76" i="10"/>
  <c r="D14" i="11"/>
  <c r="F14" i="11"/>
  <c r="H14" i="11"/>
  <c r="J14" i="11"/>
  <c r="L14" i="11"/>
  <c r="N14" i="11"/>
  <c r="C36" i="13"/>
  <c r="D36" i="13"/>
  <c r="E36" i="13"/>
  <c r="F36" i="13"/>
  <c r="G36" i="13"/>
  <c r="B36" i="13"/>
  <c r="M14" i="11" l="1"/>
  <c r="I14" i="11"/>
  <c r="I46" i="1"/>
  <c r="H101" i="1" s="1"/>
  <c r="H107" i="1" s="1"/>
  <c r="E14" i="11"/>
  <c r="E46" i="1"/>
  <c r="D101" i="1" s="1"/>
  <c r="D107" i="1" s="1"/>
  <c r="K14" i="11"/>
  <c r="K46" i="1"/>
  <c r="J101" i="1" s="1"/>
  <c r="J107" i="1" s="1"/>
  <c r="G14" i="11"/>
  <c r="G46" i="1"/>
  <c r="F101" i="1" s="1"/>
  <c r="F107" i="1" s="1"/>
  <c r="I41" i="10"/>
  <c r="F47" i="10"/>
  <c r="F48" i="10"/>
  <c r="F49" i="10"/>
  <c r="G48" i="10"/>
  <c r="G49" i="10"/>
  <c r="G47" i="10"/>
  <c r="B48" i="10"/>
  <c r="C48" i="10"/>
  <c r="D48" i="10"/>
  <c r="E48" i="10"/>
  <c r="B49" i="10"/>
  <c r="C49" i="10"/>
  <c r="D49" i="10"/>
  <c r="E49" i="10"/>
  <c r="E47" i="10"/>
  <c r="D47" i="10"/>
  <c r="B47" i="10"/>
  <c r="C47" i="10"/>
  <c r="G97" i="1" l="1"/>
  <c r="K97" i="1"/>
  <c r="D97" i="1"/>
  <c r="H97" i="1"/>
  <c r="L97" i="1"/>
  <c r="F97" i="1"/>
  <c r="J97" i="1"/>
  <c r="C97" i="1"/>
  <c r="E97" i="1"/>
  <c r="I97" i="1"/>
  <c r="M97" i="1"/>
  <c r="G51" i="10"/>
  <c r="E95" i="1" s="1"/>
  <c r="K56" i="10"/>
  <c r="N36" i="9"/>
  <c r="U12" i="10" s="1"/>
  <c r="U15" i="10" s="1"/>
  <c r="L36" i="9"/>
  <c r="L9" i="1" s="1"/>
  <c r="J36" i="9"/>
  <c r="Q12" i="10" s="1"/>
  <c r="Q15" i="10" s="1"/>
  <c r="H36" i="9"/>
  <c r="H9" i="1" s="1"/>
  <c r="F36" i="9"/>
  <c r="M12" i="10" s="1"/>
  <c r="M15" i="10" s="1"/>
  <c r="D36" i="9"/>
  <c r="K12" i="10" s="1"/>
  <c r="K15" i="10" s="1"/>
  <c r="B20" i="9"/>
  <c r="B8" i="11" s="1"/>
  <c r="B21" i="9"/>
  <c r="B9" i="11" s="1"/>
  <c r="B22" i="9"/>
  <c r="B10" i="11" s="1"/>
  <c r="B23" i="9"/>
  <c r="B11" i="11" s="1"/>
  <c r="B24" i="9"/>
  <c r="B12" i="11" s="1"/>
  <c r="B25" i="9"/>
  <c r="B13" i="11" s="1"/>
  <c r="B14" i="11"/>
  <c r="B27" i="9"/>
  <c r="C20" i="9"/>
  <c r="C8" i="11" s="1"/>
  <c r="C21" i="9"/>
  <c r="C9" i="11" s="1"/>
  <c r="C22" i="9"/>
  <c r="C10" i="11" s="1"/>
  <c r="C23" i="9"/>
  <c r="C11" i="11" s="1"/>
  <c r="C24" i="9"/>
  <c r="C12" i="11" s="1"/>
  <c r="C25" i="9"/>
  <c r="C13" i="11" s="1"/>
  <c r="C26" i="9"/>
  <c r="C14" i="11" s="1"/>
  <c r="C19" i="9"/>
  <c r="C7" i="11" s="1"/>
  <c r="B19" i="9"/>
  <c r="B7" i="11" s="1"/>
  <c r="D20" i="9"/>
  <c r="F20" i="9"/>
  <c r="H20" i="9"/>
  <c r="J20" i="9"/>
  <c r="L20" i="9"/>
  <c r="N20" i="9"/>
  <c r="D21" i="9"/>
  <c r="F21" i="9"/>
  <c r="H21" i="9"/>
  <c r="J21" i="9"/>
  <c r="L21" i="9"/>
  <c r="N21" i="9"/>
  <c r="D22" i="9"/>
  <c r="F22" i="9"/>
  <c r="H22" i="9"/>
  <c r="J22" i="9"/>
  <c r="L22" i="9"/>
  <c r="N22" i="9"/>
  <c r="D23" i="9"/>
  <c r="F23" i="9"/>
  <c r="H23" i="9"/>
  <c r="J23" i="9"/>
  <c r="L23" i="9"/>
  <c r="N23" i="9"/>
  <c r="D24" i="9"/>
  <c r="F24" i="9"/>
  <c r="H24" i="9"/>
  <c r="J24" i="9"/>
  <c r="L24" i="9"/>
  <c r="N24" i="9"/>
  <c r="D25" i="9"/>
  <c r="F25" i="9"/>
  <c r="H25" i="9"/>
  <c r="J25" i="9"/>
  <c r="L25" i="9"/>
  <c r="N25" i="9"/>
  <c r="N19" i="9"/>
  <c r="L19" i="9"/>
  <c r="J19" i="9"/>
  <c r="H19" i="9"/>
  <c r="F19" i="9"/>
  <c r="D19" i="9"/>
  <c r="M17" i="3"/>
  <c r="L17" i="3"/>
  <c r="K17" i="3"/>
  <c r="J17" i="3"/>
  <c r="I17" i="3"/>
  <c r="H17" i="3"/>
  <c r="G17" i="3"/>
  <c r="F17" i="3"/>
  <c r="E17" i="3"/>
  <c r="B2" i="3"/>
  <c r="B1" i="3"/>
  <c r="B2" i="2"/>
  <c r="B1" i="2"/>
  <c r="C17" i="2"/>
  <c r="D17" i="2"/>
  <c r="E17" i="2"/>
  <c r="F17" i="2"/>
  <c r="G17" i="2"/>
  <c r="H17" i="2"/>
  <c r="I17" i="2"/>
  <c r="J17" i="2"/>
  <c r="K17" i="2"/>
  <c r="L17" i="2"/>
  <c r="M17" i="2"/>
  <c r="D54" i="1"/>
  <c r="E54" i="1"/>
  <c r="F54" i="1"/>
  <c r="G54" i="1"/>
  <c r="H54" i="1"/>
  <c r="I54" i="1"/>
  <c r="J54" i="1"/>
  <c r="K54" i="1"/>
  <c r="L54" i="1"/>
  <c r="M54" i="1"/>
  <c r="N54" i="1"/>
  <c r="N27" i="9" l="1"/>
  <c r="D27" i="9"/>
  <c r="F27" i="9"/>
  <c r="H27" i="9"/>
  <c r="J27" i="9"/>
  <c r="L27" i="9"/>
  <c r="E23" i="9"/>
  <c r="E11" i="11" s="1"/>
  <c r="M23" i="9"/>
  <c r="M37" i="1" s="1"/>
  <c r="I22" i="9"/>
  <c r="I10" i="11" s="1"/>
  <c r="K23" i="9"/>
  <c r="K37" i="1" s="1"/>
  <c r="G25" i="9"/>
  <c r="G13" i="11" s="1"/>
  <c r="K22" i="9"/>
  <c r="K31" i="1" s="1"/>
  <c r="D9" i="1"/>
  <c r="I19" i="9"/>
  <c r="I24" i="9"/>
  <c r="I38" i="1" s="1"/>
  <c r="M21" i="9"/>
  <c r="M9" i="11" s="1"/>
  <c r="M60" i="10"/>
  <c r="E99" i="1"/>
  <c r="L41" i="12" s="1"/>
  <c r="G21" i="9"/>
  <c r="G26" i="1" s="1"/>
  <c r="I23" i="9"/>
  <c r="I37" i="1" s="1"/>
  <c r="E20" i="9"/>
  <c r="E8" i="11" s="1"/>
  <c r="E24" i="9"/>
  <c r="E38" i="1" s="1"/>
  <c r="G23" i="9"/>
  <c r="G11" i="11" s="1"/>
  <c r="I25" i="9"/>
  <c r="I13" i="11" s="1"/>
  <c r="L16" i="1"/>
  <c r="L7" i="11"/>
  <c r="N12" i="11"/>
  <c r="N38" i="1"/>
  <c r="J11" i="11"/>
  <c r="J37" i="1"/>
  <c r="F10" i="11"/>
  <c r="F31" i="1"/>
  <c r="J8" i="11"/>
  <c r="J21" i="1"/>
  <c r="N7" i="11"/>
  <c r="N16" i="1"/>
  <c r="H37" i="1"/>
  <c r="H11" i="11"/>
  <c r="G36" i="9"/>
  <c r="G22" i="9"/>
  <c r="H7" i="11"/>
  <c r="H16" i="1"/>
  <c r="M25" i="9"/>
  <c r="N39" i="1"/>
  <c r="N13" i="11"/>
  <c r="F39" i="1"/>
  <c r="F13" i="11"/>
  <c r="K24" i="9"/>
  <c r="J38" i="1"/>
  <c r="J12" i="11"/>
  <c r="N11" i="11"/>
  <c r="N37" i="1"/>
  <c r="F11" i="11"/>
  <c r="F37" i="1"/>
  <c r="J10" i="11"/>
  <c r="J31" i="1"/>
  <c r="D31" i="1"/>
  <c r="D10" i="11"/>
  <c r="H9" i="11"/>
  <c r="H26" i="1"/>
  <c r="L21" i="1"/>
  <c r="L8" i="11"/>
  <c r="G20" i="9"/>
  <c r="F8" i="11"/>
  <c r="F21" i="1"/>
  <c r="E36" i="9"/>
  <c r="E9" i="1" s="1"/>
  <c r="K36" i="9"/>
  <c r="R12" i="10" s="1"/>
  <c r="R15" i="10" s="1"/>
  <c r="S12" i="10"/>
  <c r="S15" i="10" s="1"/>
  <c r="F9" i="1"/>
  <c r="D16" i="1"/>
  <c r="D7" i="11"/>
  <c r="J13" i="11"/>
  <c r="J39" i="1"/>
  <c r="F12" i="11"/>
  <c r="F38" i="1"/>
  <c r="N10" i="11"/>
  <c r="N31" i="1"/>
  <c r="L9" i="11"/>
  <c r="L26" i="1"/>
  <c r="D9" i="11"/>
  <c r="D26" i="1"/>
  <c r="K19" i="9"/>
  <c r="K25" i="9"/>
  <c r="M24" i="9"/>
  <c r="E19" i="9"/>
  <c r="F7" i="11"/>
  <c r="F16" i="1"/>
  <c r="H13" i="11"/>
  <c r="H39" i="1"/>
  <c r="L38" i="1"/>
  <c r="L12" i="11"/>
  <c r="D38" i="1"/>
  <c r="D12" i="11"/>
  <c r="L31" i="1"/>
  <c r="L10" i="11"/>
  <c r="E22" i="9"/>
  <c r="I21" i="9"/>
  <c r="J26" i="1"/>
  <c r="J9" i="11"/>
  <c r="M20" i="9"/>
  <c r="N8" i="11"/>
  <c r="N21" i="1"/>
  <c r="H8" i="11"/>
  <c r="H21" i="1"/>
  <c r="M19" i="9"/>
  <c r="K21" i="9"/>
  <c r="I20" i="9"/>
  <c r="E21" i="9"/>
  <c r="G24" i="9"/>
  <c r="J7" i="11"/>
  <c r="J16" i="1"/>
  <c r="L13" i="11"/>
  <c r="L39" i="1"/>
  <c r="E25" i="9"/>
  <c r="D13" i="11"/>
  <c r="D39" i="1"/>
  <c r="H38" i="1"/>
  <c r="H12" i="11"/>
  <c r="L11" i="11"/>
  <c r="L37" i="1"/>
  <c r="D11" i="11"/>
  <c r="D37" i="1"/>
  <c r="H31" i="1"/>
  <c r="H10" i="11"/>
  <c r="N26" i="1"/>
  <c r="N9" i="11"/>
  <c r="F26" i="1"/>
  <c r="F9" i="11"/>
  <c r="K20" i="9"/>
  <c r="D21" i="1"/>
  <c r="D8" i="11"/>
  <c r="O12" i="10"/>
  <c r="O15" i="10" s="1"/>
  <c r="I95" i="1"/>
  <c r="Q60" i="10" s="1"/>
  <c r="F95" i="1"/>
  <c r="N60" i="10" s="1"/>
  <c r="L95" i="1"/>
  <c r="T60" i="10" s="1"/>
  <c r="J95" i="1"/>
  <c r="R60" i="10" s="1"/>
  <c r="D95" i="1"/>
  <c r="G95" i="1"/>
  <c r="O60" i="10" s="1"/>
  <c r="M95" i="1"/>
  <c r="U60" i="10" s="1"/>
  <c r="C95" i="1"/>
  <c r="C99" i="1" s="1"/>
  <c r="J41" i="12" s="1"/>
  <c r="H95" i="1"/>
  <c r="K95" i="1"/>
  <c r="G19" i="9"/>
  <c r="M22" i="9"/>
  <c r="I36" i="9"/>
  <c r="N9" i="1"/>
  <c r="J9" i="1"/>
  <c r="M36" i="9"/>
  <c r="M26" i="1" l="1"/>
  <c r="K10" i="11"/>
  <c r="E37" i="1"/>
  <c r="I12" i="11"/>
  <c r="E27" i="9"/>
  <c r="K27" i="9"/>
  <c r="M27" i="9"/>
  <c r="G27" i="9"/>
  <c r="J15" i="11"/>
  <c r="I14" i="2" s="1"/>
  <c r="I16" i="1"/>
  <c r="I27" i="9"/>
  <c r="D15" i="11"/>
  <c r="C14" i="2" s="1"/>
  <c r="H15" i="11"/>
  <c r="G14" i="2" s="1"/>
  <c r="N15" i="11"/>
  <c r="M14" i="2" s="1"/>
  <c r="I31" i="1"/>
  <c r="F15" i="11"/>
  <c r="E14" i="2" s="1"/>
  <c r="G37" i="1"/>
  <c r="L15" i="11"/>
  <c r="K14" i="2" s="1"/>
  <c r="G39" i="1"/>
  <c r="K9" i="1"/>
  <c r="E12" i="11"/>
  <c r="M11" i="11"/>
  <c r="G9" i="11"/>
  <c r="K11" i="11"/>
  <c r="I7" i="11"/>
  <c r="I11" i="11"/>
  <c r="E21" i="1"/>
  <c r="I39" i="1"/>
  <c r="L12" i="10"/>
  <c r="L15" i="10" s="1"/>
  <c r="J36" i="1"/>
  <c r="J41" i="1" s="1"/>
  <c r="I100" i="1" s="1"/>
  <c r="M8" i="11"/>
  <c r="M21" i="1"/>
  <c r="E10" i="11"/>
  <c r="E31" i="1"/>
  <c r="E7" i="11"/>
  <c r="E16" i="1"/>
  <c r="K39" i="1"/>
  <c r="K13" i="11"/>
  <c r="G10" i="11"/>
  <c r="G31" i="1"/>
  <c r="E39" i="1"/>
  <c r="E13" i="11"/>
  <c r="K16" i="1"/>
  <c r="K7" i="11"/>
  <c r="D36" i="1"/>
  <c r="D41" i="1" s="1"/>
  <c r="K12" i="11"/>
  <c r="K38" i="1"/>
  <c r="M10" i="11"/>
  <c r="M31" i="1"/>
  <c r="K8" i="11"/>
  <c r="K21" i="1"/>
  <c r="E26" i="1"/>
  <c r="E9" i="11"/>
  <c r="K9" i="11"/>
  <c r="K26" i="1"/>
  <c r="F36" i="1"/>
  <c r="F41" i="1" s="1"/>
  <c r="E100" i="1" s="1"/>
  <c r="G8" i="11"/>
  <c r="G21" i="1"/>
  <c r="M39" i="1"/>
  <c r="M13" i="11"/>
  <c r="N36" i="1"/>
  <c r="N41" i="1" s="1"/>
  <c r="M100" i="1" s="1"/>
  <c r="L36" i="1"/>
  <c r="L41" i="1" s="1"/>
  <c r="K100" i="1" s="1"/>
  <c r="G7" i="11"/>
  <c r="G16" i="1"/>
  <c r="G12" i="11"/>
  <c r="G38" i="1"/>
  <c r="I21" i="1"/>
  <c r="I8" i="11"/>
  <c r="M7" i="11"/>
  <c r="M16" i="1"/>
  <c r="I9" i="11"/>
  <c r="I26" i="1"/>
  <c r="M38" i="1"/>
  <c r="M12" i="11"/>
  <c r="H36" i="1"/>
  <c r="H41" i="1" s="1"/>
  <c r="G100" i="1" s="1"/>
  <c r="N12" i="10"/>
  <c r="N15" i="10" s="1"/>
  <c r="G9" i="1"/>
  <c r="F99" i="1"/>
  <c r="M41" i="12" s="1"/>
  <c r="K60" i="10"/>
  <c r="L99" i="1"/>
  <c r="S41" i="12" s="1"/>
  <c r="I99" i="1"/>
  <c r="P41" i="12" s="1"/>
  <c r="J99" i="1"/>
  <c r="Q41" i="12" s="1"/>
  <c r="G99" i="1"/>
  <c r="N41" i="12" s="1"/>
  <c r="M99" i="1"/>
  <c r="T41" i="12" s="1"/>
  <c r="L60" i="10"/>
  <c r="D99" i="1"/>
  <c r="K41" i="12" s="1"/>
  <c r="S60" i="10"/>
  <c r="K99" i="1"/>
  <c r="R41" i="12" s="1"/>
  <c r="P60" i="10"/>
  <c r="H99" i="1"/>
  <c r="O41" i="12" s="1"/>
  <c r="I9" i="1"/>
  <c r="P12" i="10"/>
  <c r="P15" i="10" s="1"/>
  <c r="M9" i="1"/>
  <c r="T12" i="10"/>
  <c r="T15" i="10" s="1"/>
  <c r="I15" i="11" l="1"/>
  <c r="H14" i="2" s="1"/>
  <c r="K15" i="11"/>
  <c r="J14" i="2" s="1"/>
  <c r="E15" i="11"/>
  <c r="D14" i="2" s="1"/>
  <c r="M15" i="11"/>
  <c r="L14" i="2" s="1"/>
  <c r="G15" i="11"/>
  <c r="F14" i="2" s="1"/>
  <c r="K36" i="1"/>
  <c r="K41" i="1" s="1"/>
  <c r="F55" i="1"/>
  <c r="J55" i="1"/>
  <c r="I36" i="1"/>
  <c r="I41" i="1" s="1"/>
  <c r="H100" i="1" s="1"/>
  <c r="H55" i="1"/>
  <c r="D55" i="1"/>
  <c r="C100" i="1"/>
  <c r="M36" i="1"/>
  <c r="M41" i="1" s="1"/>
  <c r="L100" i="1" s="1"/>
  <c r="E36" i="1"/>
  <c r="E41" i="1" s="1"/>
  <c r="G36" i="1"/>
  <c r="G41" i="1" s="1"/>
  <c r="I109" i="1"/>
  <c r="I103" i="1"/>
  <c r="I104" i="1" s="1"/>
  <c r="N55" i="1"/>
  <c r="L55" i="1"/>
  <c r="E109" i="1"/>
  <c r="L44" i="12" s="1"/>
  <c r="E103" i="1"/>
  <c r="E104" i="1" s="1"/>
  <c r="G109" i="1"/>
  <c r="G103" i="1"/>
  <c r="G104" i="1" s="1"/>
  <c r="M55" i="1" l="1"/>
  <c r="Q59" i="10"/>
  <c r="Q62" i="10" s="1"/>
  <c r="P44" i="12"/>
  <c r="O59" i="10"/>
  <c r="O62" i="10" s="1"/>
  <c r="N44" i="12"/>
  <c r="I55" i="1"/>
  <c r="K55" i="1"/>
  <c r="J100" i="1"/>
  <c r="G55" i="1"/>
  <c r="F100" i="1"/>
  <c r="C103" i="1"/>
  <c r="C104" i="1" s="1"/>
  <c r="C109" i="1"/>
  <c r="E55" i="1"/>
  <c r="D100" i="1"/>
  <c r="G110" i="1"/>
  <c r="M59" i="10"/>
  <c r="E110" i="1"/>
  <c r="L66" i="12" s="1"/>
  <c r="L109" i="1"/>
  <c r="S44" i="12" s="1"/>
  <c r="L103" i="1"/>
  <c r="L104" i="1" s="1"/>
  <c r="M109" i="1"/>
  <c r="T44" i="12" s="1"/>
  <c r="M103" i="1"/>
  <c r="M104" i="1" s="1"/>
  <c r="Q61" i="10"/>
  <c r="I110" i="1"/>
  <c r="P66" i="12" s="1"/>
  <c r="H109" i="1"/>
  <c r="O44" i="12" s="1"/>
  <c r="H103" i="1"/>
  <c r="H104" i="1" s="1"/>
  <c r="K109" i="1"/>
  <c r="R44" i="12" s="1"/>
  <c r="K103" i="1"/>
  <c r="K104" i="1" s="1"/>
  <c r="O61" i="10" l="1"/>
  <c r="M42" i="12"/>
  <c r="Q42" i="12"/>
  <c r="J42" i="12"/>
  <c r="J43" i="12" s="1"/>
  <c r="J44" i="12"/>
  <c r="N42" i="12"/>
  <c r="N43" i="12" s="1"/>
  <c r="R42" i="12"/>
  <c r="R43" i="12" s="1"/>
  <c r="O42" i="12"/>
  <c r="O43" i="12" s="1"/>
  <c r="L42" i="12"/>
  <c r="L43" i="12" s="1"/>
  <c r="P42" i="12"/>
  <c r="P43" i="12" s="1"/>
  <c r="T42" i="12"/>
  <c r="T43" i="12" s="1"/>
  <c r="K42" i="12"/>
  <c r="S42" i="12"/>
  <c r="S43" i="12" s="1"/>
  <c r="N66" i="12"/>
  <c r="J103" i="1"/>
  <c r="J104" i="1" s="1"/>
  <c r="J109" i="1"/>
  <c r="Q44" i="12" s="1"/>
  <c r="D109" i="1"/>
  <c r="D103" i="1"/>
  <c r="D104" i="1" s="1"/>
  <c r="F103" i="1"/>
  <c r="F104" i="1" s="1"/>
  <c r="F109" i="1"/>
  <c r="M44" i="12" s="1"/>
  <c r="K59" i="10"/>
  <c r="C110" i="1"/>
  <c r="J66" i="12" s="1"/>
  <c r="G7" i="3"/>
  <c r="G7" i="2"/>
  <c r="G11" i="2" s="1"/>
  <c r="P59" i="10"/>
  <c r="H110" i="1"/>
  <c r="O66" i="12" s="1"/>
  <c r="U59" i="10"/>
  <c r="M110" i="1"/>
  <c r="T66" i="12" s="1"/>
  <c r="E7" i="2"/>
  <c r="E11" i="2" s="1"/>
  <c r="E7" i="3"/>
  <c r="M62" i="10"/>
  <c r="M61" i="10"/>
  <c r="S59" i="10"/>
  <c r="K110" i="1"/>
  <c r="R66" i="12" s="1"/>
  <c r="T59" i="10"/>
  <c r="L110" i="1"/>
  <c r="S66" i="12" s="1"/>
  <c r="I7" i="3"/>
  <c r="I7" i="2"/>
  <c r="I11" i="2" s="1"/>
  <c r="Q43" i="12" l="1"/>
  <c r="M43" i="12"/>
  <c r="K43" i="12"/>
  <c r="K44" i="12"/>
  <c r="C84" i="10"/>
  <c r="G84" i="10"/>
  <c r="D84" i="10"/>
  <c r="E84" i="10"/>
  <c r="F84" i="10"/>
  <c r="I11" i="3"/>
  <c r="E11" i="3"/>
  <c r="G11" i="3"/>
  <c r="K62" i="10"/>
  <c r="K61" i="10"/>
  <c r="C7" i="3"/>
  <c r="C7" i="2"/>
  <c r="C11" i="2" s="1"/>
  <c r="F110" i="1"/>
  <c r="M66" i="12" s="1"/>
  <c r="N59" i="10"/>
  <c r="R59" i="10"/>
  <c r="J110" i="1"/>
  <c r="Q66" i="12" s="1"/>
  <c r="L59" i="10"/>
  <c r="D110" i="1"/>
  <c r="S62" i="10"/>
  <c r="S61" i="10"/>
  <c r="M7" i="2"/>
  <c r="M11" i="2" s="1"/>
  <c r="M7" i="3"/>
  <c r="L7" i="2"/>
  <c r="L11" i="2" s="1"/>
  <c r="L7" i="3"/>
  <c r="U61" i="10"/>
  <c r="U62" i="10"/>
  <c r="T62" i="10"/>
  <c r="T61" i="10"/>
  <c r="H7" i="2"/>
  <c r="H11" i="2" s="1"/>
  <c r="H7" i="3"/>
  <c r="K7" i="2"/>
  <c r="K11" i="2" s="1"/>
  <c r="K7" i="3"/>
  <c r="P61" i="10"/>
  <c r="P62" i="10"/>
  <c r="K66" i="12" l="1"/>
  <c r="D7" i="2"/>
  <c r="D11" i="2" s="1"/>
  <c r="N68" i="12"/>
  <c r="P68" i="12"/>
  <c r="L68" i="12"/>
  <c r="D83" i="10"/>
  <c r="E83" i="10"/>
  <c r="F83" i="10"/>
  <c r="C83" i="10"/>
  <c r="G83" i="10"/>
  <c r="H11" i="3"/>
  <c r="K11" i="3"/>
  <c r="L11" i="3"/>
  <c r="C11" i="3"/>
  <c r="M11" i="3"/>
  <c r="F7" i="3"/>
  <c r="F7" i="2"/>
  <c r="F11" i="2" s="1"/>
  <c r="J7" i="3"/>
  <c r="J7" i="2"/>
  <c r="J11" i="2" s="1"/>
  <c r="R62" i="10"/>
  <c r="R61" i="10"/>
  <c r="L62" i="10"/>
  <c r="L61" i="10"/>
  <c r="D7" i="3"/>
  <c r="N61" i="10"/>
  <c r="N62" i="10"/>
  <c r="J68" i="12" l="1"/>
  <c r="T68" i="12"/>
  <c r="S68" i="12"/>
  <c r="O68" i="12"/>
  <c r="R68" i="12"/>
  <c r="F11" i="3"/>
  <c r="D11" i="3"/>
  <c r="J11" i="3"/>
  <c r="Q68" i="12" l="1"/>
  <c r="M68" i="12"/>
  <c r="K68" i="12"/>
</calcChain>
</file>

<file path=xl/comments1.xml><?xml version="1.0" encoding="utf-8"?>
<comments xmlns="http://schemas.openxmlformats.org/spreadsheetml/2006/main">
  <authors>
    <author>lsh1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TJCOG:
Possible Responses.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3" authorId="0" shapeId="0">
      <text>
        <r>
          <rPr>
            <b/>
            <sz val="9"/>
            <color indexed="81"/>
            <rFont val="Tahoma"/>
            <family val="2"/>
          </rPr>
          <t>TJCOG:
All should be surface water.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3" authorId="0" shapeId="0">
      <text>
        <r>
          <rPr>
            <b/>
            <sz val="9"/>
            <color indexed="81"/>
            <rFont val="Tahoma"/>
            <family val="2"/>
          </rPr>
          <t>TJCOG:</t>
        </r>
        <r>
          <rPr>
            <sz val="9"/>
            <color indexed="81"/>
            <rFont val="Tahoma"/>
            <family val="2"/>
          </rPr>
          <t xml:space="preserve">
List the most appropriate supply for the default option for Alternative 1.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</rPr>
          <t>TJCOG:</t>
        </r>
        <r>
          <rPr>
            <sz val="9"/>
            <color indexed="81"/>
            <rFont val="Tahoma"/>
            <family val="2"/>
          </rPr>
          <t xml:space="preserve">
Add a range if the source can be configured several ways.  </t>
        </r>
      </text>
    </comment>
  </commentList>
</comments>
</file>

<file path=xl/comments2.xml><?xml version="1.0" encoding="utf-8"?>
<comments xmlns="http://schemas.openxmlformats.org/spreadsheetml/2006/main">
  <authors>
    <author>lsh1</author>
  </authors>
  <commentLis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TJCOG:  Only need to include this portion if you have distinct service area populations you'd like to break out.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Donald Rayno</author>
  </authors>
  <commentList>
    <comment ref="C37" authorId="0" shapeId="0">
      <text>
        <r>
          <rPr>
            <b/>
            <sz val="8"/>
            <color indexed="81"/>
            <rFont val="Tahoma"/>
            <family val="2"/>
          </rPr>
          <t>Donald Rayno:</t>
        </r>
        <r>
          <rPr>
            <sz val="8"/>
            <color indexed="81"/>
            <rFont val="Tahoma"/>
            <family val="2"/>
          </rPr>
          <t xml:space="preserve">
The number in this cell is  calculated from the data entered for 2010.
If it is not appropriate to use this value for estimating this category in future years enter a recommended value in this cell. If this value is changed explain why in the application.</t>
        </r>
      </text>
    </comment>
    <comment ref="C39" authorId="0" shapeId="0">
      <text>
        <r>
          <rPr>
            <b/>
            <sz val="8"/>
            <color indexed="81"/>
            <rFont val="Tahoma"/>
            <family val="2"/>
          </rPr>
          <t>Donald Rayno:</t>
        </r>
        <r>
          <rPr>
            <sz val="8"/>
            <color indexed="81"/>
            <rFont val="Tahoma"/>
            <family val="2"/>
          </rPr>
          <t xml:space="preserve">
The number in this cell is  calculated from the data entered for 2010.
If it is not appropriate to use this value for estimating this category in future years enter a recommended value in this cell. If this value is changed explain why in the application.</t>
        </r>
      </text>
    </comment>
  </commentList>
</comments>
</file>

<file path=xl/comments4.xml><?xml version="1.0" encoding="utf-8"?>
<comments xmlns="http://schemas.openxmlformats.org/spreadsheetml/2006/main">
  <authors>
    <author>lsh1</author>
  </authors>
  <commentList>
    <comment ref="A22" authorId="0" shapeId="0">
      <text>
        <r>
          <rPr>
            <b/>
            <sz val="9"/>
            <color indexed="81"/>
            <rFont val="Tahoma"/>
            <family val="2"/>
          </rPr>
          <t xml:space="preserve">TJCOG:
Enter numbers here for projects 1, 2, and 3 above.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lsh1</author>
  </authors>
  <commentList>
    <comment ref="A22" authorId="0" shapeId="0">
      <text>
        <r>
          <rPr>
            <b/>
            <sz val="9"/>
            <color indexed="81"/>
            <rFont val="Tahoma"/>
            <family val="2"/>
          </rPr>
          <t xml:space="preserve">TJCOG:
Enter numbers here for projects 1, 2, and 3 above.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<sst xmlns="http://schemas.openxmlformats.org/spreadsheetml/2006/main" count="830" uniqueCount="387">
  <si>
    <t>(1) Residential</t>
  </si>
  <si>
    <t>(2) Commercial</t>
  </si>
  <si>
    <t>(3) Industrial</t>
  </si>
  <si>
    <t>(4) Institutional</t>
  </si>
  <si>
    <t xml:space="preserve">(7) Total Service Area Demand </t>
  </si>
  <si>
    <t xml:space="preserve">(5) Total Available Supply </t>
  </si>
  <si>
    <t>Available Supply , MGD</t>
  </si>
  <si>
    <t>(6) Service Area Demand</t>
  </si>
  <si>
    <t>(9) Total Average Daily Demand</t>
  </si>
  <si>
    <t>(10) Demand as Percent of Supply</t>
  </si>
  <si>
    <t>Additional Information for J.L. Allocation</t>
  </si>
  <si>
    <t>(12) Sales Under Existing Contracts</t>
  </si>
  <si>
    <t>(13) Expected Sales Under Future Contracts</t>
  </si>
  <si>
    <t>(14) Demand in Each Planning Period</t>
  </si>
  <si>
    <t>Source or Facility Name</t>
  </si>
  <si>
    <t>PWSID</t>
  </si>
  <si>
    <t>SW or GW</t>
  </si>
  <si>
    <t>Sub-Basin</t>
  </si>
  <si>
    <t xml:space="preserve">Wat Qual </t>
  </si>
  <si>
    <t>Classification</t>
  </si>
  <si>
    <t>Supply</t>
  </si>
  <si>
    <t>Development</t>
  </si>
  <si>
    <t>Time</t>
  </si>
  <si>
    <t xml:space="preserve">Year </t>
  </si>
  <si>
    <t>Online</t>
  </si>
  <si>
    <t>MGD</t>
  </si>
  <si>
    <t>Water Supplied to:</t>
  </si>
  <si>
    <t>Contract Amount and Duration</t>
  </si>
  <si>
    <t>System Name</t>
  </si>
  <si>
    <t>Year Begin</t>
  </si>
  <si>
    <t>Year End</t>
  </si>
  <si>
    <t>Pipe Size</t>
  </si>
  <si>
    <t>(inches)</t>
  </si>
  <si>
    <t>Regular or</t>
  </si>
  <si>
    <t>Emergency</t>
  </si>
  <si>
    <t>(label the alternative presented in this table)</t>
  </si>
  <si>
    <t>(8)     Amount NOT returned to Source Basin</t>
  </si>
  <si>
    <t>List details of the future supply options included in this alternative scenario</t>
  </si>
  <si>
    <t>Future Source</t>
  </si>
  <si>
    <t>Wat. Qual</t>
  </si>
  <si>
    <t>Additional</t>
  </si>
  <si>
    <t>Time (years)</t>
  </si>
  <si>
    <t>Year</t>
  </si>
  <si>
    <t>Applicant</t>
  </si>
  <si>
    <t>Date</t>
  </si>
  <si>
    <t>Basin</t>
  </si>
  <si>
    <t>GS 143-215.22G</t>
  </si>
  <si>
    <t>Sub-total</t>
  </si>
  <si>
    <t>Total Sales Contracts</t>
  </si>
  <si>
    <t>Sales Commitments</t>
  </si>
  <si>
    <t>Total System Demand</t>
  </si>
  <si>
    <t>Existing commitments for additional Future Sales (list buyer)</t>
  </si>
  <si>
    <t>Supply mgd</t>
  </si>
  <si>
    <t>Show all water volumes in millions of gallons per day</t>
  </si>
  <si>
    <t>Indicate months of seasonal use</t>
  </si>
  <si>
    <t>Jan</t>
  </si>
  <si>
    <t>Feb</t>
  </si>
  <si>
    <t>Dec</t>
  </si>
  <si>
    <t>Nov</t>
  </si>
  <si>
    <t>Oct</t>
  </si>
  <si>
    <t>Sept</t>
  </si>
  <si>
    <t>Aug</t>
  </si>
  <si>
    <t>Jul</t>
  </si>
  <si>
    <t>June</t>
  </si>
  <si>
    <t>May</t>
  </si>
  <si>
    <t>Apr</t>
  </si>
  <si>
    <t>Mar</t>
  </si>
  <si>
    <r>
      <t xml:space="preserve">Existing Sales Contracts </t>
    </r>
    <r>
      <rPr>
        <b/>
        <sz val="10"/>
        <rFont val="Arial"/>
        <family val="2"/>
      </rPr>
      <t xml:space="preserve"> (list buyer and years covered by contract)</t>
    </r>
  </si>
  <si>
    <t>Projections</t>
  </si>
  <si>
    <t>Type of Population to be Served</t>
  </si>
  <si>
    <r>
      <t>Type of Use (</t>
    </r>
    <r>
      <rPr>
        <b/>
        <sz val="10"/>
        <rFont val="Arial"/>
        <family val="2"/>
      </rPr>
      <t>Average Daily Service Area Demand in Million Gallons per Day (MGD)  Do not include sales to other systems</t>
    </r>
    <r>
      <rPr>
        <b/>
        <sz val="12"/>
        <rFont val="Arial"/>
        <family val="2"/>
      </rPr>
      <t>)</t>
    </r>
  </si>
  <si>
    <t>Future Sales Contracts that have already been agreed to.</t>
  </si>
  <si>
    <t>Future Supplies  List all new supplies or facilities which were under development as of July 1, 2012</t>
  </si>
  <si>
    <t>Local Water Supply Plan  supplemental information  for Jordan Lake Allocation Application</t>
  </si>
  <si>
    <t xml:space="preserve"> Demand - Supply  Comparison  (Show all quantities in Million Gallons per Day )</t>
  </si>
  <si>
    <t>(1) Existing Surface Water Supply</t>
  </si>
  <si>
    <t>(2) Existing Ground Water Supply</t>
  </si>
  <si>
    <t xml:space="preserve">(3) Existing Purchase Contracts </t>
  </si>
  <si>
    <t xml:space="preserve">(4) Future Supplies                      </t>
  </si>
  <si>
    <t xml:space="preserve">(7) Existing Sales Contracts       </t>
  </si>
  <si>
    <t xml:space="preserve">(8) Contracts for Future Sales </t>
  </si>
  <si>
    <t>Expected</t>
  </si>
  <si>
    <t>(1) Line (15) From Demand - Supply Comparison Table</t>
  </si>
  <si>
    <t>List the Components of each alternative scenario including the expected period when each component will come online.</t>
  </si>
  <si>
    <t>(7)         Consumptive Use in Receiving Basin</t>
  </si>
  <si>
    <t>(6)              Total discharge to Receiving Basin</t>
  </si>
  <si>
    <t>(5)              Consumptive Use in Source Basin</t>
  </si>
  <si>
    <t>(4)                   Total discharge to Source Basin</t>
  </si>
  <si>
    <t>(3)               Supply Available for future needs</t>
  </si>
  <si>
    <t>Future Supply Alternative 2</t>
  </si>
  <si>
    <t>(15) Supply Deficit    (Demand minus Supply)</t>
  </si>
  <si>
    <t>Alternatives</t>
  </si>
  <si>
    <t>Summary Description</t>
  </si>
  <si>
    <t>Alternative 1</t>
  </si>
  <si>
    <t>Alternative 2</t>
  </si>
  <si>
    <t>Alternative 3</t>
  </si>
  <si>
    <t>Alternative 4</t>
  </si>
  <si>
    <t>Alternative 5</t>
  </si>
  <si>
    <t>Total Supply (MGD)</t>
  </si>
  <si>
    <t>Environmental Impacts</t>
  </si>
  <si>
    <t>Water Quality Classification</t>
  </si>
  <si>
    <t>Interbasin Transfer (MGD)</t>
  </si>
  <si>
    <t>Regional Partnerships</t>
  </si>
  <si>
    <t>Technical Complexity</t>
  </si>
  <si>
    <t>Institutional Complexity</t>
  </si>
  <si>
    <t>Political Complexity</t>
  </si>
  <si>
    <t>Public Benefits</t>
  </si>
  <si>
    <t>Consistency with local plans</t>
  </si>
  <si>
    <t>Total Cost ($ millions)</t>
  </si>
  <si>
    <t>Unit Cost ($/1000 gallons)</t>
  </si>
  <si>
    <t>Allocation Request (% of storage)</t>
  </si>
  <si>
    <t>Use Sector</t>
  </si>
  <si>
    <t>Use Sub-sector</t>
  </si>
  <si>
    <t>Description</t>
  </si>
  <si>
    <t>Residential</t>
  </si>
  <si>
    <t>Commercial</t>
  </si>
  <si>
    <t>Industrial</t>
  </si>
  <si>
    <t>Institutional</t>
  </si>
  <si>
    <t>Provide a description of the groups of customers included in each use sector or sub-sector</t>
  </si>
  <si>
    <t>Year-round population</t>
  </si>
  <si>
    <t>Seasonal Population (if applicable)</t>
  </si>
  <si>
    <t>Sector</t>
  </si>
  <si>
    <t>Subsector</t>
  </si>
  <si>
    <t>System Process</t>
  </si>
  <si>
    <t>Non-Revenue</t>
  </si>
  <si>
    <t>WTP Process</t>
  </si>
  <si>
    <t>Other Non-Revenue</t>
  </si>
  <si>
    <t xml:space="preserve">Section I </t>
  </si>
  <si>
    <t>Table I.1 - Title</t>
  </si>
  <si>
    <t>TOTAL</t>
  </si>
  <si>
    <t>Partner</t>
  </si>
  <si>
    <t>Source Name</t>
  </si>
  <si>
    <t>Demand Projections</t>
  </si>
  <si>
    <t>Population Table</t>
  </si>
  <si>
    <t>Data</t>
  </si>
  <si>
    <t xml:space="preserve">2010 </t>
  </si>
  <si>
    <t xml:space="preserve">2020 </t>
  </si>
  <si>
    <t xml:space="preserve">2030 </t>
  </si>
  <si>
    <t xml:space="preserve">2040 </t>
  </si>
  <si>
    <t xml:space="preserve">2045 </t>
  </si>
  <si>
    <t xml:space="preserve">2050 </t>
  </si>
  <si>
    <t xml:space="preserve">2060 </t>
  </si>
  <si>
    <t>General Tables Here</t>
  </si>
  <si>
    <t>Timeline Tables here</t>
  </si>
  <si>
    <t>Table I.1 - Use Sector Descriptions</t>
  </si>
  <si>
    <t>(See "Use Sector Descriptions" tab)</t>
  </si>
  <si>
    <t>See Table at right</t>
  </si>
  <si>
    <t>Table I.2 - Population Projections 2010 - 2060</t>
  </si>
  <si>
    <t xml:space="preserve">Section II </t>
  </si>
  <si>
    <t>Section III</t>
  </si>
  <si>
    <t xml:space="preserve">Figure III.1 - Map of Water Sources and Treatment Plants </t>
  </si>
  <si>
    <t>Section II</t>
  </si>
  <si>
    <t>Table III.1 - Source Summary of [Partner's] Existing Water Supply Sources</t>
  </si>
  <si>
    <t>Table IV.1 - Water Supply Needs</t>
  </si>
  <si>
    <t>See Timeline table at Right</t>
  </si>
  <si>
    <t>Source</t>
  </si>
  <si>
    <t>WQ Classification</t>
  </si>
  <si>
    <t>Sales</t>
  </si>
  <si>
    <t>Available Supply (MGD)</t>
  </si>
  <si>
    <t>Haw (2-1)</t>
  </si>
  <si>
    <t>Cape Fear (2-3)</t>
  </si>
  <si>
    <t>Neuse (10-1)</t>
  </si>
  <si>
    <t>SW</t>
  </si>
  <si>
    <t>00-00-000</t>
  </si>
  <si>
    <t>(5) System Process   - Distribution Process</t>
  </si>
  <si>
    <t xml:space="preserve">   System Process - WTP Process</t>
  </si>
  <si>
    <t>(6) Other Non-revenue water (Unaccounted-for)</t>
  </si>
  <si>
    <t>Sources - Existing</t>
  </si>
  <si>
    <t>Supply (MGD)</t>
  </si>
  <si>
    <t>Demand</t>
  </si>
  <si>
    <t>Need</t>
  </si>
  <si>
    <t>Demand % of Supply</t>
  </si>
  <si>
    <t xml:space="preserve">Table I.3 - Demand Projections </t>
  </si>
  <si>
    <t>Option1 - Full Table</t>
  </si>
  <si>
    <t>Option 2 - Pivot Table Compact</t>
  </si>
  <si>
    <t>Demand Projection Percentages (Optional)</t>
  </si>
  <si>
    <t>Supplier</t>
  </si>
  <si>
    <t>Begin Year</t>
  </si>
  <si>
    <t>End Year</t>
  </si>
  <si>
    <t>Equiv. Supply (MGD)</t>
  </si>
  <si>
    <t>Regular or Emergency</t>
  </si>
  <si>
    <t>Pipe Size (in.)</t>
  </si>
  <si>
    <t>Table III.1X - Purchase Contracts  (use for regular purchases, or if no sources)</t>
  </si>
  <si>
    <t>Regular</t>
  </si>
  <si>
    <t>Contract Amount (MGD)</t>
  </si>
  <si>
    <t>Section V</t>
  </si>
  <si>
    <t>Figure I.X2  - Demand Projections by Sector</t>
  </si>
  <si>
    <t>Figure I.1 - Map of Service Area</t>
  </si>
  <si>
    <t>Figure I.X2b</t>
  </si>
  <si>
    <t>Jursidiction</t>
  </si>
  <si>
    <t>Apex</t>
  </si>
  <si>
    <t>Cary incl. Morrisville</t>
  </si>
  <si>
    <t>Chatham County N</t>
  </si>
  <si>
    <t>Durham</t>
  </si>
  <si>
    <t>Hillsborough</t>
  </si>
  <si>
    <t>Holly Springs</t>
  </si>
  <si>
    <t>Orange County</t>
  </si>
  <si>
    <t>OWASA</t>
  </si>
  <si>
    <t>Pittsboro</t>
  </si>
  <si>
    <t>Raleigh</t>
  </si>
  <si>
    <t>Sanford</t>
  </si>
  <si>
    <t>RTP South</t>
  </si>
  <si>
    <t>TOTALS</t>
  </si>
  <si>
    <t>Proposed 5-year projections</t>
  </si>
  <si>
    <t>PWSID (supplier)</t>
  </si>
  <si>
    <t>Table I.2 - Population Projections --&gt;</t>
  </si>
  <si>
    <t>Section IV  - Water Supply Need</t>
  </si>
  <si>
    <t>Source Options - Future</t>
  </si>
  <si>
    <t xml:space="preserve"> (See Demand Tables Tab)</t>
  </si>
  <si>
    <t>Source Options</t>
  </si>
  <si>
    <t>Type</t>
  </si>
  <si>
    <t>Earliest Year Online</t>
  </si>
  <si>
    <t>Year Online (earliest)</t>
  </si>
  <si>
    <t>Selected Alternative</t>
  </si>
  <si>
    <t>Not Complex</t>
  </si>
  <si>
    <t>Less Than</t>
  </si>
  <si>
    <t>More Than</t>
  </si>
  <si>
    <t>Supply Range (MGD)</t>
  </si>
  <si>
    <t>Supply Range</t>
  </si>
  <si>
    <t>Purchase</t>
  </si>
  <si>
    <t>Jordan Lake</t>
  </si>
  <si>
    <t>#</t>
  </si>
  <si>
    <t>Development Time (yrs)</t>
  </si>
  <si>
    <t>None</t>
  </si>
  <si>
    <t xml:space="preserve">Table I.4 - Sales Contracts  </t>
  </si>
  <si>
    <t>Sources:</t>
  </si>
  <si>
    <t>Total New Supply (MGD)</t>
  </si>
  <si>
    <t xml:space="preserve">Purchase Contracts- Existing </t>
  </si>
  <si>
    <t>Sales Contracts</t>
  </si>
  <si>
    <t>Purchaser</t>
  </si>
  <si>
    <t>Residential/Commercial/Etc</t>
  </si>
  <si>
    <t>5-yr demand projections -</t>
  </si>
  <si>
    <t>Contact Information</t>
  </si>
  <si>
    <t>Local Government Entity</t>
  </si>
  <si>
    <t>Water System PWSID #</t>
  </si>
  <si>
    <t xml:space="preserve">Contact Person </t>
  </si>
  <si>
    <t>Title</t>
  </si>
  <si>
    <t>Email</t>
  </si>
  <si>
    <t>Phone 1</t>
  </si>
  <si>
    <t>Phone 2</t>
  </si>
  <si>
    <t>Section V - Alternatives</t>
  </si>
  <si>
    <t>CMR</t>
  </si>
  <si>
    <t>Chatham County</t>
  </si>
  <si>
    <t>River Withdrawal</t>
  </si>
  <si>
    <t>Haw River Withdrawal</t>
  </si>
  <si>
    <t>W. Fork Eno Reservoir Expansion</t>
  </si>
  <si>
    <t>Reservoir Expansion</t>
  </si>
  <si>
    <t>Stone Quarry Expansion</t>
  </si>
  <si>
    <t>Quarry Reservoir</t>
  </si>
  <si>
    <t>Teer Quarry Expansion</t>
  </si>
  <si>
    <t>Town of Mebane Purchase</t>
  </si>
  <si>
    <t>Total Projected Need (2045)</t>
  </si>
  <si>
    <t>Total Projected Need (2060)</t>
  </si>
  <si>
    <t>Need and Source Options</t>
  </si>
  <si>
    <t>Rd. 4 Allocation Request (% of storage)</t>
  </si>
  <si>
    <t>Current Contract</t>
  </si>
  <si>
    <t>[MGD]</t>
  </si>
  <si>
    <t>Demand in Year:</t>
  </si>
  <si>
    <t>Jurisdiction</t>
  </si>
  <si>
    <t>Cary</t>
  </si>
  <si>
    <t>Morrisville</t>
  </si>
  <si>
    <t>Total</t>
  </si>
  <si>
    <t>Supply Source</t>
  </si>
  <si>
    <t>Sub-basin</t>
  </si>
  <si>
    <t>Avg. day Supply (MGD)</t>
  </si>
  <si>
    <t>Jordan Lake Allocation - Level I</t>
  </si>
  <si>
    <t>L. Michie and Little River Reservoir</t>
  </si>
  <si>
    <t>Reservoir System</t>
  </si>
  <si>
    <t>L. Orange, Ben Johnston, &amp; W. Fk. Eno Res</t>
  </si>
  <si>
    <t>Jordan Lake Allocation - Level II</t>
  </si>
  <si>
    <t>Harnett County - Cape Fear River</t>
  </si>
  <si>
    <t>Town of Mebane - Graham-Mebane Res.</t>
  </si>
  <si>
    <t>Cane Cr. Reservoir and University L.</t>
  </si>
  <si>
    <t>Haw River</t>
  </si>
  <si>
    <t>Falls Lake</t>
  </si>
  <si>
    <t>Falls Lake Allocation</t>
  </si>
  <si>
    <t>Lake Benson and Lake Wheeler</t>
  </si>
  <si>
    <t>Cape Fear River</t>
  </si>
  <si>
    <t>Current Supply Sources</t>
  </si>
  <si>
    <t>WS IV B NSW CA</t>
  </si>
  <si>
    <t>WS-II/HQW/NSW</t>
  </si>
  <si>
    <t>WS-II HQW NSW</t>
  </si>
  <si>
    <t>WS IV NSW</t>
  </si>
  <si>
    <t>WS IV-NSW</t>
  </si>
  <si>
    <t>WS II-NSW</t>
  </si>
  <si>
    <t>WS III NSW CA</t>
  </si>
  <si>
    <t>???</t>
  </si>
  <si>
    <t>WS-IV NSW ?</t>
  </si>
  <si>
    <t>Name</t>
  </si>
  <si>
    <t>Additional Supply</t>
  </si>
  <si>
    <t>Year Online</t>
  </si>
  <si>
    <t>Jordan Lake Allocation Round 4</t>
  </si>
  <si>
    <t xml:space="preserve">Jordan Lake </t>
  </si>
  <si>
    <t>Jordan Lake Allocation - Future</t>
  </si>
  <si>
    <t>Jordan Lake Allocation- Future Rounds</t>
  </si>
  <si>
    <t xml:space="preserve">WS-IV NSW </t>
  </si>
  <si>
    <t>0-2.6</t>
  </si>
  <si>
    <t>Jordan Lake Allocation - Future Round</t>
  </si>
  <si>
    <t>WS II HQW NSW?</t>
  </si>
  <si>
    <t>Town of Mebane Purchase (2)</t>
  </si>
  <si>
    <t>Haw River Withdrawal (2)</t>
  </si>
  <si>
    <t>JLP Recommended Alternative Composition, by Partner</t>
  </si>
  <si>
    <t>Future Supply Alternative 1 - JLP Recommended Alternative</t>
  </si>
  <si>
    <t>Timeliness</t>
  </si>
  <si>
    <t>Alt. 1</t>
  </si>
  <si>
    <t>Alt. 2</t>
  </si>
  <si>
    <t xml:space="preserve">Section V </t>
  </si>
  <si>
    <t>Section IV</t>
  </si>
  <si>
    <t>Figure V.2 – Timeline of need versus new water supply for the alternatives</t>
  </si>
  <si>
    <t>Figure V.1 –Map of Water Supply Source Options</t>
  </si>
  <si>
    <t>Section VI</t>
  </si>
  <si>
    <t>Jurisidiction</t>
  </si>
  <si>
    <t xml:space="preserve">Orange County </t>
  </si>
  <si>
    <t>Projected Need</t>
  </si>
  <si>
    <t>Table V.1 Source options descriptions</t>
  </si>
  <si>
    <t>Table V.3 - Source Composition of Supply Alternatives</t>
  </si>
  <si>
    <t>Table V.4 - Water Supply Alternatives Ratings</t>
  </si>
  <si>
    <t>Table VI.1 - Implementation timeline</t>
  </si>
  <si>
    <t>Table VI.2 - Jordan Lake Costs</t>
  </si>
  <si>
    <t>Table VI.3 - Overall costs for selected alternative</t>
  </si>
  <si>
    <t xml:space="preserve">Sales timeline (optional) Use if desired in report.  </t>
  </si>
  <si>
    <t>Figures V.X - XX - Source Alternative Figures</t>
  </si>
  <si>
    <t>[Name/Title here]</t>
  </si>
  <si>
    <t>Population</t>
  </si>
  <si>
    <t>Overall  Demand</t>
  </si>
  <si>
    <t>PWSID (purchaser)</t>
  </si>
  <si>
    <t>TOTAL NEW SUPPLY</t>
  </si>
  <si>
    <t>Service Area</t>
  </si>
  <si>
    <t>Area B</t>
  </si>
  <si>
    <t>Area C</t>
  </si>
  <si>
    <t>Distribution System Process</t>
  </si>
  <si>
    <t>Water Treatment Process</t>
  </si>
  <si>
    <t>Current Supply</t>
  </si>
  <si>
    <t>Existing Demand</t>
  </si>
  <si>
    <t>Currently Supportable Demand</t>
  </si>
  <si>
    <t>Optional</t>
  </si>
  <si>
    <t>Figure IV.1 - Projected Demand and Need relative to Current Supply.</t>
  </si>
  <si>
    <t>Town of Pittsboro</t>
  </si>
  <si>
    <t>03-19-015</t>
  </si>
  <si>
    <t>03-19-126</t>
  </si>
  <si>
    <t>Chapel Ridge S/D</t>
  </si>
  <si>
    <t>40-19-009</t>
  </si>
  <si>
    <t>Chatham County North</t>
  </si>
  <si>
    <t>none</t>
  </si>
  <si>
    <t>Additional River Withdrawal</t>
  </si>
  <si>
    <t>Included in Commercial</t>
  </si>
  <si>
    <t>Manufacturing Plants</t>
  </si>
  <si>
    <t xml:space="preserve"> Single family homes, duplexes, apartments - including apartments with a master meter, irrigation</t>
  </si>
  <si>
    <t>Currently serving: WDL, Biolex-1, Biolex-2, Piedmont Biofuel</t>
  </si>
  <si>
    <t xml:space="preserve">Withdraw water from the Haw River while working with partners to build western intake on Jordan Lake </t>
  </si>
  <si>
    <t>JLP</t>
  </si>
  <si>
    <t>Yes</t>
  </si>
  <si>
    <t>Good</t>
  </si>
  <si>
    <t xml:space="preserve">Regular </t>
  </si>
  <si>
    <t>Complex</t>
  </si>
  <si>
    <t>Pittsboro ETJ</t>
  </si>
  <si>
    <t>Expand Haw River</t>
  </si>
  <si>
    <t>Minumum Consumptive Use in Source Basin</t>
  </si>
  <si>
    <t>consumptive use = chapel ridge, reuse, septic, leaks, chatham park %</t>
  </si>
  <si>
    <t>Work with partners to build western intake on Jordan Lake as quickly as possible</t>
  </si>
  <si>
    <t>Few</t>
  </si>
  <si>
    <t>Unit Cost ($Million/MGD)</t>
  </si>
  <si>
    <t>Total Capital Cost  ($ millions)</t>
  </si>
  <si>
    <t>Bulk Sales</t>
  </si>
  <si>
    <t>Includes Institutional</t>
  </si>
  <si>
    <t>Fred Royal</t>
  </si>
  <si>
    <t>Town Engineer</t>
  </si>
  <si>
    <t>919-542-2063</t>
  </si>
  <si>
    <t>919-369-8397</t>
  </si>
  <si>
    <t>froyal@pittsboronc.gov</t>
  </si>
  <si>
    <t>to these buildings</t>
  </si>
  <si>
    <t>Commercial businesses and Institutional customers areboth included in this sector. Examples include;</t>
  </si>
  <si>
    <t xml:space="preserve"> county office buildings, schools, colleges, nursing homes, an daycares</t>
  </si>
  <si>
    <t xml:space="preserve"> as well as irrigation to these buildings.</t>
  </si>
  <si>
    <t>Included in commercial sector.</t>
  </si>
  <si>
    <t xml:space="preserve">Master meter to Chapel Ridge subdivision. Not included in residential sector </t>
  </si>
  <si>
    <t>because significant water demand is for golf course irrigation.</t>
  </si>
  <si>
    <t>Included with Other Non-Revenue Water)</t>
  </si>
  <si>
    <t>Raw water used at the WTP that is returned to the Haw River. This water is not sent into the distribution system.</t>
  </si>
  <si>
    <t>Fire fighting, leakage, and distribution system process water (flushing).</t>
  </si>
  <si>
    <t>Acceptable</t>
  </si>
  <si>
    <t>Problematic</t>
  </si>
  <si>
    <t>Very Complex</t>
  </si>
  <si>
    <t xml:space="preserve">Jordan Lake Allocation </t>
  </si>
  <si>
    <t>Jordan Lake Allocation - I</t>
  </si>
  <si>
    <t>Jordan Lake Allocation - II</t>
  </si>
  <si>
    <r>
      <t xml:space="preserve">Table V.2 - Alternatives description  -  </t>
    </r>
    <r>
      <rPr>
        <sz val="10"/>
        <rFont val="Arial"/>
        <family val="2"/>
      </rPr>
      <t xml:space="preserve">See the Supply Alternatives summary.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</si>
</sst>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_);[Red]\(0.000\)"/>
    <numFmt numFmtId="165" formatCode="0.000"/>
    <numFmt numFmtId="166" formatCode="[$-409]d\-mmm\-yy;@"/>
    <numFmt numFmtId="167" formatCode="0.0"/>
    <numFmt numFmtId="168" formatCode="#,##0.0"/>
    <numFmt numFmtId="169" formatCode="0.00_);[Red]\(0.00\)"/>
    <numFmt numFmtId="170" formatCode="0.0%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Calibri"/>
      <family val="2"/>
    </font>
    <font>
      <b/>
      <sz val="12"/>
      <name val="Tw Cen MT Condensed"/>
      <family val="2"/>
    </font>
    <font>
      <sz val="12"/>
      <name val="Arial Narrow"/>
      <family val="2"/>
    </font>
    <font>
      <b/>
      <u/>
      <sz val="10"/>
      <name val="Arial"/>
      <family val="2"/>
    </font>
    <font>
      <b/>
      <sz val="10"/>
      <name val="Arial Narrow"/>
      <family val="2"/>
    </font>
    <font>
      <b/>
      <sz val="12"/>
      <color rgb="FFFF0000"/>
      <name val="Arial"/>
      <family val="2"/>
    </font>
    <font>
      <b/>
      <sz val="12"/>
      <color rgb="FFFFFFFF"/>
      <name val="Tw Cen MT Condensed"/>
      <family val="2"/>
    </font>
    <font>
      <b/>
      <sz val="10"/>
      <color rgb="FF00421E"/>
      <name val="Arial"/>
      <family val="2"/>
    </font>
    <font>
      <b/>
      <sz val="11"/>
      <color theme="0"/>
      <name val="Tw Cen MT Condensed"/>
      <family val="2"/>
    </font>
    <font>
      <b/>
      <sz val="10"/>
      <color rgb="FF003300"/>
      <name val="Arial"/>
      <family val="2"/>
    </font>
    <font>
      <b/>
      <sz val="11"/>
      <name val="Tw Cen MT Condensed"/>
      <family val="2"/>
    </font>
    <font>
      <b/>
      <sz val="11"/>
      <name val="Arial Narrow"/>
      <family val="2"/>
    </font>
    <font>
      <b/>
      <sz val="11"/>
      <color rgb="FFFFFFFF"/>
      <name val="Tw Cen MT Condensed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sz val="12"/>
      <name val="Tw Cen MT Condensed"/>
      <family val="2"/>
    </font>
    <font>
      <u/>
      <sz val="10"/>
      <name val="Arial"/>
      <family val="2"/>
    </font>
    <font>
      <i/>
      <sz val="12"/>
      <name val="Arial Narrow"/>
      <family val="2"/>
    </font>
    <font>
      <sz val="11"/>
      <color rgb="FFFF0000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4"/>
      <name val="Tw Cen MT Condensed"/>
      <family val="2"/>
    </font>
    <font>
      <b/>
      <sz val="10"/>
      <color rgb="FF0066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0"/>
      <name val="Arial"/>
      <family val="2"/>
    </font>
    <font>
      <b/>
      <i/>
      <sz val="10"/>
      <color rgb="FF00660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C00000"/>
      <name val="Arial Narrow"/>
      <family val="2"/>
    </font>
    <font>
      <b/>
      <u/>
      <sz val="12"/>
      <color rgb="FFFFFFFF"/>
      <name val="Tw Cen MT Condensed"/>
      <family val="2"/>
    </font>
    <font>
      <b/>
      <sz val="14"/>
      <name val="Arial Narrow"/>
      <family val="2"/>
    </font>
    <font>
      <b/>
      <i/>
      <sz val="12"/>
      <name val="Arial"/>
      <family val="2"/>
    </font>
    <font>
      <sz val="24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963634"/>
      <name val="Calibri"/>
      <family val="2"/>
    </font>
    <font>
      <b/>
      <i/>
      <sz val="11"/>
      <color rgb="FF963634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9"/>
      <color rgb="FF006600"/>
      <name val="Arial"/>
      <family val="2"/>
    </font>
    <font>
      <b/>
      <sz val="9"/>
      <color theme="0"/>
      <name val="Arial"/>
      <family val="2"/>
    </font>
    <font>
      <b/>
      <sz val="11"/>
      <color rgb="FF006600"/>
      <name val="Arial"/>
      <family val="2"/>
    </font>
    <font>
      <b/>
      <sz val="11"/>
      <name val="Calibri"/>
      <family val="2"/>
    </font>
    <font>
      <sz val="11"/>
      <name val="Arial Narrow"/>
      <family val="2"/>
    </font>
    <font>
      <sz val="11"/>
      <name val="Tw Cen MT Condensed"/>
      <family val="2"/>
    </font>
    <font>
      <b/>
      <sz val="10"/>
      <color rgb="FFFFFFFF"/>
      <name val="Tw Cen MT Condensed"/>
      <family val="2"/>
    </font>
    <font>
      <sz val="10"/>
      <name val="Tw Cen MT Condensed"/>
      <family val="2"/>
    </font>
    <font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4"/>
      <color theme="0"/>
      <name val="Tw Cen MT Condensed"/>
      <family val="2"/>
    </font>
    <font>
      <sz val="14"/>
      <color theme="0"/>
      <name val="Tw Cen MT Condensed"/>
      <family val="2"/>
    </font>
    <font>
      <b/>
      <sz val="11"/>
      <name val="Tw Cen MT Condensed"/>
      <family val="2"/>
    </font>
    <font>
      <b/>
      <sz val="11"/>
      <color theme="0"/>
      <name val="Tw Cen MT Condensed"/>
      <family val="2"/>
    </font>
    <font>
      <b/>
      <sz val="11"/>
      <color theme="1"/>
      <name val="Tw Cen MT Condensed"/>
      <family val="2"/>
    </font>
    <font>
      <b/>
      <sz val="11"/>
      <name val="Arial Narrow"/>
      <family val="2"/>
    </font>
    <font>
      <b/>
      <i/>
      <sz val="11"/>
      <name val="Arial Narrow"/>
      <family val="2"/>
    </font>
    <font>
      <b/>
      <sz val="12"/>
      <color theme="0"/>
      <name val="Tw Cen MT Condensed"/>
      <family val="2"/>
    </font>
    <font>
      <b/>
      <i/>
      <sz val="12"/>
      <color rgb="FFFFFF00"/>
      <name val="Tw Cen MT Condensed"/>
      <family val="2"/>
    </font>
    <font>
      <b/>
      <sz val="12"/>
      <name val="Tw Cen MT Condensed"/>
      <family val="2"/>
    </font>
    <font>
      <sz val="11"/>
      <color theme="1" tint="4.9989318521683403E-2"/>
      <name val="Arial Narrow"/>
      <family val="2"/>
    </font>
    <font>
      <sz val="11"/>
      <color theme="7" tint="0.39997558519241921"/>
      <name val="Arial Narrow"/>
      <family val="2"/>
    </font>
  </fonts>
  <fills count="5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gray0625">
        <fgColor indexed="8"/>
        <bgColor indexed="41"/>
      </patternFill>
    </fill>
    <fill>
      <patternFill patternType="gray0625">
        <fgColor indexed="8"/>
        <b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62BA5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1B2C9"/>
        <bgColor indexed="64"/>
      </patternFill>
    </fill>
    <fill>
      <patternFill patternType="gray0625">
        <fgColor indexed="8"/>
        <bgColor theme="4" tint="0.59999389629810485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E6E17A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FA301"/>
        <bgColor indexed="64"/>
      </patternFill>
    </fill>
    <fill>
      <patternFill patternType="solid">
        <fgColor rgb="FF5535A5"/>
        <bgColor indexed="64"/>
      </patternFill>
    </fill>
    <fill>
      <patternFill patternType="solid">
        <fgColor rgb="FFBE6402"/>
        <bgColor indexed="64"/>
      </patternFill>
    </fill>
    <fill>
      <patternFill patternType="solid">
        <fgColor rgb="FFEF8585"/>
        <bgColor indexed="64"/>
      </patternFill>
    </fill>
    <fill>
      <patternFill patternType="solid">
        <fgColor rgb="FFB19BD1"/>
        <bgColor indexed="64"/>
      </patternFill>
    </fill>
    <fill>
      <patternFill patternType="solid">
        <fgColor rgb="FFFAAE62"/>
        <bgColor indexed="64"/>
      </patternFill>
    </fill>
    <fill>
      <patternFill patternType="solid">
        <fgColor rgb="FFFFFF33"/>
        <bgColor indexed="64"/>
      </patternFill>
    </fill>
    <fill>
      <patternFill patternType="solid">
        <fgColor rgb="FF4DB3F9"/>
        <bgColor indexed="64"/>
      </patternFill>
    </fill>
    <fill>
      <patternFill patternType="solid">
        <fgColor theme="7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rgb="FFFFFFFF"/>
      </left>
      <right/>
      <top style="thick">
        <color rgb="FF000000"/>
      </top>
      <bottom style="double">
        <color indexed="64"/>
      </bottom>
      <diagonal/>
    </border>
    <border>
      <left/>
      <right/>
      <top style="thick">
        <color rgb="FF000000"/>
      </top>
      <bottom style="double">
        <color indexed="64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medium">
        <color rgb="FFFFFFFF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double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FFFFFF"/>
      </left>
      <right/>
      <top style="thick">
        <color rgb="FF000000"/>
      </top>
      <bottom/>
      <diagonal/>
    </border>
    <border>
      <left style="medium">
        <color rgb="FFFFFFFF"/>
      </left>
      <right/>
      <top/>
      <bottom style="double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double">
        <color indexed="64"/>
      </bottom>
      <diagonal/>
    </border>
    <border>
      <left/>
      <right/>
      <top style="medium">
        <color theme="0"/>
      </top>
      <bottom/>
      <diagonal/>
    </border>
    <border>
      <left/>
      <right/>
      <top style="double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theme="0"/>
      </bottom>
      <diagonal/>
    </border>
    <border>
      <left style="medium">
        <color rgb="FFFFFFFF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489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4" fillId="2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0" borderId="0" xfId="0" applyFont="1" applyBorder="1"/>
    <xf numFmtId="0" fontId="3" fillId="3" borderId="0" xfId="0" applyFont="1" applyFill="1" applyBorder="1"/>
    <xf numFmtId="0" fontId="3" fillId="3" borderId="7" xfId="0" applyFont="1" applyFill="1" applyBorder="1"/>
    <xf numFmtId="0" fontId="3" fillId="3" borderId="11" xfId="0" applyFont="1" applyFill="1" applyBorder="1"/>
    <xf numFmtId="0" fontId="3" fillId="3" borderId="3" xfId="0" quotePrefix="1" applyFont="1" applyFill="1" applyBorder="1" applyAlignment="1">
      <alignment horizontal="center"/>
    </xf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/>
    <xf numFmtId="0" fontId="3" fillId="2" borderId="2" xfId="0" applyFont="1" applyFill="1" applyBorder="1" applyAlignment="1">
      <alignment horizontal="right"/>
    </xf>
    <xf numFmtId="0" fontId="4" fillId="2" borderId="2" xfId="0" applyFont="1" applyFill="1" applyBorder="1"/>
    <xf numFmtId="0" fontId="3" fillId="2" borderId="0" xfId="0" applyFont="1" applyFill="1" applyBorder="1"/>
    <xf numFmtId="0" fontId="3" fillId="2" borderId="7" xfId="0" applyFont="1" applyFill="1" applyBorder="1"/>
    <xf numFmtId="0" fontId="3" fillId="3" borderId="6" xfId="0" quotePrefix="1" applyFont="1" applyFill="1" applyBorder="1" applyAlignment="1">
      <alignment horizontal="center"/>
    </xf>
    <xf numFmtId="0" fontId="3" fillId="0" borderId="10" xfId="0" applyFont="1" applyBorder="1"/>
    <xf numFmtId="0" fontId="3" fillId="3" borderId="15" xfId="0" applyFont="1" applyFill="1" applyBorder="1" applyAlignment="1">
      <alignment horizontal="center" wrapText="1"/>
    </xf>
    <xf numFmtId="0" fontId="7" fillId="0" borderId="0" xfId="0" applyFont="1"/>
    <xf numFmtId="0" fontId="5" fillId="0" borderId="0" xfId="0" applyFont="1"/>
    <xf numFmtId="0" fontId="7" fillId="2" borderId="2" xfId="0" applyFont="1" applyFill="1" applyBorder="1"/>
    <xf numFmtId="0" fontId="7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4" borderId="4" xfId="0" applyFont="1" applyFill="1" applyBorder="1"/>
    <xf numFmtId="0" fontId="8" fillId="5" borderId="2" xfId="0" applyFont="1" applyFill="1" applyBorder="1"/>
    <xf numFmtId="0" fontId="9" fillId="5" borderId="5" xfId="0" applyFont="1" applyFill="1" applyBorder="1" applyAlignment="1">
      <alignment horizontal="center"/>
    </xf>
    <xf numFmtId="0" fontId="8" fillId="4" borderId="2" xfId="0" applyFont="1" applyFill="1" applyBorder="1"/>
    <xf numFmtId="0" fontId="8" fillId="5" borderId="6" xfId="0" quotePrefix="1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3" borderId="12" xfId="0" applyFont="1" applyFill="1" applyBorder="1"/>
    <xf numFmtId="0" fontId="8" fillId="3" borderId="13" xfId="0" applyFont="1" applyFill="1" applyBorder="1" applyAlignment="1">
      <alignment horizontal="center"/>
    </xf>
    <xf numFmtId="0" fontId="8" fillId="2" borderId="2" xfId="0" applyFont="1" applyFill="1" applyBorder="1"/>
    <xf numFmtId="0" fontId="8" fillId="7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left"/>
    </xf>
    <xf numFmtId="0" fontId="8" fillId="0" borderId="0" xfId="0" applyFont="1"/>
    <xf numFmtId="0" fontId="8" fillId="3" borderId="2" xfId="0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8" fillId="8" borderId="12" xfId="0" applyFont="1" applyFill="1" applyBorder="1"/>
    <xf numFmtId="0" fontId="8" fillId="3" borderId="14" xfId="0" applyFont="1" applyFill="1" applyBorder="1" applyAlignment="1">
      <alignment horizontal="center"/>
    </xf>
    <xf numFmtId="0" fontId="8" fillId="3" borderId="6" xfId="0" quotePrefix="1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3" xfId="0" applyFont="1" applyFill="1" applyBorder="1" applyAlignment="1">
      <alignment horizontal="center"/>
    </xf>
    <xf numFmtId="0" fontId="8" fillId="8" borderId="14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9" borderId="3" xfId="0" applyFont="1" applyFill="1" applyBorder="1"/>
    <xf numFmtId="0" fontId="8" fillId="9" borderId="15" xfId="0" applyFont="1" applyFill="1" applyBorder="1"/>
    <xf numFmtId="0" fontId="8" fillId="3" borderId="17" xfId="0" quotePrefix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/>
    </xf>
    <xf numFmtId="0" fontId="9" fillId="10" borderId="5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10" borderId="6" xfId="0" quotePrefix="1" applyFont="1" applyFill="1" applyBorder="1" applyAlignment="1">
      <alignment horizontal="center"/>
    </xf>
    <xf numFmtId="0" fontId="8" fillId="10" borderId="3" xfId="0" quotePrefix="1" applyFont="1" applyFill="1" applyBorder="1" applyAlignment="1">
      <alignment horizontal="center"/>
    </xf>
    <xf numFmtId="0" fontId="8" fillId="11" borderId="2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9" fontId="8" fillId="0" borderId="0" xfId="1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165" fontId="8" fillId="4" borderId="2" xfId="0" applyNumberFormat="1" applyFont="1" applyFill="1" applyBorder="1" applyAlignment="1">
      <alignment horizontal="center"/>
    </xf>
    <xf numFmtId="165" fontId="8" fillId="11" borderId="2" xfId="0" applyNumberFormat="1" applyFont="1" applyFill="1" applyBorder="1" applyAlignment="1">
      <alignment horizontal="center"/>
    </xf>
    <xf numFmtId="165" fontId="8" fillId="13" borderId="2" xfId="0" applyNumberFormat="1" applyFont="1" applyFill="1" applyBorder="1" applyAlignment="1">
      <alignment horizontal="center"/>
    </xf>
    <xf numFmtId="0" fontId="3" fillId="14" borderId="4" xfId="0" applyFont="1" applyFill="1" applyBorder="1"/>
    <xf numFmtId="164" fontId="8" fillId="14" borderId="2" xfId="0" applyNumberFormat="1" applyFont="1" applyFill="1" applyBorder="1" applyAlignment="1">
      <alignment horizontal="center"/>
    </xf>
    <xf numFmtId="2" fontId="8" fillId="4" borderId="2" xfId="0" applyNumberFormat="1" applyFont="1" applyFill="1" applyBorder="1" applyAlignment="1">
      <alignment horizontal="center"/>
    </xf>
    <xf numFmtId="165" fontId="8" fillId="15" borderId="2" xfId="0" applyNumberFormat="1" applyFont="1" applyFill="1" applyBorder="1" applyAlignment="1">
      <alignment horizontal="center"/>
    </xf>
    <xf numFmtId="0" fontId="8" fillId="16" borderId="2" xfId="0" applyFont="1" applyFill="1" applyBorder="1" applyAlignment="1">
      <alignment horizontal="center"/>
    </xf>
    <xf numFmtId="165" fontId="8" fillId="16" borderId="2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6" fontId="7" fillId="0" borderId="12" xfId="0" applyNumberFormat="1" applyFont="1" applyBorder="1" applyAlignment="1">
      <alignment horizontal="center"/>
    </xf>
    <xf numFmtId="166" fontId="3" fillId="0" borderId="16" xfId="0" applyNumberFormat="1" applyFont="1" applyBorder="1"/>
    <xf numFmtId="0" fontId="8" fillId="0" borderId="0" xfId="0" applyFont="1" applyBorder="1" applyAlignment="1">
      <alignment horizontal="right"/>
    </xf>
    <xf numFmtId="0" fontId="8" fillId="17" borderId="12" xfId="0" applyFont="1" applyFill="1" applyBorder="1"/>
    <xf numFmtId="0" fontId="8" fillId="17" borderId="13" xfId="0" applyFont="1" applyFill="1" applyBorder="1" applyAlignment="1">
      <alignment horizontal="center"/>
    </xf>
    <xf numFmtId="0" fontId="8" fillId="17" borderId="14" xfId="0" applyFont="1" applyFill="1" applyBorder="1" applyAlignment="1">
      <alignment horizontal="center"/>
    </xf>
    <xf numFmtId="0" fontId="8" fillId="17" borderId="15" xfId="0" applyFont="1" applyFill="1" applyBorder="1"/>
    <xf numFmtId="0" fontId="8" fillId="17" borderId="15" xfId="0" applyFont="1" applyFill="1" applyBorder="1" applyAlignment="1">
      <alignment horizontal="center"/>
    </xf>
    <xf numFmtId="0" fontId="8" fillId="17" borderId="0" xfId="0" applyFont="1" applyFill="1" applyAlignment="1">
      <alignment horizontal="center"/>
    </xf>
    <xf numFmtId="0" fontId="8" fillId="17" borderId="4" xfId="0" applyFont="1" applyFill="1" applyBorder="1"/>
    <xf numFmtId="0" fontId="8" fillId="17" borderId="4" xfId="0" applyFont="1" applyFill="1" applyBorder="1" applyAlignment="1">
      <alignment horizontal="center"/>
    </xf>
    <xf numFmtId="0" fontId="7" fillId="18" borderId="2" xfId="0" applyFont="1" applyFill="1" applyBorder="1"/>
    <xf numFmtId="0" fontId="7" fillId="18" borderId="2" xfId="0" applyFont="1" applyFill="1" applyBorder="1" applyAlignment="1">
      <alignment horizontal="center"/>
    </xf>
    <xf numFmtId="0" fontId="7" fillId="0" borderId="0" xfId="0" applyFont="1" applyFill="1" applyBorder="1"/>
    <xf numFmtId="166" fontId="7" fillId="0" borderId="0" xfId="0" applyNumberFormat="1" applyFont="1" applyBorder="1" applyAlignment="1">
      <alignment horizontal="center"/>
    </xf>
    <xf numFmtId="0" fontId="9" fillId="0" borderId="0" xfId="0" applyFont="1"/>
    <xf numFmtId="0" fontId="12" fillId="19" borderId="0" xfId="0" applyFont="1" applyFill="1" applyAlignment="1">
      <alignment vertical="center"/>
    </xf>
    <xf numFmtId="0" fontId="9" fillId="19" borderId="0" xfId="0" applyFont="1" applyFill="1" applyAlignment="1">
      <alignment horizontal="center"/>
    </xf>
    <xf numFmtId="0" fontId="8" fillId="0" borderId="12" xfId="0" applyFont="1" applyFill="1" applyBorder="1"/>
    <xf numFmtId="0" fontId="8" fillId="0" borderId="13" xfId="0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8" fillId="3" borderId="12" xfId="0" applyFont="1" applyFill="1" applyBorder="1" applyAlignment="1">
      <alignment vertical="center"/>
    </xf>
    <xf numFmtId="0" fontId="8" fillId="14" borderId="4" xfId="0" applyFont="1" applyFill="1" applyBorder="1" applyAlignment="1">
      <alignment horizontal="left"/>
    </xf>
    <xf numFmtId="0" fontId="8" fillId="0" borderId="0" xfId="0" applyFont="1" applyBorder="1"/>
    <xf numFmtId="0" fontId="8" fillId="0" borderId="2" xfId="0" applyFont="1" applyBorder="1" applyAlignment="1">
      <alignment horizontal="right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2" xfId="0" applyFont="1" applyBorder="1"/>
    <xf numFmtId="0" fontId="8" fillId="0" borderId="2" xfId="0" applyFont="1" applyFill="1" applyBorder="1"/>
    <xf numFmtId="0" fontId="8" fillId="20" borderId="2" xfId="0" applyFont="1" applyFill="1" applyBorder="1" applyAlignment="1">
      <alignment horizontal="right"/>
    </xf>
    <xf numFmtId="0" fontId="8" fillId="20" borderId="12" xfId="0" applyFont="1" applyFill="1" applyBorder="1"/>
    <xf numFmtId="0" fontId="8" fillId="20" borderId="13" xfId="0" applyFont="1" applyFill="1" applyBorder="1"/>
    <xf numFmtId="0" fontId="8" fillId="20" borderId="13" xfId="0" applyFont="1" applyFill="1" applyBorder="1" applyAlignment="1">
      <alignment horizontal="center"/>
    </xf>
    <xf numFmtId="0" fontId="8" fillId="20" borderId="14" xfId="0" applyFont="1" applyFill="1" applyBorder="1"/>
    <xf numFmtId="0" fontId="8" fillId="20" borderId="2" xfId="0" applyFont="1" applyFill="1" applyBorder="1" applyAlignment="1">
      <alignment horizontal="center"/>
    </xf>
    <xf numFmtId="0" fontId="9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left"/>
    </xf>
    <xf numFmtId="0" fontId="20" fillId="0" borderId="0" xfId="0" applyFont="1" applyAlignment="1"/>
    <xf numFmtId="0" fontId="5" fillId="22" borderId="2" xfId="0" applyFont="1" applyFill="1" applyBorder="1"/>
    <xf numFmtId="0" fontId="5" fillId="22" borderId="2" xfId="0" applyFont="1" applyFill="1" applyBorder="1" applyAlignment="1">
      <alignment horizontal="center"/>
    </xf>
    <xf numFmtId="0" fontId="8" fillId="23" borderId="2" xfId="0" applyFont="1" applyFill="1" applyBorder="1" applyAlignment="1">
      <alignment horizontal="right"/>
    </xf>
    <xf numFmtId="0" fontId="7" fillId="23" borderId="2" xfId="0" applyFont="1" applyFill="1" applyBorder="1" applyAlignment="1">
      <alignment horizontal="center"/>
    </xf>
    <xf numFmtId="0" fontId="8" fillId="23" borderId="1" xfId="0" applyFont="1" applyFill="1" applyBorder="1" applyAlignment="1">
      <alignment horizontal="right"/>
    </xf>
    <xf numFmtId="0" fontId="8" fillId="22" borderId="2" xfId="0" applyFont="1" applyFill="1" applyBorder="1" applyAlignment="1">
      <alignment horizontal="right"/>
    </xf>
    <xf numFmtId="0" fontId="7" fillId="22" borderId="2" xfId="0" applyFont="1" applyFill="1" applyBorder="1" applyAlignment="1">
      <alignment horizontal="center"/>
    </xf>
    <xf numFmtId="0" fontId="8" fillId="23" borderId="12" xfId="0" applyFont="1" applyFill="1" applyBorder="1"/>
    <xf numFmtId="0" fontId="7" fillId="23" borderId="13" xfId="0" applyFont="1" applyFill="1" applyBorder="1" applyAlignment="1">
      <alignment horizontal="center"/>
    </xf>
    <xf numFmtId="0" fontId="7" fillId="23" borderId="14" xfId="0" applyFont="1" applyFill="1" applyBorder="1" applyAlignment="1">
      <alignment horizontal="center"/>
    </xf>
    <xf numFmtId="0" fontId="5" fillId="23" borderId="1" xfId="0" applyFont="1" applyFill="1" applyBorder="1"/>
    <xf numFmtId="0" fontId="7" fillId="23" borderId="6" xfId="0" quotePrefix="1" applyFont="1" applyFill="1" applyBorder="1" applyAlignment="1">
      <alignment horizontal="center"/>
    </xf>
    <xf numFmtId="0" fontId="8" fillId="23" borderId="6" xfId="0" quotePrefix="1" applyFont="1" applyFill="1" applyBorder="1" applyAlignment="1">
      <alignment horizontal="center"/>
    </xf>
    <xf numFmtId="0" fontId="8" fillId="23" borderId="3" xfId="0" quotePrefix="1" applyFont="1" applyFill="1" applyBorder="1" applyAlignment="1">
      <alignment horizontal="center"/>
    </xf>
    <xf numFmtId="0" fontId="10" fillId="0" borderId="0" xfId="0" applyFont="1"/>
    <xf numFmtId="0" fontId="21" fillId="25" borderId="35" xfId="0" applyFont="1" applyFill="1" applyBorder="1" applyAlignment="1">
      <alignment horizontal="center" vertical="center" wrapText="1"/>
    </xf>
    <xf numFmtId="0" fontId="21" fillId="25" borderId="36" xfId="0" applyFont="1" applyFill="1" applyBorder="1" applyAlignment="1">
      <alignment horizontal="center" vertical="center" wrapText="1"/>
    </xf>
    <xf numFmtId="0" fontId="21" fillId="26" borderId="37" xfId="0" applyFont="1" applyFill="1" applyBorder="1" applyAlignment="1">
      <alignment vertical="center" wrapText="1"/>
    </xf>
    <xf numFmtId="0" fontId="16" fillId="28" borderId="24" xfId="0" applyFont="1" applyFill="1" applyBorder="1" applyAlignment="1">
      <alignment vertical="center" wrapText="1"/>
    </xf>
    <xf numFmtId="0" fontId="15" fillId="28" borderId="24" xfId="0" applyFont="1" applyFill="1" applyBorder="1" applyAlignment="1">
      <alignment horizontal="center" vertical="center" wrapText="1"/>
    </xf>
    <xf numFmtId="0" fontId="22" fillId="21" borderId="2" xfId="0" applyFont="1" applyFill="1" applyBorder="1"/>
    <xf numFmtId="0" fontId="11" fillId="0" borderId="0" xfId="0" applyFont="1"/>
    <xf numFmtId="0" fontId="18" fillId="0" borderId="0" xfId="0" applyFont="1"/>
    <xf numFmtId="3" fontId="19" fillId="29" borderId="0" xfId="0" applyNumberFormat="1" applyFont="1" applyFill="1" applyAlignment="1">
      <alignment horizontal="right" vertical="center"/>
    </xf>
    <xf numFmtId="0" fontId="25" fillId="0" borderId="0" xfId="0" applyFont="1"/>
    <xf numFmtId="0" fontId="0" fillId="0" borderId="27" xfId="0" applyFill="1" applyBorder="1"/>
    <xf numFmtId="0" fontId="0" fillId="0" borderId="28" xfId="0" applyFill="1" applyBorder="1"/>
    <xf numFmtId="0" fontId="27" fillId="25" borderId="35" xfId="0" applyFont="1" applyFill="1" applyBorder="1" applyAlignment="1">
      <alignment horizontal="right" vertical="center" wrapText="1"/>
    </xf>
    <xf numFmtId="0" fontId="27" fillId="25" borderId="36" xfId="0" applyFont="1" applyFill="1" applyBorder="1" applyAlignment="1">
      <alignment horizontal="right" vertical="center" wrapText="1"/>
    </xf>
    <xf numFmtId="0" fontId="11" fillId="20" borderId="0" xfId="0" applyFont="1" applyFill="1"/>
    <xf numFmtId="0" fontId="0" fillId="20" borderId="0" xfId="0" applyFill="1"/>
    <xf numFmtId="0" fontId="10" fillId="20" borderId="0" xfId="0" applyFont="1" applyFill="1"/>
    <xf numFmtId="0" fontId="16" fillId="27" borderId="37" xfId="0" applyFont="1" applyFill="1" applyBorder="1" applyAlignment="1">
      <alignment horizontal="center" vertical="center" wrapText="1"/>
    </xf>
    <xf numFmtId="0" fontId="28" fillId="0" borderId="0" xfId="2"/>
    <xf numFmtId="0" fontId="21" fillId="26" borderId="45" xfId="0" applyFont="1" applyFill="1" applyBorder="1" applyAlignment="1">
      <alignment vertical="center" wrapText="1"/>
    </xf>
    <xf numFmtId="0" fontId="16" fillId="27" borderId="45" xfId="0" applyFont="1" applyFill="1" applyBorder="1" applyAlignment="1">
      <alignment vertical="center" wrapText="1"/>
    </xf>
    <xf numFmtId="0" fontId="16" fillId="28" borderId="24" xfId="0" applyFont="1" applyFill="1" applyBorder="1" applyAlignment="1">
      <alignment horizontal="right" vertical="center" wrapText="1"/>
    </xf>
    <xf numFmtId="0" fontId="31" fillId="0" borderId="0" xfId="0" applyFont="1" applyAlignment="1">
      <alignment horizontal="right"/>
    </xf>
    <xf numFmtId="0" fontId="24" fillId="30" borderId="2" xfId="0" applyFont="1" applyFill="1" applyBorder="1"/>
    <xf numFmtId="0" fontId="11" fillId="33" borderId="0" xfId="0" applyFont="1" applyFill="1" applyAlignment="1">
      <alignment wrapText="1"/>
    </xf>
    <xf numFmtId="2" fontId="26" fillId="28" borderId="25" xfId="0" applyNumberFormat="1" applyFont="1" applyFill="1" applyBorder="1" applyAlignment="1">
      <alignment horizontal="center" vertical="center" wrapText="1"/>
    </xf>
    <xf numFmtId="0" fontId="27" fillId="26" borderId="37" xfId="0" applyFont="1" applyFill="1" applyBorder="1" applyAlignment="1">
      <alignment vertical="center" wrapText="1"/>
    </xf>
    <xf numFmtId="0" fontId="25" fillId="27" borderId="37" xfId="0" applyFont="1" applyFill="1" applyBorder="1" applyAlignment="1">
      <alignment vertical="center" wrapText="1"/>
    </xf>
    <xf numFmtId="0" fontId="29" fillId="28" borderId="24" xfId="0" applyFont="1" applyFill="1" applyBorder="1" applyAlignment="1">
      <alignment horizontal="center" vertical="center" wrapText="1"/>
    </xf>
    <xf numFmtId="0" fontId="29" fillId="28" borderId="25" xfId="0" applyFont="1" applyFill="1" applyBorder="1" applyAlignment="1">
      <alignment horizontal="center" vertical="center" wrapText="1"/>
    </xf>
    <xf numFmtId="167" fontId="29" fillId="28" borderId="25" xfId="0" applyNumberFormat="1" applyFont="1" applyFill="1" applyBorder="1" applyAlignment="1">
      <alignment horizontal="center" vertical="center" wrapText="1"/>
    </xf>
    <xf numFmtId="0" fontId="0" fillId="0" borderId="4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4" fillId="29" borderId="0" xfId="0" applyFont="1" applyFill="1"/>
    <xf numFmtId="0" fontId="0" fillId="0" borderId="0" xfId="0" applyBorder="1"/>
    <xf numFmtId="0" fontId="34" fillId="29" borderId="0" xfId="0" applyFont="1" applyFill="1" applyBorder="1"/>
    <xf numFmtId="0" fontId="0" fillId="0" borderId="47" xfId="0" applyBorder="1"/>
    <xf numFmtId="3" fontId="0" fillId="0" borderId="48" xfId="0" applyNumberFormat="1" applyBorder="1"/>
    <xf numFmtId="3" fontId="0" fillId="0" borderId="4" xfId="0" applyNumberFormat="1" applyBorder="1"/>
    <xf numFmtId="3" fontId="0" fillId="0" borderId="21" xfId="0" applyNumberFormat="1" applyBorder="1"/>
    <xf numFmtId="3" fontId="0" fillId="0" borderId="0" xfId="0" applyNumberFormat="1"/>
    <xf numFmtId="0" fontId="0" fillId="21" borderId="0" xfId="0" applyFill="1" applyBorder="1"/>
    <xf numFmtId="3" fontId="0" fillId="0" borderId="0" xfId="0" applyNumberFormat="1" applyBorder="1"/>
    <xf numFmtId="0" fontId="0" fillId="0" borderId="49" xfId="0" applyBorder="1"/>
    <xf numFmtId="3" fontId="0" fillId="0" borderId="50" xfId="0" applyNumberFormat="1" applyBorder="1"/>
    <xf numFmtId="3" fontId="0" fillId="0" borderId="2" xfId="0" applyNumberFormat="1" applyBorder="1"/>
    <xf numFmtId="3" fontId="0" fillId="0" borderId="22" xfId="0" applyNumberFormat="1" applyBorder="1"/>
    <xf numFmtId="3" fontId="33" fillId="0" borderId="50" xfId="0" applyNumberFormat="1" applyFont="1" applyBorder="1"/>
    <xf numFmtId="3" fontId="33" fillId="0" borderId="2" xfId="0" applyNumberFormat="1" applyFont="1" applyBorder="1"/>
    <xf numFmtId="3" fontId="33" fillId="0" borderId="22" xfId="0" applyNumberFormat="1" applyFont="1" applyBorder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11" xfId="0" applyBorder="1"/>
    <xf numFmtId="3" fontId="0" fillId="0" borderId="55" xfId="0" applyNumberFormat="1" applyBorder="1"/>
    <xf numFmtId="0" fontId="2" fillId="0" borderId="0" xfId="0" applyFont="1"/>
    <xf numFmtId="0" fontId="18" fillId="0" borderId="0" xfId="0" applyFont="1" applyFill="1" applyBorder="1"/>
    <xf numFmtId="0" fontId="11" fillId="21" borderId="2" xfId="0" applyFont="1" applyFill="1" applyBorder="1"/>
    <xf numFmtId="0" fontId="0" fillId="21" borderId="0" xfId="0" applyFill="1"/>
    <xf numFmtId="0" fontId="10" fillId="21" borderId="0" xfId="0" applyFont="1" applyFill="1"/>
    <xf numFmtId="0" fontId="10" fillId="33" borderId="0" xfId="0" applyFont="1" applyFill="1"/>
    <xf numFmtId="0" fontId="0" fillId="33" borderId="0" xfId="0" applyFill="1"/>
    <xf numFmtId="0" fontId="2" fillId="20" borderId="0" xfId="0" applyFont="1" applyFill="1"/>
    <xf numFmtId="0" fontId="35" fillId="28" borderId="24" xfId="0" applyFont="1" applyFill="1" applyBorder="1" applyAlignment="1">
      <alignment horizontal="right" vertical="center" wrapText="1"/>
    </xf>
    <xf numFmtId="166" fontId="36" fillId="21" borderId="2" xfId="0" applyNumberFormat="1" applyFont="1" applyFill="1" applyBorder="1" applyAlignment="1">
      <alignment horizontal="center"/>
    </xf>
    <xf numFmtId="167" fontId="24" fillId="30" borderId="2" xfId="0" applyNumberFormat="1" applyFont="1" applyFill="1" applyBorder="1"/>
    <xf numFmtId="0" fontId="39" fillId="34" borderId="0" xfId="0" applyFont="1" applyFill="1"/>
    <xf numFmtId="0" fontId="40" fillId="21" borderId="0" xfId="0" applyFont="1" applyFill="1"/>
    <xf numFmtId="0" fontId="2" fillId="36" borderId="0" xfId="0" applyFont="1" applyFill="1"/>
    <xf numFmtId="167" fontId="29" fillId="0" borderId="56" xfId="0" applyNumberFormat="1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167" fontId="29" fillId="0" borderId="57" xfId="0" applyNumberFormat="1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167" fontId="29" fillId="0" borderId="58" xfId="0" applyNumberFormat="1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167" fontId="17" fillId="0" borderId="56" xfId="0" applyNumberFormat="1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9" fontId="32" fillId="33" borderId="57" xfId="1" applyNumberFormat="1" applyFont="1" applyFill="1" applyBorder="1" applyAlignment="1">
      <alignment horizontal="center" vertical="center"/>
    </xf>
    <xf numFmtId="0" fontId="21" fillId="26" borderId="59" xfId="0" applyFont="1" applyFill="1" applyBorder="1" applyAlignment="1">
      <alignment vertical="center" wrapText="1"/>
    </xf>
    <xf numFmtId="0" fontId="43" fillId="37" borderId="62" xfId="0" applyFont="1" applyFill="1" applyBorder="1" applyAlignment="1">
      <alignment vertical="center" wrapText="1"/>
    </xf>
    <xf numFmtId="0" fontId="29" fillId="37" borderId="57" xfId="0" applyFont="1" applyFill="1" applyBorder="1" applyAlignment="1">
      <alignment horizontal="center" vertical="center" wrapText="1"/>
    </xf>
    <xf numFmtId="0" fontId="44" fillId="28" borderId="25" xfId="0" applyFont="1" applyFill="1" applyBorder="1" applyAlignment="1">
      <alignment horizontal="center" vertical="center" wrapText="1"/>
    </xf>
    <xf numFmtId="9" fontId="12" fillId="2" borderId="2" xfId="1" applyFont="1" applyFill="1" applyBorder="1" applyAlignment="1">
      <alignment horizontal="center"/>
    </xf>
    <xf numFmtId="0" fontId="45" fillId="36" borderId="2" xfId="0" applyFont="1" applyFill="1" applyBorder="1"/>
    <xf numFmtId="0" fontId="45" fillId="38" borderId="2" xfId="0" applyFont="1" applyFill="1" applyBorder="1" applyAlignment="1">
      <alignment horizontal="center"/>
    </xf>
    <xf numFmtId="165" fontId="45" fillId="36" borderId="2" xfId="0" applyNumberFormat="1" applyFont="1" applyFill="1" applyBorder="1" applyAlignment="1">
      <alignment horizontal="center"/>
    </xf>
    <xf numFmtId="0" fontId="11" fillId="24" borderId="0" xfId="0" applyFont="1" applyFill="1"/>
    <xf numFmtId="0" fontId="0" fillId="29" borderId="0" xfId="0" applyFill="1"/>
    <xf numFmtId="0" fontId="11" fillId="0" borderId="0" xfId="0" applyFont="1" applyAlignment="1">
      <alignment horizontal="right"/>
    </xf>
    <xf numFmtId="0" fontId="11" fillId="0" borderId="2" xfId="0" applyFont="1" applyBorder="1"/>
    <xf numFmtId="0" fontId="0" fillId="36" borderId="0" xfId="0" applyFill="1"/>
    <xf numFmtId="0" fontId="36" fillId="0" borderId="0" xfId="0" applyFont="1"/>
    <xf numFmtId="0" fontId="46" fillId="0" borderId="0" xfId="0" applyFont="1" applyAlignment="1">
      <alignment horizontal="right"/>
    </xf>
    <xf numFmtId="0" fontId="17" fillId="0" borderId="58" xfId="0" applyFont="1" applyBorder="1" applyAlignment="1">
      <alignment horizontal="center" vertical="center" wrapText="1"/>
    </xf>
    <xf numFmtId="0" fontId="0" fillId="0" borderId="58" xfId="0" applyBorder="1"/>
    <xf numFmtId="0" fontId="25" fillId="27" borderId="37" xfId="0" applyFont="1" applyFill="1" applyBorder="1" applyAlignment="1">
      <alignment horizontal="center" vertical="center" wrapText="1"/>
    </xf>
    <xf numFmtId="0" fontId="47" fillId="0" borderId="69" xfId="0" applyFont="1" applyFill="1" applyBorder="1"/>
    <xf numFmtId="0" fontId="47" fillId="0" borderId="70" xfId="0" applyFont="1" applyFill="1" applyBorder="1"/>
    <xf numFmtId="0" fontId="48" fillId="0" borderId="70" xfId="0" applyFont="1" applyFill="1" applyBorder="1"/>
    <xf numFmtId="0" fontId="47" fillId="0" borderId="71" xfId="0" applyFont="1" applyFill="1" applyBorder="1"/>
    <xf numFmtId="0" fontId="47" fillId="0" borderId="72" xfId="0" applyFont="1" applyFill="1" applyBorder="1"/>
    <xf numFmtId="0" fontId="47" fillId="0" borderId="53" xfId="0" applyFont="1" applyFill="1" applyBorder="1" applyAlignment="1">
      <alignment horizontal="center"/>
    </xf>
    <xf numFmtId="0" fontId="47" fillId="0" borderId="54" xfId="0" applyFont="1" applyFill="1" applyBorder="1" applyAlignment="1">
      <alignment horizontal="center"/>
    </xf>
    <xf numFmtId="2" fontId="49" fillId="0" borderId="48" xfId="0" applyNumberFormat="1" applyFont="1" applyFill="1" applyBorder="1"/>
    <xf numFmtId="167" fontId="49" fillId="0" borderId="4" xfId="0" applyNumberFormat="1" applyFont="1" applyFill="1" applyBorder="1" applyAlignment="1">
      <alignment horizontal="right" indent="2"/>
    </xf>
    <xf numFmtId="167" fontId="49" fillId="0" borderId="21" xfId="0" applyNumberFormat="1" applyFont="1" applyFill="1" applyBorder="1" applyAlignment="1">
      <alignment horizontal="right" indent="2"/>
    </xf>
    <xf numFmtId="2" fontId="49" fillId="0" borderId="50" xfId="0" applyNumberFormat="1" applyFont="1" applyFill="1" applyBorder="1"/>
    <xf numFmtId="167" fontId="49" fillId="0" borderId="2" xfId="0" applyNumberFormat="1" applyFont="1" applyFill="1" applyBorder="1" applyAlignment="1">
      <alignment horizontal="right" indent="2"/>
    </xf>
    <xf numFmtId="167" fontId="49" fillId="0" borderId="22" xfId="0" applyNumberFormat="1" applyFont="1" applyFill="1" applyBorder="1" applyAlignment="1">
      <alignment horizontal="right" indent="2"/>
    </xf>
    <xf numFmtId="2" fontId="49" fillId="0" borderId="52" xfId="0" applyNumberFormat="1" applyFont="1" applyFill="1" applyBorder="1"/>
    <xf numFmtId="167" fontId="49" fillId="0" borderId="53" xfId="0" applyNumberFormat="1" applyFont="1" applyFill="1" applyBorder="1" applyAlignment="1">
      <alignment horizontal="right" indent="2"/>
    </xf>
    <xf numFmtId="167" fontId="49" fillId="0" borderId="54" xfId="0" applyNumberFormat="1" applyFont="1" applyFill="1" applyBorder="1" applyAlignment="1">
      <alignment horizontal="right" indent="2"/>
    </xf>
    <xf numFmtId="0" fontId="47" fillId="0" borderId="55" xfId="0" applyFont="1" applyFill="1" applyBorder="1"/>
    <xf numFmtId="167" fontId="47" fillId="0" borderId="73" xfId="0" applyNumberFormat="1" applyFont="1" applyFill="1" applyBorder="1" applyAlignment="1">
      <alignment horizontal="center"/>
    </xf>
    <xf numFmtId="0" fontId="50" fillId="0" borderId="0" xfId="0" applyFont="1" applyFill="1" applyBorder="1"/>
    <xf numFmtId="0" fontId="51" fillId="39" borderId="0" xfId="0" applyFont="1" applyFill="1" applyBorder="1"/>
    <xf numFmtId="0" fontId="52" fillId="39" borderId="10" xfId="0" applyFont="1" applyFill="1" applyBorder="1"/>
    <xf numFmtId="2" fontId="50" fillId="0" borderId="0" xfId="0" applyNumberFormat="1" applyFont="1" applyFill="1" applyBorder="1"/>
    <xf numFmtId="168" fontId="50" fillId="0" borderId="0" xfId="0" applyNumberFormat="1" applyFont="1" applyFill="1" applyBorder="1"/>
    <xf numFmtId="168" fontId="53" fillId="39" borderId="0" xfId="0" applyNumberFormat="1" applyFont="1" applyFill="1" applyBorder="1"/>
    <xf numFmtId="168" fontId="54" fillId="0" borderId="0" xfId="0" applyNumberFormat="1" applyFont="1" applyFill="1" applyBorder="1"/>
    <xf numFmtId="168" fontId="52" fillId="39" borderId="74" xfId="0" applyNumberFormat="1" applyFont="1" applyFill="1" applyBorder="1"/>
    <xf numFmtId="168" fontId="51" fillId="39" borderId="0" xfId="0" applyNumberFormat="1" applyFont="1" applyFill="1" applyBorder="1"/>
    <xf numFmtId="168" fontId="47" fillId="0" borderId="11" xfId="0" applyNumberFormat="1" applyFont="1" applyFill="1" applyBorder="1"/>
    <xf numFmtId="0" fontId="41" fillId="40" borderId="12" xfId="0" applyFont="1" applyFill="1" applyBorder="1"/>
    <xf numFmtId="0" fontId="41" fillId="40" borderId="2" xfId="0" applyFont="1" applyFill="1" applyBorder="1"/>
    <xf numFmtId="0" fontId="41" fillId="40" borderId="2" xfId="0" applyFont="1" applyFill="1" applyBorder="1" applyAlignment="1">
      <alignment wrapText="1"/>
    </xf>
    <xf numFmtId="0" fontId="41" fillId="0" borderId="12" xfId="0" applyFont="1" applyBorder="1" applyAlignment="1"/>
    <xf numFmtId="0" fontId="0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2" fontId="0" fillId="0" borderId="2" xfId="0" applyNumberFormat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0" fontId="41" fillId="0" borderId="12" xfId="0" applyFont="1" applyBorder="1" applyAlignment="1">
      <alignment wrapText="1"/>
    </xf>
    <xf numFmtId="0" fontId="41" fillId="0" borderId="1" xfId="0" applyFont="1" applyBorder="1" applyAlignment="1"/>
    <xf numFmtId="0" fontId="41" fillId="0" borderId="75" xfId="0" applyFont="1" applyBorder="1" applyAlignment="1"/>
    <xf numFmtId="0" fontId="55" fillId="0" borderId="2" xfId="0" applyFont="1" applyBorder="1" applyAlignment="1">
      <alignment wrapText="1"/>
    </xf>
    <xf numFmtId="0" fontId="41" fillId="0" borderId="3" xfId="0" applyFont="1" applyBorder="1" applyAlignment="1"/>
    <xf numFmtId="0" fontId="0" fillId="0" borderId="14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2" xfId="0" applyNumberFormat="1" applyFill="1" applyBorder="1" applyAlignment="1">
      <alignment horizontal="center"/>
    </xf>
    <xf numFmtId="0" fontId="41" fillId="0" borderId="4" xfId="0" applyFont="1" applyBorder="1" applyAlignment="1"/>
    <xf numFmtId="0" fontId="55" fillId="0" borderId="14" xfId="0" applyFont="1" applyBorder="1" applyAlignment="1">
      <alignment wrapText="1"/>
    </xf>
    <xf numFmtId="0" fontId="2" fillId="0" borderId="2" xfId="0" applyFont="1" applyBorder="1"/>
    <xf numFmtId="0" fontId="56" fillId="41" borderId="2" xfId="0" applyFont="1" applyFill="1" applyBorder="1" applyAlignment="1">
      <alignment horizontal="left"/>
    </xf>
    <xf numFmtId="0" fontId="57" fillId="41" borderId="2" xfId="0" applyFont="1" applyFill="1" applyBorder="1" applyAlignment="1">
      <alignment horizontal="left"/>
    </xf>
    <xf numFmtId="0" fontId="58" fillId="30" borderId="2" xfId="0" applyFont="1" applyFill="1" applyBorder="1"/>
    <xf numFmtId="0" fontId="59" fillId="43" borderId="0" xfId="0" applyFont="1" applyFill="1"/>
    <xf numFmtId="0" fontId="4" fillId="3" borderId="1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76" xfId="0" applyFont="1" applyBorder="1"/>
    <xf numFmtId="0" fontId="4" fillId="36" borderId="1" xfId="0" applyFont="1" applyFill="1" applyBorder="1"/>
    <xf numFmtId="0" fontId="3" fillId="36" borderId="0" xfId="0" applyFont="1" applyFill="1" applyBorder="1"/>
    <xf numFmtId="0" fontId="3" fillId="36" borderId="5" xfId="0" applyFont="1" applyFill="1" applyBorder="1"/>
    <xf numFmtId="0" fontId="3" fillId="36" borderId="6" xfId="0" applyFont="1" applyFill="1" applyBorder="1"/>
    <xf numFmtId="0" fontId="3" fillId="36" borderId="1" xfId="0" applyFont="1" applyFill="1" applyBorder="1"/>
    <xf numFmtId="0" fontId="3" fillId="36" borderId="8" xfId="0" applyFont="1" applyFill="1" applyBorder="1"/>
    <xf numFmtId="0" fontId="3" fillId="36" borderId="9" xfId="0" applyFont="1" applyFill="1" applyBorder="1"/>
    <xf numFmtId="0" fontId="3" fillId="30" borderId="5" xfId="0" applyFont="1" applyFill="1" applyBorder="1"/>
    <xf numFmtId="0" fontId="3" fillId="30" borderId="6" xfId="0" applyFont="1" applyFill="1" applyBorder="1"/>
    <xf numFmtId="0" fontId="3" fillId="30" borderId="8" xfId="0" applyFont="1" applyFill="1" applyBorder="1"/>
    <xf numFmtId="0" fontId="3" fillId="30" borderId="9" xfId="0" applyFont="1" applyFill="1" applyBorder="1"/>
    <xf numFmtId="166" fontId="3" fillId="0" borderId="10" xfId="0" applyNumberFormat="1" applyFont="1" applyBorder="1"/>
    <xf numFmtId="0" fontId="4" fillId="30" borderId="17" xfId="0" applyFont="1" applyFill="1" applyBorder="1"/>
    <xf numFmtId="0" fontId="3" fillId="30" borderId="75" xfId="0" applyFont="1" applyFill="1" applyBorder="1"/>
    <xf numFmtId="0" fontId="60" fillId="30" borderId="2" xfId="0" applyFont="1" applyFill="1" applyBorder="1" applyAlignment="1">
      <alignment horizontal="center"/>
    </xf>
    <xf numFmtId="0" fontId="61" fillId="0" borderId="0" xfId="0" applyFont="1" applyAlignment="1">
      <alignment vertical="center"/>
    </xf>
    <xf numFmtId="0" fontId="41" fillId="36" borderId="0" xfId="0" applyFont="1" applyFill="1" applyBorder="1" applyAlignment="1"/>
    <xf numFmtId="0" fontId="4" fillId="3" borderId="10" xfId="0" applyFont="1" applyFill="1" applyBorder="1"/>
    <xf numFmtId="2" fontId="40" fillId="21" borderId="0" xfId="0" applyNumberFormat="1" applyFont="1" applyFill="1"/>
    <xf numFmtId="2" fontId="26" fillId="0" borderId="77" xfId="0" applyNumberFormat="1" applyFont="1" applyBorder="1" applyAlignment="1">
      <alignment horizontal="center" vertical="center" wrapText="1"/>
    </xf>
    <xf numFmtId="2" fontId="26" fillId="0" borderId="78" xfId="0" applyNumberFormat="1" applyFont="1" applyBorder="1" applyAlignment="1">
      <alignment horizontal="center" vertical="center" wrapText="1"/>
    </xf>
    <xf numFmtId="2" fontId="26" fillId="0" borderId="79" xfId="0" applyNumberFormat="1" applyFont="1" applyBorder="1" applyAlignment="1">
      <alignment horizontal="center" vertical="center" wrapText="1"/>
    </xf>
    <xf numFmtId="167" fontId="42" fillId="0" borderId="56" xfId="0" applyNumberFormat="1" applyFont="1" applyBorder="1" applyAlignment="1">
      <alignment horizontal="center" vertical="center" wrapText="1"/>
    </xf>
    <xf numFmtId="167" fontId="42" fillId="0" borderId="65" xfId="0" applyNumberFormat="1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167" fontId="29" fillId="0" borderId="77" xfId="0" applyNumberFormat="1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30" fillId="0" borderId="78" xfId="0" applyFont="1" applyBorder="1" applyAlignment="1">
      <alignment horizontal="center" vertical="center" wrapText="1"/>
    </xf>
    <xf numFmtId="167" fontId="29" fillId="0" borderId="78" xfId="0" applyNumberFormat="1" applyFont="1" applyBorder="1" applyAlignment="1">
      <alignment horizontal="center" vertical="center" wrapText="1"/>
    </xf>
    <xf numFmtId="0" fontId="17" fillId="0" borderId="80" xfId="0" applyFont="1" applyBorder="1" applyAlignment="1">
      <alignment horizontal="center" vertical="center" wrapText="1"/>
    </xf>
    <xf numFmtId="167" fontId="17" fillId="0" borderId="80" xfId="0" applyNumberFormat="1" applyFont="1" applyBorder="1" applyAlignment="1">
      <alignment horizontal="center" vertical="center" wrapText="1"/>
    </xf>
    <xf numFmtId="0" fontId="0" fillId="0" borderId="80" xfId="0" applyBorder="1"/>
    <xf numFmtId="0" fontId="25" fillId="27" borderId="23" xfId="0" applyFont="1" applyFill="1" applyBorder="1" applyAlignment="1">
      <alignment horizontal="center" vertical="center" wrapText="1"/>
    </xf>
    <xf numFmtId="0" fontId="62" fillId="0" borderId="80" xfId="0" applyFont="1" applyBorder="1" applyAlignment="1">
      <alignment horizontal="center" vertical="center" wrapText="1"/>
    </xf>
    <xf numFmtId="0" fontId="64" fillId="26" borderId="37" xfId="0" applyFont="1" applyFill="1" applyBorder="1" applyAlignment="1">
      <alignment vertical="center" wrapText="1"/>
    </xf>
    <xf numFmtId="167" fontId="19" fillId="0" borderId="56" xfId="0" applyNumberFormat="1" applyFont="1" applyBorder="1" applyAlignment="1">
      <alignment horizontal="center" vertical="center" wrapText="1"/>
    </xf>
    <xf numFmtId="167" fontId="19" fillId="0" borderId="57" xfId="0" applyNumberFormat="1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 vertical="center" wrapText="1"/>
    </xf>
    <xf numFmtId="0" fontId="65" fillId="0" borderId="57" xfId="0" applyFont="1" applyBorder="1" applyAlignment="1">
      <alignment horizontal="center"/>
    </xf>
    <xf numFmtId="2" fontId="19" fillId="0" borderId="57" xfId="0" applyNumberFormat="1" applyFont="1" applyBorder="1" applyAlignment="1">
      <alignment horizontal="center" vertical="center" wrapText="1"/>
    </xf>
    <xf numFmtId="0" fontId="62" fillId="20" borderId="77" xfId="0" applyFont="1" applyFill="1" applyBorder="1" applyAlignment="1">
      <alignment horizontal="center" vertical="center" wrapText="1"/>
    </xf>
    <xf numFmtId="0" fontId="66" fillId="36" borderId="78" xfId="0" applyFont="1" applyFill="1" applyBorder="1" applyAlignment="1">
      <alignment horizontal="center" vertical="center" wrapText="1"/>
    </xf>
    <xf numFmtId="0" fontId="26" fillId="44" borderId="78" xfId="0" applyFont="1" applyFill="1" applyBorder="1" applyAlignment="1">
      <alignment horizontal="center" vertical="center" wrapText="1"/>
    </xf>
    <xf numFmtId="0" fontId="16" fillId="28" borderId="25" xfId="0" applyFont="1" applyFill="1" applyBorder="1" applyAlignment="1">
      <alignment horizontal="right" vertical="center" wrapText="1"/>
    </xf>
    <xf numFmtId="167" fontId="3" fillId="14" borderId="2" xfId="0" applyNumberFormat="1" applyFont="1" applyFill="1" applyBorder="1"/>
    <xf numFmtId="167" fontId="3" fillId="2" borderId="2" xfId="0" applyNumberFormat="1" applyFont="1" applyFill="1" applyBorder="1"/>
    <xf numFmtId="167" fontId="4" fillId="2" borderId="2" xfId="0" applyNumberFormat="1" applyFont="1" applyFill="1" applyBorder="1"/>
    <xf numFmtId="169" fontId="8" fillId="9" borderId="2" xfId="0" applyNumberFormat="1" applyFont="1" applyFill="1" applyBorder="1" applyAlignment="1">
      <alignment horizontal="center"/>
    </xf>
    <xf numFmtId="169" fontId="8" fillId="2" borderId="2" xfId="0" applyNumberFormat="1" applyFont="1" applyFill="1" applyBorder="1" applyAlignment="1">
      <alignment horizontal="center"/>
    </xf>
    <xf numFmtId="169" fontId="8" fillId="2" borderId="12" xfId="0" applyNumberFormat="1" applyFont="1" applyFill="1" applyBorder="1" applyAlignment="1">
      <alignment horizontal="center"/>
    </xf>
    <xf numFmtId="169" fontId="45" fillId="42" borderId="2" xfId="0" applyNumberFormat="1" applyFont="1" applyFill="1" applyBorder="1" applyAlignment="1">
      <alignment horizontal="center"/>
    </xf>
    <xf numFmtId="2" fontId="8" fillId="16" borderId="2" xfId="0" applyNumberFormat="1" applyFont="1" applyFill="1" applyBorder="1" applyAlignment="1">
      <alignment horizontal="center"/>
    </xf>
    <xf numFmtId="2" fontId="8" fillId="11" borderId="2" xfId="0" applyNumberFormat="1" applyFont="1" applyFill="1" applyBorder="1" applyAlignment="1">
      <alignment horizontal="center"/>
    </xf>
    <xf numFmtId="2" fontId="8" fillId="13" borderId="2" xfId="0" applyNumberFormat="1" applyFont="1" applyFill="1" applyBorder="1" applyAlignment="1">
      <alignment horizontal="center"/>
    </xf>
    <xf numFmtId="0" fontId="67" fillId="0" borderId="0" xfId="0" applyFont="1" applyFill="1" applyBorder="1"/>
    <xf numFmtId="0" fontId="23" fillId="26" borderId="37" xfId="0" applyFont="1" applyFill="1" applyBorder="1" applyAlignment="1">
      <alignment vertical="center" wrapText="1"/>
    </xf>
    <xf numFmtId="0" fontId="23" fillId="26" borderId="23" xfId="0" applyFont="1" applyFill="1" applyBorder="1" applyAlignment="1">
      <alignment vertical="center" wrapText="1"/>
    </xf>
    <xf numFmtId="0" fontId="27" fillId="26" borderId="61" xfId="0" applyFont="1" applyFill="1" applyBorder="1" applyAlignment="1">
      <alignment vertical="center" wrapText="1"/>
    </xf>
    <xf numFmtId="0" fontId="27" fillId="26" borderId="64" xfId="0" applyFont="1" applyFill="1" applyBorder="1" applyAlignment="1">
      <alignment vertical="center" wrapText="1"/>
    </xf>
    <xf numFmtId="0" fontId="27" fillId="26" borderId="62" xfId="0" applyFont="1" applyFill="1" applyBorder="1" applyAlignment="1">
      <alignment vertical="center" wrapText="1"/>
    </xf>
    <xf numFmtId="0" fontId="63" fillId="0" borderId="77" xfId="0" applyFont="1" applyBorder="1" applyAlignment="1">
      <alignment horizontal="center" vertical="center" wrapText="1"/>
    </xf>
    <xf numFmtId="0" fontId="63" fillId="0" borderId="78" xfId="0" applyFont="1" applyBorder="1" applyAlignment="1">
      <alignment horizontal="center" vertical="center" wrapText="1"/>
    </xf>
    <xf numFmtId="0" fontId="27" fillId="26" borderId="23" xfId="0" applyFont="1" applyFill="1" applyBorder="1" applyAlignment="1">
      <alignment vertical="center" wrapText="1"/>
    </xf>
    <xf numFmtId="0" fontId="27" fillId="25" borderId="68" xfId="0" applyFont="1" applyFill="1" applyBorder="1" applyAlignment="1">
      <alignment horizontal="center" vertical="center" wrapText="1"/>
    </xf>
    <xf numFmtId="0" fontId="27" fillId="25" borderId="23" xfId="0" applyFont="1" applyFill="1" applyBorder="1" applyAlignment="1">
      <alignment horizontal="center" vertical="center" wrapText="1"/>
    </xf>
    <xf numFmtId="167" fontId="29" fillId="0" borderId="60" xfId="0" applyNumberFormat="1" applyFont="1" applyBorder="1" applyAlignment="1">
      <alignment horizontal="center" vertical="center"/>
    </xf>
    <xf numFmtId="0" fontId="27" fillId="25" borderId="35" xfId="0" applyFont="1" applyFill="1" applyBorder="1" applyAlignment="1">
      <alignment horizontal="center" vertical="center" wrapText="1"/>
    </xf>
    <xf numFmtId="3" fontId="19" fillId="41" borderId="0" xfId="0" applyNumberFormat="1" applyFont="1" applyFill="1" applyAlignment="1">
      <alignment horizontal="right" vertical="center"/>
    </xf>
    <xf numFmtId="0" fontId="23" fillId="26" borderId="0" xfId="0" applyFont="1" applyFill="1" applyBorder="1" applyAlignment="1">
      <alignment vertical="center" wrapText="1"/>
    </xf>
    <xf numFmtId="3" fontId="19" fillId="28" borderId="25" xfId="0" applyNumberFormat="1" applyFont="1" applyFill="1" applyBorder="1" applyAlignment="1">
      <alignment horizontal="center" vertical="center" wrapText="1"/>
    </xf>
    <xf numFmtId="0" fontId="69" fillId="46" borderId="0" xfId="0" applyFont="1" applyFill="1" applyBorder="1" applyAlignment="1">
      <alignment vertical="top" wrapText="1"/>
    </xf>
    <xf numFmtId="0" fontId="69" fillId="48" borderId="0" xfId="0" applyFont="1" applyFill="1" applyBorder="1" applyAlignment="1">
      <alignment vertical="top" wrapText="1"/>
    </xf>
    <xf numFmtId="0" fontId="69" fillId="49" borderId="0" xfId="0" applyFont="1" applyFill="1" applyBorder="1" applyAlignment="1">
      <alignment vertical="top" wrapText="1"/>
    </xf>
    <xf numFmtId="0" fontId="69" fillId="50" borderId="0" xfId="0" applyFont="1" applyFill="1" applyBorder="1" applyAlignment="1">
      <alignment vertical="top" wrapText="1"/>
    </xf>
    <xf numFmtId="0" fontId="69" fillId="47" borderId="0" xfId="0" applyFont="1" applyFill="1" applyBorder="1" applyAlignment="1">
      <alignment vertical="top" wrapText="1"/>
    </xf>
    <xf numFmtId="0" fontId="30" fillId="41" borderId="82" xfId="0" applyFont="1" applyFill="1" applyBorder="1" applyAlignment="1">
      <alignment vertical="top" wrapText="1"/>
    </xf>
    <xf numFmtId="0" fontId="30" fillId="41" borderId="83" xfId="0" applyFont="1" applyFill="1" applyBorder="1" applyAlignment="1">
      <alignment vertical="top" wrapText="1"/>
    </xf>
    <xf numFmtId="0" fontId="30" fillId="33" borderId="83" xfId="0" applyFont="1" applyFill="1" applyBorder="1" applyAlignment="1">
      <alignment vertical="top" wrapText="1"/>
    </xf>
    <xf numFmtId="0" fontId="65" fillId="33" borderId="83" xfId="0" applyFont="1" applyFill="1" applyBorder="1" applyAlignment="1">
      <alignment wrapText="1"/>
    </xf>
    <xf numFmtId="0" fontId="16" fillId="52" borderId="86" xfId="0" applyFont="1" applyFill="1" applyBorder="1" applyAlignment="1">
      <alignment vertical="top" wrapText="1"/>
    </xf>
    <xf numFmtId="0" fontId="16" fillId="52" borderId="84" xfId="0" applyFont="1" applyFill="1" applyBorder="1" applyAlignment="1">
      <alignment vertical="top" wrapText="1"/>
    </xf>
    <xf numFmtId="0" fontId="16" fillId="52" borderId="85" xfId="0" applyFont="1" applyFill="1" applyBorder="1" applyAlignment="1">
      <alignment vertical="top" wrapText="1"/>
    </xf>
    <xf numFmtId="0" fontId="16" fillId="53" borderId="86" xfId="0" applyFont="1" applyFill="1" applyBorder="1" applyAlignment="1">
      <alignment vertical="top" wrapText="1"/>
    </xf>
    <xf numFmtId="0" fontId="16" fillId="53" borderId="84" xfId="0" applyFont="1" applyFill="1" applyBorder="1" applyAlignment="1">
      <alignment vertical="top" wrapText="1"/>
    </xf>
    <xf numFmtId="0" fontId="16" fillId="45" borderId="86" xfId="0" applyFont="1" applyFill="1" applyBorder="1" applyAlignment="1">
      <alignment vertical="top" wrapText="1"/>
    </xf>
    <xf numFmtId="0" fontId="16" fillId="45" borderId="84" xfId="0" applyFont="1" applyFill="1" applyBorder="1" applyAlignment="1">
      <alignment vertical="top" wrapText="1"/>
    </xf>
    <xf numFmtId="0" fontId="68" fillId="48" borderId="81" xfId="0" applyFont="1" applyFill="1" applyBorder="1" applyAlignment="1">
      <alignment vertical="top" wrapText="1"/>
    </xf>
    <xf numFmtId="0" fontId="68" fillId="49" borderId="81" xfId="0" applyFont="1" applyFill="1" applyBorder="1" applyAlignment="1">
      <alignment vertical="top" wrapText="1"/>
    </xf>
    <xf numFmtId="0" fontId="68" fillId="50" borderId="81" xfId="0" applyFont="1" applyFill="1" applyBorder="1" applyAlignment="1">
      <alignment vertical="top" wrapText="1"/>
    </xf>
    <xf numFmtId="0" fontId="68" fillId="47" borderId="81" xfId="0" applyFont="1" applyFill="1" applyBorder="1" applyAlignment="1">
      <alignment vertical="top" wrapText="1"/>
    </xf>
    <xf numFmtId="0" fontId="68" fillId="51" borderId="81" xfId="0" applyFont="1" applyFill="1" applyBorder="1" applyAlignment="1">
      <alignment wrapText="1"/>
    </xf>
    <xf numFmtId="0" fontId="69" fillId="51" borderId="0" xfId="0" applyFont="1" applyFill="1" applyBorder="1" applyAlignment="1">
      <alignment wrapText="1"/>
    </xf>
    <xf numFmtId="0" fontId="69" fillId="51" borderId="0" xfId="0" applyFont="1" applyFill="1" applyBorder="1"/>
    <xf numFmtId="0" fontId="16" fillId="55" borderId="86" xfId="0" applyFont="1" applyFill="1" applyBorder="1" applyAlignment="1">
      <alignment vertical="top" wrapText="1"/>
    </xf>
    <xf numFmtId="0" fontId="16" fillId="55" borderId="84" xfId="0" applyFont="1" applyFill="1" applyBorder="1" applyAlignment="1">
      <alignment vertical="top" wrapText="1"/>
    </xf>
    <xf numFmtId="0" fontId="68" fillId="46" borderId="87" xfId="0" applyFont="1" applyFill="1" applyBorder="1" applyAlignment="1">
      <alignment vertical="top" wrapText="1"/>
    </xf>
    <xf numFmtId="0" fontId="16" fillId="56" borderId="88" xfId="0" applyFont="1" applyFill="1" applyBorder="1" applyAlignment="1">
      <alignment vertical="top" wrapText="1"/>
    </xf>
    <xf numFmtId="0" fontId="16" fillId="56" borderId="84" xfId="0" applyFont="1" applyFill="1" applyBorder="1" applyAlignment="1">
      <alignment vertical="top" wrapText="1"/>
    </xf>
    <xf numFmtId="0" fontId="16" fillId="54" borderId="86" xfId="0" applyFont="1" applyFill="1" applyBorder="1" applyAlignment="1">
      <alignment wrapText="1"/>
    </xf>
    <xf numFmtId="0" fontId="16" fillId="54" borderId="84" xfId="0" applyFont="1" applyFill="1" applyBorder="1" applyAlignment="1">
      <alignment wrapText="1"/>
    </xf>
    <xf numFmtId="167" fontId="0" fillId="0" borderId="0" xfId="0" applyNumberFormat="1"/>
    <xf numFmtId="0" fontId="28" fillId="0" borderId="2" xfId="2" applyBorder="1"/>
    <xf numFmtId="0" fontId="0" fillId="0" borderId="0" xfId="0" applyFill="1"/>
    <xf numFmtId="0" fontId="30" fillId="33" borderId="83" xfId="0" applyFont="1" applyFill="1" applyBorder="1" applyAlignment="1">
      <alignment wrapText="1"/>
    </xf>
    <xf numFmtId="2" fontId="8" fillId="2" borderId="2" xfId="0" applyNumberFormat="1" applyFont="1" applyFill="1" applyBorder="1" applyAlignment="1">
      <alignment horizontal="center"/>
    </xf>
    <xf numFmtId="2" fontId="8" fillId="12" borderId="2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24" fillId="0" borderId="5" xfId="0" applyFont="1" applyFill="1" applyBorder="1"/>
    <xf numFmtId="9" fontId="9" fillId="0" borderId="2" xfId="0" applyNumberFormat="1" applyFont="1" applyBorder="1" applyAlignment="1">
      <alignment wrapText="1"/>
    </xf>
    <xf numFmtId="0" fontId="24" fillId="0" borderId="0" xfId="0" applyFont="1" applyFill="1" applyBorder="1"/>
    <xf numFmtId="2" fontId="3" fillId="2" borderId="2" xfId="0" applyNumberFormat="1" applyFont="1" applyFill="1" applyBorder="1"/>
    <xf numFmtId="0" fontId="70" fillId="0" borderId="26" xfId="0" applyFont="1" applyBorder="1"/>
    <xf numFmtId="0" fontId="70" fillId="0" borderId="27" xfId="0" applyFont="1" applyBorder="1"/>
    <xf numFmtId="0" fontId="70" fillId="0" borderId="29" xfId="0" applyFont="1" applyBorder="1"/>
    <xf numFmtId="0" fontId="70" fillId="0" borderId="30" xfId="0" applyFont="1" applyBorder="1"/>
    <xf numFmtId="0" fontId="71" fillId="26" borderId="38" xfId="0" applyFont="1" applyFill="1" applyBorder="1"/>
    <xf numFmtId="0" fontId="71" fillId="26" borderId="39" xfId="0" applyFont="1" applyFill="1" applyBorder="1"/>
    <xf numFmtId="0" fontId="71" fillId="26" borderId="43" xfId="0" applyFont="1" applyFill="1" applyBorder="1"/>
    <xf numFmtId="0" fontId="72" fillId="31" borderId="26" xfId="0" applyFont="1" applyFill="1" applyBorder="1"/>
    <xf numFmtId="0" fontId="72" fillId="31" borderId="40" xfId="0" applyFont="1" applyFill="1" applyBorder="1"/>
    <xf numFmtId="0" fontId="71" fillId="26" borderId="41" xfId="0" applyFont="1" applyFill="1" applyBorder="1"/>
    <xf numFmtId="0" fontId="72" fillId="31" borderId="44" xfId="0" applyFont="1" applyFill="1" applyBorder="1"/>
    <xf numFmtId="0" fontId="71" fillId="32" borderId="26" xfId="0" applyFont="1" applyFill="1" applyBorder="1"/>
    <xf numFmtId="2" fontId="73" fillId="0" borderId="26" xfId="0" applyNumberFormat="1" applyFont="1" applyBorder="1"/>
    <xf numFmtId="2" fontId="73" fillId="0" borderId="33" xfId="0" applyNumberFormat="1" applyFont="1" applyBorder="1"/>
    <xf numFmtId="2" fontId="73" fillId="0" borderId="41" xfId="0" applyNumberFormat="1" applyFont="1" applyBorder="1"/>
    <xf numFmtId="2" fontId="73" fillId="0" borderId="23" xfId="0" applyNumberFormat="1" applyFont="1" applyBorder="1"/>
    <xf numFmtId="2" fontId="73" fillId="0" borderId="29" xfId="0" applyNumberFormat="1" applyFont="1" applyBorder="1"/>
    <xf numFmtId="2" fontId="73" fillId="0" borderId="34" xfId="0" applyNumberFormat="1" applyFont="1" applyBorder="1"/>
    <xf numFmtId="2" fontId="73" fillId="29" borderId="31" xfId="0" applyNumberFormat="1" applyFont="1" applyFill="1" applyBorder="1"/>
    <xf numFmtId="2" fontId="73" fillId="29" borderId="42" xfId="0" applyNumberFormat="1" applyFont="1" applyFill="1" applyBorder="1"/>
    <xf numFmtId="2" fontId="73" fillId="29" borderId="32" xfId="0" applyNumberFormat="1" applyFont="1" applyFill="1" applyBorder="1"/>
    <xf numFmtId="2" fontId="74" fillId="29" borderId="33" xfId="0" applyNumberFormat="1" applyFont="1" applyFill="1" applyBorder="1"/>
    <xf numFmtId="2" fontId="74" fillId="29" borderId="23" xfId="0" applyNumberFormat="1" applyFont="1" applyFill="1" applyBorder="1"/>
    <xf numFmtId="2" fontId="74" fillId="29" borderId="34" xfId="0" applyNumberFormat="1" applyFont="1" applyFill="1" applyBorder="1"/>
    <xf numFmtId="0" fontId="75" fillId="32" borderId="26" xfId="0" applyFont="1" applyFill="1" applyBorder="1" applyAlignment="1">
      <alignment horizontal="center"/>
    </xf>
    <xf numFmtId="0" fontId="75" fillId="32" borderId="33" xfId="0" applyFont="1" applyFill="1" applyBorder="1" applyAlignment="1">
      <alignment horizontal="center"/>
    </xf>
    <xf numFmtId="0" fontId="76" fillId="32" borderId="33" xfId="0" applyFont="1" applyFill="1" applyBorder="1" applyAlignment="1">
      <alignment horizontal="center"/>
    </xf>
    <xf numFmtId="0" fontId="75" fillId="32" borderId="31" xfId="0" applyFont="1" applyFill="1" applyBorder="1" applyAlignment="1">
      <alignment horizontal="center"/>
    </xf>
    <xf numFmtId="0" fontId="77" fillId="0" borderId="26" xfId="0" pivotButton="1" applyFont="1" applyBorder="1"/>
    <xf numFmtId="0" fontId="66" fillId="20" borderId="77" xfId="0" applyFont="1" applyFill="1" applyBorder="1" applyAlignment="1">
      <alignment horizontal="center" vertical="center" wrapText="1"/>
    </xf>
    <xf numFmtId="2" fontId="0" fillId="0" borderId="0" xfId="0" applyNumberFormat="1"/>
    <xf numFmtId="10" fontId="9" fillId="0" borderId="2" xfId="0" applyNumberFormat="1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167" fontId="44" fillId="28" borderId="25" xfId="0" applyNumberFormat="1" applyFont="1" applyFill="1" applyBorder="1" applyAlignment="1">
      <alignment horizontal="center" vertical="center" wrapText="1"/>
    </xf>
    <xf numFmtId="0" fontId="27" fillId="0" borderId="62" xfId="0" applyFont="1" applyFill="1" applyBorder="1" applyAlignment="1">
      <alignment vertical="center" wrapText="1"/>
    </xf>
    <xf numFmtId="167" fontId="29" fillId="0" borderId="57" xfId="0" applyNumberFormat="1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vertical="center" wrapText="1"/>
    </xf>
    <xf numFmtId="170" fontId="19" fillId="0" borderId="56" xfId="1" applyNumberFormat="1" applyFont="1" applyBorder="1" applyAlignment="1">
      <alignment horizontal="center" vertical="center" wrapText="1"/>
    </xf>
    <xf numFmtId="0" fontId="78" fillId="20" borderId="77" xfId="0" applyFont="1" applyFill="1" applyBorder="1" applyAlignment="1">
      <alignment horizontal="center" vertical="center" wrapText="1"/>
    </xf>
    <xf numFmtId="0" fontId="27" fillId="25" borderId="68" xfId="0" applyFont="1" applyFill="1" applyBorder="1" applyAlignment="1">
      <alignment horizontal="center" vertical="center" wrapText="1"/>
    </xf>
    <xf numFmtId="0" fontId="27" fillId="25" borderId="23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57" borderId="80" xfId="0" applyFont="1" applyFill="1" applyBorder="1" applyAlignment="1">
      <alignment horizontal="center" vertical="center" wrapText="1"/>
    </xf>
    <xf numFmtId="0" fontId="3" fillId="35" borderId="2" xfId="0" applyFont="1" applyFill="1" applyBorder="1"/>
    <xf numFmtId="0" fontId="3" fillId="55" borderId="2" xfId="0" applyFont="1" applyFill="1" applyBorder="1"/>
    <xf numFmtId="3" fontId="1" fillId="0" borderId="2" xfId="0" applyNumberFormat="1" applyFont="1" applyBorder="1"/>
    <xf numFmtId="3" fontId="1" fillId="0" borderId="22" xfId="0" applyNumberFormat="1" applyFont="1" applyBorder="1"/>
    <xf numFmtId="0" fontId="79" fillId="57" borderId="80" xfId="0" applyFont="1" applyFill="1" applyBorder="1" applyAlignment="1">
      <alignment horizontal="center" vertical="center" wrapText="1"/>
    </xf>
    <xf numFmtId="0" fontId="79" fillId="57" borderId="0" xfId="0" applyFont="1" applyFill="1" applyBorder="1" applyAlignment="1">
      <alignment horizontal="center" vertical="center" wrapText="1"/>
    </xf>
    <xf numFmtId="0" fontId="27" fillId="25" borderId="68" xfId="0" applyFont="1" applyFill="1" applyBorder="1" applyAlignment="1">
      <alignment horizontal="center" vertical="center" wrapText="1"/>
    </xf>
    <xf numFmtId="0" fontId="27" fillId="25" borderId="90" xfId="0" applyFont="1" applyFill="1" applyBorder="1" applyAlignment="1">
      <alignment horizontal="center" vertical="center" wrapText="1"/>
    </xf>
    <xf numFmtId="0" fontId="27" fillId="25" borderId="66" xfId="0" applyFont="1" applyFill="1" applyBorder="1" applyAlignment="1">
      <alignment horizontal="center" vertical="center" wrapText="1"/>
    </xf>
    <xf numFmtId="0" fontId="27" fillId="25" borderId="89" xfId="0" applyFont="1" applyFill="1" applyBorder="1" applyAlignment="1">
      <alignment horizontal="center" vertical="center" wrapText="1"/>
    </xf>
    <xf numFmtId="0" fontId="21" fillId="25" borderId="68" xfId="0" applyFont="1" applyFill="1" applyBorder="1" applyAlignment="1">
      <alignment horizontal="center" vertical="center" wrapText="1"/>
    </xf>
    <xf numFmtId="0" fontId="21" fillId="25" borderId="23" xfId="0" applyFont="1" applyFill="1" applyBorder="1" applyAlignment="1">
      <alignment horizontal="center" vertical="center" wrapText="1"/>
    </xf>
    <xf numFmtId="0" fontId="21" fillId="25" borderId="66" xfId="0" applyFont="1" applyFill="1" applyBorder="1" applyAlignment="1">
      <alignment horizontal="center" vertical="center" wrapText="1"/>
    </xf>
    <xf numFmtId="0" fontId="21" fillId="25" borderId="67" xfId="0" applyFont="1" applyFill="1" applyBorder="1" applyAlignment="1">
      <alignment horizontal="center" vertical="center" wrapText="1"/>
    </xf>
    <xf numFmtId="0" fontId="27" fillId="25" borderId="23" xfId="0" applyFont="1" applyFill="1" applyBorder="1" applyAlignment="1">
      <alignment horizontal="center" vertical="center" wrapText="1"/>
    </xf>
    <xf numFmtId="0" fontId="27" fillId="25" borderId="6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126">
    <dxf>
      <font>
        <color theme="3" tint="-0.24994659260841701"/>
      </font>
    </dxf>
    <dxf>
      <font>
        <b/>
        <i/>
        <color rgb="FFC00000"/>
      </font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3" tint="-0.24994659260841701"/>
      </font>
    </dxf>
    <dxf>
      <font>
        <b/>
        <i/>
        <color rgb="FFC00000"/>
      </font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theme="0" tint="-0.499984740745262"/>
      </font>
    </dxf>
    <dxf>
      <font>
        <color theme="1" tint="0.499984740745262"/>
      </font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4" tint="0.59996337778862885"/>
      </font>
    </dxf>
    <dxf>
      <font>
        <b/>
        <i val="0"/>
        <color theme="1"/>
      </font>
    </dxf>
    <dxf>
      <font>
        <color theme="3" tint="0.39994506668294322"/>
      </font>
    </dxf>
    <dxf>
      <font>
        <b/>
        <i val="0"/>
        <color theme="1"/>
      </font>
    </dxf>
    <dxf>
      <font>
        <color theme="4" tint="0.79998168889431442"/>
      </font>
    </dxf>
    <dxf>
      <font>
        <b/>
        <i val="0"/>
        <color theme="1" tint="4.9989318521683403E-2"/>
      </font>
    </dxf>
    <dxf>
      <font>
        <b val="0"/>
        <i/>
        <color theme="0" tint="-0.24994659260841701"/>
      </font>
      <fill>
        <patternFill>
          <bgColor theme="0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ont>
        <b/>
        <i/>
        <color rgb="FF7E0000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FFEB9C"/>
        </patternFill>
      </fill>
    </dxf>
    <dxf>
      <fill>
        <patternFill>
          <bgColor rgb="FFAEF09E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FFEB9C"/>
        </patternFill>
      </fill>
    </dxf>
    <dxf>
      <fill>
        <patternFill>
          <bgColor rgb="FFAEF09E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ont>
        <b/>
        <i val="0"/>
        <color rgb="FFFFFF66"/>
      </font>
      <fill>
        <patternFill>
          <bgColor theme="3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auto="1"/>
        </patternFill>
      </fill>
    </dxf>
    <dxf>
      <font>
        <b/>
      </font>
    </dxf>
    <dxf>
      <font>
        <sz val="12"/>
      </font>
    </dxf>
    <dxf>
      <font>
        <sz val="12"/>
      </font>
    </dxf>
    <dxf>
      <font>
        <name val="Tw Cen MT Condensed"/>
        <scheme val="none"/>
      </font>
    </dxf>
    <dxf>
      <font>
        <color rgb="FFFFFF00"/>
      </font>
    </dxf>
    <dxf>
      <font>
        <i/>
      </font>
    </dxf>
    <dxf>
      <font>
        <i/>
      </font>
    </dxf>
    <dxf>
      <fill>
        <patternFill patternType="solid"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ont>
        <sz val="11"/>
      </font>
    </dxf>
    <dxf>
      <font>
        <b/>
      </font>
    </dxf>
    <dxf>
      <font>
        <name val="Arial Narrow"/>
        <scheme val="none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0099"/>
        </patternFill>
      </fill>
    </dxf>
    <dxf>
      <fill>
        <patternFill patternType="solid">
          <bgColor rgb="FF000099"/>
        </patternFill>
      </fill>
    </dxf>
    <dxf>
      <fill>
        <patternFill patternType="solid">
          <bgColor rgb="FF000099"/>
        </patternFill>
      </fill>
    </dxf>
    <dxf>
      <alignment horizontal="center" readingOrder="0"/>
    </dxf>
    <dxf>
      <numFmt numFmtId="2" formatCode="0.00"/>
    </dxf>
    <dxf>
      <border>
        <bottom style="thin">
          <color indexed="64"/>
        </bottom>
      </border>
    </dxf>
    <dxf>
      <border>
        <horizontal/>
      </border>
    </dxf>
    <dxf>
      <font>
        <name val="Tw Cen MT Condensed"/>
        <scheme val="none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font>
        <b/>
      </font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0"/>
      </font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border>
        <horizontal style="thin">
          <color theme="0"/>
        </horizontal>
      </border>
    </dxf>
    <dxf>
      <fill>
        <patternFill patternType="solid">
          <bgColor rgb="FF339933"/>
        </patternFill>
      </fill>
    </dxf>
    <dxf>
      <fill>
        <patternFill patternType="solid">
          <bgColor rgb="FF339933"/>
        </patternFill>
      </fill>
    </dxf>
    <dxf>
      <fill>
        <patternFill patternType="solid">
          <bgColor rgb="FF339933"/>
        </patternFill>
      </fill>
    </dxf>
    <dxf>
      <fill>
        <patternFill patternType="solid">
          <bgColor rgb="FF339933"/>
        </patternFill>
      </fill>
    </dxf>
    <dxf>
      <fill>
        <patternFill patternType="solid">
          <bgColor rgb="FF339933"/>
        </patternFill>
      </fill>
    </dxf>
    <dxf>
      <fill>
        <patternFill patternType="solid">
          <bgColor rgb="FF339933"/>
        </patternFill>
      </fill>
    </dxf>
    <dxf>
      <fill>
        <patternFill patternType="solid">
          <bgColor rgb="FF003300"/>
        </patternFill>
      </fill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  <dxf>
      <font>
        <name val="Tw Cen MT Condensed"/>
        <scheme val="none"/>
      </font>
    </dxf>
  </dxfs>
  <tableStyles count="0" defaultTableStyle="TableStyleMedium2" defaultPivotStyle="PivotStyleLight16"/>
  <colors>
    <mruColors>
      <color rgb="FFFFFF33"/>
      <color rgb="FF4DB3F9"/>
      <color rgb="FF7FA8F9"/>
      <color rgb="FFFAAE62"/>
      <color rgb="FFB19BD1"/>
      <color rgb="FFEF8585"/>
      <color rgb="FFBE6402"/>
      <color rgb="FF5535A5"/>
      <color rgb="FF9FA30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6561679790021E-2"/>
          <c:y val="6.5758556818198283E-2"/>
          <c:w val="0.6886777739739055"/>
          <c:h val="0.768422589913285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DataIn!$C$19</c:f>
              <c:strCache>
                <c:ptCount val="1"/>
                <c:pt idx="0">
                  <c:v>Residential</c:v>
                </c:pt>
              </c:strCache>
            </c:strRef>
          </c:tx>
          <c:spPr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DataIn!$D$19:$N$19</c:f>
              <c:numCache>
                <c:formatCode>0.00</c:formatCode>
                <c:ptCount val="11"/>
                <c:pt idx="0">
                  <c:v>0.16800000000000001</c:v>
                </c:pt>
                <c:pt idx="1">
                  <c:v>0.97149999999999992</c:v>
                </c:pt>
                <c:pt idx="2">
                  <c:v>1.7749999999999999</c:v>
                </c:pt>
                <c:pt idx="3">
                  <c:v>3.1340000000000003</c:v>
                </c:pt>
                <c:pt idx="4">
                  <c:v>4.4930000000000003</c:v>
                </c:pt>
                <c:pt idx="5">
                  <c:v>5.3010000000000002</c:v>
                </c:pt>
                <c:pt idx="6">
                  <c:v>6.109</c:v>
                </c:pt>
                <c:pt idx="7">
                  <c:v>6.3384999999999998</c:v>
                </c:pt>
                <c:pt idx="8">
                  <c:v>6.5679999999999996</c:v>
                </c:pt>
                <c:pt idx="9">
                  <c:v>6.8774999999999995</c:v>
                </c:pt>
                <c:pt idx="10">
                  <c:v>7.1870000000000003</c:v>
                </c:pt>
              </c:numCache>
            </c:numRef>
          </c:val>
        </c:ser>
        <c:ser>
          <c:idx val="1"/>
          <c:order val="1"/>
          <c:tx>
            <c:strRef>
              <c:f>DataIn!$C$20</c:f>
              <c:strCache>
                <c:ptCount val="1"/>
                <c:pt idx="0">
                  <c:v>Commercial</c:v>
                </c:pt>
              </c:strCache>
            </c:strRef>
          </c:tx>
          <c:spPr>
            <a:ln>
              <a:noFill/>
            </a:ln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DataIn!$D$20:$N$20</c:f>
              <c:numCache>
                <c:formatCode>0.00</c:formatCode>
                <c:ptCount val="11"/>
                <c:pt idx="0">
                  <c:v>0.13200000000000001</c:v>
                </c:pt>
                <c:pt idx="1">
                  <c:v>0.35249999999999998</c:v>
                </c:pt>
                <c:pt idx="2">
                  <c:v>0.57299999999999995</c:v>
                </c:pt>
                <c:pt idx="3">
                  <c:v>0.94599999999999995</c:v>
                </c:pt>
                <c:pt idx="4">
                  <c:v>1.319</c:v>
                </c:pt>
                <c:pt idx="5">
                  <c:v>1.5565</c:v>
                </c:pt>
                <c:pt idx="6">
                  <c:v>1.794</c:v>
                </c:pt>
                <c:pt idx="7">
                  <c:v>1.8835000000000002</c:v>
                </c:pt>
                <c:pt idx="8">
                  <c:v>1.9730000000000001</c:v>
                </c:pt>
                <c:pt idx="9">
                  <c:v>2.093</c:v>
                </c:pt>
                <c:pt idx="10">
                  <c:v>2.2130000000000001</c:v>
                </c:pt>
              </c:numCache>
            </c:numRef>
          </c:val>
        </c:ser>
        <c:ser>
          <c:idx val="2"/>
          <c:order val="2"/>
          <c:tx>
            <c:strRef>
              <c:f>DataIn!$C$21</c:f>
              <c:strCache>
                <c:ptCount val="1"/>
                <c:pt idx="0">
                  <c:v>Industrial</c:v>
                </c:pt>
              </c:strCache>
            </c:strRef>
          </c:tx>
          <c:spPr>
            <a:gradFill flip="none" rotWithShape="1">
              <a:gsLst>
                <a:gs pos="0">
                  <a:srgbClr val="C7C323"/>
                </a:gs>
                <a:gs pos="34000">
                  <a:srgbClr val="DEDE46"/>
                </a:gs>
                <a:gs pos="100000">
                  <a:srgbClr val="E5E25C"/>
                </a:gs>
              </a:gsLst>
              <a:lin ang="16200000" scaled="1"/>
              <a:tileRect/>
            </a:gradFill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DataIn!$D$21:$N$21</c:f>
              <c:numCache>
                <c:formatCode>0.00</c:formatCode>
                <c:ptCount val="11"/>
                <c:pt idx="0">
                  <c:v>7.0000000000000007E-2</c:v>
                </c:pt>
                <c:pt idx="1">
                  <c:v>0.14650000000000002</c:v>
                </c:pt>
                <c:pt idx="2">
                  <c:v>0.223</c:v>
                </c:pt>
                <c:pt idx="3">
                  <c:v>0.35149999999999998</c:v>
                </c:pt>
                <c:pt idx="4">
                  <c:v>0.48</c:v>
                </c:pt>
                <c:pt idx="5">
                  <c:v>0.54349999999999998</c:v>
                </c:pt>
                <c:pt idx="6">
                  <c:v>0.60699999999999998</c:v>
                </c:pt>
                <c:pt idx="7">
                  <c:v>0.60699999999999998</c:v>
                </c:pt>
                <c:pt idx="8">
                  <c:v>0.60699999999999998</c:v>
                </c:pt>
                <c:pt idx="9">
                  <c:v>0.60699999999999998</c:v>
                </c:pt>
                <c:pt idx="10">
                  <c:v>0.60699999999999998</c:v>
                </c:pt>
              </c:numCache>
            </c:numRef>
          </c:val>
        </c:ser>
        <c:ser>
          <c:idx val="3"/>
          <c:order val="3"/>
          <c:tx>
            <c:strRef>
              <c:f>DataIn!$C$22</c:f>
              <c:strCache>
                <c:ptCount val="1"/>
                <c:pt idx="0">
                  <c:v>Institutional</c:v>
                </c:pt>
              </c:strCache>
            </c:strRef>
          </c:tx>
          <c:spPr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DataIn!$D$22:$N$22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tx>
            <c:strRef>
              <c:f>DataIn!$C$23</c:f>
              <c:strCache>
                <c:ptCount val="1"/>
                <c:pt idx="0">
                  <c:v>System Process</c:v>
                </c:pt>
              </c:strCache>
            </c:strRef>
          </c:tx>
          <c:spPr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DataIn!$D$23:$N$23</c:f>
              <c:numCache>
                <c:formatCode>0.00</c:formatCode>
                <c:ptCount val="11"/>
                <c:pt idx="0">
                  <c:v>0</c:v>
                </c:pt>
                <c:pt idx="1">
                  <c:v>2.9000000000000001E-2</c:v>
                </c:pt>
                <c:pt idx="2">
                  <c:v>5.8000000000000003E-2</c:v>
                </c:pt>
                <c:pt idx="3">
                  <c:v>9.8500000000000004E-2</c:v>
                </c:pt>
                <c:pt idx="4">
                  <c:v>0.13900000000000001</c:v>
                </c:pt>
                <c:pt idx="5">
                  <c:v>0.1615</c:v>
                </c:pt>
                <c:pt idx="6">
                  <c:v>0.184</c:v>
                </c:pt>
                <c:pt idx="7">
                  <c:v>0.1905</c:v>
                </c:pt>
                <c:pt idx="8">
                  <c:v>0.19700000000000001</c:v>
                </c:pt>
                <c:pt idx="9">
                  <c:v>0.20600000000000002</c:v>
                </c:pt>
                <c:pt idx="10">
                  <c:v>0.215</c:v>
                </c:pt>
              </c:numCache>
            </c:numRef>
          </c:val>
        </c:ser>
        <c:ser>
          <c:idx val="5"/>
          <c:order val="5"/>
          <c:tx>
            <c:strRef>
              <c:f>DataIn!$C$24</c:f>
              <c:strCache>
                <c:ptCount val="1"/>
                <c:pt idx="0">
                  <c:v>WTP Process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0000"/>
                    <a:lumOff val="40000"/>
                  </a:schemeClr>
                </a:gs>
                <a:gs pos="34000">
                  <a:srgbClr val="7CC3D6"/>
                </a:gs>
                <a:gs pos="100000">
                  <a:srgbClr val="9CD1E0"/>
                </a:gs>
              </a:gsLst>
              <a:lin ang="16200000" scaled="1"/>
              <a:tileRect/>
            </a:gradFill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DataIn!$D$24:$N$24</c:f>
              <c:numCache>
                <c:formatCode>0.00</c:formatCode>
                <c:ptCount val="11"/>
                <c:pt idx="0">
                  <c:v>0.10199999999999999</c:v>
                </c:pt>
                <c:pt idx="1">
                  <c:v>0.13300000000000001</c:v>
                </c:pt>
                <c:pt idx="2">
                  <c:v>0.16400000000000001</c:v>
                </c:pt>
                <c:pt idx="3">
                  <c:v>0.27250000000000002</c:v>
                </c:pt>
                <c:pt idx="4">
                  <c:v>0.38100000000000001</c:v>
                </c:pt>
                <c:pt idx="5">
                  <c:v>0.33899999999999997</c:v>
                </c:pt>
                <c:pt idx="6">
                  <c:v>0.29699999999999999</c:v>
                </c:pt>
                <c:pt idx="7">
                  <c:v>0.3075</c:v>
                </c:pt>
                <c:pt idx="8">
                  <c:v>0.318</c:v>
                </c:pt>
                <c:pt idx="9">
                  <c:v>0.33199999999999996</c:v>
                </c:pt>
                <c:pt idx="10">
                  <c:v>0.34599999999999997</c:v>
                </c:pt>
              </c:numCache>
            </c:numRef>
          </c:val>
        </c:ser>
        <c:ser>
          <c:idx val="6"/>
          <c:order val="6"/>
          <c:tx>
            <c:strRef>
              <c:f>DataIn!$C$25</c:f>
              <c:strCache>
                <c:ptCount val="1"/>
                <c:pt idx="0">
                  <c:v>Other Non-Revenue</c:v>
                </c:pt>
              </c:strCache>
            </c:strRef>
          </c:tx>
          <c:spPr>
            <a:gradFill flip="none" rotWithShape="1">
              <a:gsLst>
                <a:gs pos="0">
                  <a:srgbClr val="F79B4F"/>
                </a:gs>
                <a:gs pos="34000">
                  <a:schemeClr val="accent6"/>
                </a:gs>
                <a:gs pos="100000">
                  <a:schemeClr val="accent6">
                    <a:lumMod val="75000"/>
                  </a:schemeClr>
                </a:gs>
              </a:gsLst>
              <a:lin ang="5400000" scaled="1"/>
              <a:tileRect/>
            </a:gradFill>
            <a:effectLst>
              <a:outerShdw blurRad="381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DataIn!$D$25:$N$25</c:f>
              <c:numCache>
                <c:formatCode>0.00</c:formatCode>
                <c:ptCount val="11"/>
                <c:pt idx="0">
                  <c:v>9.0999999999999998E-2</c:v>
                </c:pt>
                <c:pt idx="1">
                  <c:v>0.16999999999999998</c:v>
                </c:pt>
                <c:pt idx="2">
                  <c:v>0.249</c:v>
                </c:pt>
                <c:pt idx="3">
                  <c:v>0.34199999999999997</c:v>
                </c:pt>
                <c:pt idx="4">
                  <c:v>0.435</c:v>
                </c:pt>
                <c:pt idx="5">
                  <c:v>0.50549999999999995</c:v>
                </c:pt>
                <c:pt idx="6">
                  <c:v>0.57599999999999996</c:v>
                </c:pt>
                <c:pt idx="7">
                  <c:v>0.59650000000000003</c:v>
                </c:pt>
                <c:pt idx="8">
                  <c:v>0.61699999999999999</c:v>
                </c:pt>
                <c:pt idx="9">
                  <c:v>0.64450000000000007</c:v>
                </c:pt>
                <c:pt idx="10">
                  <c:v>0.67200000000000004</c:v>
                </c:pt>
              </c:numCache>
            </c:numRef>
          </c:val>
        </c:ser>
        <c:ser>
          <c:idx val="8"/>
          <c:order val="7"/>
          <c:tx>
            <c:strRef>
              <c:f>DataIn!$C$26</c:f>
              <c:strCache>
                <c:ptCount val="1"/>
                <c:pt idx="0">
                  <c:v>Sales</c:v>
                </c:pt>
              </c:strCache>
            </c:strRef>
          </c:tx>
          <c:spPr>
            <a:ln w="47625">
              <a:noFill/>
            </a:ln>
            <a:effectLst>
              <a:outerShdw blurRad="50800" dist="25400" algn="l" rotWithShape="0">
                <a:prstClr val="black">
                  <a:alpha val="40000"/>
                </a:prstClr>
              </a:outerShdw>
            </a:effectLst>
          </c:spPr>
          <c:invertIfNegative val="0"/>
          <c:val>
            <c:numRef>
              <c:f>DataIn!$D$26:$N$26</c:f>
              <c:numCache>
                <c:formatCode>0.00</c:formatCode>
                <c:ptCount val="11"/>
                <c:pt idx="0">
                  <c:v>6.0999999999999999E-2</c:v>
                </c:pt>
                <c:pt idx="1">
                  <c:v>0.17699999999999999</c:v>
                </c:pt>
                <c:pt idx="2">
                  <c:v>0.29299999999999998</c:v>
                </c:pt>
                <c:pt idx="3">
                  <c:v>0.40700000000000003</c:v>
                </c:pt>
                <c:pt idx="4">
                  <c:v>0.52100000000000002</c:v>
                </c:pt>
                <c:pt idx="5">
                  <c:v>0.52100000000000002</c:v>
                </c:pt>
                <c:pt idx="6">
                  <c:v>0.52100000000000002</c:v>
                </c:pt>
                <c:pt idx="7">
                  <c:v>0.52100000000000002</c:v>
                </c:pt>
                <c:pt idx="8">
                  <c:v>0.52100000000000002</c:v>
                </c:pt>
                <c:pt idx="9">
                  <c:v>0.52100000000000002</c:v>
                </c:pt>
                <c:pt idx="10">
                  <c:v>0.52100000000000002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6128040"/>
        <c:axId val="166128432"/>
      </c:barChart>
      <c:lineChart>
        <c:grouping val="standard"/>
        <c:varyColors val="0"/>
        <c:ser>
          <c:idx val="7"/>
          <c:order val="8"/>
          <c:tx>
            <c:strRef>
              <c:f>DataIn!$C$27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1">
                  <a:alpha val="0"/>
                </a:schemeClr>
              </a:solidFill>
            </a:ln>
          </c:spPr>
          <c:marker>
            <c:symbol val="none"/>
          </c:marker>
          <c:dLbls>
            <c:dLbl>
              <c:idx val="7"/>
              <c:numFmt formatCode="#,##0.0" sourceLinked="0"/>
              <c:spPr>
                <a:effectLst/>
                <a:scene3d>
                  <a:camera prst="orthographicFront"/>
                  <a:lightRig rig="threePt" dir="t"/>
                </a:scene3d>
                <a:sp3d>
                  <a:bevelT h="6350"/>
                </a:sp3d>
              </c:spPr>
              <c:txPr>
                <a:bodyPr/>
                <a:lstStyle/>
                <a:p>
                  <a:pPr>
                    <a:defRPr sz="1100" b="1" u="sng">
                      <a:solidFill>
                        <a:srgbClr val="002060"/>
                      </a:solidFill>
                      <a:latin typeface="Tw Cen MT Condensed" panose="020B0606020104020203" pitchFamily="34" charset="0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505135324864629E-2"/>
                  <c:y val="-4.472472284248051E-2"/>
                </c:manualLayout>
              </c:layout>
              <c:numFmt formatCode="#,##0.0" sourceLinked="0"/>
              <c:spPr>
                <a:effectLst/>
                <a:scene3d>
                  <a:camera prst="orthographicFront"/>
                  <a:lightRig rig="threePt" dir="t"/>
                </a:scene3d>
                <a:sp3d>
                  <a:bevelT h="6350"/>
                </a:sp3d>
              </c:spPr>
              <c:txPr>
                <a:bodyPr/>
                <a:lstStyle/>
                <a:p>
                  <a:pPr>
                    <a:defRPr sz="1100" b="1" u="sng">
                      <a:solidFill>
                        <a:srgbClr val="002060"/>
                      </a:solidFill>
                      <a:latin typeface="Tw Cen MT Condensed" panose="020B0606020104020203" pitchFamily="34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effectLst/>
              <a:scene3d>
                <a:camera prst="orthographicFront"/>
                <a:lightRig rig="threePt" dir="t"/>
              </a:scene3d>
              <a:sp3d>
                <a:bevelT h="6350"/>
              </a:sp3d>
            </c:spPr>
            <c:txPr>
              <a:bodyPr/>
              <a:lstStyle/>
              <a:p>
                <a:pPr>
                  <a:defRPr sz="1100" b="1">
                    <a:latin typeface="Tw Cen MT Condensed" panose="020B0606020104020203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DataIn!$D$27:$N$27</c:f>
              <c:numCache>
                <c:formatCode>0.00</c:formatCode>
                <c:ptCount val="11"/>
                <c:pt idx="0">
                  <c:v>0.6</c:v>
                </c:pt>
                <c:pt idx="1">
                  <c:v>2</c:v>
                </c:pt>
                <c:pt idx="2">
                  <c:v>3.3</c:v>
                </c:pt>
                <c:pt idx="3">
                  <c:v>5.6</c:v>
                </c:pt>
                <c:pt idx="4">
                  <c:v>7.8</c:v>
                </c:pt>
                <c:pt idx="5">
                  <c:v>8.9</c:v>
                </c:pt>
                <c:pt idx="6">
                  <c:v>10.1</c:v>
                </c:pt>
                <c:pt idx="7">
                  <c:v>10.4</c:v>
                </c:pt>
                <c:pt idx="8">
                  <c:v>10.8</c:v>
                </c:pt>
                <c:pt idx="9">
                  <c:v>11.3</c:v>
                </c:pt>
                <c:pt idx="10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96984"/>
        <c:axId val="203597376"/>
      </c:lineChart>
      <c:catAx>
        <c:axId val="166128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 sz="1200" b="1">
                <a:solidFill>
                  <a:schemeClr val="tx2">
                    <a:lumMod val="75000"/>
                  </a:schemeClr>
                </a:solidFill>
                <a:latin typeface="Tw Cen MT Condensed" panose="020B0606020104020203" pitchFamily="34" charset="0"/>
              </a:defRPr>
            </a:pPr>
            <a:endParaRPr lang="en-US"/>
          </a:p>
        </c:txPr>
        <c:crossAx val="166128432"/>
        <c:crosses val="autoZero"/>
        <c:auto val="1"/>
        <c:lblAlgn val="ctr"/>
        <c:lblOffset val="100"/>
        <c:noMultiLvlLbl val="0"/>
      </c:catAx>
      <c:valAx>
        <c:axId val="1661284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53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Tw Cen MT Condensed" panose="020B0606020104020203" pitchFamily="34" charset="0"/>
                  </a:defRPr>
                </a:pPr>
                <a:r>
                  <a:rPr lang="en-US" sz="1200">
                    <a:latin typeface="Tw Cen MT Condensed" panose="020B0606020104020203" pitchFamily="34" charset="0"/>
                  </a:rPr>
                  <a:t>Demand [MGD]</a:t>
                </a:r>
              </a:p>
            </c:rich>
          </c:tx>
          <c:layout>
            <c:manualLayout>
              <c:xMode val="edge"/>
              <c:yMode val="edge"/>
              <c:x val="0"/>
              <c:y val="0.32361621463983681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 b="1">
                <a:latin typeface="Tw Cen MT Condensed" panose="020B0606020104020203" pitchFamily="34" charset="0"/>
              </a:defRPr>
            </a:pPr>
            <a:endParaRPr lang="en-US"/>
          </a:p>
        </c:txPr>
        <c:crossAx val="166128040"/>
        <c:crosses val="autoZero"/>
        <c:crossBetween val="between"/>
      </c:valAx>
      <c:catAx>
        <c:axId val="203596984"/>
        <c:scaling>
          <c:orientation val="minMax"/>
        </c:scaling>
        <c:delete val="1"/>
        <c:axPos val="b"/>
        <c:majorTickMark val="out"/>
        <c:minorTickMark val="none"/>
        <c:tickLblPos val="none"/>
        <c:crossAx val="203597376"/>
        <c:crosses val="autoZero"/>
        <c:auto val="1"/>
        <c:lblAlgn val="ctr"/>
        <c:lblOffset val="100"/>
        <c:noMultiLvlLbl val="0"/>
      </c:catAx>
      <c:valAx>
        <c:axId val="203597376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one"/>
        <c:crossAx val="203596984"/>
        <c:crosses val="max"/>
        <c:crossBetween val="between"/>
      </c:valAx>
      <c:spPr>
        <a:gradFill>
          <a:gsLst>
            <a:gs pos="0">
              <a:srgbClr val="D0D2E6">
                <a:alpha val="78824"/>
              </a:srgbClr>
            </a:gs>
            <a:gs pos="34000">
              <a:srgbClr val="DFE7F5">
                <a:alpha val="67000"/>
              </a:srgbClr>
            </a:gs>
            <a:gs pos="100000">
              <a:schemeClr val="bg1"/>
            </a:gs>
          </a:gsLst>
          <a:lin ang="5400000" scaled="0"/>
        </a:gradFill>
        <a:ln>
          <a:solidFill>
            <a:schemeClr val="accent1">
              <a:lumMod val="50000"/>
            </a:schemeClr>
          </a:solidFill>
        </a:ln>
      </c:spPr>
    </c:plotArea>
    <c:legend>
      <c:legendPos val="r"/>
      <c:legendEntry>
        <c:idx val="8"/>
        <c:delete val="1"/>
      </c:legendEntry>
      <c:layout>
        <c:manualLayout>
          <c:xMode val="edge"/>
          <c:yMode val="edge"/>
          <c:x val="0.77888371908056953"/>
          <c:y val="0.174376896581621"/>
          <c:w val="0.17918373764395448"/>
          <c:h val="0.5815755956586276"/>
        </c:manualLayout>
      </c:layout>
      <c:overlay val="0"/>
      <c:txPr>
        <a:bodyPr/>
        <a:lstStyle/>
        <a:p>
          <a:pPr>
            <a:defRPr sz="1200" b="1">
              <a:latin typeface="Tw Cen MT Condensed" panose="020B06060201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86561679790021E-2"/>
          <c:y val="6.5758556818198283E-2"/>
          <c:w val="0.6886777739739055"/>
          <c:h val="0.768422589913285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DataIn!$C$19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DataIn!$D$19:$N$19</c:f>
              <c:numCache>
                <c:formatCode>0.00</c:formatCode>
                <c:ptCount val="11"/>
                <c:pt idx="0">
                  <c:v>0.16800000000000001</c:v>
                </c:pt>
                <c:pt idx="1">
                  <c:v>0.97149999999999992</c:v>
                </c:pt>
                <c:pt idx="2">
                  <c:v>1.7749999999999999</c:v>
                </c:pt>
                <c:pt idx="3">
                  <c:v>3.1340000000000003</c:v>
                </c:pt>
                <c:pt idx="4">
                  <c:v>4.4930000000000003</c:v>
                </c:pt>
                <c:pt idx="5">
                  <c:v>5.3010000000000002</c:v>
                </c:pt>
                <c:pt idx="6">
                  <c:v>6.109</c:v>
                </c:pt>
                <c:pt idx="7">
                  <c:v>6.3384999999999998</c:v>
                </c:pt>
                <c:pt idx="8">
                  <c:v>6.5679999999999996</c:v>
                </c:pt>
                <c:pt idx="9">
                  <c:v>6.8774999999999995</c:v>
                </c:pt>
                <c:pt idx="10">
                  <c:v>7.1870000000000003</c:v>
                </c:pt>
              </c:numCache>
            </c:numRef>
          </c:val>
        </c:ser>
        <c:ser>
          <c:idx val="1"/>
          <c:order val="1"/>
          <c:tx>
            <c:strRef>
              <c:f>DataIn!$C$20</c:f>
              <c:strCache>
                <c:ptCount val="1"/>
                <c:pt idx="0">
                  <c:v>Commercial</c:v>
                </c:pt>
              </c:strCache>
            </c:strRef>
          </c:tx>
          <c:spPr>
            <a:ln>
              <a:noFill/>
            </a:ln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DataIn!$D$20:$N$20</c:f>
              <c:numCache>
                <c:formatCode>0.00</c:formatCode>
                <c:ptCount val="11"/>
                <c:pt idx="0">
                  <c:v>0.13200000000000001</c:v>
                </c:pt>
                <c:pt idx="1">
                  <c:v>0.35249999999999998</c:v>
                </c:pt>
                <c:pt idx="2">
                  <c:v>0.57299999999999995</c:v>
                </c:pt>
                <c:pt idx="3">
                  <c:v>0.94599999999999995</c:v>
                </c:pt>
                <c:pt idx="4">
                  <c:v>1.319</c:v>
                </c:pt>
                <c:pt idx="5">
                  <c:v>1.5565</c:v>
                </c:pt>
                <c:pt idx="6">
                  <c:v>1.794</c:v>
                </c:pt>
                <c:pt idx="7">
                  <c:v>1.8835000000000002</c:v>
                </c:pt>
                <c:pt idx="8">
                  <c:v>1.9730000000000001</c:v>
                </c:pt>
                <c:pt idx="9">
                  <c:v>2.093</c:v>
                </c:pt>
                <c:pt idx="10">
                  <c:v>2.2130000000000001</c:v>
                </c:pt>
              </c:numCache>
            </c:numRef>
          </c:val>
        </c:ser>
        <c:ser>
          <c:idx val="2"/>
          <c:order val="2"/>
          <c:tx>
            <c:strRef>
              <c:f>DataIn!$C$21</c:f>
              <c:strCache>
                <c:ptCount val="1"/>
                <c:pt idx="0">
                  <c:v>Industrial</c:v>
                </c:pt>
              </c:strCache>
            </c:strRef>
          </c:tx>
          <c:spPr>
            <a:gradFill flip="none" rotWithShape="1">
              <a:gsLst>
                <a:gs pos="0">
                  <a:srgbClr val="C7C323"/>
                </a:gs>
                <a:gs pos="34000">
                  <a:srgbClr val="DEDE46"/>
                </a:gs>
                <a:gs pos="100000">
                  <a:srgbClr val="E5E25C"/>
                </a:gs>
              </a:gsLst>
              <a:lin ang="16200000" scaled="1"/>
              <a:tileRect/>
            </a:gradFill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DataIn!$D$21:$N$21</c:f>
              <c:numCache>
                <c:formatCode>0.00</c:formatCode>
                <c:ptCount val="11"/>
                <c:pt idx="0">
                  <c:v>7.0000000000000007E-2</c:v>
                </c:pt>
                <c:pt idx="1">
                  <c:v>0.14650000000000002</c:v>
                </c:pt>
                <c:pt idx="2">
                  <c:v>0.223</c:v>
                </c:pt>
                <c:pt idx="3">
                  <c:v>0.35149999999999998</c:v>
                </c:pt>
                <c:pt idx="4">
                  <c:v>0.48</c:v>
                </c:pt>
                <c:pt idx="5">
                  <c:v>0.54349999999999998</c:v>
                </c:pt>
                <c:pt idx="6">
                  <c:v>0.60699999999999998</c:v>
                </c:pt>
                <c:pt idx="7">
                  <c:v>0.60699999999999998</c:v>
                </c:pt>
                <c:pt idx="8">
                  <c:v>0.60699999999999998</c:v>
                </c:pt>
                <c:pt idx="9">
                  <c:v>0.60699999999999998</c:v>
                </c:pt>
                <c:pt idx="10">
                  <c:v>0.60699999999999998</c:v>
                </c:pt>
              </c:numCache>
            </c:numRef>
          </c:val>
        </c:ser>
        <c:ser>
          <c:idx val="3"/>
          <c:order val="3"/>
          <c:tx>
            <c:strRef>
              <c:f>DataIn!$C$22</c:f>
              <c:strCache>
                <c:ptCount val="1"/>
                <c:pt idx="0">
                  <c:v>Institutional</c:v>
                </c:pt>
              </c:strCache>
            </c:strRef>
          </c:tx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DataIn!$D$22:$N$22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tx>
            <c:strRef>
              <c:f>DataIn!$C$23</c:f>
              <c:strCache>
                <c:ptCount val="1"/>
                <c:pt idx="0">
                  <c:v>System Process</c:v>
                </c:pt>
              </c:strCache>
            </c:strRef>
          </c:tx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DataIn!$D$23:$N$23</c:f>
              <c:numCache>
                <c:formatCode>0.00</c:formatCode>
                <c:ptCount val="11"/>
                <c:pt idx="0">
                  <c:v>0</c:v>
                </c:pt>
                <c:pt idx="1">
                  <c:v>2.9000000000000001E-2</c:v>
                </c:pt>
                <c:pt idx="2">
                  <c:v>5.8000000000000003E-2</c:v>
                </c:pt>
                <c:pt idx="3">
                  <c:v>9.8500000000000004E-2</c:v>
                </c:pt>
                <c:pt idx="4">
                  <c:v>0.13900000000000001</c:v>
                </c:pt>
                <c:pt idx="5">
                  <c:v>0.1615</c:v>
                </c:pt>
                <c:pt idx="6">
                  <c:v>0.184</c:v>
                </c:pt>
                <c:pt idx="7">
                  <c:v>0.1905</c:v>
                </c:pt>
                <c:pt idx="8">
                  <c:v>0.19700000000000001</c:v>
                </c:pt>
                <c:pt idx="9">
                  <c:v>0.20600000000000002</c:v>
                </c:pt>
                <c:pt idx="10">
                  <c:v>0.215</c:v>
                </c:pt>
              </c:numCache>
            </c:numRef>
          </c:val>
        </c:ser>
        <c:ser>
          <c:idx val="5"/>
          <c:order val="5"/>
          <c:tx>
            <c:strRef>
              <c:f>DataIn!$C$24</c:f>
              <c:strCache>
                <c:ptCount val="1"/>
                <c:pt idx="0">
                  <c:v>WTP Process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60000"/>
                    <a:lumOff val="40000"/>
                  </a:schemeClr>
                </a:gs>
                <a:gs pos="34000">
                  <a:srgbClr val="7CC3D6"/>
                </a:gs>
                <a:gs pos="100000">
                  <a:srgbClr val="9CD1E0"/>
                </a:gs>
              </a:gsLst>
              <a:lin ang="16200000" scaled="1"/>
              <a:tileRect/>
            </a:gradFill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DataIn!$D$24:$N$24</c:f>
              <c:numCache>
                <c:formatCode>0.00</c:formatCode>
                <c:ptCount val="11"/>
                <c:pt idx="0">
                  <c:v>0.10199999999999999</c:v>
                </c:pt>
                <c:pt idx="1">
                  <c:v>0.13300000000000001</c:v>
                </c:pt>
                <c:pt idx="2">
                  <c:v>0.16400000000000001</c:v>
                </c:pt>
                <c:pt idx="3">
                  <c:v>0.27250000000000002</c:v>
                </c:pt>
                <c:pt idx="4">
                  <c:v>0.38100000000000001</c:v>
                </c:pt>
                <c:pt idx="5">
                  <c:v>0.33899999999999997</c:v>
                </c:pt>
                <c:pt idx="6">
                  <c:v>0.29699999999999999</c:v>
                </c:pt>
                <c:pt idx="7">
                  <c:v>0.3075</c:v>
                </c:pt>
                <c:pt idx="8">
                  <c:v>0.318</c:v>
                </c:pt>
                <c:pt idx="9">
                  <c:v>0.33199999999999996</c:v>
                </c:pt>
                <c:pt idx="10">
                  <c:v>0.34599999999999997</c:v>
                </c:pt>
              </c:numCache>
            </c:numRef>
          </c:val>
        </c:ser>
        <c:ser>
          <c:idx val="6"/>
          <c:order val="6"/>
          <c:tx>
            <c:strRef>
              <c:f>DataIn!$C$25</c:f>
              <c:strCache>
                <c:ptCount val="1"/>
                <c:pt idx="0">
                  <c:v>Other Non-Revenue</c:v>
                </c:pt>
              </c:strCache>
            </c:strRef>
          </c:tx>
          <c:spPr>
            <a:gradFill flip="none" rotWithShape="1">
              <a:gsLst>
                <a:gs pos="0">
                  <a:srgbClr val="F79B4F"/>
                </a:gs>
                <a:gs pos="34000">
                  <a:schemeClr val="accent6"/>
                </a:gs>
                <a:gs pos="100000">
                  <a:schemeClr val="accent6">
                    <a:lumMod val="75000"/>
                  </a:schemeClr>
                </a:gs>
              </a:gsLst>
              <a:lin ang="5400000" scaled="1"/>
              <a:tileRect/>
            </a:gradFill>
          </c:spPr>
          <c:invertIfNegative val="0"/>
          <c:cat>
            <c:numRef>
              <c:f>DataIn!$D$18:$N$18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DataIn!$D$25:$N$25</c:f>
              <c:numCache>
                <c:formatCode>0.00</c:formatCode>
                <c:ptCount val="11"/>
                <c:pt idx="0">
                  <c:v>9.0999999999999998E-2</c:v>
                </c:pt>
                <c:pt idx="1">
                  <c:v>0.16999999999999998</c:v>
                </c:pt>
                <c:pt idx="2">
                  <c:v>0.249</c:v>
                </c:pt>
                <c:pt idx="3">
                  <c:v>0.34199999999999997</c:v>
                </c:pt>
                <c:pt idx="4">
                  <c:v>0.435</c:v>
                </c:pt>
                <c:pt idx="5">
                  <c:v>0.50549999999999995</c:v>
                </c:pt>
                <c:pt idx="6">
                  <c:v>0.57599999999999996</c:v>
                </c:pt>
                <c:pt idx="7">
                  <c:v>0.59650000000000003</c:v>
                </c:pt>
                <c:pt idx="8">
                  <c:v>0.61699999999999999</c:v>
                </c:pt>
                <c:pt idx="9">
                  <c:v>0.64450000000000007</c:v>
                </c:pt>
                <c:pt idx="10">
                  <c:v>0.67200000000000004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203598160"/>
        <c:axId val="203598552"/>
      </c:barChart>
      <c:catAx>
        <c:axId val="20359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 sz="1200" b="1">
                <a:solidFill>
                  <a:schemeClr val="tx2">
                    <a:lumMod val="75000"/>
                  </a:schemeClr>
                </a:solidFill>
                <a:latin typeface="Tw Cen MT Condensed" panose="020B0606020104020203" pitchFamily="34" charset="0"/>
              </a:defRPr>
            </a:pPr>
            <a:endParaRPr lang="en-US"/>
          </a:p>
        </c:txPr>
        <c:crossAx val="203598552"/>
        <c:crosses val="autoZero"/>
        <c:auto val="1"/>
        <c:lblAlgn val="ctr"/>
        <c:lblOffset val="100"/>
        <c:noMultiLvlLbl val="0"/>
      </c:catAx>
      <c:valAx>
        <c:axId val="2035985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53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>
                    <a:latin typeface="Tw Cen MT Condensed" panose="020B0606020104020203" pitchFamily="34" charset="0"/>
                  </a:defRPr>
                </a:pPr>
                <a:r>
                  <a:rPr lang="en-US" sz="1200">
                    <a:latin typeface="Tw Cen MT Condensed" panose="020B0606020104020203" pitchFamily="34" charset="0"/>
                  </a:rPr>
                  <a:t>Demand [MGD]</a:t>
                </a:r>
              </a:p>
            </c:rich>
          </c:tx>
          <c:layout>
            <c:manualLayout>
              <c:xMode val="edge"/>
              <c:yMode val="edge"/>
              <c:x val="0"/>
              <c:y val="0.32361621463983681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100" b="1">
                <a:latin typeface="Tw Cen MT Condensed" panose="020B0606020104020203" pitchFamily="34" charset="0"/>
              </a:defRPr>
            </a:pPr>
            <a:endParaRPr lang="en-US"/>
          </a:p>
        </c:txPr>
        <c:crossAx val="203598160"/>
        <c:crosses val="autoZero"/>
        <c:crossBetween val="between"/>
      </c:valAx>
      <c:spPr>
        <a:gradFill>
          <a:gsLst>
            <a:gs pos="0">
              <a:srgbClr val="D0D2E6">
                <a:alpha val="78824"/>
              </a:srgbClr>
            </a:gs>
            <a:gs pos="34000">
              <a:srgbClr val="DFE7F5">
                <a:alpha val="67000"/>
              </a:srgbClr>
            </a:gs>
            <a:gs pos="100000">
              <a:schemeClr val="bg1"/>
            </a:gs>
          </a:gsLst>
          <a:lin ang="5400000" scaled="0"/>
        </a:gradFill>
        <a:ln>
          <a:solidFill>
            <a:schemeClr val="accent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7888371908056953"/>
          <c:y val="0.174376896581621"/>
          <c:w val="0.1994129357018779"/>
          <c:h val="0.52076687428996749"/>
        </c:manualLayout>
      </c:layout>
      <c:overlay val="0"/>
      <c:txPr>
        <a:bodyPr/>
        <a:lstStyle/>
        <a:p>
          <a:pPr>
            <a:defRPr sz="1200" b="1">
              <a:latin typeface="Tw Cen MT Condensed" panose="020B06060201040202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280874732107"/>
          <c:y val="5.1400554097404488E-2"/>
          <c:w val="0.74166395442411126"/>
          <c:h val="0.798917490943432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ReportFigures!$I$67</c:f>
              <c:strCache>
                <c:ptCount val="1"/>
                <c:pt idx="0">
                  <c:v>Alt. 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ReportFigures!$J$67:$T$67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7</c:v>
                </c:pt>
              </c:numCache>
            </c:numRef>
          </c:val>
        </c:ser>
        <c:ser>
          <c:idx val="2"/>
          <c:order val="2"/>
          <c:tx>
            <c:strRef>
              <c:f>ReportFigures!$I$68</c:f>
              <c:strCache>
                <c:ptCount val="1"/>
                <c:pt idx="0">
                  <c:v>Alt. 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ReportFigures!$J$68:$T$68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</c:numCache>
            </c:numRef>
          </c:val>
        </c:ser>
        <c:ser>
          <c:idx val="3"/>
          <c:order val="3"/>
          <c:tx>
            <c:strRef>
              <c:f>ReportFigures!$I$69</c:f>
              <c:strCache>
                <c:ptCount val="1"/>
              </c:strCache>
            </c:strRef>
          </c:tx>
          <c:invertIfNegative val="0"/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ReportFigures!$J$69:$T$69</c:f>
              <c:numCache>
                <c:formatCode>General</c:formatCode>
                <c:ptCount val="11"/>
              </c:numCache>
            </c:numRef>
          </c:val>
        </c:ser>
        <c:ser>
          <c:idx val="4"/>
          <c:order val="4"/>
          <c:tx>
            <c:strRef>
              <c:f>ReportFigures!$I$70</c:f>
              <c:strCache>
                <c:ptCount val="1"/>
              </c:strCache>
            </c:strRef>
          </c:tx>
          <c:invertIfNegative val="0"/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ReportFigures!$J$70:$T$70</c:f>
              <c:numCache>
                <c:formatCode>General</c:formatCode>
                <c:ptCount val="11"/>
              </c:numCache>
            </c:numRef>
          </c:val>
        </c:ser>
        <c:ser>
          <c:idx val="5"/>
          <c:order val="5"/>
          <c:tx>
            <c:strRef>
              <c:f>ReportFigures!$I$71</c:f>
              <c:strCache>
                <c:ptCount val="1"/>
              </c:strCache>
            </c:strRef>
          </c:tx>
          <c:invertIfNegative val="0"/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ReportFigures!$J$71:$T$71</c:f>
              <c:numCache>
                <c:formatCode>General</c:formatCode>
                <c:ptCount val="1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axId val="203599336"/>
        <c:axId val="203599728"/>
      </c:barChart>
      <c:lineChart>
        <c:grouping val="standard"/>
        <c:varyColors val="0"/>
        <c:ser>
          <c:idx val="0"/>
          <c:order val="0"/>
          <c:tx>
            <c:strRef>
              <c:f>ReportFigures!$I$66</c:f>
              <c:strCache>
                <c:ptCount val="1"/>
                <c:pt idx="0">
                  <c:v>Need</c:v>
                </c:pt>
              </c:strCache>
            </c:strRef>
          </c:tx>
          <c:spPr>
            <a:ln>
              <a:solidFill>
                <a:srgbClr val="7E0000"/>
              </a:solidFill>
            </a:ln>
          </c:spPr>
          <c:marker>
            <c:symbol val="none"/>
          </c:marker>
          <c:cat>
            <c:numRef>
              <c:f>ReportFigures!$J$65:$T$65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ReportFigures!$J$66:$T$66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1.335</c:v>
                </c:pt>
                <c:pt idx="3">
                  <c:v>3.551499999999999</c:v>
                </c:pt>
                <c:pt idx="4">
                  <c:v>5.7679999999999998</c:v>
                </c:pt>
                <c:pt idx="5">
                  <c:v>6.9280000000000008</c:v>
                </c:pt>
                <c:pt idx="6">
                  <c:v>8.088000000000001</c:v>
                </c:pt>
                <c:pt idx="7">
                  <c:v>8.4444999999999997</c:v>
                </c:pt>
                <c:pt idx="8">
                  <c:v>8.8009999999999984</c:v>
                </c:pt>
                <c:pt idx="9">
                  <c:v>9.2810000000000006</c:v>
                </c:pt>
                <c:pt idx="10">
                  <c:v>9.761000000000001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99336"/>
        <c:axId val="203599728"/>
      </c:lineChart>
      <c:catAx>
        <c:axId val="203599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 b="1">
                <a:solidFill>
                  <a:schemeClr val="tx2">
                    <a:lumMod val="50000"/>
                  </a:schemeClr>
                </a:solidFill>
                <a:latin typeface="Tw Cen MT Condensed" panose="020B0606020104020203" pitchFamily="34" charset="0"/>
              </a:defRPr>
            </a:pPr>
            <a:endParaRPr lang="en-US"/>
          </a:p>
        </c:txPr>
        <c:crossAx val="203599728"/>
        <c:crosses val="autoZero"/>
        <c:auto val="1"/>
        <c:lblAlgn val="ctr"/>
        <c:lblOffset val="100"/>
        <c:noMultiLvlLbl val="0"/>
      </c:catAx>
      <c:valAx>
        <c:axId val="203599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Need/Supply</a:t>
                </a:r>
                <a:r>
                  <a:rPr lang="en-US" baseline="0"/>
                  <a:t> (MGD)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>
                <a:latin typeface="Arial Narrow" panose="020B0606020202030204" pitchFamily="34" charset="0"/>
              </a:defRPr>
            </a:pPr>
            <a:endParaRPr lang="en-US"/>
          </a:p>
        </c:txPr>
        <c:crossAx val="203599336"/>
        <c:crosses val="autoZero"/>
        <c:crossBetween val="between"/>
      </c:valAx>
      <c:spPr>
        <a:gradFill>
          <a:gsLst>
            <a:gs pos="0">
              <a:srgbClr val="D0DAE8">
                <a:alpha val="69000"/>
                <a:lumMod val="93000"/>
                <a:lumOff val="7000"/>
              </a:srgbClr>
            </a:gs>
            <a:gs pos="24000">
              <a:srgbClr val="E1F4FF">
                <a:alpha val="80784"/>
                <a:lumMod val="94000"/>
                <a:lumOff val="6000"/>
              </a:srgbClr>
            </a:gs>
            <a:gs pos="100000">
              <a:schemeClr val="bg1">
                <a:alpha val="73000"/>
              </a:schemeClr>
            </a:gs>
          </a:gsLst>
          <a:lin ang="5400000" scaled="0"/>
        </a:gradFill>
        <a:ln>
          <a:solidFill>
            <a:schemeClr val="tx1">
              <a:lumMod val="95000"/>
              <a:lumOff val="5000"/>
            </a:schemeClr>
          </a:solidFill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60206019922981E-2"/>
          <c:y val="5.1400554097404488E-2"/>
          <c:w val="0.68595036593360414"/>
          <c:h val="0.7989174909434321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ReportFigures!$I$42</c:f>
              <c:strCache>
                <c:ptCount val="1"/>
                <c:pt idx="0">
                  <c:v>Existing Demand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ReportFigures!$J$40:$T$40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ReportFigures!$J$42:$T$42</c:f>
              <c:numCache>
                <c:formatCode>General</c:formatCode>
                <c:ptCount val="11"/>
                <c:pt idx="0">
                  <c:v>0.62400000000000011</c:v>
                </c:pt>
                <c:pt idx="1">
                  <c:v>0.62400000000000011</c:v>
                </c:pt>
                <c:pt idx="2">
                  <c:v>0.62400000000000011</c:v>
                </c:pt>
                <c:pt idx="3">
                  <c:v>0.62400000000000011</c:v>
                </c:pt>
                <c:pt idx="4">
                  <c:v>0.62400000000000011</c:v>
                </c:pt>
                <c:pt idx="5">
                  <c:v>0.62400000000000011</c:v>
                </c:pt>
                <c:pt idx="6">
                  <c:v>0.62400000000000011</c:v>
                </c:pt>
                <c:pt idx="7">
                  <c:v>0.62400000000000011</c:v>
                </c:pt>
                <c:pt idx="8">
                  <c:v>0.62400000000000011</c:v>
                </c:pt>
                <c:pt idx="9">
                  <c:v>0.62400000000000011</c:v>
                </c:pt>
                <c:pt idx="10">
                  <c:v>0.62400000000000011</c:v>
                </c:pt>
              </c:numCache>
            </c:numRef>
          </c:val>
        </c:ser>
        <c:ser>
          <c:idx val="2"/>
          <c:order val="2"/>
          <c:tx>
            <c:strRef>
              <c:f>ReportFigures!$I$43</c:f>
              <c:strCache>
                <c:ptCount val="1"/>
                <c:pt idx="0">
                  <c:v>Currently Supportable Demand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numRef>
              <c:f>ReportFigures!$J$40:$T$40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ReportFigures!$J$43:$T$43</c:f>
              <c:numCache>
                <c:formatCode>0.0</c:formatCode>
                <c:ptCount val="11"/>
                <c:pt idx="0">
                  <c:v>0</c:v>
                </c:pt>
                <c:pt idx="1">
                  <c:v>1.3554999999999997</c:v>
                </c:pt>
                <c:pt idx="2">
                  <c:v>1.3759999999999999</c:v>
                </c:pt>
                <c:pt idx="3">
                  <c:v>1.3759999999999999</c:v>
                </c:pt>
                <c:pt idx="4">
                  <c:v>1.3759999999999999</c:v>
                </c:pt>
                <c:pt idx="5">
                  <c:v>1.3759999999999999</c:v>
                </c:pt>
                <c:pt idx="6">
                  <c:v>1.3759999999999999</c:v>
                </c:pt>
                <c:pt idx="7">
                  <c:v>1.3759999999999999</c:v>
                </c:pt>
                <c:pt idx="8">
                  <c:v>1.3759999999999999</c:v>
                </c:pt>
                <c:pt idx="9">
                  <c:v>1.3759999999999999</c:v>
                </c:pt>
                <c:pt idx="10">
                  <c:v>1.3759999999999999</c:v>
                </c:pt>
              </c:numCache>
            </c:numRef>
          </c:val>
        </c:ser>
        <c:ser>
          <c:idx val="3"/>
          <c:order val="3"/>
          <c:tx>
            <c:strRef>
              <c:f>ReportFigures!$I$44</c:f>
              <c:strCache>
                <c:ptCount val="1"/>
                <c:pt idx="0">
                  <c:v>Projected Need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6.04044254845861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anchor="t" anchorCtr="0"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ReportFigures!$J$40:$T$40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ReportFigures!$J$44:$T$44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1.335</c:v>
                </c:pt>
                <c:pt idx="3">
                  <c:v>3.551499999999999</c:v>
                </c:pt>
                <c:pt idx="4">
                  <c:v>5.7679999999999998</c:v>
                </c:pt>
                <c:pt idx="5">
                  <c:v>6.9280000000000008</c:v>
                </c:pt>
                <c:pt idx="6">
                  <c:v>8.088000000000001</c:v>
                </c:pt>
                <c:pt idx="7">
                  <c:v>8.4444999999999997</c:v>
                </c:pt>
                <c:pt idx="8">
                  <c:v>8.8009999999999984</c:v>
                </c:pt>
                <c:pt idx="9">
                  <c:v>9.2810000000000006</c:v>
                </c:pt>
                <c:pt idx="10">
                  <c:v>9.761000000000001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203600512"/>
        <c:axId val="203964424"/>
      </c:barChart>
      <c:lineChart>
        <c:grouping val="standard"/>
        <c:varyColors val="0"/>
        <c:ser>
          <c:idx val="0"/>
          <c:order val="0"/>
          <c:tx>
            <c:strRef>
              <c:f>ReportFigures!$I$41</c:f>
              <c:strCache>
                <c:ptCount val="1"/>
                <c:pt idx="0">
                  <c:v>Current Supply</c:v>
                </c:pt>
              </c:strCache>
            </c:strRef>
          </c:tx>
          <c:spPr>
            <a:ln w="34925" cap="sq">
              <a:solidFill>
                <a:schemeClr val="tx2">
                  <a:lumMod val="75000"/>
                </a:schemeClr>
              </a:solidFill>
            </a:ln>
            <a:effectLst>
              <a:glow rad="38100">
                <a:schemeClr val="accent5">
                  <a:satMod val="175000"/>
                  <a:alpha val="40000"/>
                </a:schemeClr>
              </a:glow>
            </a:effectLst>
          </c:spPr>
          <c:marker>
            <c:symbol val="none"/>
          </c:marker>
          <c:cat>
            <c:numRef>
              <c:f>ReportFigures!$J$40:$T$40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ReportFigures!$J$41:$T$41</c:f>
              <c:numCache>
                <c:formatCode>0.0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600512"/>
        <c:axId val="203964424"/>
      </c:lineChart>
      <c:catAx>
        <c:axId val="20360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 b="1">
                <a:solidFill>
                  <a:schemeClr val="tx2">
                    <a:lumMod val="50000"/>
                  </a:schemeClr>
                </a:solidFill>
                <a:latin typeface="Tw Cen MT Condensed" panose="020B0606020104020203" pitchFamily="34" charset="0"/>
              </a:defRPr>
            </a:pPr>
            <a:endParaRPr lang="en-US"/>
          </a:p>
        </c:txPr>
        <c:crossAx val="203964424"/>
        <c:crosses val="autoZero"/>
        <c:auto val="1"/>
        <c:lblAlgn val="ctr"/>
        <c:lblOffset val="100"/>
        <c:noMultiLvlLbl val="0"/>
      </c:catAx>
      <c:valAx>
        <c:axId val="203964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Demand/Supply</a:t>
                </a:r>
                <a:r>
                  <a:rPr lang="en-US" baseline="0"/>
                  <a:t> (MGD)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5953411962979971E-2"/>
              <c:y val="0.2107530933756759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 b="1">
                <a:latin typeface="Arial Narrow" panose="020B0606020202030204" pitchFamily="34" charset="0"/>
              </a:defRPr>
            </a:pPr>
            <a:endParaRPr lang="en-US"/>
          </a:p>
        </c:txPr>
        <c:crossAx val="203600512"/>
        <c:crosses val="autoZero"/>
        <c:crossBetween val="between"/>
      </c:valAx>
      <c:spPr>
        <a:gradFill>
          <a:gsLst>
            <a:gs pos="0">
              <a:srgbClr val="D0DAE8">
                <a:alpha val="69000"/>
                <a:lumMod val="93000"/>
                <a:lumOff val="7000"/>
              </a:srgbClr>
            </a:gs>
            <a:gs pos="24000">
              <a:srgbClr val="E1F4FF">
                <a:alpha val="80784"/>
                <a:lumMod val="94000"/>
                <a:lumOff val="6000"/>
              </a:srgbClr>
            </a:gs>
            <a:gs pos="100000">
              <a:schemeClr val="bg1">
                <a:alpha val="73000"/>
              </a:schemeClr>
            </a:gs>
          </a:gsLst>
          <a:lin ang="5400000" scaled="0"/>
        </a:gradFill>
        <a:ln>
          <a:solidFill>
            <a:schemeClr val="tx1">
              <a:lumMod val="95000"/>
              <a:lumOff val="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8244998799326559"/>
          <c:y val="8.5694006424562624E-2"/>
          <c:w val="0.2030160459181776"/>
          <c:h val="0.8007331904026693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System Demand</a:t>
            </a:r>
          </a:p>
        </c:rich>
      </c:tx>
      <c:layout>
        <c:manualLayout>
          <c:xMode val="edge"/>
          <c:yMode val="edge"/>
          <c:x val="0.40902707332848864"/>
          <c:y val="2.83186476690413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0293824221915"/>
          <c:y val="0.12404862008099918"/>
          <c:w val="0.84307362145556219"/>
          <c:h val="0.68318643112765398"/>
        </c:manualLayout>
      </c:layout>
      <c:lineChart>
        <c:grouping val="standard"/>
        <c:varyColors val="0"/>
        <c:ser>
          <c:idx val="0"/>
          <c:order val="0"/>
          <c:tx>
            <c:strRef>
              <c:f>'Population&amp;Demand Projections'!$C$41</c:f>
              <c:strCache>
                <c:ptCount val="1"/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'Population&amp;Demand Projections'!$D$15:$N$15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'Population&amp;Demand Projections'!$D$41:$N$41</c:f>
              <c:numCache>
                <c:formatCode>0.00</c:formatCode>
                <c:ptCount val="11"/>
                <c:pt idx="0">
                  <c:v>0.56300000000000006</c:v>
                </c:pt>
                <c:pt idx="1">
                  <c:v>1.8024999999999998</c:v>
                </c:pt>
                <c:pt idx="2">
                  <c:v>3.0419999999999998</c:v>
                </c:pt>
                <c:pt idx="3">
                  <c:v>5.144499999999999</c:v>
                </c:pt>
                <c:pt idx="4">
                  <c:v>7.2469999999999999</c:v>
                </c:pt>
                <c:pt idx="5">
                  <c:v>8.407</c:v>
                </c:pt>
                <c:pt idx="6">
                  <c:v>9.5670000000000002</c:v>
                </c:pt>
                <c:pt idx="7">
                  <c:v>9.9234999999999989</c:v>
                </c:pt>
                <c:pt idx="8">
                  <c:v>10.279999999999998</c:v>
                </c:pt>
                <c:pt idx="9">
                  <c:v>10.76</c:v>
                </c:pt>
                <c:pt idx="10">
                  <c:v>11.24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'Population&amp;Demand Projections'!$C$55</c:f>
              <c:strCache>
                <c:ptCount val="1"/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numRef>
              <c:f>'Population&amp;Demand Projections'!$D$15:$N$15</c:f>
              <c:numCache>
                <c:formatCode>General</c:formatCode>
                <c:ptCount val="11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</c:numCache>
            </c:numRef>
          </c:cat>
          <c:val>
            <c:numRef>
              <c:f>'Population&amp;Demand Projections'!$D$55:$N$55</c:f>
              <c:numCache>
                <c:formatCode>0.000</c:formatCode>
                <c:ptCount val="11"/>
                <c:pt idx="0">
                  <c:v>0.62400000000000011</c:v>
                </c:pt>
                <c:pt idx="1">
                  <c:v>1.9794999999999998</c:v>
                </c:pt>
                <c:pt idx="2">
                  <c:v>3.335</c:v>
                </c:pt>
                <c:pt idx="3">
                  <c:v>5.551499999999999</c:v>
                </c:pt>
                <c:pt idx="4">
                  <c:v>7.7679999999999998</c:v>
                </c:pt>
                <c:pt idx="5">
                  <c:v>8.9280000000000008</c:v>
                </c:pt>
                <c:pt idx="6">
                  <c:v>10.088000000000001</c:v>
                </c:pt>
                <c:pt idx="7">
                  <c:v>10.4445</c:v>
                </c:pt>
                <c:pt idx="8">
                  <c:v>10.800999999999998</c:v>
                </c:pt>
                <c:pt idx="9">
                  <c:v>11.281000000000001</c:v>
                </c:pt>
                <c:pt idx="10">
                  <c:v>11.761000000000001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967560"/>
        <c:axId val="203967952"/>
      </c:lineChart>
      <c:catAx>
        <c:axId val="203967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1480999223336865"/>
              <c:y val="0.877876827896513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967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967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Million Gallons per Day</a:t>
                </a:r>
              </a:p>
            </c:rich>
          </c:tx>
          <c:layout>
            <c:manualLayout>
              <c:xMode val="edge"/>
              <c:yMode val="edge"/>
              <c:x val="2.2567083967025534E-2"/>
              <c:y val="0.3345138107736533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967560"/>
        <c:crosses val="autoZero"/>
        <c:crossBetween val="between"/>
      </c:valAx>
      <c:spPr>
        <a:gradFill>
          <a:gsLst>
            <a:gs pos="0">
              <a:srgbClr val="5E9EFF"/>
            </a:gs>
            <a:gs pos="32000">
              <a:srgbClr val="85C2FF"/>
            </a:gs>
            <a:gs pos="64000">
              <a:srgbClr val="C4D6EB"/>
            </a:gs>
            <a:gs pos="100000">
              <a:srgbClr val="FFEBFA"/>
            </a:gs>
          </a:gsLst>
          <a:lin ang="5400000" scaled="0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gradFill>
      <a:gsLst>
        <a:gs pos="0">
          <a:srgbClr val="5E9EFF"/>
        </a:gs>
        <a:gs pos="32000">
          <a:srgbClr val="85C2FF"/>
        </a:gs>
        <a:gs pos="64000">
          <a:srgbClr val="C4D6EB"/>
        </a:gs>
        <a:gs pos="100000">
          <a:srgbClr val="FFEBFA"/>
        </a:gs>
      </a:gsLst>
      <a:lin ang="5400000" scaled="0"/>
    </a:gra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169380</xdr:colOff>
      <xdr:row>8</xdr:row>
      <xdr:rowOff>108503</xdr:rowOff>
    </xdr:from>
    <xdr:to>
      <xdr:col>10</xdr:col>
      <xdr:colOff>382740</xdr:colOff>
      <xdr:row>28</xdr:row>
      <xdr:rowOff>60878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8</xdr:row>
      <xdr:rowOff>0</xdr:rowOff>
    </xdr:from>
    <xdr:to>
      <xdr:col>21</xdr:col>
      <xdr:colOff>213360</xdr:colOff>
      <xdr:row>27</xdr:row>
      <xdr:rowOff>114300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24848</xdr:colOff>
      <xdr:row>63</xdr:row>
      <xdr:rowOff>15528</xdr:rowOff>
    </xdr:from>
    <xdr:to>
      <xdr:col>7</xdr:col>
      <xdr:colOff>1005923</xdr:colOff>
      <xdr:row>81</xdr:row>
      <xdr:rowOff>115541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57978</xdr:rowOff>
    </xdr:from>
    <xdr:to>
      <xdr:col>7</xdr:col>
      <xdr:colOff>952500</xdr:colOff>
      <xdr:row>55</xdr:row>
      <xdr:rowOff>140803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0.78663</cdr:x>
      <cdr:y>0.09317</cdr:y>
    </cdr:from>
    <cdr:to>
      <cdr:x>0.96628</cdr:x>
      <cdr:y>0.16208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23452" y="304238"/>
          <a:ext cx="1261441" cy="225019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1"/>
          <a:tileRect/>
        </a:gradFill>
      </cdr:spPr>
      <cdr:txBody>
        <a:bodyPr xmlns:a="http://schemas.openxmlformats.org/drawingml/2006/main" vertOverflow="clip" wrap="square" lIns="45720" rIns="45720" rtlCol="0" anchor="ctr">
          <a:no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="1" u="sng">
              <a:solidFill>
                <a:srgbClr val="002060"/>
              </a:solidFill>
              <a:latin typeface="Tw Cen MT Condensed" panose="020B0606020104020203" pitchFamily="34" charset="0"/>
            </a:rPr>
            <a:t>Sector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0.78663</cdr:x>
      <cdr:y>0.09317</cdr:y>
    </cdr:from>
    <cdr:to>
      <cdr:x>0.96628</cdr:x>
      <cdr:y>0.14618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56107" y="298167"/>
          <a:ext cx="903514" cy="169652"/>
        </a:xfrm>
        <a:prstGeom xmlns:a="http://schemas.openxmlformats.org/drawingml/2006/main" prst="rect">
          <a:avLst/>
        </a:prstGeom>
        <a:gradFill xmlns:a="http://schemas.openxmlformats.org/drawingml/2006/main"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1"/>
          <a:tileRect/>
        </a:gradFill>
      </cdr:spPr>
      <cdr:txBody>
        <a:bodyPr xmlns:a="http://schemas.openxmlformats.org/drawingml/2006/main" vertOverflow="clip" wrap="square" lIns="45720" rIns="45720" rtlCol="0" anchor="ctr">
          <a:noAutofit/>
        </a:bodyPr>
        <a:lstStyle xmlns:a="http://schemas.openxmlformats.org/drawingml/2006/main"/>
        <a:p xmlns:a="http://schemas.openxmlformats.org/drawingml/2006/main">
          <a:pPr algn="ctr"/>
          <a:r>
            <a:rPr lang="en-US" sz="1400" b="1" u="sng">
              <a:solidFill>
                <a:srgbClr val="002060"/>
              </a:solidFill>
              <a:latin typeface="Tw Cen MT Condensed" panose="020B0606020104020203" pitchFamily="34" charset="0"/>
            </a:rPr>
            <a:t>Sector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58</xdr:row>
      <xdr:rowOff>38100</xdr:rowOff>
    </xdr:from>
    <xdr:to>
      <xdr:col>7</xdr:col>
      <xdr:colOff>809625</xdr:colOff>
      <xdr:row>74</xdr:row>
      <xdr:rowOff>38100</xdr:rowOff>
    </xdr:to>
    <xdr:graphicFrame macro="">
      <xdr:nvGraphicFramePr>
        <xdr:cNvPr id="110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ecky Smith" refreshedDate="41659.575462962966" createdVersion="4" refreshedVersion="4" recordCount="7">
  <cacheSource type="worksheet">
    <worksheetSource ref="B18:N25" sheet="DataIn"/>
  </cacheSource>
  <cacheFields count="13">
    <cacheField name="Sector" numFmtId="0">
      <sharedItems count="6">
        <s v="Residential"/>
        <s v="Commercial"/>
        <s v="Industrial"/>
        <s v="Institutional"/>
        <s v="System Process"/>
        <s v="Non-Revenue"/>
      </sharedItems>
    </cacheField>
    <cacheField name="Subsector" numFmtId="0">
      <sharedItems count="8">
        <s v="Residential"/>
        <s v="Commercial"/>
        <s v="Industrial"/>
        <s v="Institutional"/>
        <s v="System Process"/>
        <s v="WTP Process"/>
        <s v="Other Non-Revenue"/>
        <s v="Formula1" f="1"/>
      </sharedItems>
    </cacheField>
    <cacheField name="2010" numFmtId="2">
      <sharedItems containsSemiMixedTypes="0" containsString="0" containsNumber="1" minValue="0" maxValue="0.16800000000000001"/>
    </cacheField>
    <cacheField name="2015" numFmtId="2">
      <sharedItems containsSemiMixedTypes="0" containsString="0" containsNumber="1" minValue="0" maxValue="0.97149999999999992"/>
    </cacheField>
    <cacheField name="2020" numFmtId="2">
      <sharedItems containsSemiMixedTypes="0" containsString="0" containsNumber="1" minValue="0" maxValue="1.7749999999999999"/>
    </cacheField>
    <cacheField name="2025" numFmtId="2">
      <sharedItems containsSemiMixedTypes="0" containsString="0" containsNumber="1" minValue="0" maxValue="3.1340000000000003"/>
    </cacheField>
    <cacheField name="2030" numFmtId="2">
      <sharedItems containsSemiMixedTypes="0" containsString="0" containsNumber="1" minValue="0" maxValue="4.4930000000000003"/>
    </cacheField>
    <cacheField name="2035" numFmtId="2">
      <sharedItems containsSemiMixedTypes="0" containsString="0" containsNumber="1" minValue="0" maxValue="5.3010000000000002"/>
    </cacheField>
    <cacheField name="2040" numFmtId="2">
      <sharedItems containsSemiMixedTypes="0" containsString="0" containsNumber="1" minValue="0" maxValue="6.109"/>
    </cacheField>
    <cacheField name="2045" numFmtId="2">
      <sharedItems containsSemiMixedTypes="0" containsString="0" containsNumber="1" minValue="0" maxValue="6.3384999999999998"/>
    </cacheField>
    <cacheField name="2050" numFmtId="2">
      <sharedItems containsSemiMixedTypes="0" containsString="0" containsNumber="1" minValue="0" maxValue="6.5679999999999996"/>
    </cacheField>
    <cacheField name="2055" numFmtId="2">
      <sharedItems containsSemiMixedTypes="0" containsString="0" containsNumber="1" minValue="0" maxValue="6.8774999999999995"/>
    </cacheField>
    <cacheField name="2060" numFmtId="2">
      <sharedItems containsSemiMixedTypes="0" containsString="0" containsNumber="1" minValue="0" maxValue="7.1870000000000003"/>
    </cacheField>
  </cacheFields>
  <calculatedItems count="1">
    <calculatedItem>
      <pivotArea cacheIndex="1" outline="0" fieldPosition="0">
        <references count="1">
          <reference field="1" count="1">
            <x v="7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">
  <r>
    <x v="0"/>
    <x v="0"/>
    <n v="0.16800000000000001"/>
    <n v="0.97149999999999992"/>
    <n v="1.7749999999999999"/>
    <n v="3.1340000000000003"/>
    <n v="4.4930000000000003"/>
    <n v="5.3010000000000002"/>
    <n v="6.109"/>
    <n v="6.3384999999999998"/>
    <n v="6.5679999999999996"/>
    <n v="6.8774999999999995"/>
    <n v="7.1870000000000003"/>
  </r>
  <r>
    <x v="1"/>
    <x v="1"/>
    <n v="0.13200000000000001"/>
    <n v="0.35249999999999998"/>
    <n v="0.57299999999999995"/>
    <n v="0.94599999999999995"/>
    <n v="1.319"/>
    <n v="1.5565"/>
    <n v="1.794"/>
    <n v="1.8835000000000002"/>
    <n v="1.9730000000000001"/>
    <n v="2.093"/>
    <n v="2.2130000000000001"/>
  </r>
  <r>
    <x v="2"/>
    <x v="2"/>
    <n v="7.0000000000000007E-2"/>
    <n v="0.14650000000000002"/>
    <n v="0.223"/>
    <n v="0.35149999999999998"/>
    <n v="0.48"/>
    <n v="0.54349999999999998"/>
    <n v="0.60699999999999998"/>
    <n v="0.60699999999999998"/>
    <n v="0.60699999999999998"/>
    <n v="0.60699999999999998"/>
    <n v="0.60699999999999998"/>
  </r>
  <r>
    <x v="3"/>
    <x v="3"/>
    <n v="0"/>
    <n v="0"/>
    <n v="0"/>
    <n v="0"/>
    <n v="0"/>
    <n v="0"/>
    <n v="0"/>
    <n v="0"/>
    <n v="0"/>
    <n v="0"/>
    <n v="0"/>
  </r>
  <r>
    <x v="4"/>
    <x v="4"/>
    <n v="0"/>
    <n v="2.9000000000000001E-2"/>
    <n v="5.8000000000000003E-2"/>
    <n v="9.8500000000000004E-2"/>
    <n v="0.13900000000000001"/>
    <n v="0.1615"/>
    <n v="0.184"/>
    <n v="0.1905"/>
    <n v="0.19700000000000001"/>
    <n v="0.20600000000000002"/>
    <n v="0.215"/>
  </r>
  <r>
    <x v="4"/>
    <x v="5"/>
    <n v="0.10199999999999999"/>
    <n v="0.13300000000000001"/>
    <n v="0.16400000000000001"/>
    <n v="0.27250000000000002"/>
    <n v="0.38100000000000001"/>
    <n v="0.33899999999999997"/>
    <n v="0.29699999999999999"/>
    <n v="0.3075"/>
    <n v="0.318"/>
    <n v="0.33199999999999996"/>
    <n v="0.34599999999999997"/>
  </r>
  <r>
    <x v="5"/>
    <x v="6"/>
    <n v="9.0999999999999998E-2"/>
    <n v="0.16999999999999998"/>
    <n v="0.249"/>
    <n v="0.34199999999999997"/>
    <n v="0.435"/>
    <n v="0.50549999999999995"/>
    <n v="0.57599999999999996"/>
    <n v="0.59650000000000003"/>
    <n v="0.61699999999999999"/>
    <n v="0.64450000000000007"/>
    <n v="0.672000000000000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ata" grandTotalCaption="TOTAL" updatedVersion="4" minRefreshableVersion="3" showMemberPropertyTips="0" useAutoFormatting="1" itemPrintTitles="1" createdVersion="4" indent="0" compact="0" compactData="0" gridDropZones="1">
  <location ref="B22:J31" firstHeaderRow="1" firstDataRow="2" firstDataCol="2"/>
  <pivotFields count="13">
    <pivotField axis="axisRow" compact="0" outline="0" subtotalTop="0" showAll="0" includeNewItemsInFilter="1" defaultSubtotal="0">
      <items count="6">
        <item x="0"/>
        <item x="1"/>
        <item x="2"/>
        <item x="3"/>
        <item x="5"/>
        <item x="4"/>
      </items>
    </pivotField>
    <pivotField axis="axisRow" compact="0" outline="0" subtotalTop="0" showAll="0" includeNewItemsInFilter="1">
      <items count="9">
        <item x="1"/>
        <item x="2"/>
        <item x="3"/>
        <item x="6"/>
        <item x="0"/>
        <item h="1" f="1" x="7"/>
        <item x="4"/>
        <item x="5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</pivotFields>
  <rowFields count="2">
    <field x="0"/>
    <field x="1"/>
  </rowFields>
  <rowItems count="8">
    <i>
      <x/>
      <x v="4"/>
    </i>
    <i>
      <x v="1"/>
      <x/>
    </i>
    <i>
      <x v="2"/>
      <x v="1"/>
    </i>
    <i>
      <x v="3"/>
      <x v="2"/>
    </i>
    <i>
      <x v="4"/>
      <x v="3"/>
    </i>
    <i>
      <x v="5"/>
      <x v="6"/>
    </i>
    <i r="1">
      <x v="7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2010 " fld="2" baseField="0" baseItem="0"/>
    <dataField name="2020 " fld="4" baseField="1" baseItem="0"/>
    <dataField name="2030 " fld="6" baseField="0" baseItem="0"/>
    <dataField name="2040 " fld="8" baseField="0" baseItem="0"/>
    <dataField name="2045 " fld="9" baseField="0" baseItem="0"/>
    <dataField name="2050 " fld="10" baseField="0" baseItem="0"/>
    <dataField name="2060 " fld="12" baseField="0" baseItem="0"/>
  </dataFields>
  <formats count="83">
    <format dxfId="125">
      <pivotArea type="origin" dataOnly="0" labelOnly="1" outline="0" fieldPosition="0"/>
    </format>
    <format dxfId="124">
      <pivotArea field="0" type="button" dataOnly="0" labelOnly="1" outline="0" axis="axisRow" fieldPosition="0"/>
    </format>
    <format dxfId="123">
      <pivotArea field="1" type="button" dataOnly="0" labelOnly="1" outline="0" axis="axisRow" fieldPosition="1"/>
    </format>
    <format dxfId="122">
      <pivotArea dataOnly="0" labelOnly="1" outline="0" fieldPosition="0">
        <references count="1">
          <reference field="0" count="0"/>
        </references>
      </pivotArea>
    </format>
    <format dxfId="121">
      <pivotArea dataOnly="0" labelOnly="1" grandRow="1" outline="0" fieldPosition="0"/>
    </format>
    <format dxfId="120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117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16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115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114">
      <pivotArea type="origin" dataOnly="0" labelOnly="1" outline="0" fieldPosition="0"/>
    </format>
    <format dxfId="113">
      <pivotArea dataOnly="0" labelOnly="1" outline="0" fieldPosition="0">
        <references count="1">
          <reference field="0" count="0"/>
        </references>
      </pivotArea>
    </format>
    <format dxfId="112">
      <pivotArea dataOnly="0" labelOnly="1" grandRow="1" outline="0" fieldPosition="0"/>
    </format>
    <format dxfId="111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10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109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108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107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106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105">
      <pivotArea type="origin" dataOnly="0" labelOnly="1" outline="0" fieldPosition="0"/>
    </format>
    <format dxfId="104">
      <pivotArea dataOnly="0" labelOnly="1" outline="0" fieldPosition="0">
        <references count="1">
          <reference field="0" count="0"/>
        </references>
      </pivotArea>
    </format>
    <format dxfId="103">
      <pivotArea dataOnly="0" labelOnly="1" grandRow="1" outline="0" fieldPosition="0"/>
    </format>
    <format dxfId="102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01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100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99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98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96">
      <pivotArea dataOnly="0" labelOnly="1" outline="0" fieldPosition="0">
        <references count="1">
          <reference field="0" count="0"/>
        </references>
      </pivotArea>
    </format>
    <format dxfId="95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91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90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89">
      <pivotArea dataOnly="0" labelOnly="1" outline="0" fieldPosition="0">
        <references count="1">
          <reference field="0" count="0"/>
        </references>
      </pivotArea>
    </format>
    <format dxfId="88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87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84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83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82">
      <pivotArea dataOnly="0" labelOnly="1" outline="0" fieldPosition="0">
        <references count="1">
          <reference field="0" count="0"/>
        </references>
      </pivotArea>
    </format>
    <format dxfId="81">
      <pivotArea dataOnly="0" labelOnly="1" outline="0" fieldPosition="0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80">
      <pivotArea dataOnly="0" labelOnly="1" outline="0" fieldPosition="0">
        <references count="2">
          <reference field="0" count="1" selected="0">
            <x v="2"/>
          </reference>
          <reference field="1" count="1">
            <x v="1"/>
          </reference>
        </references>
      </pivotArea>
    </format>
    <format dxfId="79">
      <pivotArea dataOnly="0" labelOnly="1" outline="0" fieldPosition="0">
        <references count="2">
          <reference field="0" count="1" selected="0">
            <x v="3"/>
          </reference>
          <reference field="1" count="1">
            <x v="2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4"/>
          </reference>
          <reference field="1" count="1">
            <x v="3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0"/>
          </reference>
          <reference field="1" count="1">
            <x v="4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5"/>
          </reference>
          <reference field="1" count="2">
            <x v="6"/>
            <x v="7"/>
          </reference>
        </references>
      </pivotArea>
    </format>
    <format dxfId="75">
      <pivotArea outline="0" fieldPosition="0">
        <references count="2">
          <reference field="0" count="1" selected="0">
            <x v="5"/>
          </reference>
          <reference field="1" count="1" selected="0">
            <x v="7"/>
          </reference>
        </references>
      </pivotArea>
    </format>
    <format dxfId="74">
      <pivotArea dataOnly="0" labelOnly="1" outline="0" offset="IV256" fieldPosition="0">
        <references count="1">
          <reference field="0" count="1">
            <x v="5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5"/>
          </reference>
          <reference field="1" count="1">
            <x v="7"/>
          </reference>
        </references>
      </pivotArea>
    </format>
    <format dxfId="72">
      <pivotArea field="0" type="button" dataOnly="0" labelOnly="1" outline="0" axis="axisRow" fieldPosition="0"/>
    </format>
    <format dxfId="71">
      <pivotArea field="1" type="button" dataOnly="0" labelOnly="1" outline="0" axis="axisRow" fieldPosition="1"/>
    </format>
    <format dxfId="7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9">
      <pivotArea field="0" type="button" dataOnly="0" labelOnly="1" outline="0" axis="axisRow" fieldPosition="0"/>
    </format>
    <format dxfId="68">
      <pivotArea field="1" type="button" dataOnly="0" labelOnly="1" outline="0" axis="axisRow" fieldPosition="1"/>
    </format>
    <format dxfId="6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6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5">
      <pivotArea dataOnly="0" labelOnly="1" outline="0" fieldPosition="0">
        <references count="1">
          <reference field="0" count="1">
            <x v="5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5"/>
          </reference>
          <reference field="1" count="1">
            <x v="6"/>
          </reference>
        </references>
      </pivotArea>
    </format>
    <format dxfId="63">
      <pivotArea outline="0" fieldPosition="0"/>
    </format>
    <format dxfId="62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61">
      <pivotArea field="0" type="button" dataOnly="0" labelOnly="1" outline="0" axis="axisRow" fieldPosition="0"/>
    </format>
    <format dxfId="60">
      <pivotArea field="1" type="button" dataOnly="0" labelOnly="1" outline="0" axis="axisRow" fieldPosition="1"/>
    </format>
    <format dxfId="5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8">
      <pivotArea field="0" type="button" dataOnly="0" labelOnly="1" outline="0" axis="axisRow" fieldPosition="0"/>
    </format>
    <format dxfId="57">
      <pivotArea field="1" type="button" dataOnly="0" labelOnly="1" outline="0" axis="axisRow" fieldPosition="1"/>
    </format>
    <format dxfId="56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55">
      <pivotArea outline="0" fieldPosition="0"/>
    </format>
    <format dxfId="54">
      <pivotArea outline="0" fieldPosition="0"/>
    </format>
    <format dxfId="53">
      <pivotArea outline="0" fieldPosition="0"/>
    </format>
    <format dxfId="52">
      <pivotArea outline="0" fieldPosition="0">
        <references count="1">
          <reference field="4294967294" count="1" selected="0">
            <x v="4"/>
          </reference>
        </references>
      </pivotArea>
    </format>
    <format dxfId="51">
      <pivotArea outline="0" fieldPosition="0">
        <references count="1">
          <reference field="4294967294" count="1" selected="0">
            <x v="6"/>
          </reference>
        </references>
      </pivotArea>
    </format>
    <format dxfId="50">
      <pivotArea outline="0" fieldPosition="0">
        <references count="1">
          <reference field="4294967294" count="1" selected="0">
            <x v="4"/>
          </reference>
        </references>
      </pivotArea>
    </format>
    <format dxfId="49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47">
      <pivotArea field="-2" type="button" dataOnly="0" labelOnly="1" outline="0" axis="axisCol" fieldPosition="0"/>
    </format>
    <format dxfId="46">
      <pivotArea dataOnly="0" labelOnly="1" outline="0" fieldPosition="0">
        <references count="1">
          <reference field="4294967294" count="0"/>
        </references>
      </pivotArea>
    </format>
    <format dxfId="45">
      <pivotArea field="-2" type="button" dataOnly="0" labelOnly="1" outline="0" axis="axisCol" fieldPosition="0"/>
    </format>
    <format dxfId="44">
      <pivotArea field="-2" type="button" dataOnly="0" labelOnly="1" outline="0" axis="axisCol" fieldPosition="0"/>
    </format>
    <format dxfId="43">
      <pivotArea type="topRight" dataOnly="0" labelOnly="1"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royal@pittsboronc.go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2:Z109"/>
  <sheetViews>
    <sheetView workbookViewId="0">
      <selection activeCell="F35" sqref="F35"/>
    </sheetView>
  </sheetViews>
  <sheetFormatPr defaultRowHeight="12.75" x14ac:dyDescent="0.2"/>
  <cols>
    <col min="1" max="1" width="19.140625" customWidth="1"/>
    <col min="2" max="2" width="30.7109375" customWidth="1"/>
    <col min="3" max="3" width="14.5703125" customWidth="1"/>
    <col min="4" max="4" width="13.42578125" customWidth="1"/>
    <col min="5" max="5" width="14.7109375" customWidth="1"/>
    <col min="6" max="6" width="16.5703125" customWidth="1"/>
    <col min="10" max="10" width="11.85546875" customWidth="1"/>
  </cols>
  <sheetData>
    <row r="2" spans="1:21" x14ac:dyDescent="0.2">
      <c r="A2" s="207" t="s">
        <v>324</v>
      </c>
    </row>
    <row r="3" spans="1:21" ht="13.5" thickBot="1" x14ac:dyDescent="0.25"/>
    <row r="4" spans="1:21" ht="15" x14ac:dyDescent="0.25">
      <c r="A4" s="251"/>
      <c r="B4" s="252" t="s">
        <v>257</v>
      </c>
      <c r="C4" s="252"/>
      <c r="D4" s="252"/>
      <c r="E4" s="252"/>
      <c r="F4" s="253"/>
      <c r="G4" s="254"/>
      <c r="J4" s="269" t="s">
        <v>258</v>
      </c>
      <c r="K4" s="269">
        <v>2010</v>
      </c>
      <c r="L4" s="270">
        <v>2015</v>
      </c>
      <c r="M4" s="269">
        <v>2020</v>
      </c>
      <c r="N4" s="270">
        <v>2025</v>
      </c>
      <c r="O4" s="269">
        <v>2030</v>
      </c>
      <c r="P4" s="270">
        <v>2035</v>
      </c>
      <c r="Q4" s="269">
        <v>2040</v>
      </c>
      <c r="R4" s="271">
        <v>2045</v>
      </c>
      <c r="S4" s="269">
        <v>2050</v>
      </c>
      <c r="T4" s="270">
        <v>2055</v>
      </c>
      <c r="U4" s="269">
        <v>2060</v>
      </c>
    </row>
    <row r="5" spans="1:21" ht="15.75" thickBot="1" x14ac:dyDescent="0.3">
      <c r="A5" s="255" t="s">
        <v>258</v>
      </c>
      <c r="B5" s="256">
        <v>2010</v>
      </c>
      <c r="C5" s="256">
        <v>2020</v>
      </c>
      <c r="D5" s="256">
        <v>2030</v>
      </c>
      <c r="E5" s="256">
        <v>2040</v>
      </c>
      <c r="F5" s="256">
        <v>2050</v>
      </c>
      <c r="G5" s="257">
        <v>2060</v>
      </c>
      <c r="J5" s="272" t="s">
        <v>190</v>
      </c>
      <c r="K5" s="273">
        <v>3.51</v>
      </c>
      <c r="L5" s="274">
        <v>4.2</v>
      </c>
      <c r="M5" s="275">
        <v>5.54</v>
      </c>
      <c r="N5" s="274">
        <v>6.6</v>
      </c>
      <c r="O5" s="273">
        <v>7.57</v>
      </c>
      <c r="P5" s="274">
        <v>8.8000000000000007</v>
      </c>
      <c r="Q5" s="273">
        <v>9.93</v>
      </c>
      <c r="R5" s="276">
        <v>10.465</v>
      </c>
      <c r="S5" s="273">
        <v>11</v>
      </c>
      <c r="T5" s="277">
        <v>11.27</v>
      </c>
      <c r="U5" s="273">
        <v>11.54</v>
      </c>
    </row>
    <row r="6" spans="1:21" ht="15.75" thickTop="1" x14ac:dyDescent="0.25">
      <c r="A6" s="258" t="s">
        <v>190</v>
      </c>
      <c r="B6" s="259">
        <v>3.51</v>
      </c>
      <c r="C6" s="259">
        <v>5.54</v>
      </c>
      <c r="D6" s="259">
        <v>7.57</v>
      </c>
      <c r="E6" s="259">
        <v>9.93</v>
      </c>
      <c r="F6" s="259">
        <v>11</v>
      </c>
      <c r="G6" s="260">
        <v>11.54</v>
      </c>
      <c r="J6" s="272" t="s">
        <v>259</v>
      </c>
      <c r="K6" s="273">
        <v>14.89</v>
      </c>
      <c r="L6" s="274">
        <v>16.7</v>
      </c>
      <c r="M6" s="275">
        <v>19.53</v>
      </c>
      <c r="N6" s="274">
        <v>22.2</v>
      </c>
      <c r="O6" s="273">
        <v>24.29</v>
      </c>
      <c r="P6" s="274">
        <v>26</v>
      </c>
      <c r="Q6" s="273">
        <v>27.42</v>
      </c>
      <c r="R6" s="276">
        <v>28.61</v>
      </c>
      <c r="S6" s="273">
        <v>29.8</v>
      </c>
      <c r="T6" s="277">
        <v>29.8</v>
      </c>
      <c r="U6" s="273">
        <v>29.8</v>
      </c>
    </row>
    <row r="7" spans="1:21" ht="15" x14ac:dyDescent="0.25">
      <c r="A7" s="261" t="s">
        <v>259</v>
      </c>
      <c r="B7" s="262">
        <v>14.89</v>
      </c>
      <c r="C7" s="262">
        <v>19.53</v>
      </c>
      <c r="D7" s="262">
        <v>24.29</v>
      </c>
      <c r="E7" s="262">
        <v>27.42</v>
      </c>
      <c r="F7" s="262">
        <v>29.8</v>
      </c>
      <c r="G7" s="263">
        <v>29.8</v>
      </c>
      <c r="J7" s="272" t="s">
        <v>260</v>
      </c>
      <c r="K7" s="273">
        <v>1.72</v>
      </c>
      <c r="L7" s="274">
        <v>2</v>
      </c>
      <c r="M7" s="275">
        <v>2.48</v>
      </c>
      <c r="N7" s="274">
        <v>2.8</v>
      </c>
      <c r="O7" s="273">
        <v>3.03</v>
      </c>
      <c r="P7" s="274">
        <v>3.3</v>
      </c>
      <c r="Q7" s="273">
        <v>3.41</v>
      </c>
      <c r="R7" s="276">
        <v>3.4699999999999998</v>
      </c>
      <c r="S7" s="273">
        <v>3.53</v>
      </c>
      <c r="T7" s="277">
        <v>3.5599999999999996</v>
      </c>
      <c r="U7" s="273">
        <v>3.59</v>
      </c>
    </row>
    <row r="8" spans="1:21" ht="15" x14ac:dyDescent="0.25">
      <c r="A8" s="261" t="s">
        <v>260</v>
      </c>
      <c r="B8" s="262">
        <v>1.72</v>
      </c>
      <c r="C8" s="262">
        <v>2.48</v>
      </c>
      <c r="D8" s="262">
        <v>3.03</v>
      </c>
      <c r="E8" s="262">
        <v>3.41</v>
      </c>
      <c r="F8" s="262">
        <v>3.53</v>
      </c>
      <c r="G8" s="263">
        <v>3.59</v>
      </c>
      <c r="J8" s="272" t="s">
        <v>201</v>
      </c>
      <c r="K8" s="273">
        <v>0.57999999999999996</v>
      </c>
      <c r="L8" s="274">
        <v>0.9</v>
      </c>
      <c r="M8" s="275">
        <v>1.39</v>
      </c>
      <c r="N8" s="274">
        <v>1.9</v>
      </c>
      <c r="O8" s="273">
        <v>2.33</v>
      </c>
      <c r="P8" s="274">
        <v>2.7</v>
      </c>
      <c r="Q8" s="273">
        <v>3.2</v>
      </c>
      <c r="R8" s="276">
        <v>3.2250000000000001</v>
      </c>
      <c r="S8" s="273">
        <v>3.25</v>
      </c>
      <c r="T8" s="277">
        <v>3.27</v>
      </c>
      <c r="U8" s="273">
        <v>3.29</v>
      </c>
    </row>
    <row r="9" spans="1:21" ht="15.75" thickBot="1" x14ac:dyDescent="0.3">
      <c r="A9" s="264" t="s">
        <v>201</v>
      </c>
      <c r="B9" s="265">
        <v>0.57999999999999996</v>
      </c>
      <c r="C9" s="265">
        <v>1.39</v>
      </c>
      <c r="D9" s="265">
        <v>2.33</v>
      </c>
      <c r="E9" s="265">
        <v>3.2</v>
      </c>
      <c r="F9" s="265">
        <v>3.25</v>
      </c>
      <c r="G9" s="266">
        <v>3.29</v>
      </c>
      <c r="J9" s="272" t="s">
        <v>192</v>
      </c>
      <c r="K9" s="273">
        <v>2.16</v>
      </c>
      <c r="L9" s="274">
        <v>3.4</v>
      </c>
      <c r="M9" s="273">
        <v>5.29</v>
      </c>
      <c r="N9" s="277">
        <v>6.8149999999999995</v>
      </c>
      <c r="O9" s="273">
        <v>8.34</v>
      </c>
      <c r="P9" s="277">
        <v>10.129999999999999</v>
      </c>
      <c r="Q9" s="273">
        <v>11.92</v>
      </c>
      <c r="R9" s="276">
        <v>13.035</v>
      </c>
      <c r="S9" s="273">
        <v>14.15</v>
      </c>
      <c r="T9" s="277">
        <v>16.13</v>
      </c>
      <c r="U9" s="273">
        <v>18.11</v>
      </c>
    </row>
    <row r="10" spans="1:21" ht="15.75" thickTop="1" x14ac:dyDescent="0.25">
      <c r="A10" s="261" t="s">
        <v>192</v>
      </c>
      <c r="B10" s="262">
        <v>2.16</v>
      </c>
      <c r="C10" s="262">
        <v>5.29</v>
      </c>
      <c r="D10" s="262">
        <v>8.34</v>
      </c>
      <c r="E10" s="262">
        <v>11.92</v>
      </c>
      <c r="F10" s="262">
        <v>14.15</v>
      </c>
      <c r="G10" s="263">
        <v>18.11</v>
      </c>
      <c r="J10" s="272" t="s">
        <v>193</v>
      </c>
      <c r="K10" s="273">
        <v>25.27</v>
      </c>
      <c r="L10" s="277">
        <v>27.967703227188579</v>
      </c>
      <c r="M10" s="273">
        <v>30.665406454377155</v>
      </c>
      <c r="N10" s="277">
        <v>32.408813687753131</v>
      </c>
      <c r="O10" s="273">
        <v>34.152220921129107</v>
      </c>
      <c r="P10" s="277">
        <v>36.126962597363317</v>
      </c>
      <c r="Q10" s="273">
        <v>38.101704273597534</v>
      </c>
      <c r="R10" s="276">
        <v>39.978856971645754</v>
      </c>
      <c r="S10" s="273">
        <v>41.856009669693982</v>
      </c>
      <c r="T10" s="277">
        <v>43.114640313131758</v>
      </c>
      <c r="U10" s="273">
        <v>44.373270956569534</v>
      </c>
    </row>
    <row r="11" spans="1:21" ht="15" x14ac:dyDescent="0.25">
      <c r="A11" s="261" t="s">
        <v>193</v>
      </c>
      <c r="B11" s="262">
        <v>25.27</v>
      </c>
      <c r="C11" s="262">
        <v>30.665406454377155</v>
      </c>
      <c r="D11" s="262">
        <v>34.152220921129107</v>
      </c>
      <c r="E11" s="262">
        <v>38.101704273597534</v>
      </c>
      <c r="F11" s="262">
        <v>41.856009669693982</v>
      </c>
      <c r="G11" s="263">
        <v>44.373270956569534</v>
      </c>
      <c r="J11" s="272" t="s">
        <v>194</v>
      </c>
      <c r="K11" s="273">
        <v>1.1599999999999999</v>
      </c>
      <c r="L11" s="277">
        <v>1.7399999999999998</v>
      </c>
      <c r="M11" s="273">
        <v>2.3199999999999998</v>
      </c>
      <c r="N11" s="277">
        <v>2.5099999999999998</v>
      </c>
      <c r="O11" s="273">
        <v>2.7</v>
      </c>
      <c r="P11" s="277">
        <v>2.8650000000000002</v>
      </c>
      <c r="Q11" s="273">
        <v>3.03</v>
      </c>
      <c r="R11" s="276">
        <v>3.2050000000000001</v>
      </c>
      <c r="S11" s="273">
        <v>3.38</v>
      </c>
      <c r="T11" s="277">
        <v>3.54</v>
      </c>
      <c r="U11" s="273">
        <v>3.7</v>
      </c>
    </row>
    <row r="12" spans="1:21" ht="15" x14ac:dyDescent="0.25">
      <c r="A12" s="261" t="s">
        <v>194</v>
      </c>
      <c r="B12" s="262">
        <v>1.1599999999999999</v>
      </c>
      <c r="C12" s="262">
        <v>2.3199999999999998</v>
      </c>
      <c r="D12" s="262">
        <v>2.7</v>
      </c>
      <c r="E12" s="262">
        <v>3.03</v>
      </c>
      <c r="F12" s="262">
        <v>3.38</v>
      </c>
      <c r="G12" s="263">
        <v>3.7</v>
      </c>
      <c r="J12" s="272" t="s">
        <v>195</v>
      </c>
      <c r="K12" s="273">
        <v>1.98</v>
      </c>
      <c r="L12" s="277">
        <v>3.335</v>
      </c>
      <c r="M12" s="273">
        <v>4.6900000000000004</v>
      </c>
      <c r="N12" s="277">
        <v>5.2050000000000001</v>
      </c>
      <c r="O12" s="273">
        <v>5.72</v>
      </c>
      <c r="P12" s="277">
        <v>6.23</v>
      </c>
      <c r="Q12" s="273">
        <v>6.74</v>
      </c>
      <c r="R12" s="276">
        <v>7.24</v>
      </c>
      <c r="S12" s="273">
        <v>7.74</v>
      </c>
      <c r="T12" s="277">
        <v>8.26</v>
      </c>
      <c r="U12" s="273">
        <v>8.7799999999999994</v>
      </c>
    </row>
    <row r="13" spans="1:21" ht="15" x14ac:dyDescent="0.25">
      <c r="A13" s="261" t="s">
        <v>195</v>
      </c>
      <c r="B13" s="262">
        <v>1.98</v>
      </c>
      <c r="C13" s="262">
        <v>4.6900000000000004</v>
      </c>
      <c r="D13" s="262">
        <v>5.72</v>
      </c>
      <c r="E13" s="262">
        <v>6.74</v>
      </c>
      <c r="F13" s="262">
        <v>7.74</v>
      </c>
      <c r="G13" s="263">
        <v>8.7799999999999994</v>
      </c>
      <c r="J13" s="272" t="s">
        <v>196</v>
      </c>
      <c r="K13" s="273">
        <v>0.02</v>
      </c>
      <c r="L13" s="277">
        <v>0.36</v>
      </c>
      <c r="M13" s="273">
        <v>0.7</v>
      </c>
      <c r="N13" s="277">
        <v>1.145</v>
      </c>
      <c r="O13" s="273">
        <v>1.59</v>
      </c>
      <c r="P13" s="277">
        <v>2.0049999999999999</v>
      </c>
      <c r="Q13" s="273">
        <v>2.42</v>
      </c>
      <c r="R13" s="276">
        <v>2.81</v>
      </c>
      <c r="S13" s="273">
        <v>3.2</v>
      </c>
      <c r="T13" s="277">
        <v>3.56</v>
      </c>
      <c r="U13" s="273">
        <v>3.92</v>
      </c>
    </row>
    <row r="14" spans="1:21" ht="15" x14ac:dyDescent="0.25">
      <c r="A14" s="261" t="s">
        <v>196</v>
      </c>
      <c r="B14" s="262">
        <v>0.02</v>
      </c>
      <c r="C14" s="262">
        <v>0.7</v>
      </c>
      <c r="D14" s="262">
        <v>1.59</v>
      </c>
      <c r="E14" s="262">
        <v>2.42</v>
      </c>
      <c r="F14" s="262">
        <v>3.2</v>
      </c>
      <c r="G14" s="263">
        <v>3.92</v>
      </c>
      <c r="J14" s="272" t="s">
        <v>197</v>
      </c>
      <c r="K14" s="273">
        <v>7.86</v>
      </c>
      <c r="L14" s="277">
        <v>8.09</v>
      </c>
      <c r="M14" s="273">
        <v>8.32</v>
      </c>
      <c r="N14" s="277">
        <v>9</v>
      </c>
      <c r="O14" s="273">
        <v>9.68</v>
      </c>
      <c r="P14" s="277">
        <v>10.234999999999999</v>
      </c>
      <c r="Q14" s="273">
        <v>10.79</v>
      </c>
      <c r="R14" s="276">
        <v>11.324999999999999</v>
      </c>
      <c r="S14" s="273">
        <v>11.86</v>
      </c>
      <c r="T14" s="277">
        <v>12.385</v>
      </c>
      <c r="U14" s="273">
        <v>12.91</v>
      </c>
    </row>
    <row r="15" spans="1:21" ht="15" x14ac:dyDescent="0.25">
      <c r="A15" s="261" t="s">
        <v>197</v>
      </c>
      <c r="B15" s="262">
        <v>7.86</v>
      </c>
      <c r="C15" s="262">
        <v>8.32</v>
      </c>
      <c r="D15" s="262">
        <v>9.68</v>
      </c>
      <c r="E15" s="262">
        <v>10.79</v>
      </c>
      <c r="F15" s="262">
        <v>11.86</v>
      </c>
      <c r="G15" s="263">
        <v>12.91</v>
      </c>
      <c r="J15" s="272" t="s">
        <v>198</v>
      </c>
      <c r="K15" s="273">
        <v>0.62</v>
      </c>
      <c r="L15" s="277">
        <v>1.98</v>
      </c>
      <c r="M15" s="273">
        <v>3.34</v>
      </c>
      <c r="N15" s="277">
        <v>5.5549999999999997</v>
      </c>
      <c r="O15" s="273">
        <v>7.77</v>
      </c>
      <c r="P15" s="277">
        <v>8.93</v>
      </c>
      <c r="Q15" s="273">
        <v>10.09</v>
      </c>
      <c r="R15" s="276">
        <v>10.445</v>
      </c>
      <c r="S15" s="273">
        <v>10.8</v>
      </c>
      <c r="T15" s="277">
        <v>11.280000000000001</v>
      </c>
      <c r="U15" s="273">
        <v>11.76</v>
      </c>
    </row>
    <row r="16" spans="1:21" ht="15" x14ac:dyDescent="0.25">
      <c r="A16" s="261" t="s">
        <v>198</v>
      </c>
      <c r="B16" s="262">
        <v>0.62</v>
      </c>
      <c r="C16" s="262">
        <v>3.34</v>
      </c>
      <c r="D16" s="262">
        <v>7.77</v>
      </c>
      <c r="E16" s="262">
        <v>10.09</v>
      </c>
      <c r="F16" s="262">
        <v>10.8</v>
      </c>
      <c r="G16" s="263">
        <v>11.76</v>
      </c>
      <c r="J16" s="272" t="s">
        <v>199</v>
      </c>
      <c r="K16" s="273">
        <v>52</v>
      </c>
      <c r="L16" s="277">
        <v>60.95</v>
      </c>
      <c r="M16" s="273">
        <v>69.900000000000006</v>
      </c>
      <c r="N16" s="277">
        <v>76.150000000000006</v>
      </c>
      <c r="O16" s="273">
        <v>82.4</v>
      </c>
      <c r="P16" s="277">
        <v>87.35</v>
      </c>
      <c r="Q16" s="273">
        <v>92.3</v>
      </c>
      <c r="R16" s="276">
        <v>97.5</v>
      </c>
      <c r="S16" s="273">
        <v>102.7</v>
      </c>
      <c r="T16" s="277">
        <v>108.85</v>
      </c>
      <c r="U16" s="273">
        <v>115</v>
      </c>
    </row>
    <row r="17" spans="1:21" ht="15" x14ac:dyDescent="0.25">
      <c r="A17" s="261" t="s">
        <v>199</v>
      </c>
      <c r="B17" s="262">
        <v>52</v>
      </c>
      <c r="C17" s="262">
        <v>69.900000000000006</v>
      </c>
      <c r="D17" s="262">
        <v>82.4</v>
      </c>
      <c r="E17" s="262">
        <v>92.3</v>
      </c>
      <c r="F17" s="262">
        <v>102.7</v>
      </c>
      <c r="G17" s="263">
        <v>115</v>
      </c>
      <c r="J17" s="272" t="s">
        <v>200</v>
      </c>
      <c r="K17" s="273">
        <v>6.52</v>
      </c>
      <c r="L17" s="277">
        <v>7.3149999999999995</v>
      </c>
      <c r="M17" s="273">
        <v>8.11</v>
      </c>
      <c r="N17" s="277">
        <v>9.7850000000000001</v>
      </c>
      <c r="O17" s="273">
        <v>11.46</v>
      </c>
      <c r="P17" s="277">
        <v>13.335000000000001</v>
      </c>
      <c r="Q17" s="273">
        <v>15.21</v>
      </c>
      <c r="R17" s="276">
        <v>17.815000000000001</v>
      </c>
      <c r="S17" s="273">
        <v>20.420000000000002</v>
      </c>
      <c r="T17" s="277">
        <v>22.605</v>
      </c>
      <c r="U17" s="273">
        <v>24.79</v>
      </c>
    </row>
    <row r="18" spans="1:21" ht="15.75" thickBot="1" x14ac:dyDescent="0.3">
      <c r="A18" s="261" t="s">
        <v>200</v>
      </c>
      <c r="B18" s="262">
        <v>6.52</v>
      </c>
      <c r="C18" s="262">
        <v>8.11</v>
      </c>
      <c r="D18" s="262">
        <v>11.46</v>
      </c>
      <c r="E18" s="262">
        <v>15.21</v>
      </c>
      <c r="F18" s="262">
        <v>20.420000000000002</v>
      </c>
      <c r="G18" s="263">
        <v>24.79</v>
      </c>
      <c r="J18" s="269" t="s">
        <v>261</v>
      </c>
      <c r="K18" s="273">
        <v>118.28999999999998</v>
      </c>
      <c r="L18" s="273">
        <v>138.93770322718859</v>
      </c>
      <c r="M18" s="273">
        <v>162.27540645437716</v>
      </c>
      <c r="N18" s="273">
        <v>182.07381368775313</v>
      </c>
      <c r="O18" s="273">
        <v>201.0322209211291</v>
      </c>
      <c r="P18" s="273">
        <v>218.0069625973633</v>
      </c>
      <c r="Q18" s="273">
        <v>234.56170427359754</v>
      </c>
      <c r="R18" s="278">
        <v>249.12385697164575</v>
      </c>
      <c r="S18" s="273">
        <v>263.68600966969399</v>
      </c>
      <c r="T18" s="273">
        <v>277.62464031313175</v>
      </c>
      <c r="U18" s="273">
        <v>291.56327095656957</v>
      </c>
    </row>
    <row r="19" spans="1:21" ht="15.75" thickBot="1" x14ac:dyDescent="0.3">
      <c r="A19" s="267" t="s">
        <v>261</v>
      </c>
      <c r="B19" s="268">
        <f t="shared" ref="B19:G19" si="0">SUM(B6:B18)</f>
        <v>118.28999999999998</v>
      </c>
      <c r="C19" s="268">
        <f t="shared" si="0"/>
        <v>162.27540645437716</v>
      </c>
      <c r="D19" s="268">
        <f t="shared" si="0"/>
        <v>201.0322209211291</v>
      </c>
      <c r="E19" s="268">
        <f t="shared" si="0"/>
        <v>234.56170427359754</v>
      </c>
      <c r="F19" s="268">
        <f t="shared" si="0"/>
        <v>263.68600966969399</v>
      </c>
      <c r="G19" s="268">
        <f t="shared" si="0"/>
        <v>291.56327095656957</v>
      </c>
    </row>
    <row r="22" spans="1:21" ht="13.5" thickBot="1" x14ac:dyDescent="0.25">
      <c r="A22" s="155" t="s">
        <v>323</v>
      </c>
      <c r="J22" t="s">
        <v>203</v>
      </c>
    </row>
    <row r="23" spans="1:21" ht="15.75" thickBot="1" x14ac:dyDescent="0.3">
      <c r="A23" s="180" t="s">
        <v>189</v>
      </c>
      <c r="B23" s="181">
        <v>2010</v>
      </c>
      <c r="C23" s="182">
        <v>2020</v>
      </c>
      <c r="D23" s="182">
        <v>2030</v>
      </c>
      <c r="E23" s="182">
        <v>2040</v>
      </c>
      <c r="F23" s="182">
        <v>2050</v>
      </c>
      <c r="G23" s="183">
        <v>2060</v>
      </c>
      <c r="K23">
        <v>2010</v>
      </c>
      <c r="L23" s="184">
        <v>2015</v>
      </c>
      <c r="M23" s="185">
        <v>2020</v>
      </c>
      <c r="N23" s="186">
        <v>2025</v>
      </c>
      <c r="O23" s="185">
        <v>2030</v>
      </c>
      <c r="P23" s="186">
        <v>2035</v>
      </c>
      <c r="Q23" s="185">
        <v>2040</v>
      </c>
      <c r="R23" s="186">
        <v>2045</v>
      </c>
      <c r="S23">
        <v>2050</v>
      </c>
      <c r="T23" s="184">
        <v>2055</v>
      </c>
      <c r="U23">
        <v>2060</v>
      </c>
    </row>
    <row r="24" spans="1:21" ht="15" x14ac:dyDescent="0.25">
      <c r="A24" s="187" t="s">
        <v>190</v>
      </c>
      <c r="B24" s="188">
        <v>37700</v>
      </c>
      <c r="C24" s="189">
        <v>53100</v>
      </c>
      <c r="D24" s="189">
        <v>74400</v>
      </c>
      <c r="E24" s="189">
        <v>100500</v>
      </c>
      <c r="F24" s="189">
        <v>109200</v>
      </c>
      <c r="G24" s="190">
        <v>112200</v>
      </c>
      <c r="J24" s="187" t="s">
        <v>190</v>
      </c>
      <c r="K24" s="191">
        <v>37700</v>
      </c>
      <c r="L24" s="192">
        <v>41400</v>
      </c>
      <c r="M24" s="193">
        <v>53100</v>
      </c>
      <c r="N24" s="192">
        <v>63000</v>
      </c>
      <c r="O24" s="193">
        <v>74400</v>
      </c>
      <c r="P24" s="192">
        <v>87400</v>
      </c>
      <c r="Q24" s="193">
        <v>100500</v>
      </c>
      <c r="R24" s="186">
        <v>104850</v>
      </c>
      <c r="S24" s="191">
        <v>109200</v>
      </c>
      <c r="T24" s="184">
        <v>110700</v>
      </c>
      <c r="U24" s="191">
        <v>112200</v>
      </c>
    </row>
    <row r="25" spans="1:21" ht="15" x14ac:dyDescent="0.25">
      <c r="A25" s="194" t="s">
        <v>191</v>
      </c>
      <c r="B25" s="195">
        <v>145000</v>
      </c>
      <c r="C25" s="196">
        <v>176400</v>
      </c>
      <c r="D25" s="196">
        <v>208100</v>
      </c>
      <c r="E25" s="196">
        <v>230700</v>
      </c>
      <c r="F25" s="196">
        <v>247900</v>
      </c>
      <c r="G25" s="197">
        <v>248400</v>
      </c>
      <c r="J25" s="194" t="s">
        <v>191</v>
      </c>
      <c r="K25" s="191">
        <v>145000</v>
      </c>
      <c r="L25" s="192">
        <v>159800</v>
      </c>
      <c r="M25" s="193">
        <v>176400</v>
      </c>
      <c r="N25" s="192">
        <v>193200</v>
      </c>
      <c r="O25" s="193">
        <v>208100</v>
      </c>
      <c r="P25" s="192">
        <v>222300</v>
      </c>
      <c r="Q25" s="193">
        <v>230700</v>
      </c>
      <c r="R25" s="186">
        <v>239300</v>
      </c>
      <c r="S25" s="191">
        <v>247900</v>
      </c>
      <c r="T25" s="184">
        <v>248150</v>
      </c>
      <c r="U25" s="191">
        <v>248400</v>
      </c>
    </row>
    <row r="26" spans="1:21" ht="15" x14ac:dyDescent="0.25">
      <c r="A26" s="194" t="s">
        <v>192</v>
      </c>
      <c r="B26" s="195">
        <v>10200</v>
      </c>
      <c r="C26" s="196">
        <v>25900</v>
      </c>
      <c r="D26" s="196">
        <v>41600</v>
      </c>
      <c r="E26" s="196">
        <v>57300</v>
      </c>
      <c r="F26" s="196">
        <v>73400</v>
      </c>
      <c r="G26" s="197">
        <v>94000</v>
      </c>
      <c r="J26" s="194" t="s">
        <v>192</v>
      </c>
      <c r="K26" s="191">
        <v>10200</v>
      </c>
      <c r="L26" s="186">
        <v>18050</v>
      </c>
      <c r="M26" s="193">
        <v>25900</v>
      </c>
      <c r="N26" s="186">
        <v>33750</v>
      </c>
      <c r="O26" s="193">
        <v>41600</v>
      </c>
      <c r="P26" s="186">
        <v>49450</v>
      </c>
      <c r="Q26" s="193">
        <v>57300</v>
      </c>
      <c r="R26" s="186">
        <v>65350</v>
      </c>
      <c r="S26" s="191">
        <v>73400</v>
      </c>
      <c r="T26" s="184">
        <v>83700</v>
      </c>
      <c r="U26" s="191">
        <v>94000</v>
      </c>
    </row>
    <row r="27" spans="1:21" ht="15" x14ac:dyDescent="0.25">
      <c r="A27" s="194" t="s">
        <v>193</v>
      </c>
      <c r="B27" s="195">
        <v>227100</v>
      </c>
      <c r="C27" s="196">
        <v>286400</v>
      </c>
      <c r="D27" s="196">
        <v>329400</v>
      </c>
      <c r="E27" s="196">
        <v>372400</v>
      </c>
      <c r="F27" s="196">
        <v>415400</v>
      </c>
      <c r="G27" s="197">
        <v>458400</v>
      </c>
      <c r="J27" s="194" t="s">
        <v>193</v>
      </c>
      <c r="K27" s="191">
        <v>227100</v>
      </c>
      <c r="L27" s="184">
        <v>256750</v>
      </c>
      <c r="M27" s="193">
        <v>286400</v>
      </c>
      <c r="N27" s="186">
        <v>307900</v>
      </c>
      <c r="O27" s="193">
        <v>329400</v>
      </c>
      <c r="P27" s="186">
        <v>350900</v>
      </c>
      <c r="Q27" s="193">
        <v>372400</v>
      </c>
      <c r="R27" s="186">
        <v>393900</v>
      </c>
      <c r="S27" s="191">
        <v>415400</v>
      </c>
      <c r="T27" s="184">
        <v>436900</v>
      </c>
      <c r="U27" s="191">
        <v>458400</v>
      </c>
    </row>
    <row r="28" spans="1:21" ht="15" x14ac:dyDescent="0.25">
      <c r="A28" s="194" t="s">
        <v>194</v>
      </c>
      <c r="B28" s="195">
        <v>14000</v>
      </c>
      <c r="C28" s="196">
        <v>16800</v>
      </c>
      <c r="D28" s="196">
        <v>20100</v>
      </c>
      <c r="E28" s="196">
        <v>24200</v>
      </c>
      <c r="F28" s="196">
        <v>29000</v>
      </c>
      <c r="G28" s="197">
        <v>33800</v>
      </c>
      <c r="J28" s="194" t="s">
        <v>194</v>
      </c>
      <c r="K28" s="191">
        <v>14000</v>
      </c>
      <c r="L28" s="184">
        <v>15400</v>
      </c>
      <c r="M28" s="193">
        <v>16800</v>
      </c>
      <c r="N28" s="186">
        <v>18450</v>
      </c>
      <c r="O28" s="193">
        <v>20100</v>
      </c>
      <c r="P28" s="186">
        <v>22150</v>
      </c>
      <c r="Q28" s="193">
        <v>24200</v>
      </c>
      <c r="R28" s="186">
        <v>26600</v>
      </c>
      <c r="S28" s="191">
        <v>29000</v>
      </c>
      <c r="T28" s="184">
        <v>31400</v>
      </c>
      <c r="U28" s="191">
        <v>33800</v>
      </c>
    </row>
    <row r="29" spans="1:21" ht="15" x14ac:dyDescent="0.25">
      <c r="A29" s="194" t="s">
        <v>195</v>
      </c>
      <c r="B29" s="195">
        <v>24700</v>
      </c>
      <c r="C29" s="196">
        <v>46700</v>
      </c>
      <c r="D29" s="196">
        <v>61900</v>
      </c>
      <c r="E29" s="196">
        <v>74800</v>
      </c>
      <c r="F29" s="196">
        <v>89000</v>
      </c>
      <c r="G29" s="197">
        <v>103300</v>
      </c>
      <c r="J29" s="194" t="s">
        <v>195</v>
      </c>
      <c r="K29" s="191">
        <v>24700</v>
      </c>
      <c r="L29" s="184">
        <v>35700</v>
      </c>
      <c r="M29" s="191">
        <v>46700</v>
      </c>
      <c r="N29" s="184">
        <v>54300</v>
      </c>
      <c r="O29" s="191">
        <v>61900</v>
      </c>
      <c r="P29" s="184">
        <v>68350</v>
      </c>
      <c r="Q29" s="191">
        <v>74800</v>
      </c>
      <c r="R29" s="184">
        <v>81900</v>
      </c>
      <c r="S29" s="191">
        <v>89000</v>
      </c>
      <c r="T29" s="184">
        <v>96150</v>
      </c>
      <c r="U29" s="191">
        <v>103300</v>
      </c>
    </row>
    <row r="30" spans="1:21" ht="15" x14ac:dyDescent="0.25">
      <c r="A30" s="194" t="s">
        <v>196</v>
      </c>
      <c r="B30" s="195">
        <v>100</v>
      </c>
      <c r="C30" s="196">
        <v>4000</v>
      </c>
      <c r="D30" s="196">
        <v>9300</v>
      </c>
      <c r="E30" s="196">
        <v>14500</v>
      </c>
      <c r="F30" s="196">
        <v>19800</v>
      </c>
      <c r="G30" s="197">
        <v>25100</v>
      </c>
      <c r="J30" s="194" t="s">
        <v>196</v>
      </c>
      <c r="K30" s="191">
        <v>100</v>
      </c>
      <c r="L30" s="184">
        <v>2050</v>
      </c>
      <c r="M30" s="191">
        <v>4000</v>
      </c>
      <c r="N30" s="184">
        <v>6650</v>
      </c>
      <c r="O30" s="191">
        <v>9300</v>
      </c>
      <c r="P30" s="184">
        <v>11900</v>
      </c>
      <c r="Q30" s="191">
        <v>14500</v>
      </c>
      <c r="R30" s="184">
        <v>17150</v>
      </c>
      <c r="S30" s="191">
        <v>19800</v>
      </c>
      <c r="T30" s="184">
        <v>22450</v>
      </c>
      <c r="U30" s="191">
        <v>25100</v>
      </c>
    </row>
    <row r="31" spans="1:21" ht="15" x14ac:dyDescent="0.25">
      <c r="A31" s="194" t="s">
        <v>197</v>
      </c>
      <c r="B31" s="195">
        <v>81000</v>
      </c>
      <c r="C31" s="196">
        <v>94300</v>
      </c>
      <c r="D31" s="196">
        <v>108600</v>
      </c>
      <c r="E31" s="196">
        <v>122800</v>
      </c>
      <c r="F31" s="196">
        <v>137100</v>
      </c>
      <c r="G31" s="197">
        <v>151300</v>
      </c>
      <c r="J31" s="194" t="s">
        <v>197</v>
      </c>
      <c r="K31" s="191">
        <v>81000</v>
      </c>
      <c r="L31" s="184">
        <v>87650</v>
      </c>
      <c r="M31" s="191">
        <v>94300</v>
      </c>
      <c r="N31" s="184">
        <v>101450</v>
      </c>
      <c r="O31" s="191">
        <v>108600</v>
      </c>
      <c r="P31" s="184">
        <v>115700</v>
      </c>
      <c r="Q31" s="191">
        <v>122800</v>
      </c>
      <c r="R31" s="184">
        <v>129950</v>
      </c>
      <c r="S31" s="191">
        <v>137100</v>
      </c>
      <c r="T31" s="184">
        <v>144200</v>
      </c>
      <c r="U31" s="191">
        <v>151300</v>
      </c>
    </row>
    <row r="32" spans="1:21" ht="15" x14ac:dyDescent="0.25">
      <c r="A32" s="194" t="s">
        <v>198</v>
      </c>
      <c r="B32" s="198">
        <v>3700</v>
      </c>
      <c r="C32" s="199">
        <v>24000</v>
      </c>
      <c r="D32" s="199">
        <v>58600</v>
      </c>
      <c r="E32" s="199">
        <v>79900</v>
      </c>
      <c r="F32" s="199">
        <v>87100</v>
      </c>
      <c r="G32" s="200">
        <v>96800</v>
      </c>
      <c r="J32" s="194" t="s">
        <v>198</v>
      </c>
      <c r="K32" s="191">
        <v>3700</v>
      </c>
      <c r="L32" s="184">
        <v>13850</v>
      </c>
      <c r="M32" s="191">
        <v>24000</v>
      </c>
      <c r="N32" s="184">
        <v>41300</v>
      </c>
      <c r="O32" s="191">
        <v>58600</v>
      </c>
      <c r="P32" s="184">
        <v>69250</v>
      </c>
      <c r="Q32" s="191">
        <v>79900</v>
      </c>
      <c r="R32" s="184">
        <v>83500</v>
      </c>
      <c r="S32" s="191">
        <v>87100</v>
      </c>
      <c r="T32" s="184">
        <v>91950</v>
      </c>
      <c r="U32" s="191">
        <v>96800</v>
      </c>
    </row>
    <row r="33" spans="1:26" ht="15" x14ac:dyDescent="0.25">
      <c r="A33" s="194" t="s">
        <v>199</v>
      </c>
      <c r="B33" s="195">
        <v>483300</v>
      </c>
      <c r="C33" s="196">
        <v>638500</v>
      </c>
      <c r="D33" s="196">
        <v>799100</v>
      </c>
      <c r="E33" s="196">
        <v>963200</v>
      </c>
      <c r="F33" s="464">
        <v>1134200</v>
      </c>
      <c r="G33" s="465">
        <v>1316200</v>
      </c>
      <c r="J33" s="194" t="s">
        <v>199</v>
      </c>
      <c r="K33" s="191">
        <v>483300</v>
      </c>
      <c r="L33" s="184">
        <v>560900</v>
      </c>
      <c r="M33" s="191">
        <v>638500</v>
      </c>
      <c r="N33" s="184">
        <v>718800</v>
      </c>
      <c r="O33" s="191">
        <v>799100</v>
      </c>
      <c r="P33" s="184">
        <v>881150</v>
      </c>
      <c r="Q33" s="191">
        <v>963200</v>
      </c>
      <c r="R33" s="184">
        <v>1048700</v>
      </c>
      <c r="S33" s="191">
        <v>1134200</v>
      </c>
      <c r="T33" s="184">
        <v>1225200</v>
      </c>
      <c r="U33" s="191">
        <v>1316200</v>
      </c>
    </row>
    <row r="34" spans="1:26" ht="15" x14ac:dyDescent="0.25">
      <c r="A34" s="194" t="s">
        <v>200</v>
      </c>
      <c r="B34" s="195">
        <v>40900</v>
      </c>
      <c r="C34" s="196">
        <v>56600</v>
      </c>
      <c r="D34" s="196">
        <v>76000</v>
      </c>
      <c r="E34" s="196">
        <v>92200</v>
      </c>
      <c r="F34" s="196">
        <v>111800</v>
      </c>
      <c r="G34" s="197">
        <v>135700</v>
      </c>
      <c r="J34" s="194" t="s">
        <v>200</v>
      </c>
      <c r="K34" s="191">
        <v>40900</v>
      </c>
      <c r="L34" s="184">
        <v>48750</v>
      </c>
      <c r="M34" s="191">
        <v>56600</v>
      </c>
      <c r="N34" s="184">
        <v>66300</v>
      </c>
      <c r="O34" s="191">
        <v>76000</v>
      </c>
      <c r="P34" s="184">
        <v>84100</v>
      </c>
      <c r="Q34" s="191">
        <v>92200</v>
      </c>
      <c r="R34" s="184">
        <v>102000</v>
      </c>
      <c r="S34" s="191">
        <v>111800</v>
      </c>
      <c r="T34" s="184">
        <v>123750</v>
      </c>
      <c r="U34" s="191">
        <v>135700</v>
      </c>
    </row>
    <row r="35" spans="1:26" ht="15.75" thickBot="1" x14ac:dyDescent="0.3">
      <c r="A35" s="201" t="s">
        <v>201</v>
      </c>
      <c r="B35" s="202">
        <v>0</v>
      </c>
      <c r="C35" s="203">
        <v>0</v>
      </c>
      <c r="D35" s="203">
        <v>0</v>
      </c>
      <c r="E35" s="203">
        <v>0</v>
      </c>
      <c r="F35" s="203">
        <v>0</v>
      </c>
      <c r="G35" s="204">
        <v>0</v>
      </c>
      <c r="J35" s="201" t="s">
        <v>201</v>
      </c>
      <c r="K35" s="191">
        <v>0</v>
      </c>
      <c r="L35" s="184">
        <v>0</v>
      </c>
      <c r="M35" s="191">
        <v>0</v>
      </c>
      <c r="N35" s="184">
        <v>0</v>
      </c>
      <c r="O35" s="191">
        <v>0</v>
      </c>
      <c r="P35" s="184">
        <v>0</v>
      </c>
      <c r="Q35" s="191">
        <v>0</v>
      </c>
      <c r="R35" s="184">
        <v>0</v>
      </c>
      <c r="S35" s="191">
        <v>0</v>
      </c>
      <c r="T35" s="184">
        <v>0</v>
      </c>
      <c r="U35" s="191">
        <v>0</v>
      </c>
    </row>
    <row r="36" spans="1:26" ht="14.25" thickTop="1" thickBot="1" x14ac:dyDescent="0.25">
      <c r="A36" s="205" t="s">
        <v>202</v>
      </c>
      <c r="B36" s="206">
        <f t="shared" ref="B36:G36" si="1">SUM(B24:B35)</f>
        <v>1067700</v>
      </c>
      <c r="C36" s="206">
        <f t="shared" si="1"/>
        <v>1422700</v>
      </c>
      <c r="D36" s="206">
        <f t="shared" si="1"/>
        <v>1787100</v>
      </c>
      <c r="E36" s="206">
        <f t="shared" si="1"/>
        <v>2132500</v>
      </c>
      <c r="F36" s="206">
        <f t="shared" si="1"/>
        <v>2453900</v>
      </c>
      <c r="G36" s="206">
        <f t="shared" si="1"/>
        <v>2775200</v>
      </c>
      <c r="J36" t="s">
        <v>202</v>
      </c>
      <c r="K36" s="191">
        <v>1067700</v>
      </c>
      <c r="L36" s="191">
        <v>1240300</v>
      </c>
      <c r="M36" s="191">
        <v>1422700</v>
      </c>
      <c r="N36" s="191">
        <v>1605100</v>
      </c>
      <c r="O36" s="191">
        <v>1787100</v>
      </c>
      <c r="P36" s="191">
        <v>1962650</v>
      </c>
      <c r="Q36" s="191">
        <v>2132500</v>
      </c>
      <c r="R36" s="191">
        <v>2293200</v>
      </c>
      <c r="S36" s="191">
        <v>2453900</v>
      </c>
      <c r="T36" s="191">
        <v>2614550</v>
      </c>
      <c r="U36" s="191">
        <v>2775200</v>
      </c>
    </row>
    <row r="40" spans="1:26" x14ac:dyDescent="0.2">
      <c r="A40" s="220" t="s">
        <v>149</v>
      </c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</row>
    <row r="41" spans="1:26" x14ac:dyDescent="0.2">
      <c r="A41" s="156" t="s">
        <v>278</v>
      </c>
    </row>
    <row r="42" spans="1:26" ht="45" x14ac:dyDescent="0.25">
      <c r="A42" s="279" t="s">
        <v>258</v>
      </c>
      <c r="B42" s="280" t="s">
        <v>262</v>
      </c>
      <c r="C42" s="280" t="s">
        <v>210</v>
      </c>
      <c r="D42" s="280" t="s">
        <v>16</v>
      </c>
      <c r="E42" s="280" t="s">
        <v>263</v>
      </c>
      <c r="F42" s="280" t="s">
        <v>156</v>
      </c>
      <c r="G42" s="281" t="s">
        <v>264</v>
      </c>
    </row>
    <row r="43" spans="1:26" ht="15" x14ac:dyDescent="0.25">
      <c r="A43" s="282" t="s">
        <v>190</v>
      </c>
      <c r="B43" s="283" t="s">
        <v>265</v>
      </c>
      <c r="C43" s="284" t="s">
        <v>220</v>
      </c>
      <c r="D43" s="298" t="s">
        <v>162</v>
      </c>
      <c r="E43" s="285" t="s">
        <v>159</v>
      </c>
      <c r="F43" s="299" t="s">
        <v>279</v>
      </c>
      <c r="G43" s="286">
        <v>8.5</v>
      </c>
    </row>
    <row r="44" spans="1:26" ht="15" x14ac:dyDescent="0.25">
      <c r="A44" s="282" t="s">
        <v>259</v>
      </c>
      <c r="B44" s="283" t="s">
        <v>265</v>
      </c>
      <c r="C44" s="284" t="s">
        <v>220</v>
      </c>
      <c r="D44" s="298" t="s">
        <v>162</v>
      </c>
      <c r="E44" s="285" t="s">
        <v>159</v>
      </c>
      <c r="F44" s="299" t="s">
        <v>279</v>
      </c>
      <c r="G44" s="286">
        <v>23.5</v>
      </c>
    </row>
    <row r="45" spans="1:26" ht="15" x14ac:dyDescent="0.25">
      <c r="A45" s="282" t="s">
        <v>260</v>
      </c>
      <c r="B45" s="283" t="s">
        <v>265</v>
      </c>
      <c r="C45" s="284" t="s">
        <v>220</v>
      </c>
      <c r="D45" s="298" t="s">
        <v>162</v>
      </c>
      <c r="E45" s="285" t="s">
        <v>159</v>
      </c>
      <c r="F45" s="299" t="s">
        <v>279</v>
      </c>
      <c r="G45" s="286">
        <v>3.5</v>
      </c>
    </row>
    <row r="46" spans="1:26" ht="15" x14ac:dyDescent="0.25">
      <c r="A46" s="282" t="s">
        <v>201</v>
      </c>
      <c r="B46" s="283" t="s">
        <v>265</v>
      </c>
      <c r="C46" s="284" t="s">
        <v>220</v>
      </c>
      <c r="D46" s="298" t="s">
        <v>162</v>
      </c>
      <c r="E46" s="285" t="s">
        <v>159</v>
      </c>
      <c r="F46" s="299" t="s">
        <v>279</v>
      </c>
      <c r="G46" s="286">
        <v>3.5</v>
      </c>
    </row>
    <row r="47" spans="1:26" ht="15" x14ac:dyDescent="0.25">
      <c r="A47" s="288" t="s">
        <v>192</v>
      </c>
      <c r="B47" s="283" t="s">
        <v>265</v>
      </c>
      <c r="C47" s="284" t="s">
        <v>220</v>
      </c>
      <c r="D47" s="298" t="s">
        <v>162</v>
      </c>
      <c r="E47" s="285" t="s">
        <v>159</v>
      </c>
      <c r="F47" s="299" t="s">
        <v>279</v>
      </c>
      <c r="G47" s="286">
        <v>6</v>
      </c>
    </row>
    <row r="48" spans="1:26" ht="15" x14ac:dyDescent="0.25">
      <c r="A48" s="289" t="s">
        <v>193</v>
      </c>
      <c r="B48" s="283" t="s">
        <v>265</v>
      </c>
      <c r="C48" s="284" t="s">
        <v>220</v>
      </c>
      <c r="D48" s="298" t="s">
        <v>162</v>
      </c>
      <c r="E48" s="285" t="s">
        <v>159</v>
      </c>
      <c r="F48" s="299" t="s">
        <v>279</v>
      </c>
      <c r="G48" s="286">
        <v>10</v>
      </c>
    </row>
    <row r="49" spans="1:26" ht="26.25" x14ac:dyDescent="0.25">
      <c r="A49" s="290"/>
      <c r="B49" s="283" t="s">
        <v>266</v>
      </c>
      <c r="C49" s="284" t="s">
        <v>267</v>
      </c>
      <c r="D49" s="298" t="s">
        <v>162</v>
      </c>
      <c r="E49" s="285" t="s">
        <v>161</v>
      </c>
      <c r="F49" s="285" t="s">
        <v>285</v>
      </c>
      <c r="G49" s="286">
        <v>28.9</v>
      </c>
    </row>
    <row r="50" spans="1:26" ht="26.25" x14ac:dyDescent="0.25">
      <c r="A50" s="290" t="s">
        <v>194</v>
      </c>
      <c r="B50" s="283" t="s">
        <v>268</v>
      </c>
      <c r="C50" s="284" t="s">
        <v>267</v>
      </c>
      <c r="D50" s="298" t="s">
        <v>162</v>
      </c>
      <c r="E50" s="285" t="s">
        <v>161</v>
      </c>
      <c r="F50" s="300" t="s">
        <v>287</v>
      </c>
      <c r="G50" s="286">
        <v>2.6</v>
      </c>
    </row>
    <row r="51" spans="1:26" ht="15" x14ac:dyDescent="0.25">
      <c r="A51" s="289" t="s">
        <v>195</v>
      </c>
      <c r="B51" s="291" t="s">
        <v>269</v>
      </c>
      <c r="C51" s="284" t="s">
        <v>220</v>
      </c>
      <c r="D51" s="298" t="s">
        <v>162</v>
      </c>
      <c r="E51" s="285" t="s">
        <v>159</v>
      </c>
      <c r="F51" s="299" t="s">
        <v>279</v>
      </c>
      <c r="G51" s="287">
        <v>2</v>
      </c>
    </row>
    <row r="52" spans="1:26" ht="15" x14ac:dyDescent="0.25">
      <c r="A52" s="289"/>
      <c r="B52" s="283" t="s">
        <v>270</v>
      </c>
      <c r="C52" s="284" t="s">
        <v>219</v>
      </c>
      <c r="D52" s="298" t="s">
        <v>162</v>
      </c>
      <c r="E52" s="285" t="s">
        <v>159</v>
      </c>
      <c r="F52" s="298" t="s">
        <v>286</v>
      </c>
      <c r="G52" s="286">
        <v>6.67</v>
      </c>
    </row>
    <row r="53" spans="1:26" ht="26.25" x14ac:dyDescent="0.25">
      <c r="A53" s="292" t="s">
        <v>196</v>
      </c>
      <c r="B53" s="293" t="s">
        <v>271</v>
      </c>
      <c r="C53" s="294" t="s">
        <v>219</v>
      </c>
      <c r="D53" s="298" t="s">
        <v>162</v>
      </c>
      <c r="E53" s="285" t="s">
        <v>159</v>
      </c>
      <c r="F53" s="298" t="s">
        <v>286</v>
      </c>
      <c r="G53" s="295">
        <v>0.25</v>
      </c>
    </row>
    <row r="54" spans="1:26" ht="15" x14ac:dyDescent="0.25">
      <c r="A54" s="296"/>
      <c r="B54" s="297" t="s">
        <v>269</v>
      </c>
      <c r="C54" s="284" t="s">
        <v>220</v>
      </c>
      <c r="D54" s="298" t="s">
        <v>162</v>
      </c>
      <c r="E54" s="285" t="s">
        <v>159</v>
      </c>
      <c r="F54" s="299" t="s">
        <v>279</v>
      </c>
      <c r="G54" s="287">
        <v>1</v>
      </c>
    </row>
    <row r="55" spans="1:26" ht="15" x14ac:dyDescent="0.25">
      <c r="A55" s="289" t="s">
        <v>197</v>
      </c>
      <c r="B55" s="283" t="s">
        <v>265</v>
      </c>
      <c r="C55" s="131" t="s">
        <v>220</v>
      </c>
      <c r="D55" s="298" t="s">
        <v>162</v>
      </c>
      <c r="E55" s="285" t="s">
        <v>159</v>
      </c>
      <c r="F55" s="299" t="s">
        <v>279</v>
      </c>
      <c r="G55" s="286">
        <v>5</v>
      </c>
    </row>
    <row r="56" spans="1:26" ht="26.25" x14ac:dyDescent="0.25">
      <c r="A56" s="290"/>
      <c r="B56" s="283" t="s">
        <v>272</v>
      </c>
      <c r="C56" s="284" t="s">
        <v>267</v>
      </c>
      <c r="D56" s="298" t="s">
        <v>162</v>
      </c>
      <c r="E56" s="285" t="s">
        <v>159</v>
      </c>
      <c r="F56" s="299" t="s">
        <v>281</v>
      </c>
      <c r="G56" s="286">
        <v>10.5</v>
      </c>
    </row>
    <row r="57" spans="1:26" ht="26.25" x14ac:dyDescent="0.25">
      <c r="A57" s="290" t="s">
        <v>198</v>
      </c>
      <c r="B57" s="283" t="s">
        <v>273</v>
      </c>
      <c r="C57" s="284" t="s">
        <v>243</v>
      </c>
      <c r="D57" s="298" t="s">
        <v>162</v>
      </c>
      <c r="E57" s="285" t="s">
        <v>159</v>
      </c>
      <c r="F57" s="299" t="s">
        <v>282</v>
      </c>
      <c r="G57" s="286">
        <v>2</v>
      </c>
    </row>
    <row r="58" spans="1:26" ht="26.25" x14ac:dyDescent="0.25">
      <c r="A58" s="289" t="s">
        <v>199</v>
      </c>
      <c r="B58" s="283" t="s">
        <v>274</v>
      </c>
      <c r="C58" s="284" t="s">
        <v>275</v>
      </c>
      <c r="D58" s="298" t="s">
        <v>162</v>
      </c>
      <c r="E58" s="285" t="s">
        <v>161</v>
      </c>
      <c r="F58" s="299" t="s">
        <v>282</v>
      </c>
      <c r="G58" s="286">
        <v>66.099999999999994</v>
      </c>
    </row>
    <row r="59" spans="1:26" ht="26.25" x14ac:dyDescent="0.25">
      <c r="A59" s="290"/>
      <c r="B59" s="283" t="s">
        <v>276</v>
      </c>
      <c r="C59" s="284" t="s">
        <v>267</v>
      </c>
      <c r="D59" s="298" t="s">
        <v>162</v>
      </c>
      <c r="E59" s="298" t="s">
        <v>161</v>
      </c>
      <c r="F59" s="299" t="s">
        <v>283</v>
      </c>
      <c r="G59" s="286">
        <v>11.2</v>
      </c>
    </row>
    <row r="60" spans="1:26" ht="26.25" x14ac:dyDescent="0.25">
      <c r="A60" s="290" t="s">
        <v>200</v>
      </c>
      <c r="B60" s="283" t="s">
        <v>277</v>
      </c>
      <c r="C60" s="284" t="s">
        <v>243</v>
      </c>
      <c r="D60" s="298" t="s">
        <v>162</v>
      </c>
      <c r="E60" s="298" t="s">
        <v>160</v>
      </c>
      <c r="F60" s="299" t="s">
        <v>284</v>
      </c>
      <c r="G60" s="286">
        <v>12</v>
      </c>
    </row>
    <row r="62" spans="1:26" ht="15" x14ac:dyDescent="0.25">
      <c r="A62" s="322" t="s">
        <v>307</v>
      </c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</row>
    <row r="63" spans="1:26" x14ac:dyDescent="0.2">
      <c r="A63" s="156" t="s">
        <v>313</v>
      </c>
    </row>
    <row r="65" spans="1:12" x14ac:dyDescent="0.2">
      <c r="A65" t="s">
        <v>311</v>
      </c>
      <c r="B65">
        <v>2010</v>
      </c>
      <c r="C65">
        <v>2015</v>
      </c>
      <c r="D65">
        <v>2020</v>
      </c>
      <c r="E65">
        <v>2025</v>
      </c>
      <c r="F65">
        <v>2030</v>
      </c>
      <c r="G65">
        <v>2035</v>
      </c>
      <c r="H65">
        <v>2040</v>
      </c>
      <c r="I65">
        <v>2045</v>
      </c>
      <c r="J65">
        <v>2050</v>
      </c>
      <c r="K65">
        <v>2055</v>
      </c>
      <c r="L65">
        <v>2060</v>
      </c>
    </row>
    <row r="66" spans="1:12" x14ac:dyDescent="0.2">
      <c r="A66" t="s">
        <v>190</v>
      </c>
      <c r="B66">
        <v>0</v>
      </c>
      <c r="C66">
        <v>0</v>
      </c>
      <c r="D66">
        <v>0</v>
      </c>
      <c r="E66">
        <v>0</v>
      </c>
      <c r="F66">
        <v>0</v>
      </c>
      <c r="G66">
        <v>0.30000000000000071</v>
      </c>
      <c r="H66">
        <v>1.4299999999999997</v>
      </c>
      <c r="I66">
        <v>1.9649999999999999</v>
      </c>
      <c r="J66">
        <v>2.5</v>
      </c>
      <c r="K66">
        <v>2.7699999999999996</v>
      </c>
      <c r="L66">
        <v>3.0399999999999991</v>
      </c>
    </row>
    <row r="67" spans="1:12" x14ac:dyDescent="0.2">
      <c r="A67" t="s">
        <v>259</v>
      </c>
      <c r="B67">
        <v>0</v>
      </c>
      <c r="C67">
        <v>0</v>
      </c>
      <c r="D67">
        <v>0</v>
      </c>
      <c r="E67">
        <v>0</v>
      </c>
      <c r="F67">
        <v>0.78999999999999915</v>
      </c>
      <c r="G67">
        <v>2.5</v>
      </c>
      <c r="H67">
        <v>3.9200000000000017</v>
      </c>
      <c r="I67">
        <v>5.1099999999999994</v>
      </c>
      <c r="J67">
        <v>6.3000000000000007</v>
      </c>
      <c r="K67">
        <v>6.3000000000000007</v>
      </c>
      <c r="L67">
        <v>6.3000000000000007</v>
      </c>
    </row>
    <row r="68" spans="1:12" x14ac:dyDescent="0.2">
      <c r="A68" t="s">
        <v>260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2.9999999999999805E-2</v>
      </c>
      <c r="K68">
        <v>5.9999999999999609E-2</v>
      </c>
      <c r="L68">
        <v>8.9999999999999858E-2</v>
      </c>
    </row>
    <row r="69" spans="1:12" x14ac:dyDescent="0.2">
      <c r="A69" t="s">
        <v>201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">
      <c r="A70" t="s">
        <v>192</v>
      </c>
      <c r="B70">
        <v>0</v>
      </c>
      <c r="C70">
        <v>0</v>
      </c>
      <c r="D70">
        <v>0</v>
      </c>
      <c r="E70">
        <v>0.8149999999999995</v>
      </c>
      <c r="F70">
        <v>2.34</v>
      </c>
      <c r="G70">
        <v>4.129999999999999</v>
      </c>
      <c r="H70">
        <v>5.92</v>
      </c>
      <c r="I70">
        <v>7.0350000000000001</v>
      </c>
      <c r="J70">
        <v>8.15</v>
      </c>
      <c r="K70">
        <v>10.129999999999999</v>
      </c>
      <c r="L70">
        <v>12.11</v>
      </c>
    </row>
    <row r="71" spans="1:12" x14ac:dyDescent="0.2">
      <c r="A71" t="s">
        <v>193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1.07</v>
      </c>
      <c r="J71">
        <v>2.96</v>
      </c>
      <c r="K71">
        <v>4.21</v>
      </c>
      <c r="L71">
        <v>5.47</v>
      </c>
    </row>
    <row r="72" spans="1:12" x14ac:dyDescent="0.2">
      <c r="A72" t="s">
        <v>194</v>
      </c>
      <c r="B72">
        <v>0</v>
      </c>
      <c r="C72">
        <v>0</v>
      </c>
      <c r="D72">
        <v>0</v>
      </c>
      <c r="E72">
        <v>0</v>
      </c>
      <c r="F72">
        <v>0.10000000000000009</v>
      </c>
      <c r="G72">
        <v>0.26500000000000012</v>
      </c>
      <c r="H72">
        <v>0.42999999999999972</v>
      </c>
      <c r="I72">
        <v>0.60499999999999998</v>
      </c>
      <c r="J72">
        <v>0.7799999999999998</v>
      </c>
      <c r="K72">
        <v>0.94</v>
      </c>
      <c r="L72">
        <v>1.1000000000000001</v>
      </c>
    </row>
    <row r="73" spans="1:12" x14ac:dyDescent="0.2">
      <c r="A73" t="s">
        <v>195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7.0000000000000284E-2</v>
      </c>
      <c r="I73">
        <v>0.57000000000000028</v>
      </c>
      <c r="J73">
        <v>1.0700000000000003</v>
      </c>
      <c r="K73">
        <v>1.5899999999999999</v>
      </c>
      <c r="L73">
        <v>2.1099999999999994</v>
      </c>
    </row>
    <row r="74" spans="1:12" x14ac:dyDescent="0.2">
      <c r="A74" t="s">
        <v>312</v>
      </c>
      <c r="B74">
        <v>0</v>
      </c>
      <c r="C74">
        <v>0.10999999999999999</v>
      </c>
      <c r="D74">
        <v>0.44999999999999996</v>
      </c>
      <c r="E74">
        <v>0.89500000000000002</v>
      </c>
      <c r="F74">
        <v>1.34</v>
      </c>
      <c r="G74">
        <v>1.7549999999999999</v>
      </c>
      <c r="H74">
        <v>2.17</v>
      </c>
      <c r="I74">
        <v>2.56</v>
      </c>
      <c r="J74">
        <v>2.95</v>
      </c>
      <c r="K74">
        <v>3.31</v>
      </c>
      <c r="L74">
        <v>3.67</v>
      </c>
    </row>
    <row r="75" spans="1:12" x14ac:dyDescent="0.2">
      <c r="A75" t="s">
        <v>197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">
      <c r="A76" t="s">
        <v>198</v>
      </c>
      <c r="B76">
        <v>0</v>
      </c>
      <c r="C76">
        <v>0</v>
      </c>
      <c r="D76">
        <v>1.3399999999999999</v>
      </c>
      <c r="E76">
        <v>3.5549999999999997</v>
      </c>
      <c r="F76">
        <v>5.77</v>
      </c>
      <c r="G76">
        <v>6.93</v>
      </c>
      <c r="H76">
        <v>8.09</v>
      </c>
      <c r="I76">
        <v>8.4450000000000003</v>
      </c>
      <c r="J76">
        <v>8.8000000000000007</v>
      </c>
      <c r="K76">
        <v>9.2800000000000011</v>
      </c>
      <c r="L76">
        <v>9.76</v>
      </c>
    </row>
    <row r="77" spans="1:12" x14ac:dyDescent="0.2">
      <c r="A77" t="s">
        <v>199</v>
      </c>
      <c r="B77">
        <v>0</v>
      </c>
      <c r="C77">
        <v>0</v>
      </c>
      <c r="D77">
        <v>0</v>
      </c>
      <c r="E77">
        <v>0</v>
      </c>
      <c r="F77">
        <v>5.1000000000000085</v>
      </c>
      <c r="G77">
        <v>10.049999999999997</v>
      </c>
      <c r="H77">
        <v>15</v>
      </c>
      <c r="I77">
        <v>20.200000000000003</v>
      </c>
      <c r="J77">
        <v>25.400000000000006</v>
      </c>
      <c r="K77">
        <v>31.549999999999997</v>
      </c>
      <c r="L77">
        <v>37.700000000000003</v>
      </c>
    </row>
    <row r="78" spans="1:12" x14ac:dyDescent="0.2">
      <c r="A78" t="s">
        <v>200</v>
      </c>
      <c r="B78">
        <v>0</v>
      </c>
      <c r="C78">
        <v>0</v>
      </c>
      <c r="D78">
        <v>0</v>
      </c>
      <c r="E78">
        <v>0</v>
      </c>
      <c r="F78">
        <v>0</v>
      </c>
      <c r="G78">
        <v>1.3350000000000009</v>
      </c>
      <c r="H78">
        <v>3.2100000000000009</v>
      </c>
      <c r="I78">
        <v>5.8150000000000013</v>
      </c>
      <c r="J78">
        <v>8.4200000000000017</v>
      </c>
      <c r="K78">
        <v>10.605</v>
      </c>
      <c r="L78">
        <v>12.79</v>
      </c>
    </row>
    <row r="79" spans="1:12" x14ac:dyDescent="0.2">
      <c r="A79" t="s">
        <v>261</v>
      </c>
      <c r="B79">
        <v>0</v>
      </c>
      <c r="C79">
        <v>0.10999999999999999</v>
      </c>
      <c r="D79">
        <v>1.7899999999999998</v>
      </c>
      <c r="E79">
        <v>5.2649999999999988</v>
      </c>
      <c r="F79">
        <v>15.440000000000008</v>
      </c>
      <c r="G79">
        <v>27.264999999999997</v>
      </c>
      <c r="H79">
        <v>40.24</v>
      </c>
      <c r="I79">
        <v>53.38</v>
      </c>
      <c r="J79">
        <v>67.36</v>
      </c>
      <c r="K79">
        <v>80.75</v>
      </c>
      <c r="L79">
        <v>94.14</v>
      </c>
    </row>
    <row r="86" spans="1:18" x14ac:dyDescent="0.2">
      <c r="A86" s="220" t="s">
        <v>240</v>
      </c>
      <c r="B86" s="245"/>
      <c r="C86" s="245"/>
      <c r="D86" s="245"/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</row>
    <row r="88" spans="1:18" x14ac:dyDescent="0.2">
      <c r="A88" s="155" t="s">
        <v>301</v>
      </c>
    </row>
    <row r="89" spans="1:18" x14ac:dyDescent="0.2">
      <c r="A89" t="s">
        <v>130</v>
      </c>
      <c r="B89" t="s">
        <v>288</v>
      </c>
      <c r="C89" t="s">
        <v>210</v>
      </c>
      <c r="D89" t="s">
        <v>16</v>
      </c>
      <c r="E89" t="s">
        <v>45</v>
      </c>
      <c r="F89" t="s">
        <v>156</v>
      </c>
      <c r="G89" t="s">
        <v>289</v>
      </c>
      <c r="H89" t="s">
        <v>222</v>
      </c>
      <c r="I89" t="s">
        <v>290</v>
      </c>
    </row>
    <row r="90" spans="1:18" x14ac:dyDescent="0.2">
      <c r="A90" t="s">
        <v>190</v>
      </c>
      <c r="B90" t="s">
        <v>291</v>
      </c>
      <c r="C90" t="s">
        <v>292</v>
      </c>
      <c r="D90" t="s">
        <v>162</v>
      </c>
      <c r="E90" t="s">
        <v>159</v>
      </c>
      <c r="F90" t="s">
        <v>279</v>
      </c>
      <c r="G90">
        <v>2</v>
      </c>
      <c r="H90">
        <v>5</v>
      </c>
      <c r="I90">
        <v>2015</v>
      </c>
    </row>
    <row r="91" spans="1:18" x14ac:dyDescent="0.2">
      <c r="A91" t="s">
        <v>190</v>
      </c>
      <c r="B91" t="s">
        <v>293</v>
      </c>
      <c r="C91" t="s">
        <v>292</v>
      </c>
      <c r="D91" t="s">
        <v>162</v>
      </c>
      <c r="E91" t="s">
        <v>159</v>
      </c>
      <c r="F91" t="s">
        <v>279</v>
      </c>
      <c r="G91">
        <v>1.1000000000000001</v>
      </c>
      <c r="H91">
        <v>5</v>
      </c>
      <c r="I91">
        <v>2045</v>
      </c>
    </row>
    <row r="92" spans="1:18" x14ac:dyDescent="0.2">
      <c r="A92" t="s">
        <v>241</v>
      </c>
      <c r="B92" t="s">
        <v>291</v>
      </c>
      <c r="C92" t="s">
        <v>292</v>
      </c>
      <c r="D92" t="s">
        <v>162</v>
      </c>
      <c r="E92" t="s">
        <v>159</v>
      </c>
      <c r="F92" t="s">
        <v>279</v>
      </c>
      <c r="G92">
        <v>5.2</v>
      </c>
      <c r="H92">
        <v>5</v>
      </c>
      <c r="I92">
        <v>2015</v>
      </c>
    </row>
    <row r="93" spans="1:18" x14ac:dyDescent="0.2">
      <c r="A93" t="s">
        <v>241</v>
      </c>
      <c r="B93" t="s">
        <v>294</v>
      </c>
      <c r="C93" t="s">
        <v>292</v>
      </c>
      <c r="D93" t="s">
        <v>162</v>
      </c>
      <c r="E93" t="s">
        <v>159</v>
      </c>
      <c r="F93" t="s">
        <v>279</v>
      </c>
      <c r="G93">
        <v>1.4</v>
      </c>
      <c r="H93">
        <v>5</v>
      </c>
      <c r="I93">
        <v>2045</v>
      </c>
    </row>
    <row r="94" spans="1:18" x14ac:dyDescent="0.2">
      <c r="A94" t="s">
        <v>242</v>
      </c>
      <c r="B94" t="s">
        <v>291</v>
      </c>
      <c r="C94" t="s">
        <v>292</v>
      </c>
      <c r="D94" t="s">
        <v>162</v>
      </c>
      <c r="E94" t="s">
        <v>159</v>
      </c>
      <c r="F94" t="s">
        <v>279</v>
      </c>
      <c r="G94">
        <v>7.1</v>
      </c>
      <c r="H94">
        <v>5</v>
      </c>
      <c r="I94">
        <v>2015</v>
      </c>
    </row>
    <row r="95" spans="1:18" x14ac:dyDescent="0.2">
      <c r="A95" t="s">
        <v>242</v>
      </c>
      <c r="B95" t="s">
        <v>294</v>
      </c>
      <c r="C95" t="s">
        <v>292</v>
      </c>
      <c r="D95" t="s">
        <v>162</v>
      </c>
      <c r="E95" t="s">
        <v>159</v>
      </c>
      <c r="F95" t="s">
        <v>279</v>
      </c>
      <c r="G95">
        <v>5.0999999999999996</v>
      </c>
      <c r="H95">
        <v>5</v>
      </c>
      <c r="I95">
        <v>2045</v>
      </c>
    </row>
    <row r="96" spans="1:18" x14ac:dyDescent="0.2">
      <c r="A96" t="s">
        <v>193</v>
      </c>
      <c r="B96" t="s">
        <v>249</v>
      </c>
      <c r="C96" t="s">
        <v>248</v>
      </c>
      <c r="D96" t="s">
        <v>162</v>
      </c>
      <c r="E96" t="s">
        <v>161</v>
      </c>
      <c r="F96" t="s">
        <v>295</v>
      </c>
      <c r="G96">
        <v>6</v>
      </c>
      <c r="H96">
        <v>6</v>
      </c>
      <c r="I96">
        <v>2025</v>
      </c>
    </row>
    <row r="97" spans="1:9" x14ac:dyDescent="0.2">
      <c r="A97" t="s">
        <v>193</v>
      </c>
      <c r="B97" t="s">
        <v>291</v>
      </c>
      <c r="C97" t="s">
        <v>292</v>
      </c>
      <c r="D97" t="s">
        <v>162</v>
      </c>
      <c r="E97" t="s">
        <v>159</v>
      </c>
      <c r="F97" t="s">
        <v>279</v>
      </c>
      <c r="G97" t="s">
        <v>296</v>
      </c>
      <c r="H97">
        <v>5</v>
      </c>
      <c r="I97">
        <v>2015</v>
      </c>
    </row>
    <row r="98" spans="1:9" x14ac:dyDescent="0.2">
      <c r="A98" t="s">
        <v>194</v>
      </c>
      <c r="B98" t="s">
        <v>245</v>
      </c>
      <c r="C98" t="s">
        <v>246</v>
      </c>
      <c r="D98" t="s">
        <v>162</v>
      </c>
      <c r="E98" t="s">
        <v>161</v>
      </c>
      <c r="F98" t="s">
        <v>287</v>
      </c>
      <c r="G98">
        <v>1.2</v>
      </c>
      <c r="H98">
        <v>8</v>
      </c>
      <c r="I98">
        <v>2020</v>
      </c>
    </row>
    <row r="99" spans="1:9" x14ac:dyDescent="0.2">
      <c r="A99" t="s">
        <v>194</v>
      </c>
      <c r="B99" t="s">
        <v>291</v>
      </c>
      <c r="C99" t="s">
        <v>292</v>
      </c>
      <c r="D99" t="s">
        <v>162</v>
      </c>
      <c r="E99" t="s">
        <v>159</v>
      </c>
      <c r="F99" t="s">
        <v>279</v>
      </c>
      <c r="G99">
        <v>1</v>
      </c>
      <c r="H99">
        <v>5</v>
      </c>
      <c r="I99">
        <v>2015</v>
      </c>
    </row>
    <row r="100" spans="1:9" x14ac:dyDescent="0.2">
      <c r="A100" t="s">
        <v>195</v>
      </c>
      <c r="B100" t="s">
        <v>291</v>
      </c>
      <c r="C100" t="s">
        <v>292</v>
      </c>
      <c r="D100" t="s">
        <v>162</v>
      </c>
      <c r="E100" t="s">
        <v>159</v>
      </c>
      <c r="F100" t="s">
        <v>279</v>
      </c>
      <c r="G100">
        <v>2</v>
      </c>
      <c r="H100">
        <v>5</v>
      </c>
      <c r="I100">
        <v>2015</v>
      </c>
    </row>
    <row r="101" spans="1:9" x14ac:dyDescent="0.2">
      <c r="A101" t="s">
        <v>195</v>
      </c>
      <c r="B101" t="s">
        <v>297</v>
      </c>
      <c r="C101" t="s">
        <v>292</v>
      </c>
      <c r="D101" t="s">
        <v>162</v>
      </c>
      <c r="E101" t="s">
        <v>159</v>
      </c>
      <c r="F101" t="s">
        <v>279</v>
      </c>
      <c r="G101">
        <v>0.2</v>
      </c>
      <c r="H101">
        <v>5</v>
      </c>
      <c r="I101">
        <v>2045</v>
      </c>
    </row>
    <row r="102" spans="1:9" x14ac:dyDescent="0.2">
      <c r="A102" t="s">
        <v>196</v>
      </c>
      <c r="B102" t="s">
        <v>250</v>
      </c>
      <c r="C102" t="s">
        <v>219</v>
      </c>
      <c r="D102" t="s">
        <v>162</v>
      </c>
      <c r="E102" t="s">
        <v>159</v>
      </c>
      <c r="F102" t="s">
        <v>298</v>
      </c>
      <c r="G102">
        <v>0.5</v>
      </c>
      <c r="H102">
        <v>1</v>
      </c>
      <c r="I102">
        <v>2015</v>
      </c>
    </row>
    <row r="103" spans="1:9" x14ac:dyDescent="0.2">
      <c r="A103" t="s">
        <v>196</v>
      </c>
      <c r="B103" t="s">
        <v>299</v>
      </c>
      <c r="C103" t="s">
        <v>219</v>
      </c>
      <c r="D103" t="s">
        <v>162</v>
      </c>
      <c r="E103" t="s">
        <v>159</v>
      </c>
      <c r="F103" t="s">
        <v>298</v>
      </c>
      <c r="G103">
        <v>1.3</v>
      </c>
      <c r="H103">
        <v>5</v>
      </c>
      <c r="I103">
        <v>2025</v>
      </c>
    </row>
    <row r="104" spans="1:9" x14ac:dyDescent="0.2">
      <c r="A104" t="s">
        <v>196</v>
      </c>
      <c r="B104" t="s">
        <v>291</v>
      </c>
      <c r="C104" t="s">
        <v>292</v>
      </c>
      <c r="D104" t="s">
        <v>162</v>
      </c>
      <c r="E104" t="s">
        <v>159</v>
      </c>
      <c r="F104" t="s">
        <v>279</v>
      </c>
      <c r="G104">
        <v>1.5</v>
      </c>
      <c r="H104">
        <v>5</v>
      </c>
      <c r="I104">
        <v>2015</v>
      </c>
    </row>
    <row r="105" spans="1:9" x14ac:dyDescent="0.2">
      <c r="A105" t="s">
        <v>196</v>
      </c>
      <c r="B105" t="s">
        <v>297</v>
      </c>
      <c r="C105" t="s">
        <v>292</v>
      </c>
      <c r="D105" t="s">
        <v>162</v>
      </c>
      <c r="E105" t="s">
        <v>159</v>
      </c>
      <c r="F105" t="s">
        <v>279</v>
      </c>
      <c r="G105">
        <v>0.5</v>
      </c>
      <c r="H105">
        <v>5</v>
      </c>
      <c r="I105">
        <v>2045</v>
      </c>
    </row>
    <row r="106" spans="1:9" x14ac:dyDescent="0.2">
      <c r="A106" t="s">
        <v>197</v>
      </c>
      <c r="B106" t="s">
        <v>247</v>
      </c>
      <c r="C106" t="s">
        <v>248</v>
      </c>
      <c r="D106" t="s">
        <v>162</v>
      </c>
      <c r="E106" t="s">
        <v>159</v>
      </c>
      <c r="F106" t="s">
        <v>280</v>
      </c>
      <c r="G106">
        <v>2.1</v>
      </c>
      <c r="H106">
        <v>7</v>
      </c>
      <c r="I106">
        <v>2035</v>
      </c>
    </row>
    <row r="107" spans="1:9" x14ac:dyDescent="0.2">
      <c r="A107" t="s">
        <v>198</v>
      </c>
      <c r="B107" t="s">
        <v>291</v>
      </c>
      <c r="C107" t="s">
        <v>292</v>
      </c>
      <c r="D107" t="s">
        <v>162</v>
      </c>
      <c r="E107" t="s">
        <v>159</v>
      </c>
      <c r="F107" t="s">
        <v>279</v>
      </c>
      <c r="G107">
        <v>6</v>
      </c>
      <c r="H107">
        <v>15</v>
      </c>
      <c r="I107">
        <v>2030</v>
      </c>
    </row>
    <row r="108" spans="1:9" x14ac:dyDescent="0.2">
      <c r="A108" t="s">
        <v>198</v>
      </c>
      <c r="B108" t="s">
        <v>244</v>
      </c>
      <c r="C108" t="s">
        <v>243</v>
      </c>
      <c r="D108" t="s">
        <v>162</v>
      </c>
      <c r="E108" t="s">
        <v>159</v>
      </c>
      <c r="F108" t="s">
        <v>282</v>
      </c>
      <c r="G108">
        <v>2</v>
      </c>
      <c r="H108">
        <v>5</v>
      </c>
      <c r="I108">
        <v>2020</v>
      </c>
    </row>
    <row r="109" spans="1:9" x14ac:dyDescent="0.2">
      <c r="A109" t="s">
        <v>198</v>
      </c>
      <c r="B109" t="s">
        <v>300</v>
      </c>
      <c r="C109" t="s">
        <v>243</v>
      </c>
      <c r="D109" t="s">
        <v>162</v>
      </c>
      <c r="E109" t="s">
        <v>159</v>
      </c>
      <c r="F109" t="s">
        <v>282</v>
      </c>
      <c r="G109">
        <v>2</v>
      </c>
      <c r="H109">
        <v>10</v>
      </c>
      <c r="I109">
        <v>2025</v>
      </c>
    </row>
  </sheetData>
  <conditionalFormatting sqref="J24:J35">
    <cfRule type="expression" dxfId="42" priority="19">
      <formula>J24=$B$1</formula>
    </cfRule>
  </conditionalFormatting>
  <conditionalFormatting sqref="A6:G18">
    <cfRule type="expression" dxfId="41" priority="18">
      <formula>$A6=$B$1</formula>
    </cfRule>
  </conditionalFormatting>
  <conditionalFormatting sqref="J5:U17">
    <cfRule type="expression" dxfId="40" priority="17">
      <formula>$J5=$B$1</formula>
    </cfRule>
  </conditionalFormatting>
  <conditionalFormatting sqref="F43">
    <cfRule type="expression" dxfId="39" priority="16">
      <formula>$N43&gt;0</formula>
    </cfRule>
  </conditionalFormatting>
  <conditionalFormatting sqref="F44">
    <cfRule type="expression" dxfId="38" priority="15">
      <formula>$N44&gt;0</formula>
    </cfRule>
  </conditionalFormatting>
  <conditionalFormatting sqref="F45">
    <cfRule type="expression" dxfId="37" priority="14">
      <formula>$N45&gt;0</formula>
    </cfRule>
  </conditionalFormatting>
  <conditionalFormatting sqref="F46">
    <cfRule type="expression" dxfId="36" priority="13">
      <formula>$N46&gt;0</formula>
    </cfRule>
  </conditionalFormatting>
  <conditionalFormatting sqref="F47">
    <cfRule type="expression" dxfId="35" priority="12">
      <formula>$N47&gt;0</formula>
    </cfRule>
  </conditionalFormatting>
  <conditionalFormatting sqref="F48">
    <cfRule type="expression" dxfId="34" priority="11">
      <formula>$N48&gt;0</formula>
    </cfRule>
  </conditionalFormatting>
  <conditionalFormatting sqref="F51">
    <cfRule type="expression" dxfId="33" priority="9">
      <formula>$N51&gt;0</formula>
    </cfRule>
  </conditionalFormatting>
  <conditionalFormatting sqref="F54">
    <cfRule type="expression" dxfId="32" priority="8">
      <formula>$N54&gt;0</formula>
    </cfRule>
  </conditionalFormatting>
  <conditionalFormatting sqref="F55">
    <cfRule type="expression" dxfId="31" priority="7">
      <formula>$N55&gt;0</formula>
    </cfRule>
  </conditionalFormatting>
  <conditionalFormatting sqref="F56">
    <cfRule type="expression" dxfId="30" priority="6">
      <formula>$N56&gt;0</formula>
    </cfRule>
  </conditionalFormatting>
  <conditionalFormatting sqref="F57">
    <cfRule type="expression" dxfId="29" priority="5">
      <formula>$N57&gt;0</formula>
    </cfRule>
  </conditionalFormatting>
  <conditionalFormatting sqref="F58">
    <cfRule type="expression" dxfId="28" priority="4">
      <formula>$N58&gt;0</formula>
    </cfRule>
  </conditionalFormatting>
  <conditionalFormatting sqref="F59">
    <cfRule type="expression" dxfId="27" priority="3">
      <formula>$N59&gt;0</formula>
    </cfRule>
  </conditionalFormatting>
  <conditionalFormatting sqref="F60">
    <cfRule type="expression" dxfId="26" priority="2">
      <formula>$N60&gt;0</formula>
    </cfRule>
  </conditionalFormatting>
  <conditionalFormatting sqref="F50">
    <cfRule type="expression" dxfId="25" priority="1">
      <formula>$N50&gt;0</formula>
    </cfRule>
  </conditionalFormatting>
  <pageMargins left="0.7" right="0.7" top="0.75" bottom="0.75" header="0.3" footer="0.3"/>
  <pageSetup scale="3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3:G28"/>
  <sheetViews>
    <sheetView tabSelected="1" workbookViewId="0">
      <selection activeCell="F17" sqref="F17"/>
    </sheetView>
  </sheetViews>
  <sheetFormatPr defaultColWidth="9.140625" defaultRowHeight="20.100000000000001" customHeight="1" x14ac:dyDescent="0.2"/>
  <cols>
    <col min="1" max="1" width="37.7109375" style="120" customWidth="1"/>
    <col min="2" max="7" width="26.85546875" style="120" customWidth="1"/>
    <col min="8" max="8" width="30.28515625" style="120" customWidth="1"/>
    <col min="9" max="9" width="16.7109375" style="120" customWidth="1"/>
    <col min="10" max="16384" width="9.140625" style="120"/>
  </cols>
  <sheetData>
    <row r="3" spans="1:7" ht="20.100000000000001" customHeight="1" x14ac:dyDescent="0.25">
      <c r="A3" s="93" t="s">
        <v>43</v>
      </c>
      <c r="B3" s="116" t="str">
        <f>DataIn!C1</f>
        <v>Pittsboro</v>
      </c>
      <c r="C3" s="117"/>
      <c r="D3" s="118"/>
      <c r="E3" s="119"/>
    </row>
    <row r="4" spans="1:7" ht="20.100000000000001" customHeight="1" x14ac:dyDescent="0.25">
      <c r="A4" s="93" t="s">
        <v>44</v>
      </c>
      <c r="B4" s="91">
        <f>'Population&amp;Demand Projections'!C4</f>
        <v>41654</v>
      </c>
      <c r="C4" s="117"/>
      <c r="D4" s="118"/>
      <c r="E4" s="119"/>
    </row>
    <row r="5" spans="1:7" ht="20.100000000000001" customHeight="1" x14ac:dyDescent="0.2">
      <c r="A5" s="121"/>
    </row>
    <row r="6" spans="1:7" s="114" customFormat="1" ht="20.100000000000001" customHeight="1" x14ac:dyDescent="0.25">
      <c r="A6" s="124" t="s">
        <v>91</v>
      </c>
      <c r="B6" s="125"/>
      <c r="C6" s="126"/>
      <c r="D6" s="127" t="s">
        <v>92</v>
      </c>
      <c r="E6" s="127"/>
      <c r="F6" s="126"/>
      <c r="G6" s="128"/>
    </row>
    <row r="7" spans="1:7" ht="20.100000000000001" customHeight="1" x14ac:dyDescent="0.25">
      <c r="A7" s="115" t="s">
        <v>93</v>
      </c>
      <c r="B7" s="481" t="s">
        <v>349</v>
      </c>
      <c r="C7" s="482"/>
      <c r="D7" s="482"/>
      <c r="E7" s="482"/>
      <c r="F7" s="482"/>
      <c r="G7" s="483"/>
    </row>
    <row r="8" spans="1:7" ht="20.100000000000001" customHeight="1" x14ac:dyDescent="0.25">
      <c r="A8" s="115" t="s">
        <v>94</v>
      </c>
      <c r="B8" s="481" t="s">
        <v>359</v>
      </c>
      <c r="C8" s="482"/>
      <c r="D8" s="482"/>
      <c r="E8" s="482"/>
      <c r="F8" s="482"/>
      <c r="G8" s="483"/>
    </row>
    <row r="9" spans="1:7" ht="20.100000000000001" customHeight="1" x14ac:dyDescent="0.25">
      <c r="A9" s="115" t="s">
        <v>95</v>
      </c>
      <c r="B9" s="484"/>
      <c r="C9" s="485"/>
      <c r="D9" s="485"/>
      <c r="E9" s="485"/>
      <c r="F9" s="485"/>
      <c r="G9" s="486"/>
    </row>
    <row r="10" spans="1:7" ht="20.100000000000001" customHeight="1" x14ac:dyDescent="0.25">
      <c r="A10" s="115" t="s">
        <v>96</v>
      </c>
      <c r="B10" s="481"/>
      <c r="C10" s="482"/>
      <c r="D10" s="482"/>
      <c r="E10" s="482"/>
      <c r="F10" s="482"/>
      <c r="G10" s="483"/>
    </row>
    <row r="11" spans="1:7" ht="20.100000000000001" customHeight="1" x14ac:dyDescent="0.25">
      <c r="A11" s="115" t="s">
        <v>97</v>
      </c>
      <c r="B11" s="481"/>
      <c r="C11" s="482"/>
      <c r="D11" s="482"/>
      <c r="E11" s="482"/>
      <c r="F11" s="482"/>
      <c r="G11" s="483"/>
    </row>
    <row r="12" spans="1:7" ht="20.100000000000001" customHeight="1" x14ac:dyDescent="0.2">
      <c r="A12" s="121"/>
      <c r="B12" s="415"/>
    </row>
    <row r="13" spans="1:7" ht="20.100000000000001" customHeight="1" x14ac:dyDescent="0.2">
      <c r="A13" s="121"/>
    </row>
    <row r="14" spans="1:7" ht="20.100000000000001" customHeight="1" x14ac:dyDescent="0.25">
      <c r="B14" s="129" t="s">
        <v>93</v>
      </c>
      <c r="C14" s="129" t="s">
        <v>94</v>
      </c>
      <c r="D14" s="129" t="s">
        <v>95</v>
      </c>
      <c r="E14" s="129" t="s">
        <v>96</v>
      </c>
      <c r="F14" s="129" t="s">
        <v>97</v>
      </c>
    </row>
    <row r="15" spans="1:7" ht="20.100000000000001" customHeight="1" x14ac:dyDescent="0.25">
      <c r="A15" s="122" t="s">
        <v>110</v>
      </c>
      <c r="B15" s="416">
        <v>0.06</v>
      </c>
      <c r="C15" s="450">
        <v>0.1</v>
      </c>
      <c r="D15" s="130"/>
      <c r="E15" s="130"/>
      <c r="F15" s="130"/>
    </row>
    <row r="16" spans="1:7" ht="20.100000000000001" customHeight="1" x14ac:dyDescent="0.25">
      <c r="A16" s="122" t="s">
        <v>226</v>
      </c>
      <c r="B16" s="130">
        <v>10</v>
      </c>
      <c r="C16" s="130">
        <v>10</v>
      </c>
      <c r="D16" s="130"/>
      <c r="E16" s="130"/>
      <c r="F16" s="130"/>
    </row>
    <row r="17" spans="1:6" ht="20.100000000000001" customHeight="1" x14ac:dyDescent="0.25">
      <c r="A17" s="122" t="s">
        <v>99</v>
      </c>
      <c r="B17" s="130" t="s">
        <v>215</v>
      </c>
      <c r="C17" s="130" t="s">
        <v>216</v>
      </c>
      <c r="D17" s="130"/>
      <c r="E17" s="130"/>
      <c r="F17" s="130"/>
    </row>
    <row r="18" spans="1:6" ht="20.100000000000001" customHeight="1" x14ac:dyDescent="0.25">
      <c r="A18" s="122" t="s">
        <v>100</v>
      </c>
      <c r="B18" s="130" t="s">
        <v>282</v>
      </c>
      <c r="C18" s="106" t="s">
        <v>279</v>
      </c>
      <c r="D18" s="130"/>
      <c r="E18" s="130"/>
      <c r="F18" s="130"/>
    </row>
    <row r="19" spans="1:6" ht="20.100000000000001" customHeight="1" x14ac:dyDescent="0.25">
      <c r="A19" s="122" t="s">
        <v>303</v>
      </c>
      <c r="B19" s="130" t="s">
        <v>352</v>
      </c>
      <c r="C19" s="130" t="s">
        <v>352</v>
      </c>
      <c r="D19" s="130"/>
      <c r="E19" s="130"/>
      <c r="F19" s="130"/>
    </row>
    <row r="20" spans="1:6" ht="20.100000000000001" customHeight="1" x14ac:dyDescent="0.25">
      <c r="A20" s="123" t="s">
        <v>101</v>
      </c>
      <c r="B20" s="130" t="s">
        <v>223</v>
      </c>
      <c r="C20" s="130" t="s">
        <v>223</v>
      </c>
      <c r="D20" s="130"/>
      <c r="E20" s="130"/>
      <c r="F20" s="130"/>
    </row>
    <row r="21" spans="1:6" ht="20.100000000000001" customHeight="1" x14ac:dyDescent="0.25">
      <c r="A21" s="123" t="s">
        <v>102</v>
      </c>
      <c r="B21" s="130" t="s">
        <v>350</v>
      </c>
      <c r="C21" s="130" t="s">
        <v>350</v>
      </c>
      <c r="D21" s="130"/>
      <c r="E21" s="130"/>
      <c r="F21" s="130"/>
    </row>
    <row r="22" spans="1:6" ht="20.100000000000001" customHeight="1" x14ac:dyDescent="0.25">
      <c r="A22" s="123" t="s">
        <v>103</v>
      </c>
      <c r="B22" s="130" t="s">
        <v>214</v>
      </c>
      <c r="C22" s="130" t="s">
        <v>354</v>
      </c>
      <c r="D22" s="130"/>
      <c r="E22" s="130"/>
      <c r="F22" s="130"/>
    </row>
    <row r="23" spans="1:6" ht="20.100000000000001" customHeight="1" x14ac:dyDescent="0.25">
      <c r="A23" s="123" t="s">
        <v>104</v>
      </c>
      <c r="B23" s="130" t="s">
        <v>214</v>
      </c>
      <c r="C23" s="130" t="s">
        <v>354</v>
      </c>
      <c r="D23" s="130"/>
      <c r="E23" s="130"/>
      <c r="F23" s="130"/>
    </row>
    <row r="24" spans="1:6" ht="20.100000000000001" customHeight="1" x14ac:dyDescent="0.25">
      <c r="A24" s="123" t="s">
        <v>105</v>
      </c>
      <c r="B24" s="130" t="s">
        <v>354</v>
      </c>
      <c r="C24" s="130" t="s">
        <v>354</v>
      </c>
      <c r="D24" s="130"/>
      <c r="E24" s="130"/>
      <c r="F24" s="130"/>
    </row>
    <row r="25" spans="1:6" ht="20.100000000000001" customHeight="1" x14ac:dyDescent="0.25">
      <c r="A25" s="123" t="s">
        <v>106</v>
      </c>
      <c r="B25" s="130" t="s">
        <v>360</v>
      </c>
      <c r="C25" s="130" t="s">
        <v>223</v>
      </c>
      <c r="D25" s="130"/>
      <c r="E25" s="130"/>
      <c r="F25" s="130"/>
    </row>
    <row r="26" spans="1:6" ht="20.100000000000001" customHeight="1" x14ac:dyDescent="0.25">
      <c r="A26" s="123" t="s">
        <v>107</v>
      </c>
      <c r="B26" s="130" t="s">
        <v>351</v>
      </c>
      <c r="C26" s="130" t="s">
        <v>351</v>
      </c>
      <c r="D26" s="130"/>
      <c r="E26" s="130"/>
      <c r="F26" s="130"/>
    </row>
    <row r="27" spans="1:6" ht="20.100000000000001" customHeight="1" x14ac:dyDescent="0.25">
      <c r="A27" s="123" t="s">
        <v>362</v>
      </c>
      <c r="B27" s="451">
        <v>67.599999999999994</v>
      </c>
      <c r="C27" s="130">
        <v>67.599999999999994</v>
      </c>
      <c r="D27" s="130"/>
      <c r="E27" s="130"/>
      <c r="F27" s="130"/>
    </row>
    <row r="28" spans="1:6" ht="20.100000000000001" customHeight="1" x14ac:dyDescent="0.25">
      <c r="A28" s="123" t="s">
        <v>361</v>
      </c>
      <c r="B28" s="130">
        <f>B27/B16</f>
        <v>6.76</v>
      </c>
      <c r="C28" s="130">
        <f>C27/C16</f>
        <v>6.76</v>
      </c>
      <c r="D28" s="130"/>
      <c r="E28" s="130"/>
      <c r="F28" s="130"/>
    </row>
  </sheetData>
  <mergeCells count="5">
    <mergeCell ref="B7:G7"/>
    <mergeCell ref="B8:G8"/>
    <mergeCell ref="B9:G9"/>
    <mergeCell ref="B10:G10"/>
    <mergeCell ref="B11:G11"/>
  </mergeCells>
  <pageMargins left="0.7" right="0.7" top="0.75" bottom="0.75" header="0.3" footer="0.3"/>
  <pageSetup paperSize="1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6600"/>
    <pageSetUpPr fitToPage="1"/>
  </sheetPr>
  <dimension ref="A1:P82"/>
  <sheetViews>
    <sheetView zoomScaleNormal="100" workbookViewId="0">
      <selection activeCell="A44" sqref="A44:XFD44"/>
    </sheetView>
  </sheetViews>
  <sheetFormatPr defaultRowHeight="12.75" x14ac:dyDescent="0.2"/>
  <cols>
    <col min="1" max="1" width="3.5703125" customWidth="1"/>
    <col min="2" max="2" width="26.5703125" customWidth="1"/>
    <col min="3" max="3" width="23.28515625" customWidth="1"/>
    <col min="4" max="4" width="10" customWidth="1"/>
    <col min="5" max="5" width="10.42578125" customWidth="1"/>
    <col min="6" max="6" width="11.140625" bestFit="1" customWidth="1"/>
    <col min="7" max="7" width="11.140625" customWidth="1"/>
    <col min="8" max="8" width="9.7109375" customWidth="1"/>
  </cols>
  <sheetData>
    <row r="1" spans="2:11" x14ac:dyDescent="0.2">
      <c r="B1" s="171" t="s">
        <v>130</v>
      </c>
      <c r="C1" s="154" t="s">
        <v>198</v>
      </c>
      <c r="E1" s="207" t="s">
        <v>44</v>
      </c>
      <c r="F1" s="216">
        <v>41654</v>
      </c>
      <c r="G1" s="207"/>
    </row>
    <row r="2" spans="2:11" x14ac:dyDescent="0.2">
      <c r="B2" s="171" t="s">
        <v>15</v>
      </c>
      <c r="C2" s="154" t="s">
        <v>338</v>
      </c>
    </row>
    <row r="3" spans="2:11" x14ac:dyDescent="0.2">
      <c r="B3" s="171"/>
      <c r="C3" s="362"/>
    </row>
    <row r="4" spans="2:11" ht="15.75" x14ac:dyDescent="0.25">
      <c r="B4" s="132"/>
      <c r="C4" s="362"/>
    </row>
    <row r="5" spans="2:11" x14ac:dyDescent="0.2">
      <c r="B5" s="156" t="s">
        <v>132</v>
      </c>
    </row>
    <row r="6" spans="2:11" x14ac:dyDescent="0.2">
      <c r="B6" s="241" t="s">
        <v>121</v>
      </c>
      <c r="C6" s="241" t="s">
        <v>122</v>
      </c>
      <c r="D6" s="241">
        <v>2010</v>
      </c>
      <c r="E6" s="241">
        <v>2020</v>
      </c>
      <c r="F6" s="241">
        <v>2030</v>
      </c>
      <c r="G6" s="241">
        <v>2040</v>
      </c>
      <c r="H6" s="241">
        <v>2050</v>
      </c>
      <c r="I6" s="241">
        <v>2060</v>
      </c>
    </row>
    <row r="7" spans="2:11" x14ac:dyDescent="0.2">
      <c r="B7" t="s">
        <v>114</v>
      </c>
      <c r="C7" t="s">
        <v>114</v>
      </c>
      <c r="D7" s="154">
        <f>0.168+0</f>
        <v>0.16800000000000001</v>
      </c>
      <c r="E7" s="154">
        <f>1.775+0</f>
        <v>1.7749999999999999</v>
      </c>
      <c r="F7" s="154">
        <f>4.493+0</f>
        <v>4.4930000000000003</v>
      </c>
      <c r="G7" s="154">
        <f>6.109+0</f>
        <v>6.109</v>
      </c>
      <c r="H7" s="154">
        <f>6.568+0</f>
        <v>6.5679999999999996</v>
      </c>
      <c r="I7" s="154">
        <f>7.187+0</f>
        <v>7.1870000000000003</v>
      </c>
      <c r="K7" s="207"/>
    </row>
    <row r="8" spans="2:11" x14ac:dyDescent="0.2">
      <c r="B8" t="s">
        <v>115</v>
      </c>
      <c r="C8" t="s">
        <v>115</v>
      </c>
      <c r="D8" s="154">
        <v>0.13200000000000001</v>
      </c>
      <c r="E8" s="154">
        <v>0.57299999999999995</v>
      </c>
      <c r="F8" s="154">
        <v>1.319</v>
      </c>
      <c r="G8" s="154">
        <v>1.794</v>
      </c>
      <c r="H8" s="154">
        <v>1.9730000000000001</v>
      </c>
      <c r="I8" s="154">
        <v>2.2130000000000001</v>
      </c>
      <c r="K8" s="207"/>
    </row>
    <row r="9" spans="2:11" x14ac:dyDescent="0.2">
      <c r="B9" t="s">
        <v>116</v>
      </c>
      <c r="C9" t="s">
        <v>116</v>
      </c>
      <c r="D9" s="154">
        <v>7.0000000000000007E-2</v>
      </c>
      <c r="E9" s="154">
        <v>0.223</v>
      </c>
      <c r="F9" s="154">
        <v>0.48</v>
      </c>
      <c r="G9" s="154">
        <v>0.60699999999999998</v>
      </c>
      <c r="H9" s="154">
        <v>0.60699999999999998</v>
      </c>
      <c r="I9" s="154">
        <v>0.60699999999999998</v>
      </c>
      <c r="K9" s="207"/>
    </row>
    <row r="10" spans="2:11" x14ac:dyDescent="0.2">
      <c r="B10" t="s">
        <v>117</v>
      </c>
      <c r="C10" t="s">
        <v>117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</row>
    <row r="11" spans="2:11" x14ac:dyDescent="0.2">
      <c r="B11" t="s">
        <v>123</v>
      </c>
      <c r="C11" t="s">
        <v>123</v>
      </c>
      <c r="D11" s="154">
        <v>0</v>
      </c>
      <c r="E11" s="154">
        <v>5.8000000000000003E-2</v>
      </c>
      <c r="F11" s="154">
        <v>0.13900000000000001</v>
      </c>
      <c r="G11" s="154">
        <v>0.184</v>
      </c>
      <c r="H11" s="154">
        <v>0.19700000000000001</v>
      </c>
      <c r="I11" s="154">
        <v>0.215</v>
      </c>
    </row>
    <row r="12" spans="2:11" x14ac:dyDescent="0.2">
      <c r="B12" s="148" t="s">
        <v>123</v>
      </c>
      <c r="C12" s="148" t="s">
        <v>125</v>
      </c>
      <c r="D12" s="154">
        <v>0.10199999999999999</v>
      </c>
      <c r="E12" s="154">
        <v>0.16400000000000001</v>
      </c>
      <c r="F12" s="154">
        <v>0.38100000000000001</v>
      </c>
      <c r="G12" s="154">
        <v>0.29699999999999999</v>
      </c>
      <c r="H12" s="154">
        <v>0.318</v>
      </c>
      <c r="I12" s="154">
        <v>0.34599999999999997</v>
      </c>
    </row>
    <row r="13" spans="2:11" x14ac:dyDescent="0.2">
      <c r="B13" s="148" t="s">
        <v>124</v>
      </c>
      <c r="C13" s="148" t="s">
        <v>126</v>
      </c>
      <c r="D13" s="154">
        <v>9.0999999999999998E-2</v>
      </c>
      <c r="E13" s="154">
        <v>0.249</v>
      </c>
      <c r="F13" s="154">
        <v>0.435</v>
      </c>
      <c r="G13" s="154">
        <v>0.57599999999999996</v>
      </c>
      <c r="H13" s="154">
        <v>0.61699999999999999</v>
      </c>
      <c r="I13" s="154">
        <v>0.67200000000000004</v>
      </c>
    </row>
    <row r="14" spans="2:11" x14ac:dyDescent="0.2">
      <c r="B14" s="207" t="s">
        <v>230</v>
      </c>
      <c r="C14" s="148" t="s">
        <v>157</v>
      </c>
      <c r="D14" s="209">
        <v>6.0999999999999999E-2</v>
      </c>
      <c r="E14" s="209">
        <v>0.29299999999999998</v>
      </c>
      <c r="F14" s="209">
        <v>0.52100000000000002</v>
      </c>
      <c r="G14" s="209">
        <v>0.52100000000000002</v>
      </c>
      <c r="H14" s="209">
        <v>0.52100000000000002</v>
      </c>
      <c r="I14" s="209">
        <v>0.52100000000000002</v>
      </c>
      <c r="K14" s="207"/>
    </row>
    <row r="17" spans="2:16" x14ac:dyDescent="0.2">
      <c r="B17" s="156" t="s">
        <v>231</v>
      </c>
      <c r="C17" s="207"/>
    </row>
    <row r="18" spans="2:16" x14ac:dyDescent="0.2">
      <c r="B18" s="241" t="s">
        <v>121</v>
      </c>
      <c r="C18" s="241" t="s">
        <v>122</v>
      </c>
      <c r="D18" s="241">
        <v>2010</v>
      </c>
      <c r="E18" s="241">
        <v>2015</v>
      </c>
      <c r="F18" s="241">
        <v>2020</v>
      </c>
      <c r="G18" s="241">
        <v>2025</v>
      </c>
      <c r="H18" s="241">
        <v>2030</v>
      </c>
      <c r="I18" s="241">
        <v>2035</v>
      </c>
      <c r="J18" s="241">
        <v>2040</v>
      </c>
      <c r="K18" s="241">
        <v>2045</v>
      </c>
      <c r="L18" s="241">
        <v>2050</v>
      </c>
      <c r="M18" s="241">
        <v>2055</v>
      </c>
      <c r="N18" s="241">
        <v>2060</v>
      </c>
    </row>
    <row r="19" spans="2:16" x14ac:dyDescent="0.2">
      <c r="B19" s="242" t="str">
        <f>IF(ISBLANK(B7),"",B7)</f>
        <v>Residential</v>
      </c>
      <c r="C19" s="242" t="str">
        <f>IF(ISBLANK(C7),"",C7)</f>
        <v>Residential</v>
      </c>
      <c r="D19" s="324">
        <f t="shared" ref="D19:D26" si="0">D7</f>
        <v>0.16800000000000001</v>
      </c>
      <c r="E19" s="324">
        <f>AVERAGE(D19,F19)</f>
        <v>0.97149999999999992</v>
      </c>
      <c r="F19" s="324">
        <f>E7</f>
        <v>1.7749999999999999</v>
      </c>
      <c r="G19" s="324">
        <f>AVERAGE(F19,H19)</f>
        <v>3.1340000000000003</v>
      </c>
      <c r="H19" s="324">
        <f>F7</f>
        <v>4.4930000000000003</v>
      </c>
      <c r="I19" s="324">
        <f>AVERAGE(H19,J19)</f>
        <v>5.3010000000000002</v>
      </c>
      <c r="J19" s="324">
        <f>G7</f>
        <v>6.109</v>
      </c>
      <c r="K19" s="324">
        <f>AVERAGE(J19,L19)</f>
        <v>6.3384999999999998</v>
      </c>
      <c r="L19" s="324">
        <f>H7</f>
        <v>6.5679999999999996</v>
      </c>
      <c r="M19" s="324">
        <f>AVERAGE(L19,N19)</f>
        <v>6.8774999999999995</v>
      </c>
      <c r="N19" s="324">
        <f>I7</f>
        <v>7.1870000000000003</v>
      </c>
    </row>
    <row r="20" spans="2:16" x14ac:dyDescent="0.2">
      <c r="B20" s="242" t="str">
        <f t="shared" ref="B20:B27" si="1">IF(ISBLANK(B8),"",B8)</f>
        <v>Commercial</v>
      </c>
      <c r="C20" s="242" t="str">
        <f t="shared" ref="C20:C26" si="2">IF(ISBLANK(C8),"",C8)</f>
        <v>Commercial</v>
      </c>
      <c r="D20" s="324">
        <f t="shared" si="0"/>
        <v>0.13200000000000001</v>
      </c>
      <c r="E20" s="324">
        <f t="shared" ref="E20:E25" si="3">AVERAGE(D20,F20)</f>
        <v>0.35249999999999998</v>
      </c>
      <c r="F20" s="324">
        <f t="shared" ref="F20:F25" si="4">E8</f>
        <v>0.57299999999999995</v>
      </c>
      <c r="G20" s="324">
        <f t="shared" ref="G20:G25" si="5">AVERAGE(F20,H20)</f>
        <v>0.94599999999999995</v>
      </c>
      <c r="H20" s="324">
        <f t="shared" ref="H20:H25" si="6">F8</f>
        <v>1.319</v>
      </c>
      <c r="I20" s="324">
        <f t="shared" ref="I20:I25" si="7">AVERAGE(H20,J20)</f>
        <v>1.5565</v>
      </c>
      <c r="J20" s="324">
        <f t="shared" ref="J20:J25" si="8">G8</f>
        <v>1.794</v>
      </c>
      <c r="K20" s="324">
        <f t="shared" ref="K20:K25" si="9">AVERAGE(J20,L20)</f>
        <v>1.8835000000000002</v>
      </c>
      <c r="L20" s="324">
        <f t="shared" ref="L20:L25" si="10">H8</f>
        <v>1.9730000000000001</v>
      </c>
      <c r="M20" s="324">
        <f t="shared" ref="M20:M25" si="11">AVERAGE(L20,N20)</f>
        <v>2.093</v>
      </c>
      <c r="N20" s="324">
        <f t="shared" ref="N20:N25" si="12">I8</f>
        <v>2.2130000000000001</v>
      </c>
    </row>
    <row r="21" spans="2:16" x14ac:dyDescent="0.2">
      <c r="B21" s="242" t="str">
        <f t="shared" si="1"/>
        <v>Industrial</v>
      </c>
      <c r="C21" s="242" t="str">
        <f t="shared" si="2"/>
        <v>Industrial</v>
      </c>
      <c r="D21" s="324">
        <f t="shared" si="0"/>
        <v>7.0000000000000007E-2</v>
      </c>
      <c r="E21" s="324">
        <f t="shared" si="3"/>
        <v>0.14650000000000002</v>
      </c>
      <c r="F21" s="324">
        <f t="shared" si="4"/>
        <v>0.223</v>
      </c>
      <c r="G21" s="324">
        <f t="shared" si="5"/>
        <v>0.35149999999999998</v>
      </c>
      <c r="H21" s="324">
        <f t="shared" si="6"/>
        <v>0.48</v>
      </c>
      <c r="I21" s="324">
        <f t="shared" si="7"/>
        <v>0.54349999999999998</v>
      </c>
      <c r="J21" s="324">
        <f t="shared" si="8"/>
        <v>0.60699999999999998</v>
      </c>
      <c r="K21" s="324">
        <f t="shared" si="9"/>
        <v>0.60699999999999998</v>
      </c>
      <c r="L21" s="324">
        <f t="shared" si="10"/>
        <v>0.60699999999999998</v>
      </c>
      <c r="M21" s="324">
        <f t="shared" si="11"/>
        <v>0.60699999999999998</v>
      </c>
      <c r="N21" s="324">
        <f t="shared" si="12"/>
        <v>0.60699999999999998</v>
      </c>
    </row>
    <row r="22" spans="2:16" x14ac:dyDescent="0.2">
      <c r="B22" s="242" t="str">
        <f t="shared" si="1"/>
        <v>Institutional</v>
      </c>
      <c r="C22" s="242" t="str">
        <f t="shared" si="2"/>
        <v>Institutional</v>
      </c>
      <c r="D22" s="324">
        <f t="shared" si="0"/>
        <v>0</v>
      </c>
      <c r="E22" s="324">
        <f t="shared" si="3"/>
        <v>0</v>
      </c>
      <c r="F22" s="324">
        <f t="shared" si="4"/>
        <v>0</v>
      </c>
      <c r="G22" s="324">
        <f t="shared" si="5"/>
        <v>0</v>
      </c>
      <c r="H22" s="324">
        <f t="shared" si="6"/>
        <v>0</v>
      </c>
      <c r="I22" s="324">
        <f t="shared" si="7"/>
        <v>0</v>
      </c>
      <c r="J22" s="324">
        <f t="shared" si="8"/>
        <v>0</v>
      </c>
      <c r="K22" s="324">
        <f t="shared" si="9"/>
        <v>0</v>
      </c>
      <c r="L22" s="324">
        <f t="shared" si="10"/>
        <v>0</v>
      </c>
      <c r="M22" s="324">
        <f t="shared" si="11"/>
        <v>0</v>
      </c>
      <c r="N22" s="324">
        <f t="shared" si="12"/>
        <v>0</v>
      </c>
    </row>
    <row r="23" spans="2:16" x14ac:dyDescent="0.2">
      <c r="B23" s="242" t="str">
        <f>IF(ISBLANK(B11),"",B11)</f>
        <v>System Process</v>
      </c>
      <c r="C23" s="242" t="str">
        <f t="shared" si="2"/>
        <v>System Process</v>
      </c>
      <c r="D23" s="324">
        <f t="shared" si="0"/>
        <v>0</v>
      </c>
      <c r="E23" s="324">
        <f t="shared" si="3"/>
        <v>2.9000000000000001E-2</v>
      </c>
      <c r="F23" s="324">
        <f t="shared" si="4"/>
        <v>5.8000000000000003E-2</v>
      </c>
      <c r="G23" s="324">
        <f t="shared" si="5"/>
        <v>9.8500000000000004E-2</v>
      </c>
      <c r="H23" s="324">
        <f t="shared" si="6"/>
        <v>0.13900000000000001</v>
      </c>
      <c r="I23" s="324">
        <f t="shared" si="7"/>
        <v>0.1615</v>
      </c>
      <c r="J23" s="324">
        <f t="shared" si="8"/>
        <v>0.184</v>
      </c>
      <c r="K23" s="324">
        <f t="shared" si="9"/>
        <v>0.1905</v>
      </c>
      <c r="L23" s="324">
        <f t="shared" si="10"/>
        <v>0.19700000000000001</v>
      </c>
      <c r="M23" s="324">
        <f t="shared" si="11"/>
        <v>0.20600000000000002</v>
      </c>
      <c r="N23" s="324">
        <f t="shared" si="12"/>
        <v>0.215</v>
      </c>
    </row>
    <row r="24" spans="2:16" x14ac:dyDescent="0.2">
      <c r="B24" s="242" t="str">
        <f>IF(ISBLANK(B12),"",B12)</f>
        <v>System Process</v>
      </c>
      <c r="C24" s="242" t="str">
        <f t="shared" si="2"/>
        <v>WTP Process</v>
      </c>
      <c r="D24" s="324">
        <f t="shared" si="0"/>
        <v>0.10199999999999999</v>
      </c>
      <c r="E24" s="324">
        <f t="shared" si="3"/>
        <v>0.13300000000000001</v>
      </c>
      <c r="F24" s="324">
        <f t="shared" si="4"/>
        <v>0.16400000000000001</v>
      </c>
      <c r="G24" s="324">
        <f t="shared" si="5"/>
        <v>0.27250000000000002</v>
      </c>
      <c r="H24" s="324">
        <f t="shared" si="6"/>
        <v>0.38100000000000001</v>
      </c>
      <c r="I24" s="324">
        <f t="shared" si="7"/>
        <v>0.33899999999999997</v>
      </c>
      <c r="J24" s="324">
        <f t="shared" si="8"/>
        <v>0.29699999999999999</v>
      </c>
      <c r="K24" s="324">
        <f t="shared" si="9"/>
        <v>0.3075</v>
      </c>
      <c r="L24" s="324">
        <f t="shared" si="10"/>
        <v>0.318</v>
      </c>
      <c r="M24" s="324">
        <f t="shared" si="11"/>
        <v>0.33199999999999996</v>
      </c>
      <c r="N24" s="324">
        <f t="shared" si="12"/>
        <v>0.34599999999999997</v>
      </c>
    </row>
    <row r="25" spans="2:16" x14ac:dyDescent="0.2">
      <c r="B25" s="242" t="str">
        <f>IF(ISBLANK(B13),"",B13)</f>
        <v>Non-Revenue</v>
      </c>
      <c r="C25" s="242" t="str">
        <f t="shared" si="2"/>
        <v>Other Non-Revenue</v>
      </c>
      <c r="D25" s="324">
        <f t="shared" si="0"/>
        <v>9.0999999999999998E-2</v>
      </c>
      <c r="E25" s="324">
        <f t="shared" si="3"/>
        <v>0.16999999999999998</v>
      </c>
      <c r="F25" s="324">
        <f t="shared" si="4"/>
        <v>0.249</v>
      </c>
      <c r="G25" s="324">
        <f t="shared" si="5"/>
        <v>0.34199999999999997</v>
      </c>
      <c r="H25" s="324">
        <f t="shared" si="6"/>
        <v>0.435</v>
      </c>
      <c r="I25" s="324">
        <f t="shared" si="7"/>
        <v>0.50549999999999995</v>
      </c>
      <c r="J25" s="324">
        <f t="shared" si="8"/>
        <v>0.57599999999999996</v>
      </c>
      <c r="K25" s="324">
        <f t="shared" si="9"/>
        <v>0.59650000000000003</v>
      </c>
      <c r="L25" s="324">
        <f t="shared" si="10"/>
        <v>0.61699999999999999</v>
      </c>
      <c r="M25" s="324">
        <f t="shared" si="11"/>
        <v>0.64450000000000007</v>
      </c>
      <c r="N25" s="324">
        <f t="shared" si="12"/>
        <v>0.67200000000000004</v>
      </c>
    </row>
    <row r="26" spans="2:16" x14ac:dyDescent="0.2">
      <c r="B26" s="242" t="s">
        <v>363</v>
      </c>
      <c r="C26" s="242" t="str">
        <f t="shared" si="2"/>
        <v>Sales</v>
      </c>
      <c r="D26" s="324">
        <f t="shared" si="0"/>
        <v>6.0999999999999999E-2</v>
      </c>
      <c r="E26" s="324">
        <f>AVERAGE(D26,F26)</f>
        <v>0.17699999999999999</v>
      </c>
      <c r="F26" s="324">
        <f>E14</f>
        <v>0.29299999999999998</v>
      </c>
      <c r="G26" s="324">
        <f>AVERAGE(F26,H26)</f>
        <v>0.40700000000000003</v>
      </c>
      <c r="H26" s="324">
        <f>F14</f>
        <v>0.52100000000000002</v>
      </c>
      <c r="I26" s="324">
        <f>AVERAGE(H26,J26)</f>
        <v>0.52100000000000002</v>
      </c>
      <c r="J26" s="324">
        <f>G14</f>
        <v>0.52100000000000002</v>
      </c>
      <c r="K26" s="324">
        <f>AVERAGE(J26,L26)</f>
        <v>0.52100000000000002</v>
      </c>
      <c r="L26" s="324">
        <f>H14</f>
        <v>0.52100000000000002</v>
      </c>
      <c r="M26" s="324">
        <f>AVERAGE(L26,N26)</f>
        <v>0.52100000000000002</v>
      </c>
      <c r="N26" s="324">
        <f>I14</f>
        <v>0.52100000000000002</v>
      </c>
      <c r="P26" s="207"/>
    </row>
    <row r="27" spans="2:16" x14ac:dyDescent="0.2">
      <c r="B27" t="str">
        <f t="shared" si="1"/>
        <v/>
      </c>
      <c r="C27" s="148" t="s">
        <v>129</v>
      </c>
      <c r="D27" s="449">
        <f t="shared" ref="D27:N27" si="13">ROUND(SUM(D19:D26),1)</f>
        <v>0.6</v>
      </c>
      <c r="E27" s="449">
        <f t="shared" si="13"/>
        <v>2</v>
      </c>
      <c r="F27" s="449">
        <f t="shared" si="13"/>
        <v>3.3</v>
      </c>
      <c r="G27" s="449">
        <f t="shared" si="13"/>
        <v>5.6</v>
      </c>
      <c r="H27" s="449">
        <f t="shared" si="13"/>
        <v>7.8</v>
      </c>
      <c r="I27" s="449">
        <f t="shared" si="13"/>
        <v>8.9</v>
      </c>
      <c r="J27" s="449">
        <f t="shared" si="13"/>
        <v>10.1</v>
      </c>
      <c r="K27" s="449">
        <f t="shared" si="13"/>
        <v>10.4</v>
      </c>
      <c r="L27" s="449">
        <f t="shared" si="13"/>
        <v>10.8</v>
      </c>
      <c r="M27" s="449">
        <f t="shared" si="13"/>
        <v>11.3</v>
      </c>
      <c r="N27" s="449">
        <f t="shared" si="13"/>
        <v>11.8</v>
      </c>
      <c r="P27" s="207"/>
    </row>
    <row r="30" spans="2:16" x14ac:dyDescent="0.2">
      <c r="B30" s="156" t="s">
        <v>323</v>
      </c>
    </row>
    <row r="31" spans="2:16" x14ac:dyDescent="0.2">
      <c r="D31" s="241">
        <v>2010</v>
      </c>
      <c r="E31" s="241">
        <v>2020</v>
      </c>
      <c r="F31" s="241">
        <v>2030</v>
      </c>
      <c r="G31" s="241">
        <v>2040</v>
      </c>
      <c r="H31" s="241">
        <v>2050</v>
      </c>
      <c r="I31" s="241">
        <v>2060</v>
      </c>
    </row>
    <row r="32" spans="2:16" x14ac:dyDescent="0.2">
      <c r="B32" s="148" t="s">
        <v>133</v>
      </c>
      <c r="C32" s="148"/>
      <c r="D32" s="172">
        <v>3700</v>
      </c>
      <c r="E32" s="172">
        <v>24000</v>
      </c>
      <c r="F32" s="172">
        <v>58600</v>
      </c>
      <c r="G32" s="172">
        <v>79900</v>
      </c>
      <c r="H32" s="172">
        <v>87100</v>
      </c>
      <c r="I32" s="172">
        <v>96800</v>
      </c>
    </row>
    <row r="34" spans="2:14" x14ac:dyDescent="0.2">
      <c r="B34" s="207"/>
      <c r="C34" s="207"/>
    </row>
    <row r="35" spans="2:14" x14ac:dyDescent="0.2">
      <c r="D35" s="241">
        <v>2010</v>
      </c>
      <c r="E35" s="241">
        <v>2015</v>
      </c>
      <c r="F35" s="241">
        <v>2020</v>
      </c>
      <c r="G35" s="241">
        <v>2025</v>
      </c>
      <c r="H35" s="241">
        <v>2030</v>
      </c>
      <c r="I35" s="241">
        <v>2035</v>
      </c>
      <c r="J35" s="241">
        <v>2040</v>
      </c>
      <c r="K35" s="241">
        <v>2045</v>
      </c>
      <c r="L35" s="241">
        <v>2050</v>
      </c>
      <c r="M35" s="241">
        <v>2055</v>
      </c>
      <c r="N35" s="241">
        <v>2060</v>
      </c>
    </row>
    <row r="36" spans="2:14" x14ac:dyDescent="0.2">
      <c r="D36" s="219">
        <f>D32</f>
        <v>3700</v>
      </c>
      <c r="E36" s="219">
        <f>AVERAGE(D36,F36)</f>
        <v>13850</v>
      </c>
      <c r="F36" s="219">
        <f>E32</f>
        <v>24000</v>
      </c>
      <c r="G36" s="219">
        <f>AVERAGE(F36,H36)</f>
        <v>41300</v>
      </c>
      <c r="H36" s="219">
        <f>F32</f>
        <v>58600</v>
      </c>
      <c r="I36" s="219">
        <f>AVERAGE(H36,J36)</f>
        <v>69250</v>
      </c>
      <c r="J36" s="219">
        <f>G32</f>
        <v>79900</v>
      </c>
      <c r="K36" s="219">
        <f>AVERAGE(J36,L36)</f>
        <v>83500</v>
      </c>
      <c r="L36" s="219">
        <f>H32</f>
        <v>87100</v>
      </c>
      <c r="M36" s="219">
        <f>AVERAGE(L36,N36)</f>
        <v>91950</v>
      </c>
      <c r="N36" s="219">
        <f>I32</f>
        <v>96800</v>
      </c>
    </row>
    <row r="38" spans="2:14" x14ac:dyDescent="0.2">
      <c r="B38" s="156" t="s">
        <v>228</v>
      </c>
    </row>
    <row r="39" spans="2:14" ht="38.25" x14ac:dyDescent="0.2">
      <c r="B39" s="173" t="s">
        <v>229</v>
      </c>
      <c r="C39" s="173" t="s">
        <v>325</v>
      </c>
      <c r="D39" s="173" t="s">
        <v>184</v>
      </c>
      <c r="E39" s="173" t="s">
        <v>177</v>
      </c>
      <c r="F39" s="173" t="s">
        <v>178</v>
      </c>
      <c r="G39" s="173" t="s">
        <v>180</v>
      </c>
      <c r="H39" s="173" t="s">
        <v>181</v>
      </c>
    </row>
    <row r="40" spans="2:14" x14ac:dyDescent="0.2">
      <c r="B40" s="172" t="s">
        <v>342</v>
      </c>
      <c r="C40" s="172" t="s">
        <v>339</v>
      </c>
      <c r="D40" s="172">
        <v>0.5</v>
      </c>
      <c r="E40" s="172">
        <v>1988</v>
      </c>
      <c r="F40" s="172"/>
      <c r="G40" s="172" t="s">
        <v>34</v>
      </c>
      <c r="H40" s="172">
        <v>8</v>
      </c>
      <c r="K40" s="207"/>
    </row>
    <row r="41" spans="2:14" x14ac:dyDescent="0.2">
      <c r="B41" s="172" t="s">
        <v>340</v>
      </c>
      <c r="C41" s="172" t="s">
        <v>341</v>
      </c>
      <c r="D41" s="172">
        <v>0.52</v>
      </c>
      <c r="E41" s="172">
        <v>2002</v>
      </c>
      <c r="F41" s="172"/>
      <c r="G41" s="172" t="s">
        <v>183</v>
      </c>
      <c r="H41" s="172">
        <v>12</v>
      </c>
    </row>
    <row r="42" spans="2:14" x14ac:dyDescent="0.2">
      <c r="B42" s="172"/>
      <c r="C42" s="172"/>
      <c r="D42" s="172"/>
      <c r="E42" s="172"/>
      <c r="F42" s="172"/>
      <c r="G42" s="172"/>
      <c r="H42" s="172"/>
    </row>
    <row r="45" spans="2:14" x14ac:dyDescent="0.2">
      <c r="B45" s="156" t="s">
        <v>167</v>
      </c>
    </row>
    <row r="46" spans="2:14" x14ac:dyDescent="0.2">
      <c r="C46" s="207"/>
    </row>
    <row r="47" spans="2:14" ht="38.25" x14ac:dyDescent="0.2">
      <c r="B47" s="173" t="s">
        <v>131</v>
      </c>
      <c r="C47" s="173" t="s">
        <v>45</v>
      </c>
      <c r="D47" s="173" t="s">
        <v>16</v>
      </c>
      <c r="E47" s="173" t="s">
        <v>156</v>
      </c>
      <c r="F47" s="173" t="s">
        <v>168</v>
      </c>
      <c r="J47" s="167"/>
    </row>
    <row r="48" spans="2:14" x14ac:dyDescent="0.2">
      <c r="B48" s="172" t="s">
        <v>273</v>
      </c>
      <c r="C48" s="172" t="s">
        <v>159</v>
      </c>
      <c r="D48" s="172" t="s">
        <v>162</v>
      </c>
      <c r="E48" s="172" t="s">
        <v>282</v>
      </c>
      <c r="F48" s="172">
        <v>2</v>
      </c>
      <c r="G48" s="410"/>
      <c r="J48" s="148"/>
      <c r="L48" s="148"/>
    </row>
    <row r="49" spans="1:12" x14ac:dyDescent="0.2">
      <c r="B49" s="172"/>
      <c r="C49" s="172"/>
      <c r="D49" s="172"/>
      <c r="E49" s="172"/>
      <c r="F49" s="172"/>
      <c r="J49" s="148"/>
      <c r="L49" s="148"/>
    </row>
    <row r="50" spans="1:12" x14ac:dyDescent="0.2">
      <c r="B50" s="172"/>
      <c r="C50" s="172"/>
      <c r="D50" s="172"/>
      <c r="E50" s="172"/>
      <c r="F50" s="172"/>
      <c r="J50" s="148"/>
    </row>
    <row r="51" spans="1:12" x14ac:dyDescent="0.2">
      <c r="I51" s="148"/>
      <c r="K51" s="167"/>
    </row>
    <row r="53" spans="1:12" x14ac:dyDescent="0.2">
      <c r="B53" s="208" t="s">
        <v>227</v>
      </c>
    </row>
    <row r="54" spans="1:12" ht="38.25" x14ac:dyDescent="0.2">
      <c r="B54" s="173" t="s">
        <v>176</v>
      </c>
      <c r="C54" s="173" t="s">
        <v>204</v>
      </c>
      <c r="D54" s="173" t="s">
        <v>184</v>
      </c>
      <c r="E54" s="173" t="s">
        <v>177</v>
      </c>
      <c r="F54" s="173" t="s">
        <v>178</v>
      </c>
      <c r="G54" s="173" t="s">
        <v>180</v>
      </c>
      <c r="H54" s="173" t="s">
        <v>181</v>
      </c>
      <c r="I54" s="173" t="s">
        <v>179</v>
      </c>
    </row>
    <row r="55" spans="1:12" x14ac:dyDescent="0.2">
      <c r="B55" s="172" t="s">
        <v>343</v>
      </c>
      <c r="C55" s="172"/>
      <c r="D55" s="172"/>
      <c r="E55" s="172"/>
      <c r="F55" s="172"/>
      <c r="G55" s="172"/>
      <c r="H55" s="172"/>
      <c r="I55" s="172"/>
      <c r="K55" s="207"/>
    </row>
    <row r="56" spans="1:12" x14ac:dyDescent="0.2">
      <c r="B56" s="172"/>
      <c r="C56" s="172"/>
      <c r="D56" s="172"/>
      <c r="E56" s="172"/>
      <c r="F56" s="172"/>
      <c r="G56" s="172"/>
      <c r="H56" s="172"/>
      <c r="I56" s="172"/>
      <c r="K56" s="207"/>
    </row>
    <row r="57" spans="1:12" x14ac:dyDescent="0.2">
      <c r="B57" s="172"/>
      <c r="C57" s="172"/>
      <c r="D57" s="172"/>
      <c r="E57" s="172"/>
      <c r="F57" s="172"/>
      <c r="G57" s="172"/>
      <c r="H57" s="172"/>
      <c r="I57" s="172"/>
    </row>
    <row r="62" spans="1:12" x14ac:dyDescent="0.2">
      <c r="B62" s="156" t="s">
        <v>207</v>
      </c>
      <c r="C62" s="207"/>
    </row>
    <row r="63" spans="1:12" ht="38.25" x14ac:dyDescent="0.2">
      <c r="A63" s="207" t="s">
        <v>221</v>
      </c>
      <c r="B63" s="173" t="s">
        <v>155</v>
      </c>
      <c r="C63" s="173" t="s">
        <v>210</v>
      </c>
      <c r="D63" s="173" t="s">
        <v>16</v>
      </c>
      <c r="E63" s="173" t="s">
        <v>45</v>
      </c>
      <c r="F63" s="173" t="s">
        <v>156</v>
      </c>
      <c r="G63" s="173" t="s">
        <v>222</v>
      </c>
      <c r="H63" s="173" t="s">
        <v>211</v>
      </c>
      <c r="I63" s="173" t="s">
        <v>158</v>
      </c>
      <c r="J63" s="173" t="s">
        <v>218</v>
      </c>
    </row>
    <row r="64" spans="1:12" x14ac:dyDescent="0.2">
      <c r="A64" s="218">
        <v>1</v>
      </c>
      <c r="B64" s="172" t="s">
        <v>383</v>
      </c>
      <c r="C64" s="172" t="s">
        <v>220</v>
      </c>
      <c r="D64" s="172" t="s">
        <v>162</v>
      </c>
      <c r="E64" s="172" t="s">
        <v>159</v>
      </c>
      <c r="F64" s="172" t="s">
        <v>279</v>
      </c>
      <c r="G64" s="172">
        <v>15</v>
      </c>
      <c r="H64" s="172">
        <v>2030</v>
      </c>
      <c r="I64" s="217">
        <v>6</v>
      </c>
      <c r="J64" s="172"/>
      <c r="K64" s="207"/>
    </row>
    <row r="65" spans="1:10" x14ac:dyDescent="0.2">
      <c r="A65" s="218">
        <v>2</v>
      </c>
      <c r="B65" s="172" t="s">
        <v>356</v>
      </c>
      <c r="C65" s="172" t="s">
        <v>344</v>
      </c>
      <c r="D65" s="172" t="s">
        <v>162</v>
      </c>
      <c r="E65" s="172" t="s">
        <v>159</v>
      </c>
      <c r="F65" s="172" t="s">
        <v>282</v>
      </c>
      <c r="G65" s="172">
        <v>5</v>
      </c>
      <c r="H65" s="172">
        <v>2020</v>
      </c>
      <c r="I65" s="217">
        <v>2</v>
      </c>
      <c r="J65" s="172"/>
    </row>
    <row r="66" spans="1:10" x14ac:dyDescent="0.2">
      <c r="A66" s="218">
        <v>3</v>
      </c>
      <c r="B66" s="172" t="s">
        <v>356</v>
      </c>
      <c r="C66" s="172" t="s">
        <v>344</v>
      </c>
      <c r="D66" s="172" t="s">
        <v>162</v>
      </c>
      <c r="E66" s="172" t="s">
        <v>159</v>
      </c>
      <c r="F66" s="172" t="s">
        <v>282</v>
      </c>
      <c r="G66" s="172">
        <v>10</v>
      </c>
      <c r="H66" s="172">
        <v>2025</v>
      </c>
      <c r="I66" s="217">
        <v>2</v>
      </c>
      <c r="J66" s="172"/>
    </row>
    <row r="67" spans="1:10" x14ac:dyDescent="0.2">
      <c r="A67" s="218">
        <v>4</v>
      </c>
      <c r="B67" s="172"/>
      <c r="C67" s="172"/>
      <c r="D67" s="172"/>
      <c r="E67" s="172"/>
      <c r="F67" s="172"/>
      <c r="G67" s="172"/>
      <c r="H67" s="172"/>
      <c r="I67" s="217"/>
      <c r="J67" s="172"/>
    </row>
    <row r="68" spans="1:10" x14ac:dyDescent="0.2">
      <c r="A68" s="218">
        <v>5</v>
      </c>
      <c r="B68" s="172"/>
      <c r="C68" s="172"/>
      <c r="D68" s="172"/>
      <c r="E68" s="172"/>
      <c r="F68" s="172"/>
      <c r="G68" s="172"/>
      <c r="H68" s="172"/>
      <c r="I68" s="217"/>
      <c r="J68" s="172"/>
    </row>
    <row r="69" spans="1:10" x14ac:dyDescent="0.2">
      <c r="A69" s="218">
        <v>6</v>
      </c>
      <c r="B69" s="172"/>
      <c r="C69" s="172"/>
      <c r="D69" s="172"/>
      <c r="E69" s="172"/>
      <c r="F69" s="172"/>
      <c r="G69" s="172"/>
      <c r="H69" s="172"/>
      <c r="I69" s="217"/>
      <c r="J69" s="172"/>
    </row>
    <row r="70" spans="1:10" x14ac:dyDescent="0.2">
      <c r="A70" s="218">
        <v>7</v>
      </c>
      <c r="B70" s="172"/>
      <c r="C70" s="172"/>
      <c r="D70" s="172"/>
      <c r="E70" s="172"/>
      <c r="F70" s="172"/>
      <c r="G70" s="172"/>
      <c r="H70" s="172"/>
      <c r="I70" s="217"/>
      <c r="J70" s="172"/>
    </row>
    <row r="71" spans="1:10" x14ac:dyDescent="0.2">
      <c r="A71" s="218">
        <v>8</v>
      </c>
      <c r="B71" s="172"/>
      <c r="C71" s="172"/>
      <c r="D71" s="172"/>
      <c r="E71" s="172"/>
      <c r="F71" s="172"/>
      <c r="G71" s="172"/>
      <c r="H71" s="172"/>
      <c r="I71" s="217"/>
      <c r="J71" s="172"/>
    </row>
    <row r="72" spans="1:10" x14ac:dyDescent="0.2">
      <c r="A72" s="218">
        <v>9</v>
      </c>
      <c r="B72" s="172"/>
      <c r="C72" s="172"/>
      <c r="D72" s="172"/>
      <c r="E72" s="172"/>
      <c r="F72" s="172"/>
      <c r="G72" s="172"/>
      <c r="H72" s="172"/>
      <c r="I72" s="217"/>
      <c r="J72" s="172"/>
    </row>
    <row r="73" spans="1:10" x14ac:dyDescent="0.2">
      <c r="A73" s="218">
        <v>10</v>
      </c>
      <c r="B73" s="172"/>
      <c r="C73" s="172"/>
      <c r="D73" s="172"/>
      <c r="E73" s="172"/>
      <c r="F73" s="172"/>
      <c r="G73" s="172"/>
      <c r="H73" s="172"/>
      <c r="I73" s="217"/>
      <c r="J73" s="172"/>
    </row>
    <row r="77" spans="1:10" x14ac:dyDescent="0.2">
      <c r="B77" s="156"/>
    </row>
    <row r="78" spans="1:10" x14ac:dyDescent="0.2">
      <c r="B78" s="207"/>
      <c r="C78" s="207"/>
    </row>
    <row r="79" spans="1:10" x14ac:dyDescent="0.2">
      <c r="B79" s="207"/>
      <c r="C79" s="207"/>
    </row>
    <row r="80" spans="1:10" x14ac:dyDescent="0.2">
      <c r="B80" s="207"/>
      <c r="C80" s="207"/>
    </row>
    <row r="82" spans="2:3" x14ac:dyDescent="0.2">
      <c r="B82" s="207"/>
      <c r="C82" s="207"/>
    </row>
  </sheetData>
  <pageMargins left="0.7" right="0.7" top="0.75" bottom="0.75" header="0.3" footer="0.3"/>
  <pageSetup paperSize="17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Z136"/>
  <sheetViews>
    <sheetView view="pageBreakPreview" topLeftCell="A91" zoomScale="60" zoomScaleNormal="130" workbookViewId="0">
      <selection activeCell="K72" sqref="K72"/>
    </sheetView>
  </sheetViews>
  <sheetFormatPr defaultRowHeight="12.75" x14ac:dyDescent="0.2"/>
  <cols>
    <col min="1" max="1" width="4.28515625" customWidth="1"/>
    <col min="2" max="2" width="29.85546875" customWidth="1"/>
    <col min="3" max="3" width="16.85546875" customWidth="1"/>
    <col min="4" max="4" width="16.28515625" customWidth="1"/>
    <col min="5" max="5" width="15.7109375" customWidth="1"/>
    <col min="6" max="6" width="18" customWidth="1"/>
    <col min="7" max="7" width="15.140625" customWidth="1"/>
    <col min="8" max="8" width="11.85546875" customWidth="1"/>
    <col min="9" max="9" width="20.5703125" customWidth="1"/>
    <col min="10" max="10" width="14.7109375" customWidth="1"/>
    <col min="11" max="22" width="7" customWidth="1"/>
  </cols>
  <sheetData>
    <row r="2" spans="2:23" x14ac:dyDescent="0.2">
      <c r="B2" s="163" t="s">
        <v>127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</row>
    <row r="3" spans="2:23" x14ac:dyDescent="0.2">
      <c r="B3" s="210"/>
      <c r="C3" s="211" t="s">
        <v>142</v>
      </c>
      <c r="D3" s="210"/>
      <c r="E3" s="210"/>
      <c r="F3" s="210"/>
      <c r="G3" s="210"/>
      <c r="H3" s="210"/>
      <c r="I3" s="210"/>
      <c r="K3" s="212" t="s">
        <v>143</v>
      </c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</row>
    <row r="5" spans="2:23" ht="15" x14ac:dyDescent="0.25">
      <c r="B5" s="28" t="s">
        <v>144</v>
      </c>
    </row>
    <row r="6" spans="2:23" x14ac:dyDescent="0.2">
      <c r="C6" s="148" t="s">
        <v>145</v>
      </c>
    </row>
    <row r="7" spans="2:23" x14ac:dyDescent="0.2">
      <c r="K7" s="148" t="s">
        <v>128</v>
      </c>
    </row>
    <row r="10" spans="2:23" ht="15.75" thickBot="1" x14ac:dyDescent="0.3">
      <c r="B10" s="28" t="s">
        <v>205</v>
      </c>
      <c r="K10" s="28" t="s">
        <v>147</v>
      </c>
    </row>
    <row r="11" spans="2:23" ht="15.75" thickTop="1" thickBot="1" x14ac:dyDescent="0.25">
      <c r="B11" s="148" t="s">
        <v>146</v>
      </c>
      <c r="J11" s="374" t="s">
        <v>327</v>
      </c>
      <c r="K11" s="161">
        <v>2010</v>
      </c>
      <c r="L11" s="162">
        <v>2015</v>
      </c>
      <c r="M11" s="162">
        <v>2020</v>
      </c>
      <c r="N11" s="162">
        <v>2025</v>
      </c>
      <c r="O11" s="162">
        <v>2030</v>
      </c>
      <c r="P11" s="162">
        <v>2035</v>
      </c>
      <c r="Q11" s="162">
        <v>2040</v>
      </c>
      <c r="R11" s="162">
        <v>2045</v>
      </c>
      <c r="S11" s="162">
        <v>2050</v>
      </c>
      <c r="T11" s="162">
        <v>2055</v>
      </c>
      <c r="U11" s="162">
        <v>2060</v>
      </c>
    </row>
    <row r="12" spans="2:23" ht="18" customHeight="1" thickTop="1" thickBot="1" x14ac:dyDescent="0.25">
      <c r="J12" s="363" t="s">
        <v>355</v>
      </c>
      <c r="K12" s="157">
        <f>ROUND(DataIn!D36,-2)</f>
        <v>3700</v>
      </c>
      <c r="L12" s="157">
        <f>ROUND(DataIn!E36,-2)</f>
        <v>13900</v>
      </c>
      <c r="M12" s="157">
        <f>ROUND(DataIn!F36,-2)</f>
        <v>24000</v>
      </c>
      <c r="N12" s="157">
        <f>ROUND(DataIn!G36,-2)</f>
        <v>41300</v>
      </c>
      <c r="O12" s="157">
        <f>ROUND(DataIn!H36,-2)</f>
        <v>58600</v>
      </c>
      <c r="P12" s="157">
        <f>ROUND(DataIn!I36,-2)</f>
        <v>69300</v>
      </c>
      <c r="Q12" s="157">
        <f>ROUND(DataIn!J36,-2)</f>
        <v>79900</v>
      </c>
      <c r="R12" s="157">
        <f>ROUND(DataIn!K36,-2)</f>
        <v>83500</v>
      </c>
      <c r="S12" s="157">
        <f>ROUND(DataIn!L36,-2)</f>
        <v>87100</v>
      </c>
      <c r="T12" s="157">
        <f>ROUND(DataIn!M36,-2)</f>
        <v>92000</v>
      </c>
      <c r="U12" s="157">
        <f>ROUND(DataIn!N36,-2)</f>
        <v>96800</v>
      </c>
    </row>
    <row r="13" spans="2:23" ht="15" thickBot="1" x14ac:dyDescent="0.25">
      <c r="D13" s="207"/>
      <c r="J13" s="363" t="s">
        <v>328</v>
      </c>
      <c r="K13" s="375" t="e">
        <f>ROUND(DataIn!#REF!,-2)</f>
        <v>#REF!</v>
      </c>
      <c r="L13" s="375" t="e">
        <f>ROUND(DataIn!#REF!,-2)</f>
        <v>#REF!</v>
      </c>
      <c r="M13" s="375" t="e">
        <f>ROUND(DataIn!#REF!,-2)</f>
        <v>#REF!</v>
      </c>
      <c r="N13" s="375" t="e">
        <f>ROUND(DataIn!#REF!,-2)</f>
        <v>#REF!</v>
      </c>
      <c r="O13" s="375" t="e">
        <f>ROUND(DataIn!#REF!,-2)</f>
        <v>#REF!</v>
      </c>
      <c r="P13" s="375" t="e">
        <f>ROUND(DataIn!#REF!,-2)</f>
        <v>#REF!</v>
      </c>
      <c r="Q13" s="375" t="e">
        <f>ROUND(DataIn!#REF!,-2)</f>
        <v>#REF!</v>
      </c>
      <c r="R13" s="375" t="e">
        <f>ROUND(DataIn!#REF!,-2)</f>
        <v>#REF!</v>
      </c>
      <c r="S13" s="375" t="e">
        <f>ROUND(DataIn!#REF!,-2)</f>
        <v>#REF!</v>
      </c>
      <c r="T13" s="375" t="e">
        <f>ROUND(DataIn!#REF!,-2)</f>
        <v>#REF!</v>
      </c>
      <c r="U13" s="375" t="e">
        <f>ROUND(DataIn!#REF!,-2)</f>
        <v>#REF!</v>
      </c>
      <c r="W13" s="207"/>
    </row>
    <row r="14" spans="2:23" ht="15" thickBot="1" x14ac:dyDescent="0.25">
      <c r="B14" s="155" t="s">
        <v>172</v>
      </c>
      <c r="J14" s="376" t="s">
        <v>329</v>
      </c>
      <c r="K14" s="157">
        <f>ROUND(DataIn!D37,-2)</f>
        <v>0</v>
      </c>
      <c r="L14" s="157">
        <f>ROUND(DataIn!E37,-2)</f>
        <v>0</v>
      </c>
      <c r="M14" s="157">
        <f>ROUND(DataIn!F37,-2)</f>
        <v>0</v>
      </c>
      <c r="N14" s="157">
        <f>ROUND(DataIn!G37,-2)</f>
        <v>0</v>
      </c>
      <c r="O14" s="157">
        <f>ROUND(DataIn!H37,-2)</f>
        <v>0</v>
      </c>
      <c r="P14" s="157">
        <f>ROUND(DataIn!I37,-2)</f>
        <v>0</v>
      </c>
      <c r="Q14" s="157">
        <f>ROUND(DataIn!J37,-2)</f>
        <v>0</v>
      </c>
      <c r="R14" s="157">
        <f>ROUND(DataIn!K37,-2)</f>
        <v>0</v>
      </c>
      <c r="S14" s="157">
        <f>ROUND(DataIn!L37,-2)</f>
        <v>0</v>
      </c>
      <c r="T14" s="157">
        <f>ROUND(DataIn!M37,-2)</f>
        <v>0</v>
      </c>
      <c r="U14" s="157">
        <f>ROUND(DataIn!N37,-2)</f>
        <v>0</v>
      </c>
    </row>
    <row r="15" spans="2:23" ht="17.25" thickTop="1" thickBot="1" x14ac:dyDescent="0.25">
      <c r="B15" s="207" t="s">
        <v>208</v>
      </c>
      <c r="J15" s="351" t="s">
        <v>129</v>
      </c>
      <c r="K15" s="377" t="e">
        <f>SUM(K12:K14)</f>
        <v>#REF!</v>
      </c>
      <c r="L15" s="377" t="e">
        <f t="shared" ref="L15:U15" si="0">SUM(L12:L14)</f>
        <v>#REF!</v>
      </c>
      <c r="M15" s="377" t="e">
        <f t="shared" si="0"/>
        <v>#REF!</v>
      </c>
      <c r="N15" s="377" t="e">
        <f t="shared" si="0"/>
        <v>#REF!</v>
      </c>
      <c r="O15" s="377" t="e">
        <f t="shared" si="0"/>
        <v>#REF!</v>
      </c>
      <c r="P15" s="377" t="e">
        <f t="shared" si="0"/>
        <v>#REF!</v>
      </c>
      <c r="Q15" s="377" t="e">
        <f t="shared" si="0"/>
        <v>#REF!</v>
      </c>
      <c r="R15" s="377" t="e">
        <f t="shared" si="0"/>
        <v>#REF!</v>
      </c>
      <c r="S15" s="377" t="e">
        <f t="shared" si="0"/>
        <v>#REF!</v>
      </c>
      <c r="T15" s="377" t="e">
        <f t="shared" si="0"/>
        <v>#REF!</v>
      </c>
      <c r="U15" s="377" t="e">
        <f t="shared" si="0"/>
        <v>#REF!</v>
      </c>
      <c r="W15" s="207"/>
    </row>
    <row r="16" spans="2:23" ht="13.5" thickTop="1" x14ac:dyDescent="0.2"/>
    <row r="18" spans="2:22" ht="13.5" thickBot="1" x14ac:dyDescent="0.25">
      <c r="B18" s="155" t="s">
        <v>224</v>
      </c>
      <c r="J18" s="207" t="s">
        <v>320</v>
      </c>
    </row>
    <row r="19" spans="2:22" ht="44.25" thickTop="1" thickBot="1" x14ac:dyDescent="0.25">
      <c r="B19" s="149" t="s">
        <v>229</v>
      </c>
      <c r="C19" s="150" t="s">
        <v>15</v>
      </c>
      <c r="D19" s="150" t="s">
        <v>184</v>
      </c>
      <c r="E19" s="150" t="s">
        <v>177</v>
      </c>
      <c r="F19" s="150" t="s">
        <v>178</v>
      </c>
      <c r="G19" s="150" t="s">
        <v>180</v>
      </c>
      <c r="H19" s="150" t="s">
        <v>181</v>
      </c>
      <c r="J19" s="470" t="s">
        <v>229</v>
      </c>
      <c r="K19" s="371" t="s">
        <v>255</v>
      </c>
      <c r="L19" s="468">
        <v>2010</v>
      </c>
      <c r="M19" s="468">
        <v>2015</v>
      </c>
      <c r="N19" s="468">
        <v>2020</v>
      </c>
      <c r="O19" s="468">
        <v>2025</v>
      </c>
      <c r="P19" s="468">
        <v>2030</v>
      </c>
      <c r="Q19" s="468">
        <v>2035</v>
      </c>
      <c r="R19" s="468">
        <v>2040</v>
      </c>
      <c r="S19" s="468">
        <v>2045</v>
      </c>
      <c r="T19" s="468">
        <v>2050</v>
      </c>
      <c r="U19" s="468">
        <v>2055</v>
      </c>
      <c r="V19" s="468">
        <v>2060</v>
      </c>
    </row>
    <row r="20" spans="2:22" ht="17.25" thickTop="1" thickBot="1" x14ac:dyDescent="0.25">
      <c r="B20" s="151" t="str">
        <f>DataIn!B40</f>
        <v>Chatham County North</v>
      </c>
      <c r="C20" s="166" t="str">
        <f>DataIn!C40</f>
        <v>03-19-126</v>
      </c>
      <c r="D20" s="221">
        <v>0.5</v>
      </c>
      <c r="E20" s="222">
        <v>1988</v>
      </c>
      <c r="F20" s="222"/>
      <c r="G20" s="223" t="s">
        <v>34</v>
      </c>
      <c r="H20" s="222">
        <v>8</v>
      </c>
      <c r="J20" s="477"/>
      <c r="K20" s="372" t="s">
        <v>256</v>
      </c>
      <c r="L20" s="476"/>
      <c r="M20" s="476"/>
      <c r="N20" s="476"/>
      <c r="O20" s="476"/>
      <c r="P20" s="476"/>
      <c r="Q20" s="476"/>
      <c r="R20" s="476"/>
      <c r="S20" s="476"/>
      <c r="T20" s="476"/>
      <c r="U20" s="476"/>
      <c r="V20" s="476"/>
    </row>
    <row r="21" spans="2:22" ht="17.25" thickBot="1" x14ac:dyDescent="0.25">
      <c r="B21" s="151" t="str">
        <f>DataIn!B41</f>
        <v>Chapel Ridge S/D</v>
      </c>
      <c r="C21" s="166" t="str">
        <f>DataIn!C41</f>
        <v>40-19-009</v>
      </c>
      <c r="D21" s="224">
        <v>0.5</v>
      </c>
      <c r="E21" s="225">
        <v>2002</v>
      </c>
      <c r="F21" s="225"/>
      <c r="G21" s="226" t="s">
        <v>353</v>
      </c>
      <c r="H21" s="225">
        <v>12</v>
      </c>
      <c r="J21" s="363" t="s">
        <v>340</v>
      </c>
      <c r="K21" s="250">
        <v>0.5</v>
      </c>
      <c r="L21" s="330">
        <v>0.06</v>
      </c>
      <c r="M21" s="330">
        <v>0.18</v>
      </c>
      <c r="N21" s="330">
        <v>0.28999999999999998</v>
      </c>
      <c r="O21" s="330">
        <v>0.41</v>
      </c>
      <c r="P21" s="330">
        <v>0.52</v>
      </c>
      <c r="Q21" s="330">
        <v>0.52</v>
      </c>
      <c r="R21" s="330">
        <v>0.52</v>
      </c>
      <c r="S21" s="330">
        <v>0.52</v>
      </c>
      <c r="T21" s="330">
        <v>0.52</v>
      </c>
      <c r="U21" s="330">
        <v>0.52</v>
      </c>
      <c r="V21" s="330">
        <v>0.52</v>
      </c>
    </row>
    <row r="22" spans="2:22" ht="17.25" thickTop="1" thickBot="1" x14ac:dyDescent="0.25">
      <c r="B22" s="170" t="s">
        <v>129</v>
      </c>
      <c r="C22" s="177"/>
      <c r="D22" s="179">
        <f>D21+D20</f>
        <v>1</v>
      </c>
      <c r="E22" s="178"/>
      <c r="F22" s="178"/>
      <c r="G22" s="178"/>
      <c r="H22" s="178"/>
    </row>
    <row r="23" spans="2:22" ht="43.5" thickTop="1" x14ac:dyDescent="0.2">
      <c r="J23" s="470" t="s">
        <v>229</v>
      </c>
      <c r="K23" s="458" t="s">
        <v>255</v>
      </c>
      <c r="L23" s="468">
        <v>2010</v>
      </c>
      <c r="M23" s="468">
        <v>2015</v>
      </c>
      <c r="N23" s="468">
        <v>2020</v>
      </c>
      <c r="O23" s="468">
        <v>2025</v>
      </c>
      <c r="P23" s="468">
        <v>2030</v>
      </c>
      <c r="Q23" s="468">
        <v>2035</v>
      </c>
      <c r="R23" s="468">
        <v>2040</v>
      </c>
      <c r="S23" s="468">
        <v>2045</v>
      </c>
      <c r="T23" s="468">
        <v>2050</v>
      </c>
      <c r="U23" s="468">
        <v>2055</v>
      </c>
      <c r="V23" s="468">
        <v>2060</v>
      </c>
    </row>
    <row r="24" spans="2:22" ht="15" thickBot="1" x14ac:dyDescent="0.25">
      <c r="B24" s="417"/>
      <c r="C24" s="417"/>
      <c r="D24" s="417"/>
      <c r="E24" s="417"/>
      <c r="F24" s="417"/>
      <c r="G24" s="417"/>
      <c r="H24" s="417"/>
      <c r="J24" s="471"/>
      <c r="K24" s="459" t="s">
        <v>256</v>
      </c>
      <c r="L24" s="469"/>
      <c r="M24" s="469"/>
      <c r="N24" s="469"/>
      <c r="O24" s="469"/>
      <c r="P24" s="469"/>
      <c r="Q24" s="469"/>
      <c r="R24" s="469"/>
      <c r="S24" s="469"/>
      <c r="T24" s="469"/>
      <c r="U24" s="469"/>
      <c r="V24" s="469"/>
    </row>
    <row r="25" spans="2:22" ht="18" thickTop="1" thickBot="1" x14ac:dyDescent="0.25">
      <c r="B25" s="417"/>
      <c r="C25" s="417"/>
      <c r="D25" s="417"/>
      <c r="E25" s="417"/>
      <c r="F25" s="417"/>
      <c r="G25" s="417"/>
      <c r="H25" s="417"/>
      <c r="J25" s="370" t="s">
        <v>340</v>
      </c>
      <c r="K25" s="340">
        <v>0.5</v>
      </c>
      <c r="L25" s="460">
        <v>0.06</v>
      </c>
      <c r="M25" s="460">
        <v>0.18</v>
      </c>
      <c r="N25" s="460">
        <v>0.28999999999999998</v>
      </c>
      <c r="O25" s="460">
        <v>0.41</v>
      </c>
      <c r="P25" s="460">
        <v>0.52</v>
      </c>
      <c r="Q25" s="460">
        <v>0.52</v>
      </c>
      <c r="R25" s="460">
        <v>0.52</v>
      </c>
      <c r="S25" s="460">
        <v>0.52</v>
      </c>
      <c r="T25" s="460">
        <v>0.52</v>
      </c>
      <c r="U25" s="460">
        <v>0.52</v>
      </c>
      <c r="V25" s="460">
        <v>0.52</v>
      </c>
    </row>
    <row r="26" spans="2:22" ht="17.25" thickTop="1" thickBot="1" x14ac:dyDescent="0.25">
      <c r="J26" s="170" t="s">
        <v>129</v>
      </c>
      <c r="K26" s="177">
        <v>0.5</v>
      </c>
      <c r="L26" s="177">
        <v>0.06</v>
      </c>
      <c r="M26" s="177">
        <v>0.18</v>
      </c>
      <c r="N26" s="177">
        <v>0.28999999999999998</v>
      </c>
      <c r="O26" s="177">
        <v>0.41</v>
      </c>
      <c r="P26" s="177">
        <v>0.52</v>
      </c>
      <c r="Q26" s="177">
        <v>0.52</v>
      </c>
      <c r="R26" s="177">
        <v>0.52</v>
      </c>
      <c r="S26" s="177">
        <v>0.52</v>
      </c>
      <c r="T26" s="177">
        <v>0.52</v>
      </c>
      <c r="U26" s="177">
        <v>0.52</v>
      </c>
      <c r="V26" s="177">
        <v>0.52</v>
      </c>
    </row>
    <row r="27" spans="2:22" ht="13.5" thickTop="1" x14ac:dyDescent="0.2"/>
    <row r="28" spans="2:22" x14ac:dyDescent="0.2">
      <c r="B28" s="163" t="s">
        <v>151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</row>
    <row r="30" spans="2:22" x14ac:dyDescent="0.2">
      <c r="B30" s="148"/>
    </row>
    <row r="33" spans="2:22" x14ac:dyDescent="0.2">
      <c r="B33" s="163" t="s">
        <v>149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</row>
    <row r="35" spans="2:22" ht="13.5" thickBot="1" x14ac:dyDescent="0.25">
      <c r="B35" s="148" t="s">
        <v>182</v>
      </c>
    </row>
    <row r="36" spans="2:22" ht="33" thickTop="1" thickBot="1" x14ac:dyDescent="0.25">
      <c r="B36" s="149" t="s">
        <v>176</v>
      </c>
      <c r="C36" s="150" t="s">
        <v>15</v>
      </c>
      <c r="D36" s="150" t="s">
        <v>184</v>
      </c>
      <c r="E36" s="150" t="s">
        <v>177</v>
      </c>
      <c r="F36" s="150" t="s">
        <v>178</v>
      </c>
      <c r="G36" s="150" t="s">
        <v>180</v>
      </c>
      <c r="H36" s="150" t="s">
        <v>181</v>
      </c>
      <c r="I36" s="150" t="s">
        <v>179</v>
      </c>
      <c r="K36" s="148"/>
    </row>
    <row r="37" spans="2:22" ht="17.25" thickTop="1" thickBot="1" x14ac:dyDescent="0.25">
      <c r="B37" s="151" t="s">
        <v>343</v>
      </c>
      <c r="C37" s="166" t="s">
        <v>163</v>
      </c>
      <c r="D37" s="221"/>
      <c r="E37" s="222"/>
      <c r="F37" s="222"/>
      <c r="G37" s="223"/>
      <c r="H37" s="222"/>
      <c r="I37" s="221"/>
      <c r="L37" s="148"/>
    </row>
    <row r="38" spans="2:22" ht="16.5" thickBot="1" x14ac:dyDescent="0.25">
      <c r="B38" s="151"/>
      <c r="C38" s="166" t="s">
        <v>163</v>
      </c>
      <c r="D38" s="224"/>
      <c r="E38" s="225"/>
      <c r="F38" s="225"/>
      <c r="G38" s="226"/>
      <c r="H38" s="225"/>
      <c r="I38" s="224"/>
    </row>
    <row r="39" spans="2:22" ht="16.5" thickBot="1" x14ac:dyDescent="0.25">
      <c r="B39" s="151"/>
      <c r="C39" s="166" t="s">
        <v>163</v>
      </c>
      <c r="D39" s="224"/>
      <c r="E39" s="225"/>
      <c r="F39" s="225"/>
      <c r="G39" s="226"/>
      <c r="H39" s="225"/>
      <c r="I39" s="224"/>
    </row>
    <row r="40" spans="2:22" ht="16.5" thickBot="1" x14ac:dyDescent="0.25">
      <c r="B40" s="168"/>
      <c r="C40" s="169"/>
      <c r="D40" s="227"/>
      <c r="E40" s="228"/>
      <c r="F40" s="228"/>
      <c r="G40" s="229"/>
      <c r="H40" s="228"/>
      <c r="I40" s="227"/>
    </row>
    <row r="41" spans="2:22" ht="17.25" thickTop="1" thickBot="1" x14ac:dyDescent="0.25">
      <c r="B41" s="170" t="s">
        <v>129</v>
      </c>
      <c r="C41" s="177"/>
      <c r="D41" s="178"/>
      <c r="E41" s="178"/>
      <c r="F41" s="178"/>
      <c r="G41" s="178"/>
      <c r="H41" s="178"/>
      <c r="I41" s="179">
        <f>SUMIF(G37:G40,"Regular",I37:I40)</f>
        <v>0</v>
      </c>
      <c r="K41" s="207"/>
    </row>
    <row r="42" spans="2:22" ht="13.5" thickTop="1" x14ac:dyDescent="0.2"/>
    <row r="45" spans="2:22" ht="13.5" thickBot="1" x14ac:dyDescent="0.25">
      <c r="B45" s="148" t="s">
        <v>152</v>
      </c>
    </row>
    <row r="46" spans="2:22" ht="31.5" customHeight="1" thickTop="1" thickBot="1" x14ac:dyDescent="0.25">
      <c r="B46" s="149" t="s">
        <v>155</v>
      </c>
      <c r="C46" s="150" t="s">
        <v>15</v>
      </c>
      <c r="D46" s="150" t="s">
        <v>16</v>
      </c>
      <c r="E46" s="150" t="s">
        <v>45</v>
      </c>
      <c r="F46" s="150" t="s">
        <v>156</v>
      </c>
      <c r="G46" s="150" t="s">
        <v>158</v>
      </c>
    </row>
    <row r="47" spans="2:22" ht="17.25" thickTop="1" thickBot="1" x14ac:dyDescent="0.25">
      <c r="B47" s="151" t="str">
        <f>DataIn!B48</f>
        <v>Haw River</v>
      </c>
      <c r="C47" s="166" t="str">
        <f>DataIn!$C$2</f>
        <v>03-19-015</v>
      </c>
      <c r="D47" s="331" t="str">
        <f>DataIn!D48</f>
        <v>SW</v>
      </c>
      <c r="E47" s="332" t="str">
        <f>DataIn!C48</f>
        <v>Haw (2-1)</v>
      </c>
      <c r="F47" s="332" t="str">
        <f>DataIn!E48</f>
        <v>WS IV NSW</v>
      </c>
      <c r="G47" s="333">
        <f>DataIn!F48</f>
        <v>2</v>
      </c>
      <c r="K47" s="167"/>
    </row>
    <row r="48" spans="2:22" ht="16.5" thickBot="1" x14ac:dyDescent="0.25">
      <c r="B48" s="151">
        <f>DataIn!B49</f>
        <v>0</v>
      </c>
      <c r="C48" s="166" t="str">
        <f>DataIn!$C$2</f>
        <v>03-19-015</v>
      </c>
      <c r="D48" s="334">
        <f>DataIn!D49</f>
        <v>0</v>
      </c>
      <c r="E48" s="335">
        <f>DataIn!C49</f>
        <v>0</v>
      </c>
      <c r="F48" s="335">
        <f>DataIn!E49</f>
        <v>0</v>
      </c>
      <c r="G48" s="336">
        <f>DataIn!F49</f>
        <v>0</v>
      </c>
      <c r="K48" s="148"/>
      <c r="M48" s="148"/>
    </row>
    <row r="49" spans="2:22" ht="16.5" thickBot="1" x14ac:dyDescent="0.25">
      <c r="B49" s="151">
        <f>DataIn!B50</f>
        <v>0</v>
      </c>
      <c r="C49" s="166" t="str">
        <f>DataIn!$C$2</f>
        <v>03-19-015</v>
      </c>
      <c r="D49" s="334">
        <f>DataIn!D50</f>
        <v>0</v>
      </c>
      <c r="E49" s="335">
        <f>DataIn!C50</f>
        <v>0</v>
      </c>
      <c r="F49" s="335">
        <f>DataIn!E50</f>
        <v>0</v>
      </c>
      <c r="G49" s="336">
        <f>DataIn!F50</f>
        <v>0</v>
      </c>
      <c r="K49" s="148"/>
      <c r="M49" s="148"/>
    </row>
    <row r="50" spans="2:22" ht="16.5" thickBot="1" x14ac:dyDescent="0.25">
      <c r="B50" s="168"/>
      <c r="C50" s="169"/>
      <c r="D50" s="337"/>
      <c r="E50" s="337"/>
      <c r="F50" s="337"/>
      <c r="G50" s="338"/>
      <c r="K50" s="148"/>
    </row>
    <row r="51" spans="2:22" ht="17.25" thickTop="1" thickBot="1" x14ac:dyDescent="0.25">
      <c r="B51" s="170" t="s">
        <v>129</v>
      </c>
      <c r="C51" s="177"/>
      <c r="D51" s="178"/>
      <c r="E51" s="178"/>
      <c r="F51" s="178"/>
      <c r="G51" s="179">
        <f>SUM(G47:G50)</f>
        <v>2</v>
      </c>
      <c r="J51" s="148"/>
      <c r="L51" s="167"/>
    </row>
    <row r="52" spans="2:22" ht="13.5" thickTop="1" x14ac:dyDescent="0.2"/>
    <row r="54" spans="2:22" x14ac:dyDescent="0.2">
      <c r="B54" s="214" t="s">
        <v>206</v>
      </c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</row>
    <row r="56" spans="2:22" x14ac:dyDescent="0.2">
      <c r="B56" s="148" t="s">
        <v>153</v>
      </c>
      <c r="K56" t="str">
        <f>B56</f>
        <v>Table IV.1 - Water Supply Needs</v>
      </c>
    </row>
    <row r="57" spans="2:22" ht="13.5" thickBot="1" x14ac:dyDescent="0.25">
      <c r="B57" t="s">
        <v>154</v>
      </c>
    </row>
    <row r="58" spans="2:22" ht="17.25" thickTop="1" thickBot="1" x14ac:dyDescent="0.25">
      <c r="J58" s="149"/>
      <c r="K58" s="150">
        <v>2010</v>
      </c>
      <c r="L58" s="150">
        <v>2015</v>
      </c>
      <c r="M58" s="150">
        <v>2020</v>
      </c>
      <c r="N58" s="150">
        <v>2025</v>
      </c>
      <c r="O58" s="150">
        <v>2030</v>
      </c>
      <c r="P58" s="150">
        <v>2035</v>
      </c>
      <c r="Q58" s="150">
        <v>2040</v>
      </c>
      <c r="R58" s="150">
        <v>2045</v>
      </c>
      <c r="S58" s="150">
        <v>2050</v>
      </c>
      <c r="T58" s="150">
        <v>2055</v>
      </c>
      <c r="U58" s="150">
        <v>2060</v>
      </c>
    </row>
    <row r="59" spans="2:22" ht="17.25" thickTop="1" thickBot="1" x14ac:dyDescent="0.25">
      <c r="J59" s="151" t="s">
        <v>169</v>
      </c>
      <c r="K59" s="230">
        <f>'Population&amp;Demand Projections'!C109</f>
        <v>0.62400000000000011</v>
      </c>
      <c r="L59" s="230">
        <f>'Population&amp;Demand Projections'!D109</f>
        <v>1.9794999999999998</v>
      </c>
      <c r="M59" s="230">
        <f>'Population&amp;Demand Projections'!E109</f>
        <v>3.335</v>
      </c>
      <c r="N59" s="230">
        <f>'Population&amp;Demand Projections'!F109</f>
        <v>5.551499999999999</v>
      </c>
      <c r="O59" s="230">
        <f>'Population&amp;Demand Projections'!G109</f>
        <v>7.7679999999999998</v>
      </c>
      <c r="P59" s="230">
        <f>'Population&amp;Demand Projections'!H109</f>
        <v>8.9280000000000008</v>
      </c>
      <c r="Q59" s="230">
        <f>'Population&amp;Demand Projections'!I109</f>
        <v>10.088000000000001</v>
      </c>
      <c r="R59" s="230">
        <f>'Population&amp;Demand Projections'!J109</f>
        <v>10.4445</v>
      </c>
      <c r="S59" s="230">
        <f>'Population&amp;Demand Projections'!K109</f>
        <v>10.800999999999998</v>
      </c>
      <c r="T59" s="230">
        <f>'Population&amp;Demand Projections'!L109</f>
        <v>11.281000000000001</v>
      </c>
      <c r="U59" s="230">
        <f>'Population&amp;Demand Projections'!M109</f>
        <v>11.761000000000001</v>
      </c>
    </row>
    <row r="60" spans="2:22" ht="16.5" thickBot="1" x14ac:dyDescent="0.25">
      <c r="J60" s="151" t="s">
        <v>20</v>
      </c>
      <c r="K60" s="231">
        <f>'Population&amp;Demand Projections'!C95+'Population&amp;Demand Projections'!C96+'Population&amp;Demand Projections'!C97</f>
        <v>2</v>
      </c>
      <c r="L60" s="231">
        <f>'Population&amp;Demand Projections'!D95+'Population&amp;Demand Projections'!D96+'Population&amp;Demand Projections'!D97</f>
        <v>2</v>
      </c>
      <c r="M60" s="231">
        <f>'Population&amp;Demand Projections'!E95+'Population&amp;Demand Projections'!E96+'Population&amp;Demand Projections'!E97</f>
        <v>2</v>
      </c>
      <c r="N60" s="231">
        <f>'Population&amp;Demand Projections'!F95+'Population&amp;Demand Projections'!F96+'Population&amp;Demand Projections'!F97</f>
        <v>2</v>
      </c>
      <c r="O60" s="231">
        <f>'Population&amp;Demand Projections'!G95+'Population&amp;Demand Projections'!G96+'Population&amp;Demand Projections'!G97</f>
        <v>2</v>
      </c>
      <c r="P60" s="231">
        <f>'Population&amp;Demand Projections'!H95+'Population&amp;Demand Projections'!H96+'Population&amp;Demand Projections'!H97</f>
        <v>2</v>
      </c>
      <c r="Q60" s="231">
        <f>'Population&amp;Demand Projections'!I95+'Population&amp;Demand Projections'!I96+'Population&amp;Demand Projections'!I97</f>
        <v>2</v>
      </c>
      <c r="R60" s="231">
        <f>'Population&amp;Demand Projections'!J95+'Population&amp;Demand Projections'!J96+'Population&amp;Demand Projections'!J97</f>
        <v>2</v>
      </c>
      <c r="S60" s="231">
        <f>'Population&amp;Demand Projections'!K95+'Population&amp;Demand Projections'!K96+'Population&amp;Demand Projections'!K97</f>
        <v>2</v>
      </c>
      <c r="T60" s="231">
        <f>'Population&amp;Demand Projections'!L95+'Population&amp;Demand Projections'!L96+'Population&amp;Demand Projections'!L97</f>
        <v>2</v>
      </c>
      <c r="U60" s="231">
        <f>'Population&amp;Demand Projections'!M95+'Population&amp;Demand Projections'!M96+'Population&amp;Demand Projections'!M97</f>
        <v>2</v>
      </c>
    </row>
    <row r="61" spans="2:22" ht="32.25" thickBot="1" x14ac:dyDescent="0.25">
      <c r="J61" s="151" t="s">
        <v>171</v>
      </c>
      <c r="K61" s="232">
        <f>K59/K60</f>
        <v>0.31200000000000006</v>
      </c>
      <c r="L61" s="232">
        <f t="shared" ref="L61:U61" si="1">L59/L60</f>
        <v>0.98974999999999991</v>
      </c>
      <c r="M61" s="232">
        <f t="shared" si="1"/>
        <v>1.6675</v>
      </c>
      <c r="N61" s="232">
        <f t="shared" si="1"/>
        <v>2.7757499999999995</v>
      </c>
      <c r="O61" s="232">
        <f t="shared" si="1"/>
        <v>3.8839999999999999</v>
      </c>
      <c r="P61" s="232">
        <f t="shared" si="1"/>
        <v>4.4640000000000004</v>
      </c>
      <c r="Q61" s="232">
        <f t="shared" si="1"/>
        <v>5.0440000000000005</v>
      </c>
      <c r="R61" s="232">
        <f t="shared" si="1"/>
        <v>5.2222499999999998</v>
      </c>
      <c r="S61" s="232">
        <f t="shared" si="1"/>
        <v>5.4004999999999992</v>
      </c>
      <c r="T61" s="232">
        <f t="shared" si="1"/>
        <v>5.6405000000000003</v>
      </c>
      <c r="U61" s="232">
        <f t="shared" si="1"/>
        <v>5.8805000000000005</v>
      </c>
    </row>
    <row r="62" spans="2:22" ht="16.5" thickBot="1" x14ac:dyDescent="0.25">
      <c r="J62" s="233" t="s">
        <v>170</v>
      </c>
      <c r="K62" s="373">
        <f>IF((K59-K60)&gt;0,K59-K60,0)</f>
        <v>0</v>
      </c>
      <c r="L62" s="373">
        <f t="shared" ref="L62:U62" si="2">IF((L59-L60)&gt;0,L59-L60,0)</f>
        <v>0</v>
      </c>
      <c r="M62" s="373">
        <f t="shared" si="2"/>
        <v>1.335</v>
      </c>
      <c r="N62" s="373">
        <f t="shared" si="2"/>
        <v>3.551499999999999</v>
      </c>
      <c r="O62" s="373">
        <f t="shared" si="2"/>
        <v>5.7679999999999998</v>
      </c>
      <c r="P62" s="373">
        <f t="shared" si="2"/>
        <v>6.9280000000000008</v>
      </c>
      <c r="Q62" s="373">
        <f t="shared" si="2"/>
        <v>8.088000000000001</v>
      </c>
      <c r="R62" s="373">
        <f t="shared" si="2"/>
        <v>8.4444999999999997</v>
      </c>
      <c r="S62" s="373">
        <f t="shared" si="2"/>
        <v>8.8009999999999984</v>
      </c>
      <c r="T62" s="373">
        <f t="shared" si="2"/>
        <v>9.2810000000000006</v>
      </c>
      <c r="U62" s="373">
        <f t="shared" si="2"/>
        <v>9.761000000000001</v>
      </c>
    </row>
    <row r="65" spans="2:22" x14ac:dyDescent="0.2">
      <c r="B65" s="165" t="s">
        <v>185</v>
      </c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</row>
    <row r="67" spans="2:22" x14ac:dyDescent="0.2">
      <c r="B67" s="207" t="s">
        <v>209</v>
      </c>
    </row>
    <row r="68" spans="2:22" ht="13.5" thickBot="1" x14ac:dyDescent="0.25">
      <c r="B68" s="155" t="s">
        <v>314</v>
      </c>
    </row>
    <row r="69" spans="2:22" ht="33" thickTop="1" thickBot="1" x14ac:dyDescent="0.25">
      <c r="B69" s="149" t="s">
        <v>155</v>
      </c>
      <c r="C69" s="150" t="s">
        <v>210</v>
      </c>
      <c r="D69" s="150" t="s">
        <v>45</v>
      </c>
      <c r="E69" s="150" t="s">
        <v>156</v>
      </c>
      <c r="F69" s="150" t="s">
        <v>212</v>
      </c>
      <c r="G69" s="150" t="s">
        <v>158</v>
      </c>
      <c r="H69" s="150" t="s">
        <v>217</v>
      </c>
    </row>
    <row r="70" spans="2:22" ht="17.25" thickTop="1" thickBot="1" x14ac:dyDescent="0.25">
      <c r="B70" s="175" t="str">
        <f>DataIn!B64</f>
        <v xml:space="preserve">Jordan Lake Allocation </v>
      </c>
      <c r="C70" s="250" t="str">
        <f>DataIn!C64</f>
        <v>Jordan Lake</v>
      </c>
      <c r="D70" s="368" t="str">
        <f>DataIn!E64</f>
        <v>Haw (2-1)</v>
      </c>
      <c r="E70" s="368" t="str">
        <f>DataIn!F64</f>
        <v>WS IV B NSW CA</v>
      </c>
      <c r="F70" s="332">
        <f>DataIn!H64</f>
        <v>2030</v>
      </c>
      <c r="G70" s="333">
        <f>DataIn!I64</f>
        <v>6</v>
      </c>
      <c r="H70" s="333">
        <f>DataIn!J64</f>
        <v>0</v>
      </c>
    </row>
    <row r="71" spans="2:22" ht="29.25" thickBot="1" x14ac:dyDescent="0.25">
      <c r="B71" s="175" t="str">
        <f>DataIn!B65</f>
        <v>Expand Haw River</v>
      </c>
      <c r="C71" s="250" t="str">
        <f>DataIn!C65</f>
        <v>Additional River Withdrawal</v>
      </c>
      <c r="D71" s="369" t="str">
        <f>DataIn!E65</f>
        <v>Haw (2-1)</v>
      </c>
      <c r="E71" s="369" t="str">
        <f>DataIn!F65</f>
        <v>WS IV NSW</v>
      </c>
      <c r="F71" s="335">
        <f>DataIn!H65</f>
        <v>2020</v>
      </c>
      <c r="G71" s="336">
        <f>DataIn!I65</f>
        <v>2</v>
      </c>
      <c r="H71" s="336">
        <f>DataIn!J65</f>
        <v>0</v>
      </c>
    </row>
    <row r="72" spans="2:22" ht="29.25" thickBot="1" x14ac:dyDescent="0.25">
      <c r="B72" s="175" t="str">
        <f>DataIn!B66</f>
        <v>Expand Haw River</v>
      </c>
      <c r="C72" s="250" t="str">
        <f>DataIn!C66</f>
        <v>Additional River Withdrawal</v>
      </c>
      <c r="D72" s="369" t="str">
        <f>DataIn!E66</f>
        <v>Haw (2-1)</v>
      </c>
      <c r="E72" s="369" t="str">
        <f>DataIn!F66</f>
        <v>WS IV NSW</v>
      </c>
      <c r="F72" s="335">
        <f>DataIn!H66</f>
        <v>2025</v>
      </c>
      <c r="G72" s="336">
        <f>DataIn!I66</f>
        <v>2</v>
      </c>
      <c r="H72" s="336">
        <f>DataIn!J66</f>
        <v>0</v>
      </c>
    </row>
    <row r="73" spans="2:22" ht="16.5" thickBot="1" x14ac:dyDescent="0.25">
      <c r="B73" s="175">
        <f>DataIn!B67</f>
        <v>0</v>
      </c>
      <c r="C73" s="250">
        <f>DataIn!C67</f>
        <v>0</v>
      </c>
      <c r="D73" s="369">
        <f>DataIn!E67</f>
        <v>0</v>
      </c>
      <c r="E73" s="369">
        <f>DataIn!F67</f>
        <v>0</v>
      </c>
      <c r="F73" s="335">
        <f>DataIn!H67</f>
        <v>0</v>
      </c>
      <c r="G73" s="336">
        <f>DataIn!F76</f>
        <v>0</v>
      </c>
      <c r="H73" s="336">
        <f>DataIn!G76</f>
        <v>0</v>
      </c>
    </row>
    <row r="74" spans="2:22" ht="16.5" thickBot="1" x14ac:dyDescent="0.25">
      <c r="B74" s="175">
        <f>DataIn!B68</f>
        <v>0</v>
      </c>
      <c r="C74" s="250">
        <f>DataIn!C68</f>
        <v>0</v>
      </c>
      <c r="D74" s="369">
        <f>DataIn!E68</f>
        <v>0</v>
      </c>
      <c r="E74" s="369">
        <f>DataIn!F68</f>
        <v>0</v>
      </c>
      <c r="F74" s="335">
        <f>DataIn!H68</f>
        <v>0</v>
      </c>
      <c r="G74" s="336">
        <f>DataIn!F77</f>
        <v>0</v>
      </c>
      <c r="H74" s="336">
        <f>DataIn!G77</f>
        <v>0</v>
      </c>
    </row>
    <row r="75" spans="2:22" ht="16.5" thickBot="1" x14ac:dyDescent="0.25">
      <c r="B75" s="175">
        <f>DataIn!B69</f>
        <v>0</v>
      </c>
      <c r="C75" s="250">
        <f>DataIn!C69</f>
        <v>0</v>
      </c>
      <c r="D75" s="369">
        <f>DataIn!E69</f>
        <v>0</v>
      </c>
      <c r="E75" s="369">
        <f>DataIn!F69</f>
        <v>0</v>
      </c>
      <c r="F75" s="335">
        <f>DataIn!H69</f>
        <v>0</v>
      </c>
      <c r="G75" s="336">
        <f>DataIn!F78</f>
        <v>0</v>
      </c>
      <c r="H75" s="336">
        <f>DataIn!G78</f>
        <v>0</v>
      </c>
    </row>
    <row r="76" spans="2:22" ht="16.5" thickBot="1" x14ac:dyDescent="0.25">
      <c r="B76" s="175">
        <f>DataIn!B70</f>
        <v>0</v>
      </c>
      <c r="C76" s="250">
        <f>DataIn!C70</f>
        <v>0</v>
      </c>
      <c r="D76" s="369">
        <f>DataIn!E70</f>
        <v>0</v>
      </c>
      <c r="E76" s="369">
        <f>DataIn!F70</f>
        <v>0</v>
      </c>
      <c r="F76" s="335">
        <f>DataIn!H70</f>
        <v>0</v>
      </c>
      <c r="G76" s="336">
        <f>DataIn!F79</f>
        <v>0</v>
      </c>
      <c r="H76" s="336">
        <f>DataIn!G79</f>
        <v>0</v>
      </c>
    </row>
    <row r="77" spans="2:22" ht="17.25" thickBot="1" x14ac:dyDescent="0.25">
      <c r="B77" s="370">
        <f>DataIn!B71</f>
        <v>0</v>
      </c>
      <c r="C77" s="340">
        <f>DataIn!C71</f>
        <v>0</v>
      </c>
      <c r="D77" s="341"/>
      <c r="E77" s="341"/>
      <c r="F77" s="339"/>
      <c r="G77" s="338"/>
      <c r="H77" s="338"/>
    </row>
    <row r="78" spans="2:22" ht="13.5" thickTop="1" x14ac:dyDescent="0.2"/>
    <row r="79" spans="2:22" x14ac:dyDescent="0.2">
      <c r="B79" s="155" t="s">
        <v>386</v>
      </c>
    </row>
    <row r="80" spans="2:22" x14ac:dyDescent="0.2">
      <c r="B80" s="155"/>
    </row>
    <row r="81" spans="2:10" ht="13.5" thickBot="1" x14ac:dyDescent="0.25">
      <c r="B81" s="155" t="s">
        <v>315</v>
      </c>
    </row>
    <row r="82" spans="2:10" ht="17.25" thickTop="1" thickBot="1" x14ac:dyDescent="0.25">
      <c r="B82" s="149" t="s">
        <v>253</v>
      </c>
      <c r="C82" s="150" t="s">
        <v>93</v>
      </c>
      <c r="D82" s="150" t="s">
        <v>94</v>
      </c>
      <c r="E82" s="150" t="s">
        <v>95</v>
      </c>
      <c r="F82" s="150" t="s">
        <v>96</v>
      </c>
      <c r="G82" s="150" t="s">
        <v>97</v>
      </c>
    </row>
    <row r="83" spans="2:10" ht="17.25" thickTop="1" thickBot="1" x14ac:dyDescent="0.25">
      <c r="B83" s="365" t="s">
        <v>251</v>
      </c>
      <c r="C83" s="328">
        <f>'Population&amp;Demand Projections'!$J$110</f>
        <v>8.4444999999999997</v>
      </c>
      <c r="D83" s="328">
        <f>'Population&amp;Demand Projections'!$J$110</f>
        <v>8.4444999999999997</v>
      </c>
      <c r="E83" s="328">
        <f>'Population&amp;Demand Projections'!$J$110</f>
        <v>8.4444999999999997</v>
      </c>
      <c r="F83" s="328">
        <f>'Population&amp;Demand Projections'!$J$110</f>
        <v>8.4444999999999997</v>
      </c>
      <c r="G83" s="328">
        <f>'Population&amp;Demand Projections'!$J$110</f>
        <v>8.4444999999999997</v>
      </c>
    </row>
    <row r="84" spans="2:10" ht="16.5" thickBot="1" x14ac:dyDescent="0.25">
      <c r="B84" s="366" t="s">
        <v>252</v>
      </c>
      <c r="C84" s="329">
        <f>'Population&amp;Demand Projections'!$M$110</f>
        <v>9.761000000000001</v>
      </c>
      <c r="D84" s="329">
        <f>'Population&amp;Demand Projections'!$M$110</f>
        <v>9.761000000000001</v>
      </c>
      <c r="E84" s="329">
        <f>'Population&amp;Demand Projections'!$M$110</f>
        <v>9.761000000000001</v>
      </c>
      <c r="F84" s="329">
        <f>'Population&amp;Demand Projections'!$M$110</f>
        <v>9.761000000000001</v>
      </c>
      <c r="G84" s="329">
        <f>'Population&amp;Demand Projections'!$M$110</f>
        <v>9.761000000000001</v>
      </c>
    </row>
    <row r="85" spans="2:10" ht="16.5" thickBot="1" x14ac:dyDescent="0.25">
      <c r="B85" s="234" t="s">
        <v>225</v>
      </c>
      <c r="C85" s="235"/>
      <c r="D85" s="235"/>
      <c r="E85" s="235"/>
      <c r="F85" s="235"/>
      <c r="G85" s="235"/>
    </row>
    <row r="86" spans="2:10" ht="16.5" thickBot="1" x14ac:dyDescent="0.25">
      <c r="B86" s="367" t="s">
        <v>384</v>
      </c>
      <c r="C86" s="224">
        <f>IF('Supply Alternative 1'!$A23&gt;0,'Supply Alternative 1'!$G23,0)</f>
        <v>3</v>
      </c>
      <c r="D86" s="224">
        <f>IF('Supply Alternative 2'!$A23&gt;0,'Supply Alternative 2'!$G23,0)</f>
        <v>10</v>
      </c>
      <c r="E86" s="224"/>
      <c r="F86" s="224"/>
      <c r="G86" s="224"/>
      <c r="J86" s="207"/>
    </row>
    <row r="87" spans="2:10" ht="16.5" thickBot="1" x14ac:dyDescent="0.25">
      <c r="B87" s="367" t="s">
        <v>385</v>
      </c>
      <c r="C87" s="224">
        <f>IF('Supply Alternative 1'!$A24&gt;0,'Supply Alternative 1'!$G24,0)</f>
        <v>3</v>
      </c>
      <c r="D87" s="224">
        <v>0</v>
      </c>
      <c r="E87" s="224"/>
      <c r="F87" s="224"/>
      <c r="G87" s="224"/>
      <c r="J87" s="207"/>
    </row>
    <row r="88" spans="2:10" ht="16.5" thickBot="1" x14ac:dyDescent="0.25">
      <c r="B88" s="367" t="str">
        <f>B71</f>
        <v>Expand Haw River</v>
      </c>
      <c r="C88" s="224">
        <f>IF('Supply Alternative 1'!$A25&gt;0,'Supply Alternative 1'!$G25,0)</f>
        <v>2</v>
      </c>
      <c r="D88" s="224">
        <f>IF('Supply Alternative 2'!$A24&gt;0,'Supply Alternative 2'!$G24,0)</f>
        <v>0</v>
      </c>
      <c r="E88" s="224"/>
      <c r="F88" s="224"/>
      <c r="G88" s="224"/>
    </row>
    <row r="89" spans="2:10" ht="16.5" thickBot="1" x14ac:dyDescent="0.25">
      <c r="B89" s="367" t="str">
        <f>B72</f>
        <v>Expand Haw River</v>
      </c>
      <c r="C89" s="224">
        <f>IF('Supply Alternative 1'!$A26&gt;0,'Supply Alternative 1'!$G26,0)</f>
        <v>2</v>
      </c>
      <c r="D89" s="224">
        <f>IF('Supply Alternative 2'!$A25&gt;0,'Supply Alternative 2'!$G25,0)</f>
        <v>0</v>
      </c>
      <c r="E89" s="224"/>
      <c r="F89" s="224"/>
      <c r="G89" s="224"/>
    </row>
    <row r="90" spans="2:10" ht="20.25" thickTop="1" thickBot="1" x14ac:dyDescent="0.25">
      <c r="B90" s="215" t="s">
        <v>226</v>
      </c>
      <c r="C90" s="452">
        <f>SUM(C86:C89)</f>
        <v>10</v>
      </c>
      <c r="D90" s="452">
        <f>SUM(D86:D89)</f>
        <v>10</v>
      </c>
      <c r="E90" s="236"/>
      <c r="F90" s="236"/>
      <c r="G90" s="236"/>
      <c r="I90" s="207"/>
    </row>
    <row r="91" spans="2:10" ht="17.25" thickTop="1" thickBot="1" x14ac:dyDescent="0.25">
      <c r="B91" s="453"/>
      <c r="C91" s="454"/>
      <c r="D91" s="454"/>
      <c r="E91" s="454"/>
      <c r="F91" s="454"/>
      <c r="G91" s="454"/>
    </row>
    <row r="92" spans="2:10" ht="16.5" thickBot="1" x14ac:dyDescent="0.25">
      <c r="B92" s="455"/>
      <c r="C92" s="454"/>
      <c r="D92" s="454"/>
      <c r="E92" s="454"/>
      <c r="F92" s="454"/>
      <c r="G92" s="454"/>
    </row>
    <row r="93" spans="2:10" ht="13.5" thickTop="1" x14ac:dyDescent="0.2"/>
    <row r="96" spans="2:10" ht="13.5" thickBot="1" x14ac:dyDescent="0.25">
      <c r="B96" s="155" t="s">
        <v>316</v>
      </c>
    </row>
    <row r="97" spans="2:9" ht="17.25" thickTop="1" thickBot="1" x14ac:dyDescent="0.25">
      <c r="B97" s="149" t="s">
        <v>19</v>
      </c>
      <c r="C97" s="150" t="s">
        <v>93</v>
      </c>
      <c r="D97" s="150" t="s">
        <v>94</v>
      </c>
      <c r="E97" s="150" t="s">
        <v>95</v>
      </c>
      <c r="F97" s="150" t="s">
        <v>96</v>
      </c>
      <c r="G97" s="150" t="s">
        <v>97</v>
      </c>
    </row>
    <row r="98" spans="2:9" ht="31.5" thickTop="1" thickBot="1" x14ac:dyDescent="0.45">
      <c r="B98" s="342" t="s">
        <v>254</v>
      </c>
      <c r="C98" s="456">
        <f>'Supply Alternatives Summary'!B15</f>
        <v>0.06</v>
      </c>
      <c r="D98" s="456">
        <f>'Supply Alternatives Summary'!C15</f>
        <v>0.1</v>
      </c>
      <c r="E98" s="343">
        <f>'Supply Alternatives Summary'!D15</f>
        <v>0</v>
      </c>
      <c r="F98" s="343">
        <f>'Supply Alternatives Summary'!E15</f>
        <v>0</v>
      </c>
      <c r="G98" s="343">
        <f>'Supply Alternatives Summary'!F15</f>
        <v>0</v>
      </c>
      <c r="H98" s="247"/>
      <c r="I98" s="246"/>
    </row>
    <row r="99" spans="2:9" ht="13.5" thickBot="1" x14ac:dyDescent="0.25">
      <c r="B99" s="342" t="s">
        <v>98</v>
      </c>
      <c r="C99" s="344">
        <f>'Supply Alternatives Summary'!B16</f>
        <v>10</v>
      </c>
      <c r="D99" s="344">
        <f>'Supply Alternatives Summary'!C16</f>
        <v>10</v>
      </c>
      <c r="E99" s="344">
        <f>'Supply Alternatives Summary'!D16</f>
        <v>0</v>
      </c>
      <c r="F99" s="344">
        <f>'Supply Alternatives Summary'!E16</f>
        <v>0</v>
      </c>
      <c r="G99" s="344">
        <f>'Supply Alternatives Summary'!F16</f>
        <v>0</v>
      </c>
      <c r="I99" s="207"/>
    </row>
    <row r="100" spans="2:9" ht="13.5" thickBot="1" x14ac:dyDescent="0.25">
      <c r="B100" s="342" t="s">
        <v>99</v>
      </c>
      <c r="C100" s="345" t="str">
        <f>'Supply Alternatives Summary'!B17</f>
        <v>Less Than</v>
      </c>
      <c r="D100" s="345" t="str">
        <f>'Supply Alternatives Summary'!C17</f>
        <v>More Than</v>
      </c>
      <c r="E100" s="345">
        <f>'Supply Alternatives Summary'!D17</f>
        <v>0</v>
      </c>
      <c r="F100" s="345">
        <f>'Supply Alternatives Summary'!E17</f>
        <v>0</v>
      </c>
      <c r="G100" s="345">
        <f>'Supply Alternatives Summary'!F17</f>
        <v>0</v>
      </c>
    </row>
    <row r="101" spans="2:9" ht="13.5" thickBot="1" x14ac:dyDescent="0.25">
      <c r="B101" s="342" t="s">
        <v>100</v>
      </c>
      <c r="C101" s="345" t="str">
        <f>'Supply Alternatives Summary'!B18</f>
        <v>WS IV NSW</v>
      </c>
      <c r="D101" s="345" t="str">
        <f>'Supply Alternatives Summary'!C18</f>
        <v>WS IV B NSW CA</v>
      </c>
      <c r="E101" s="345">
        <f>'Supply Alternatives Summary'!D18</f>
        <v>0</v>
      </c>
      <c r="F101" s="346">
        <f>'Supply Alternatives Summary'!E18</f>
        <v>0</v>
      </c>
      <c r="G101" s="346">
        <f>'Supply Alternatives Summary'!F18</f>
        <v>0</v>
      </c>
    </row>
    <row r="102" spans="2:9" ht="13.5" thickBot="1" x14ac:dyDescent="0.25">
      <c r="B102" s="342" t="s">
        <v>303</v>
      </c>
      <c r="C102" s="345" t="s">
        <v>380</v>
      </c>
      <c r="D102" s="345" t="s">
        <v>381</v>
      </c>
      <c r="E102" s="345">
        <f>'Supply Alternatives Summary'!D19</f>
        <v>0</v>
      </c>
      <c r="F102" s="346">
        <f>'Supply Alternatives Summary'!E19</f>
        <v>0</v>
      </c>
      <c r="G102" s="346">
        <f>'Supply Alternatives Summary'!F19</f>
        <v>0</v>
      </c>
      <c r="I102" s="207"/>
    </row>
    <row r="103" spans="2:9" ht="13.5" thickBot="1" x14ac:dyDescent="0.25">
      <c r="B103" s="342" t="s">
        <v>101</v>
      </c>
      <c r="C103" s="345" t="str">
        <f>'Supply Alternatives Summary'!B20</f>
        <v>None</v>
      </c>
      <c r="D103" s="345" t="str">
        <f>'Supply Alternatives Summary'!C20</f>
        <v>None</v>
      </c>
      <c r="E103" s="345">
        <f>'Supply Alternatives Summary'!D20</f>
        <v>0</v>
      </c>
      <c r="F103" s="346">
        <f>'Supply Alternatives Summary'!E20</f>
        <v>0</v>
      </c>
      <c r="G103" s="346">
        <f>'Supply Alternatives Summary'!F20</f>
        <v>0</v>
      </c>
    </row>
    <row r="104" spans="2:9" ht="13.5" thickBot="1" x14ac:dyDescent="0.25">
      <c r="B104" s="342" t="s">
        <v>102</v>
      </c>
      <c r="C104" s="345" t="str">
        <f>'Supply Alternatives Summary'!B21</f>
        <v>JLP</v>
      </c>
      <c r="D104" s="345" t="str">
        <f>'Supply Alternatives Summary'!C21</f>
        <v>JLP</v>
      </c>
      <c r="E104" s="345">
        <f>'Supply Alternatives Summary'!D21</f>
        <v>0</v>
      </c>
      <c r="F104" s="346">
        <f>'Supply Alternatives Summary'!E21</f>
        <v>0</v>
      </c>
      <c r="G104" s="346">
        <f>'Supply Alternatives Summary'!F21</f>
        <v>0</v>
      </c>
    </row>
    <row r="105" spans="2:9" ht="13.5" thickBot="1" x14ac:dyDescent="0.25">
      <c r="B105" s="342" t="s">
        <v>103</v>
      </c>
      <c r="C105" s="345" t="s">
        <v>354</v>
      </c>
      <c r="D105" s="345" t="s">
        <v>382</v>
      </c>
      <c r="E105" s="345">
        <f>'Supply Alternatives Summary'!D22</f>
        <v>0</v>
      </c>
      <c r="F105" s="345">
        <f>'Supply Alternatives Summary'!E22</f>
        <v>0</v>
      </c>
      <c r="G105" s="345">
        <f>'Supply Alternatives Summary'!F22</f>
        <v>0</v>
      </c>
    </row>
    <row r="106" spans="2:9" ht="13.5" thickBot="1" x14ac:dyDescent="0.25">
      <c r="B106" s="342" t="s">
        <v>104</v>
      </c>
      <c r="C106" s="345" t="s">
        <v>354</v>
      </c>
      <c r="D106" s="345" t="str">
        <f>'Supply Alternatives Summary'!C23</f>
        <v>Complex</v>
      </c>
      <c r="E106" s="345">
        <f>'Supply Alternatives Summary'!D23</f>
        <v>0</v>
      </c>
      <c r="F106" s="345">
        <f>'Supply Alternatives Summary'!E23</f>
        <v>0</v>
      </c>
      <c r="G106" s="345">
        <f>'Supply Alternatives Summary'!F23</f>
        <v>0</v>
      </c>
    </row>
    <row r="107" spans="2:9" ht="13.5" thickBot="1" x14ac:dyDescent="0.25">
      <c r="B107" s="342" t="s">
        <v>105</v>
      </c>
      <c r="C107" s="345" t="s">
        <v>214</v>
      </c>
      <c r="D107" s="345" t="s">
        <v>382</v>
      </c>
      <c r="E107" s="345">
        <f>'Supply Alternatives Summary'!D24</f>
        <v>0</v>
      </c>
      <c r="F107" s="345">
        <f>'Supply Alternatives Summary'!E24</f>
        <v>0</v>
      </c>
      <c r="G107" s="345">
        <f>'Supply Alternatives Summary'!F24</f>
        <v>0</v>
      </c>
    </row>
    <row r="108" spans="2:9" ht="13.5" thickBot="1" x14ac:dyDescent="0.25">
      <c r="B108" s="342" t="s">
        <v>106</v>
      </c>
      <c r="C108" s="345" t="s">
        <v>223</v>
      </c>
      <c r="D108" s="345" t="str">
        <f>'Supply Alternatives Summary'!C25</f>
        <v>None</v>
      </c>
      <c r="E108" s="345">
        <f>'Supply Alternatives Summary'!D25</f>
        <v>0</v>
      </c>
      <c r="F108" s="346">
        <f>'Supply Alternatives Summary'!E25</f>
        <v>0</v>
      </c>
      <c r="G108" s="346">
        <f>'Supply Alternatives Summary'!F25</f>
        <v>0</v>
      </c>
    </row>
    <row r="109" spans="2:9" ht="13.5" thickBot="1" x14ac:dyDescent="0.25">
      <c r="B109" s="342" t="s">
        <v>107</v>
      </c>
      <c r="C109" s="345" t="str">
        <f>'Supply Alternatives Summary'!B26</f>
        <v>Yes</v>
      </c>
      <c r="D109" s="345" t="str">
        <f>'Supply Alternatives Summary'!C26</f>
        <v>Yes</v>
      </c>
      <c r="E109" s="345">
        <f>'Supply Alternatives Summary'!D26</f>
        <v>0</v>
      </c>
      <c r="F109" s="346">
        <f>'Supply Alternatives Summary'!E26</f>
        <v>0</v>
      </c>
      <c r="G109" s="346">
        <f>'Supply Alternatives Summary'!F26</f>
        <v>0</v>
      </c>
    </row>
    <row r="110" spans="2:9" ht="13.5" thickBot="1" x14ac:dyDescent="0.25">
      <c r="B110" s="342" t="s">
        <v>108</v>
      </c>
      <c r="C110" s="344">
        <v>77.7</v>
      </c>
      <c r="D110" s="344">
        <v>80</v>
      </c>
      <c r="E110" s="344">
        <f>'Supply Alternatives Summary'!D27</f>
        <v>0</v>
      </c>
      <c r="F110" s="344">
        <f>'Supply Alternatives Summary'!E27</f>
        <v>0</v>
      </c>
      <c r="G110" s="344">
        <f>'Supply Alternatives Summary'!F27</f>
        <v>0</v>
      </c>
    </row>
    <row r="111" spans="2:9" ht="13.5" thickBot="1" x14ac:dyDescent="0.25">
      <c r="B111" s="342" t="s">
        <v>109</v>
      </c>
      <c r="C111" s="347">
        <v>7.77</v>
      </c>
      <c r="D111" s="347">
        <v>8</v>
      </c>
      <c r="E111" s="347">
        <f>'Supply Alternatives Summary'!D28</f>
        <v>0</v>
      </c>
      <c r="F111" s="347">
        <f>'Supply Alternatives Summary'!E28</f>
        <v>0</v>
      </c>
      <c r="G111" s="347">
        <f>'Supply Alternatives Summary'!F28</f>
        <v>0</v>
      </c>
    </row>
    <row r="112" spans="2:9" ht="16.5" thickBot="1" x14ac:dyDescent="0.25">
      <c r="B112" s="168"/>
      <c r="C112" s="248"/>
      <c r="D112" s="248"/>
      <c r="E112" s="248"/>
      <c r="F112" s="249"/>
      <c r="G112" s="249"/>
    </row>
    <row r="113" spans="1:26" ht="20.25" thickTop="1" thickBot="1" x14ac:dyDescent="0.25">
      <c r="B113" s="215" t="s">
        <v>213</v>
      </c>
      <c r="C113" s="178">
        <v>1</v>
      </c>
      <c r="D113" s="178"/>
      <c r="E113" s="178"/>
      <c r="F113" s="178"/>
      <c r="G113" s="178"/>
    </row>
    <row r="114" spans="1:26" ht="13.5" thickTop="1" x14ac:dyDescent="0.2"/>
    <row r="116" spans="1:26" x14ac:dyDescent="0.2">
      <c r="A116" s="245"/>
      <c r="B116" s="220" t="s">
        <v>307</v>
      </c>
      <c r="D116" s="245"/>
      <c r="E116" s="245"/>
      <c r="F116" s="245"/>
      <c r="G116" s="245"/>
      <c r="H116" s="245"/>
      <c r="I116" s="245"/>
      <c r="J116" s="245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</row>
    <row r="118" spans="1:26" ht="13.5" thickBot="1" x14ac:dyDescent="0.25">
      <c r="B118" s="155" t="s">
        <v>317</v>
      </c>
    </row>
    <row r="119" spans="1:26" ht="16.5" customHeight="1" thickTop="1" x14ac:dyDescent="0.2">
      <c r="B119" s="207"/>
      <c r="I119" s="474" t="s">
        <v>155</v>
      </c>
      <c r="J119" s="472" t="s">
        <v>290</v>
      </c>
      <c r="K119" s="472">
        <v>2010</v>
      </c>
      <c r="L119" s="472">
        <v>2015</v>
      </c>
      <c r="M119" s="472">
        <v>2020</v>
      </c>
      <c r="N119" s="472">
        <v>2025</v>
      </c>
      <c r="O119" s="472">
        <v>2030</v>
      </c>
      <c r="P119" s="472">
        <v>2035</v>
      </c>
      <c r="Q119" s="472">
        <v>2040</v>
      </c>
      <c r="R119" s="472">
        <v>2045</v>
      </c>
      <c r="S119" s="472">
        <v>2050</v>
      </c>
      <c r="T119" s="472">
        <v>2055</v>
      </c>
      <c r="U119" s="472">
        <v>2060</v>
      </c>
    </row>
    <row r="120" spans="1:26" ht="13.5" thickBot="1" x14ac:dyDescent="0.25">
      <c r="I120" s="475"/>
      <c r="J120" s="473"/>
      <c r="K120" s="473"/>
      <c r="L120" s="473"/>
      <c r="M120" s="473"/>
      <c r="N120" s="473"/>
      <c r="O120" s="473"/>
      <c r="P120" s="473"/>
      <c r="Q120" s="473"/>
      <c r="R120" s="473"/>
      <c r="S120" s="473"/>
      <c r="T120" s="473"/>
      <c r="U120" s="473"/>
    </row>
    <row r="121" spans="1:26" ht="20.25" customHeight="1" thickTop="1" thickBot="1" x14ac:dyDescent="0.25">
      <c r="I121" s="363" t="s">
        <v>356</v>
      </c>
      <c r="J121" s="250">
        <v>2020</v>
      </c>
      <c r="K121" s="348">
        <f>'Supply Alternative 1'!C8</f>
        <v>0</v>
      </c>
      <c r="L121" s="348">
        <f>'Supply Alternative 1'!D8</f>
        <v>0</v>
      </c>
      <c r="M121" s="457">
        <f>'Supply Alternative 1'!E8</f>
        <v>2</v>
      </c>
      <c r="N121" s="448">
        <f>'Supply Alternative 1'!F8</f>
        <v>2</v>
      </c>
      <c r="O121" s="448">
        <f>'Supply Alternative 1'!G8</f>
        <v>2</v>
      </c>
      <c r="P121" s="448">
        <f>'Supply Alternative 1'!H8</f>
        <v>2</v>
      </c>
      <c r="Q121" s="448">
        <f>'Supply Alternative 1'!I8</f>
        <v>2</v>
      </c>
      <c r="R121" s="448">
        <f>'Supply Alternative 1'!J8</f>
        <v>2</v>
      </c>
      <c r="S121" s="448">
        <f>'Supply Alternative 1'!K8</f>
        <v>2</v>
      </c>
      <c r="T121" s="448">
        <f>'Supply Alternative 1'!L8</f>
        <v>2</v>
      </c>
      <c r="U121" s="448">
        <f>'Supply Alternative 1'!M8</f>
        <v>2</v>
      </c>
    </row>
    <row r="122" spans="1:26" ht="17.25" thickBot="1" x14ac:dyDescent="0.25">
      <c r="I122" s="363" t="str">
        <f>VLOOKUP(2,'Supply Alternative 1'!$A$23:$I$30,2)</f>
        <v>Expand Haw River</v>
      </c>
      <c r="J122" s="250">
        <f>VLOOKUP(2,'Supply Alternative 1'!$A$23:$I$30,9, FALSE)</f>
        <v>2025</v>
      </c>
      <c r="K122" s="349">
        <f>'Supply Alternative 1'!C9</f>
        <v>0</v>
      </c>
      <c r="L122" s="349">
        <f>'Supply Alternative 1'!D9</f>
        <v>0</v>
      </c>
      <c r="M122" s="349">
        <f>'Supply Alternative 1'!E9</f>
        <v>0</v>
      </c>
      <c r="N122" s="349">
        <f>'Supply Alternative 1'!F9</f>
        <v>2</v>
      </c>
      <c r="O122" s="349">
        <f>'Supply Alternative 1'!G9</f>
        <v>2</v>
      </c>
      <c r="P122" s="349">
        <f>'Supply Alternative 1'!H9</f>
        <v>2</v>
      </c>
      <c r="Q122" s="349">
        <f>'Supply Alternative 1'!I9</f>
        <v>2</v>
      </c>
      <c r="R122" s="349">
        <f>'Supply Alternative 1'!J9</f>
        <v>2</v>
      </c>
      <c r="S122" s="349">
        <f>'Supply Alternative 1'!K9</f>
        <v>2</v>
      </c>
      <c r="T122" s="349">
        <f>'Supply Alternative 1'!L9</f>
        <v>2</v>
      </c>
      <c r="U122" s="349">
        <f>'Supply Alternative 1'!M9</f>
        <v>2</v>
      </c>
    </row>
    <row r="123" spans="1:26" ht="17.25" thickBot="1" x14ac:dyDescent="0.25">
      <c r="I123" s="363" t="s">
        <v>220</v>
      </c>
      <c r="J123" s="250">
        <f>VLOOKUP(3,'Supply Alternative 1'!$A$23:$I$30,9,FALSE)</f>
        <v>2030</v>
      </c>
      <c r="K123" s="350">
        <f>'Supply Alternative 1'!C10</f>
        <v>0</v>
      </c>
      <c r="L123" s="350">
        <f>'Supply Alternative 1'!D10</f>
        <v>0</v>
      </c>
      <c r="M123" s="350">
        <f>'Supply Alternative 1'!E10</f>
        <v>0</v>
      </c>
      <c r="N123" s="350">
        <f>'Supply Alternative 1'!F10</f>
        <v>0</v>
      </c>
      <c r="O123" s="350">
        <v>3</v>
      </c>
      <c r="P123" s="350">
        <v>3</v>
      </c>
      <c r="Q123" s="350">
        <v>3</v>
      </c>
      <c r="R123" s="350">
        <v>3</v>
      </c>
      <c r="S123" s="350">
        <v>3</v>
      </c>
      <c r="T123" s="350">
        <v>3</v>
      </c>
      <c r="U123" s="350">
        <v>3</v>
      </c>
      <c r="W123" s="207"/>
    </row>
    <row r="124" spans="1:26" ht="17.25" thickBot="1" x14ac:dyDescent="0.25">
      <c r="I124" s="364" t="s">
        <v>220</v>
      </c>
      <c r="J124" s="340">
        <v>2060</v>
      </c>
      <c r="K124" s="341"/>
      <c r="L124" s="341"/>
      <c r="M124" s="341"/>
      <c r="N124" s="341"/>
      <c r="O124" s="341"/>
      <c r="P124" s="341"/>
      <c r="Q124" s="461">
        <v>3</v>
      </c>
      <c r="R124" s="466">
        <v>3</v>
      </c>
      <c r="S124" s="466">
        <v>3</v>
      </c>
      <c r="T124" s="466">
        <v>3</v>
      </c>
      <c r="U124" s="467">
        <v>3</v>
      </c>
    </row>
    <row r="125" spans="1:26" ht="17.25" thickTop="1" thickBot="1" x14ac:dyDescent="0.25">
      <c r="I125" s="351" t="s">
        <v>326</v>
      </c>
      <c r="J125" s="178"/>
      <c r="K125" s="178">
        <f t="shared" ref="K125:U125" si="3">SUM(K121:K124)</f>
        <v>0</v>
      </c>
      <c r="L125" s="178">
        <f t="shared" si="3"/>
        <v>0</v>
      </c>
      <c r="M125" s="178">
        <f t="shared" si="3"/>
        <v>2</v>
      </c>
      <c r="N125" s="178">
        <f t="shared" si="3"/>
        <v>4</v>
      </c>
      <c r="O125" s="178">
        <f t="shared" si="3"/>
        <v>7</v>
      </c>
      <c r="P125" s="178">
        <f t="shared" si="3"/>
        <v>7</v>
      </c>
      <c r="Q125" s="178">
        <f>SUM(Q121:Q124)</f>
        <v>10</v>
      </c>
      <c r="R125" s="178">
        <f t="shared" si="3"/>
        <v>10</v>
      </c>
      <c r="S125" s="178">
        <f t="shared" si="3"/>
        <v>10</v>
      </c>
      <c r="T125" s="178">
        <f t="shared" si="3"/>
        <v>10</v>
      </c>
      <c r="U125" s="178">
        <f t="shared" si="3"/>
        <v>10</v>
      </c>
    </row>
    <row r="126" spans="1:26" ht="13.5" thickTop="1" x14ac:dyDescent="0.2"/>
    <row r="132" spans="2:2" x14ac:dyDescent="0.2">
      <c r="B132" s="155" t="s">
        <v>318</v>
      </c>
    </row>
    <row r="133" spans="2:2" x14ac:dyDescent="0.2">
      <c r="B133" s="207"/>
    </row>
    <row r="135" spans="2:2" x14ac:dyDescent="0.2">
      <c r="B135" s="155" t="s">
        <v>319</v>
      </c>
    </row>
    <row r="136" spans="2:2" x14ac:dyDescent="0.2">
      <c r="B136" s="207"/>
    </row>
  </sheetData>
  <mergeCells count="37">
    <mergeCell ref="V19:V20"/>
    <mergeCell ref="J19:J20"/>
    <mergeCell ref="L19:L20"/>
    <mergeCell ref="M19:M20"/>
    <mergeCell ref="N19:N20"/>
    <mergeCell ref="O19:O20"/>
    <mergeCell ref="P19:P20"/>
    <mergeCell ref="R19:R20"/>
    <mergeCell ref="S19:S20"/>
    <mergeCell ref="T19:T20"/>
    <mergeCell ref="U19:U20"/>
    <mergeCell ref="Q19:Q20"/>
    <mergeCell ref="U119:U120"/>
    <mergeCell ref="I119:I120"/>
    <mergeCell ref="K119:K120"/>
    <mergeCell ref="P119:P120"/>
    <mergeCell ref="Q119:Q120"/>
    <mergeCell ref="R119:R120"/>
    <mergeCell ref="S119:S120"/>
    <mergeCell ref="T119:T120"/>
    <mergeCell ref="J119:J120"/>
    <mergeCell ref="L119:L120"/>
    <mergeCell ref="M119:M120"/>
    <mergeCell ref="N119:N120"/>
    <mergeCell ref="O119:O120"/>
    <mergeCell ref="J23:J24"/>
    <mergeCell ref="L23:L24"/>
    <mergeCell ref="M23:M24"/>
    <mergeCell ref="N23:N24"/>
    <mergeCell ref="O23:O24"/>
    <mergeCell ref="U23:U24"/>
    <mergeCell ref="V23:V24"/>
    <mergeCell ref="P23:P24"/>
    <mergeCell ref="Q23:Q24"/>
    <mergeCell ref="R23:R24"/>
    <mergeCell ref="S23:S24"/>
    <mergeCell ref="T23:T24"/>
  </mergeCells>
  <conditionalFormatting sqref="C113">
    <cfRule type="iconSet" priority="21">
      <iconSet iconSet="3Symbols2" showValue="0">
        <cfvo type="percent" val="0"/>
        <cfvo type="percent" val="33"/>
        <cfvo type="percent" val="67"/>
      </iconSet>
    </cfRule>
  </conditionalFormatting>
  <conditionalFormatting sqref="C105:G107">
    <cfRule type="cellIs" dxfId="24" priority="19" operator="equal">
      <formula>"Not Complex"</formula>
    </cfRule>
    <cfRule type="cellIs" dxfId="23" priority="20" operator="equal">
      <formula>"Complex"</formula>
    </cfRule>
  </conditionalFormatting>
  <conditionalFormatting sqref="C105:G107">
    <cfRule type="cellIs" dxfId="22" priority="18" operator="equal">
      <formula>"Very Complex"</formula>
    </cfRule>
  </conditionalFormatting>
  <conditionalFormatting sqref="C100:G100">
    <cfRule type="cellIs" dxfId="21" priority="16" operator="equal">
      <formula>"Less Than"</formula>
    </cfRule>
    <cfRule type="cellIs" dxfId="20" priority="17" operator="equal">
      <formula>"The Same"</formula>
    </cfRule>
  </conditionalFormatting>
  <conditionalFormatting sqref="C100:G100">
    <cfRule type="cellIs" dxfId="19" priority="15" operator="equal">
      <formula>"More Than"</formula>
    </cfRule>
  </conditionalFormatting>
  <conditionalFormatting sqref="K61:U61">
    <cfRule type="cellIs" dxfId="18" priority="13" operator="greaterThan">
      <formula>1</formula>
    </cfRule>
    <cfRule type="cellIs" dxfId="17" priority="14" operator="between">
      <formula>0.8</formula>
      <formula>0.9999</formula>
    </cfRule>
  </conditionalFormatting>
  <conditionalFormatting sqref="C86:G86 C91:G92 C88:G89 D87:G87">
    <cfRule type="cellIs" dxfId="16" priority="12" operator="equal">
      <formula>0</formula>
    </cfRule>
  </conditionalFormatting>
  <conditionalFormatting sqref="K121:U124">
    <cfRule type="cellIs" dxfId="15" priority="2" operator="equal">
      <formula>0</formula>
    </cfRule>
  </conditionalFormatting>
  <conditionalFormatting sqref="L121:U121">
    <cfRule type="expression" dxfId="14" priority="9">
      <formula>L121&gt;K121</formula>
    </cfRule>
  </conditionalFormatting>
  <conditionalFormatting sqref="K121:U121">
    <cfRule type="expression" dxfId="13" priority="10">
      <formula>U121=T121</formula>
    </cfRule>
  </conditionalFormatting>
  <conditionalFormatting sqref="K123:U123">
    <cfRule type="expression" dxfId="12" priority="3">
      <formula>U123&gt;T123</formula>
    </cfRule>
    <cfRule type="expression" dxfId="11" priority="7">
      <formula>K123=J123</formula>
    </cfRule>
  </conditionalFormatting>
  <conditionalFormatting sqref="K122:U122">
    <cfRule type="expression" dxfId="10" priority="4">
      <formula>K122&gt;J122</formula>
    </cfRule>
    <cfRule type="expression" dxfId="9" priority="6">
      <formula>U122=T122</formula>
    </cfRule>
  </conditionalFormatting>
  <conditionalFormatting sqref="C87">
    <cfRule type="cellIs" dxfId="8" priority="1" operator="equal">
      <formula>0</formula>
    </cfRule>
  </conditionalFormatting>
  <pageMargins left="0.7" right="0.7" top="0.75" bottom="0.75" header="0.3" footer="0.3"/>
  <pageSetup paperSize="175" scale="70" fitToHeight="0" orientation="landscape" r:id="rId1"/>
  <rowBreaks count="1" manualBreakCount="1">
    <brk id="52" max="16383" man="1"/>
  </rowBreaks>
  <colBreaks count="1" manualBreakCount="1">
    <brk id="1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  <pageSetUpPr fitToPage="1"/>
  </sheetPr>
  <dimension ref="A2:Z89"/>
  <sheetViews>
    <sheetView topLeftCell="A52" zoomScale="115" zoomScaleNormal="115" workbookViewId="0">
      <selection activeCell="A57" sqref="A57"/>
    </sheetView>
  </sheetViews>
  <sheetFormatPr defaultRowHeight="12.75" x14ac:dyDescent="0.2"/>
  <cols>
    <col min="8" max="8" width="15.140625" customWidth="1"/>
    <col min="9" max="9" width="13.42578125" customWidth="1"/>
  </cols>
  <sheetData>
    <row r="2" spans="1:26" x14ac:dyDescent="0.2">
      <c r="A2" s="163" t="s">
        <v>127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</row>
    <row r="3" spans="1:26" x14ac:dyDescent="0.2">
      <c r="A3" s="155"/>
    </row>
    <row r="4" spans="1:26" x14ac:dyDescent="0.2">
      <c r="A4" s="155" t="s">
        <v>187</v>
      </c>
    </row>
    <row r="5" spans="1:26" x14ac:dyDescent="0.2">
      <c r="A5" s="155"/>
    </row>
    <row r="7" spans="1:26" x14ac:dyDescent="0.2">
      <c r="A7" s="155" t="s">
        <v>186</v>
      </c>
      <c r="L7" s="148" t="s">
        <v>188</v>
      </c>
      <c r="M7" s="148" t="s">
        <v>175</v>
      </c>
    </row>
    <row r="30" spans="1:26" x14ac:dyDescent="0.2">
      <c r="A30" s="165" t="s">
        <v>148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</row>
    <row r="33" spans="1:26" x14ac:dyDescent="0.2">
      <c r="A33" s="165" t="s">
        <v>149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</row>
    <row r="35" spans="1:26" x14ac:dyDescent="0.2">
      <c r="A35" s="148" t="s">
        <v>150</v>
      </c>
    </row>
    <row r="37" spans="1:26" x14ac:dyDescent="0.2">
      <c r="A37" s="214" t="s">
        <v>307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</row>
    <row r="38" spans="1:26" x14ac:dyDescent="0.2">
      <c r="B38" s="148"/>
    </row>
    <row r="39" spans="1:26" x14ac:dyDescent="0.2">
      <c r="A39" s="207" t="s">
        <v>335</v>
      </c>
      <c r="B39" s="207" t="s">
        <v>336</v>
      </c>
    </row>
    <row r="40" spans="1:26" x14ac:dyDescent="0.2">
      <c r="B40" s="148"/>
      <c r="J40">
        <v>2010</v>
      </c>
      <c r="K40">
        <v>2015</v>
      </c>
      <c r="L40">
        <v>2020</v>
      </c>
      <c r="M40">
        <v>2025</v>
      </c>
      <c r="N40">
        <v>2030</v>
      </c>
      <c r="O40">
        <v>2035</v>
      </c>
      <c r="P40">
        <v>2040</v>
      </c>
      <c r="Q40">
        <v>2045</v>
      </c>
      <c r="R40">
        <v>2050</v>
      </c>
      <c r="S40">
        <v>2055</v>
      </c>
      <c r="T40">
        <v>2060</v>
      </c>
    </row>
    <row r="41" spans="1:26" x14ac:dyDescent="0.2">
      <c r="B41" s="148"/>
      <c r="I41" s="207" t="s">
        <v>332</v>
      </c>
      <c r="J41" s="408">
        <f>'Population&amp;Demand Projections'!C99</f>
        <v>2</v>
      </c>
      <c r="K41" s="408">
        <f>'Population&amp;Demand Projections'!D99</f>
        <v>2</v>
      </c>
      <c r="L41" s="408">
        <f>'Population&amp;Demand Projections'!E99</f>
        <v>2</v>
      </c>
      <c r="M41" s="408">
        <f>'Population&amp;Demand Projections'!F99</f>
        <v>2</v>
      </c>
      <c r="N41" s="408">
        <f>'Population&amp;Demand Projections'!G99</f>
        <v>2</v>
      </c>
      <c r="O41" s="408">
        <f>'Population&amp;Demand Projections'!H99</f>
        <v>2</v>
      </c>
      <c r="P41" s="408">
        <f>'Population&amp;Demand Projections'!I99</f>
        <v>2</v>
      </c>
      <c r="Q41" s="408">
        <f>'Population&amp;Demand Projections'!J99</f>
        <v>2</v>
      </c>
      <c r="R41" s="408">
        <f>'Population&amp;Demand Projections'!K99</f>
        <v>2</v>
      </c>
      <c r="S41" s="408">
        <f>'Population&amp;Demand Projections'!L99</f>
        <v>2</v>
      </c>
      <c r="T41" s="408">
        <f>'Population&amp;Demand Projections'!M99</f>
        <v>2</v>
      </c>
    </row>
    <row r="42" spans="1:26" x14ac:dyDescent="0.2">
      <c r="B42" s="148"/>
      <c r="I42" s="207" t="s">
        <v>333</v>
      </c>
      <c r="J42">
        <f>'Population&amp;Demand Projections'!$C$109</f>
        <v>0.62400000000000011</v>
      </c>
      <c r="K42">
        <f>'Population&amp;Demand Projections'!$C$109</f>
        <v>0.62400000000000011</v>
      </c>
      <c r="L42">
        <f>'Population&amp;Demand Projections'!$C$109</f>
        <v>0.62400000000000011</v>
      </c>
      <c r="M42">
        <f>'Population&amp;Demand Projections'!$C$109</f>
        <v>0.62400000000000011</v>
      </c>
      <c r="N42">
        <f>'Population&amp;Demand Projections'!$C$109</f>
        <v>0.62400000000000011</v>
      </c>
      <c r="O42">
        <f>'Population&amp;Demand Projections'!$C$109</f>
        <v>0.62400000000000011</v>
      </c>
      <c r="P42">
        <f>'Population&amp;Demand Projections'!$C$109</f>
        <v>0.62400000000000011</v>
      </c>
      <c r="Q42">
        <f>'Population&amp;Demand Projections'!$C$109</f>
        <v>0.62400000000000011</v>
      </c>
      <c r="R42">
        <f>'Population&amp;Demand Projections'!$C$109</f>
        <v>0.62400000000000011</v>
      </c>
      <c r="S42">
        <f>'Population&amp;Demand Projections'!$C$109</f>
        <v>0.62400000000000011</v>
      </c>
      <c r="T42">
        <f>'Population&amp;Demand Projections'!$C$109</f>
        <v>0.62400000000000011</v>
      </c>
    </row>
    <row r="43" spans="1:26" x14ac:dyDescent="0.2">
      <c r="B43" s="148"/>
      <c r="I43" s="207" t="s">
        <v>334</v>
      </c>
      <c r="J43" s="408">
        <f>MIN('Population&amp;Demand Projections'!C109-ReportFigures!J42,ReportFigures!J41-ReportFigures!J42)</f>
        <v>0</v>
      </c>
      <c r="K43" s="408">
        <f>MIN('Population&amp;Demand Projections'!D109-ReportFigures!K42,ReportFigures!K41-ReportFigures!K42)</f>
        <v>1.3554999999999997</v>
      </c>
      <c r="L43" s="408">
        <f>MIN('Population&amp;Demand Projections'!E109-ReportFigures!L42,ReportFigures!L41-ReportFigures!L42)</f>
        <v>1.3759999999999999</v>
      </c>
      <c r="M43" s="408">
        <f>MIN('Population&amp;Demand Projections'!F109-ReportFigures!M42,ReportFigures!M41-ReportFigures!M42)</f>
        <v>1.3759999999999999</v>
      </c>
      <c r="N43" s="408">
        <f>MIN('Population&amp;Demand Projections'!G109-ReportFigures!N42,ReportFigures!N41-ReportFigures!N42)</f>
        <v>1.3759999999999999</v>
      </c>
      <c r="O43" s="408">
        <f>MIN('Population&amp;Demand Projections'!H109-ReportFigures!O42,ReportFigures!O41-ReportFigures!O42)</f>
        <v>1.3759999999999999</v>
      </c>
      <c r="P43" s="408">
        <f>MIN('Population&amp;Demand Projections'!I109-ReportFigures!P42,ReportFigures!P41-ReportFigures!P42)</f>
        <v>1.3759999999999999</v>
      </c>
      <c r="Q43" s="408">
        <f>MIN('Population&amp;Demand Projections'!J109-ReportFigures!Q42,ReportFigures!Q41-ReportFigures!Q42)</f>
        <v>1.3759999999999999</v>
      </c>
      <c r="R43" s="408">
        <f>MIN('Population&amp;Demand Projections'!K109-ReportFigures!R42,ReportFigures!R41-ReportFigures!R42)</f>
        <v>1.3759999999999999</v>
      </c>
      <c r="S43" s="408">
        <f>MIN('Population&amp;Demand Projections'!L109-ReportFigures!S42,ReportFigures!S41-ReportFigures!S42)</f>
        <v>1.3759999999999999</v>
      </c>
      <c r="T43" s="408">
        <f>MIN('Population&amp;Demand Projections'!M109-ReportFigures!T42,ReportFigures!T41-ReportFigures!T42)</f>
        <v>1.3759999999999999</v>
      </c>
    </row>
    <row r="44" spans="1:26" x14ac:dyDescent="0.2">
      <c r="B44" s="148"/>
      <c r="I44" s="207" t="s">
        <v>313</v>
      </c>
      <c r="J44" s="408">
        <f>MAX('Population&amp;Demand Projections'!C109-J41,0)</f>
        <v>0</v>
      </c>
      <c r="K44" s="408">
        <f>MAX('Population&amp;Demand Projections'!D109-K41,0)</f>
        <v>0</v>
      </c>
      <c r="L44" s="408">
        <f>MAX('Population&amp;Demand Projections'!E109-L41,0)</f>
        <v>1.335</v>
      </c>
      <c r="M44" s="408">
        <f>MAX('Population&amp;Demand Projections'!F109-M41,0)</f>
        <v>3.551499999999999</v>
      </c>
      <c r="N44" s="408">
        <f>MAX('Population&amp;Demand Projections'!G109-N41,0)</f>
        <v>5.7679999999999998</v>
      </c>
      <c r="O44" s="408">
        <f>MAX('Population&amp;Demand Projections'!H109-O41,0)</f>
        <v>6.9280000000000008</v>
      </c>
      <c r="P44" s="408">
        <f>MAX('Population&amp;Demand Projections'!I109-P41,0)</f>
        <v>8.088000000000001</v>
      </c>
      <c r="Q44" s="408">
        <f>MAX('Population&amp;Demand Projections'!J109-Q41,0)</f>
        <v>8.4444999999999997</v>
      </c>
      <c r="R44" s="408">
        <f>MAX('Population&amp;Demand Projections'!K109-R41,0)</f>
        <v>8.8009999999999984</v>
      </c>
      <c r="S44" s="408">
        <f>MAX('Population&amp;Demand Projections'!L109-S41,0)</f>
        <v>9.2810000000000006</v>
      </c>
      <c r="T44" s="408">
        <f>MAX('Population&amp;Demand Projections'!M109-T41,0)</f>
        <v>9.761000000000001</v>
      </c>
    </row>
    <row r="45" spans="1:26" x14ac:dyDescent="0.2">
      <c r="B45" s="148"/>
    </row>
    <row r="46" spans="1:26" x14ac:dyDescent="0.2">
      <c r="B46" s="148"/>
    </row>
    <row r="47" spans="1:26" x14ac:dyDescent="0.2">
      <c r="B47" s="148"/>
    </row>
    <row r="48" spans="1:26" x14ac:dyDescent="0.2">
      <c r="B48" s="148"/>
    </row>
    <row r="49" spans="1:26" x14ac:dyDescent="0.2">
      <c r="B49" s="148"/>
    </row>
    <row r="50" spans="1:26" x14ac:dyDescent="0.2">
      <c r="B50" s="148"/>
    </row>
    <row r="51" spans="1:26" x14ac:dyDescent="0.2">
      <c r="B51" s="148"/>
    </row>
    <row r="52" spans="1:26" x14ac:dyDescent="0.2">
      <c r="B52" s="148"/>
    </row>
    <row r="53" spans="1:26" x14ac:dyDescent="0.2">
      <c r="B53" s="148"/>
    </row>
    <row r="54" spans="1:26" x14ac:dyDescent="0.2">
      <c r="B54" s="148"/>
    </row>
    <row r="55" spans="1:26" x14ac:dyDescent="0.2">
      <c r="B55" s="148"/>
    </row>
    <row r="56" spans="1:26" x14ac:dyDescent="0.2">
      <c r="B56" s="148"/>
    </row>
    <row r="58" spans="1:26" x14ac:dyDescent="0.2">
      <c r="A58" s="220" t="s">
        <v>306</v>
      </c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</row>
    <row r="60" spans="1:26" ht="15" x14ac:dyDescent="0.2">
      <c r="A60" s="321" t="s">
        <v>309</v>
      </c>
      <c r="G60" s="207"/>
    </row>
    <row r="61" spans="1:26" ht="15" x14ac:dyDescent="0.2">
      <c r="A61" s="321"/>
      <c r="G61" s="207"/>
    </row>
    <row r="63" spans="1:26" ht="15" x14ac:dyDescent="0.2">
      <c r="A63" s="321" t="s">
        <v>308</v>
      </c>
      <c r="I63" s="207"/>
    </row>
    <row r="65" spans="9:20" x14ac:dyDescent="0.2">
      <c r="J65">
        <v>2010</v>
      </c>
      <c r="K65">
        <v>2015</v>
      </c>
      <c r="L65">
        <v>2020</v>
      </c>
      <c r="M65">
        <v>2025</v>
      </c>
      <c r="N65">
        <v>2030</v>
      </c>
      <c r="O65">
        <v>2035</v>
      </c>
      <c r="P65">
        <v>2040</v>
      </c>
      <c r="Q65">
        <v>2045</v>
      </c>
      <c r="R65">
        <v>2050</v>
      </c>
      <c r="S65">
        <v>2055</v>
      </c>
      <c r="T65">
        <v>2060</v>
      </c>
    </row>
    <row r="66" spans="9:20" x14ac:dyDescent="0.2">
      <c r="I66" s="207" t="s">
        <v>170</v>
      </c>
      <c r="J66" s="408">
        <f>MAX('Population&amp;Demand Projections'!C$110,0)</f>
        <v>0</v>
      </c>
      <c r="K66" s="408">
        <f>MAX('Population&amp;Demand Projections'!D$110,0)</f>
        <v>0</v>
      </c>
      <c r="L66" s="408">
        <f>MAX('Population&amp;Demand Projections'!E$110,0)</f>
        <v>1.335</v>
      </c>
      <c r="M66" s="408">
        <f>MAX('Population&amp;Demand Projections'!F$110,0)</f>
        <v>3.551499999999999</v>
      </c>
      <c r="N66" s="408">
        <f>MAX('Population&amp;Demand Projections'!G$110,0)</f>
        <v>5.7679999999999998</v>
      </c>
      <c r="O66" s="408">
        <f>MAX('Population&amp;Demand Projections'!H$110,0)</f>
        <v>6.9280000000000008</v>
      </c>
      <c r="P66" s="408">
        <f>MAX('Population&amp;Demand Projections'!I$110,0)</f>
        <v>8.088000000000001</v>
      </c>
      <c r="Q66" s="408">
        <f>MAX('Population&amp;Demand Projections'!J$110,0)</f>
        <v>8.4444999999999997</v>
      </c>
      <c r="R66" s="408">
        <f>MAX('Population&amp;Demand Projections'!K$110,0)</f>
        <v>8.8009999999999984</v>
      </c>
      <c r="S66" s="408">
        <f>MAX('Population&amp;Demand Projections'!L$110,0)</f>
        <v>9.2810000000000006</v>
      </c>
      <c r="T66" s="408">
        <f>MAX('Population&amp;Demand Projections'!M$110,0)</f>
        <v>9.761000000000001</v>
      </c>
    </row>
    <row r="67" spans="9:20" x14ac:dyDescent="0.2">
      <c r="I67" s="207" t="s">
        <v>304</v>
      </c>
      <c r="J67">
        <f>SUM('Supply Alternative 1'!C$8:C$10)</f>
        <v>0</v>
      </c>
      <c r="K67">
        <f>SUM('Supply Alternative 1'!D$8:D$10)</f>
        <v>0</v>
      </c>
      <c r="L67">
        <f>SUM('Supply Alternative 1'!E$8:E$10)</f>
        <v>2</v>
      </c>
      <c r="M67">
        <f>SUM('Supply Alternative 1'!F$8:F$10)</f>
        <v>4</v>
      </c>
      <c r="N67">
        <f>SUM('Supply Alternative 1'!G$8:G$10)</f>
        <v>7</v>
      </c>
      <c r="O67">
        <f>SUM('Supply Alternative 1'!H$8:H$10)</f>
        <v>7</v>
      </c>
      <c r="P67">
        <f>SUM('Supply Alternative 1'!I$8:I$10)</f>
        <v>10</v>
      </c>
      <c r="Q67">
        <f>SUM('Supply Alternative 1'!J$8:J$10)</f>
        <v>10</v>
      </c>
      <c r="R67">
        <f>SUM('Supply Alternative 1'!K$8:K$10)</f>
        <v>10</v>
      </c>
      <c r="S67">
        <f>SUM('Supply Alternative 1'!L$8:L$10)</f>
        <v>10</v>
      </c>
      <c r="T67">
        <f>SUM('Supply Alternative 1'!M$8:M$10)</f>
        <v>7</v>
      </c>
    </row>
    <row r="68" spans="9:20" x14ac:dyDescent="0.2">
      <c r="I68" s="207" t="s">
        <v>305</v>
      </c>
      <c r="J68">
        <f>SUM('Supply Alternative 2'!C$8:C$10)</f>
        <v>0</v>
      </c>
      <c r="K68">
        <f>SUM('Supply Alternative 2'!D$8:D$10)</f>
        <v>0</v>
      </c>
      <c r="L68">
        <f>SUM('Supply Alternative 2'!E$8:E$10)</f>
        <v>10</v>
      </c>
      <c r="M68">
        <f>SUM('Supply Alternative 2'!F$8:F$10)</f>
        <v>10</v>
      </c>
      <c r="N68">
        <f>SUM('Supply Alternative 2'!G$8:G$10)</f>
        <v>10</v>
      </c>
      <c r="O68">
        <f>SUM('Supply Alternative 2'!H$8:H$10)</f>
        <v>10</v>
      </c>
      <c r="P68">
        <f>SUM('Supply Alternative 2'!I$8:I$10)</f>
        <v>10</v>
      </c>
      <c r="Q68">
        <f>SUM('Supply Alternative 2'!J$8:J$10)</f>
        <v>10</v>
      </c>
      <c r="R68">
        <f>SUM('Supply Alternative 2'!K$8:K$10)</f>
        <v>10</v>
      </c>
      <c r="S68">
        <f>SUM('Supply Alternative 2'!L$8:L$10)</f>
        <v>10</v>
      </c>
      <c r="T68">
        <f>SUM('Supply Alternative 2'!M$8:M$10)</f>
        <v>10</v>
      </c>
    </row>
    <row r="69" spans="9:20" x14ac:dyDescent="0.2">
      <c r="I69" s="207"/>
    </row>
    <row r="70" spans="9:20" x14ac:dyDescent="0.2">
      <c r="I70" s="207"/>
    </row>
    <row r="71" spans="9:20" x14ac:dyDescent="0.2">
      <c r="I71" s="207"/>
    </row>
    <row r="84" spans="1:26" x14ac:dyDescent="0.2">
      <c r="A84" s="155" t="s">
        <v>321</v>
      </c>
    </row>
    <row r="85" spans="1:26" x14ac:dyDescent="0.2">
      <c r="B85" s="207"/>
    </row>
    <row r="87" spans="1:26" x14ac:dyDescent="0.2">
      <c r="A87" s="214" t="s">
        <v>310</v>
      </c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</row>
    <row r="89" spans="1:26" x14ac:dyDescent="0.2">
      <c r="A89" s="207"/>
      <c r="B89" s="148"/>
    </row>
  </sheetData>
  <pageMargins left="0.7" right="0.7" top="0.75" bottom="0.75" header="0.3" footer="0.3"/>
  <pageSetup paperSize="175" scale="80" fitToHeight="0" orientation="landscape" r:id="rId1"/>
  <rowBreaks count="1" manualBreakCount="1">
    <brk id="5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4:P37"/>
  <sheetViews>
    <sheetView workbookViewId="0">
      <selection activeCell="D6" sqref="D6"/>
    </sheetView>
  </sheetViews>
  <sheetFormatPr defaultRowHeight="12.75" x14ac:dyDescent="0.2"/>
  <cols>
    <col min="2" max="2" width="16.140625" customWidth="1"/>
    <col min="3" max="3" width="14.42578125" customWidth="1"/>
    <col min="4" max="4" width="6.140625" customWidth="1"/>
    <col min="5" max="5" width="6.42578125" customWidth="1"/>
    <col min="6" max="6" width="6.140625" customWidth="1"/>
    <col min="7" max="7" width="6.42578125" customWidth="1"/>
    <col min="8" max="8" width="6.140625" customWidth="1"/>
    <col min="9" max="9" width="6.42578125" customWidth="1"/>
    <col min="10" max="10" width="7.140625" customWidth="1"/>
    <col min="11" max="11" width="6.42578125" customWidth="1"/>
    <col min="12" max="13" width="6.28515625" customWidth="1"/>
    <col min="14" max="14" width="6.5703125" customWidth="1"/>
  </cols>
  <sheetData>
    <row r="4" spans="2:16" x14ac:dyDescent="0.2">
      <c r="B4" s="148" t="s">
        <v>173</v>
      </c>
    </row>
    <row r="5" spans="2:16" ht="13.5" thickBot="1" x14ac:dyDescent="0.25"/>
    <row r="6" spans="2:16" ht="17.25" thickTop="1" thickBot="1" x14ac:dyDescent="0.25">
      <c r="B6" s="149" t="s">
        <v>121</v>
      </c>
      <c r="C6" s="150" t="s">
        <v>122</v>
      </c>
      <c r="D6" s="150">
        <v>2010</v>
      </c>
      <c r="E6" s="150">
        <v>2015</v>
      </c>
      <c r="F6" s="150">
        <v>2020</v>
      </c>
      <c r="G6" s="150">
        <v>2025</v>
      </c>
      <c r="H6" s="150">
        <v>2030</v>
      </c>
      <c r="I6" s="150">
        <v>2035</v>
      </c>
      <c r="J6" s="150">
        <v>2040</v>
      </c>
      <c r="K6" s="150">
        <v>2045</v>
      </c>
      <c r="L6" s="150">
        <v>2050</v>
      </c>
      <c r="M6" s="150">
        <v>2055</v>
      </c>
      <c r="N6" s="150">
        <v>2060</v>
      </c>
    </row>
    <row r="7" spans="2:16" ht="18" thickTop="1" thickBot="1" x14ac:dyDescent="0.25">
      <c r="B7" s="175" t="str">
        <f>DataIn!B19</f>
        <v>Residential</v>
      </c>
      <c r="C7" s="176" t="str">
        <f>DataIn!C19</f>
        <v>Residential</v>
      </c>
      <c r="D7" s="325">
        <f>DataIn!D19</f>
        <v>0.16800000000000001</v>
      </c>
      <c r="E7" s="325">
        <f>DataIn!E19</f>
        <v>0.97149999999999992</v>
      </c>
      <c r="F7" s="325">
        <f>DataIn!F19</f>
        <v>1.7749999999999999</v>
      </c>
      <c r="G7" s="325">
        <f>DataIn!G19</f>
        <v>3.1340000000000003</v>
      </c>
      <c r="H7" s="325">
        <f>DataIn!H19</f>
        <v>4.4930000000000003</v>
      </c>
      <c r="I7" s="325">
        <f>DataIn!I19</f>
        <v>5.3010000000000002</v>
      </c>
      <c r="J7" s="325">
        <f>DataIn!J19</f>
        <v>6.109</v>
      </c>
      <c r="K7" s="325">
        <f>DataIn!K19</f>
        <v>6.3384999999999998</v>
      </c>
      <c r="L7" s="325">
        <f>DataIn!L19</f>
        <v>6.5679999999999996</v>
      </c>
      <c r="M7" s="325">
        <f>DataIn!M19</f>
        <v>6.8774999999999995</v>
      </c>
      <c r="N7" s="325">
        <f>DataIn!N19</f>
        <v>7.1870000000000003</v>
      </c>
    </row>
    <row r="8" spans="2:16" ht="17.25" thickBot="1" x14ac:dyDescent="0.25">
      <c r="B8" s="175" t="str">
        <f>DataIn!B20</f>
        <v>Commercial</v>
      </c>
      <c r="C8" s="176" t="str">
        <f>DataIn!C20</f>
        <v>Commercial</v>
      </c>
      <c r="D8" s="326">
        <f>DataIn!D20</f>
        <v>0.13200000000000001</v>
      </c>
      <c r="E8" s="326">
        <f>DataIn!E20</f>
        <v>0.35249999999999998</v>
      </c>
      <c r="F8" s="326">
        <f>DataIn!F20</f>
        <v>0.57299999999999995</v>
      </c>
      <c r="G8" s="326">
        <f>DataIn!G20</f>
        <v>0.94599999999999995</v>
      </c>
      <c r="H8" s="326">
        <f>DataIn!H20</f>
        <v>1.319</v>
      </c>
      <c r="I8" s="326">
        <f>DataIn!I20</f>
        <v>1.5565</v>
      </c>
      <c r="J8" s="326">
        <f>DataIn!J20</f>
        <v>1.794</v>
      </c>
      <c r="K8" s="326">
        <f>DataIn!K20</f>
        <v>1.8835000000000002</v>
      </c>
      <c r="L8" s="326">
        <f>DataIn!L20</f>
        <v>1.9730000000000001</v>
      </c>
      <c r="M8" s="326">
        <f>DataIn!M20</f>
        <v>2.093</v>
      </c>
      <c r="N8" s="326">
        <f>DataIn!N20</f>
        <v>2.2130000000000001</v>
      </c>
    </row>
    <row r="9" spans="2:16" ht="17.25" thickBot="1" x14ac:dyDescent="0.25">
      <c r="B9" s="175" t="str">
        <f>DataIn!B21</f>
        <v>Industrial</v>
      </c>
      <c r="C9" s="176" t="str">
        <f>DataIn!C21</f>
        <v>Industrial</v>
      </c>
      <c r="D9" s="326">
        <f>DataIn!D21</f>
        <v>7.0000000000000007E-2</v>
      </c>
      <c r="E9" s="326">
        <f>DataIn!E21</f>
        <v>0.14650000000000002</v>
      </c>
      <c r="F9" s="326">
        <f>DataIn!F21</f>
        <v>0.223</v>
      </c>
      <c r="G9" s="326">
        <f>DataIn!G21</f>
        <v>0.35149999999999998</v>
      </c>
      <c r="H9" s="326">
        <f>DataIn!H21</f>
        <v>0.48</v>
      </c>
      <c r="I9" s="326">
        <f>DataIn!I21</f>
        <v>0.54349999999999998</v>
      </c>
      <c r="J9" s="326">
        <f>DataIn!J21</f>
        <v>0.60699999999999998</v>
      </c>
      <c r="K9" s="326">
        <f>DataIn!K21</f>
        <v>0.60699999999999998</v>
      </c>
      <c r="L9" s="326">
        <f>DataIn!L21</f>
        <v>0.60699999999999998</v>
      </c>
      <c r="M9" s="326">
        <f>DataIn!M21</f>
        <v>0.60699999999999998</v>
      </c>
      <c r="N9" s="326">
        <f>DataIn!N21</f>
        <v>0.60699999999999998</v>
      </c>
    </row>
    <row r="10" spans="2:16" ht="17.25" thickBot="1" x14ac:dyDescent="0.25">
      <c r="B10" s="175" t="str">
        <f>DataIn!B22</f>
        <v>Institutional</v>
      </c>
      <c r="C10" s="176" t="str">
        <f>DataIn!C22</f>
        <v>Institutional</v>
      </c>
      <c r="D10" s="326">
        <f>DataIn!D22</f>
        <v>0</v>
      </c>
      <c r="E10" s="326">
        <f>DataIn!E22</f>
        <v>0</v>
      </c>
      <c r="F10" s="326">
        <f>DataIn!F22</f>
        <v>0</v>
      </c>
      <c r="G10" s="326">
        <f>DataIn!G22</f>
        <v>0</v>
      </c>
      <c r="H10" s="326">
        <f>DataIn!H22</f>
        <v>0</v>
      </c>
      <c r="I10" s="326">
        <f>DataIn!I22</f>
        <v>0</v>
      </c>
      <c r="J10" s="326">
        <f>DataIn!J22</f>
        <v>0</v>
      </c>
      <c r="K10" s="326">
        <f>DataIn!K22</f>
        <v>0</v>
      </c>
      <c r="L10" s="326">
        <f>DataIn!L22</f>
        <v>0</v>
      </c>
      <c r="M10" s="326">
        <f>DataIn!M22</f>
        <v>0</v>
      </c>
      <c r="N10" s="326">
        <f>DataIn!N22</f>
        <v>0</v>
      </c>
    </row>
    <row r="11" spans="2:16" ht="17.25" thickBot="1" x14ac:dyDescent="0.25">
      <c r="B11" s="175" t="str">
        <f>DataIn!B23</f>
        <v>System Process</v>
      </c>
      <c r="C11" s="176" t="str">
        <f>DataIn!C23</f>
        <v>System Process</v>
      </c>
      <c r="D11" s="326">
        <f>DataIn!D23</f>
        <v>0</v>
      </c>
      <c r="E11" s="326">
        <f>DataIn!E23</f>
        <v>2.9000000000000001E-2</v>
      </c>
      <c r="F11" s="326">
        <f>DataIn!F23</f>
        <v>5.8000000000000003E-2</v>
      </c>
      <c r="G11" s="326">
        <f>DataIn!G23</f>
        <v>9.8500000000000004E-2</v>
      </c>
      <c r="H11" s="326">
        <f>DataIn!H23</f>
        <v>0.13900000000000001</v>
      </c>
      <c r="I11" s="326">
        <f>DataIn!I23</f>
        <v>0.1615</v>
      </c>
      <c r="J11" s="326">
        <f>DataIn!J23</f>
        <v>0.184</v>
      </c>
      <c r="K11" s="326">
        <f>DataIn!K23</f>
        <v>0.1905</v>
      </c>
      <c r="L11" s="326">
        <f>DataIn!L23</f>
        <v>0.19700000000000001</v>
      </c>
      <c r="M11" s="326">
        <f>DataIn!M23</f>
        <v>0.20600000000000002</v>
      </c>
      <c r="N11" s="326">
        <f>DataIn!N23</f>
        <v>0.215</v>
      </c>
    </row>
    <row r="12" spans="2:16" ht="17.25" thickBot="1" x14ac:dyDescent="0.25">
      <c r="B12" s="175" t="str">
        <f>DataIn!B24</f>
        <v>System Process</v>
      </c>
      <c r="C12" s="176" t="str">
        <f>DataIn!C24</f>
        <v>WTP Process</v>
      </c>
      <c r="D12" s="326">
        <f>DataIn!D24</f>
        <v>0.10199999999999999</v>
      </c>
      <c r="E12" s="326">
        <f>DataIn!E24</f>
        <v>0.13300000000000001</v>
      </c>
      <c r="F12" s="326">
        <f>DataIn!F24</f>
        <v>0.16400000000000001</v>
      </c>
      <c r="G12" s="326">
        <f>DataIn!G24</f>
        <v>0.27250000000000002</v>
      </c>
      <c r="H12" s="326">
        <f>DataIn!H24</f>
        <v>0.38100000000000001</v>
      </c>
      <c r="I12" s="326">
        <f>DataIn!I24</f>
        <v>0.33899999999999997</v>
      </c>
      <c r="J12" s="326">
        <f>DataIn!J24</f>
        <v>0.29699999999999999</v>
      </c>
      <c r="K12" s="326">
        <f>DataIn!K24</f>
        <v>0.3075</v>
      </c>
      <c r="L12" s="326">
        <f>DataIn!L24</f>
        <v>0.318</v>
      </c>
      <c r="M12" s="326">
        <f>DataIn!M24</f>
        <v>0.33199999999999996</v>
      </c>
      <c r="N12" s="326">
        <f>DataIn!N24</f>
        <v>0.34599999999999997</v>
      </c>
    </row>
    <row r="13" spans="2:16" ht="29.25" thickBot="1" x14ac:dyDescent="0.25">
      <c r="B13" s="175" t="str">
        <f>DataIn!B25</f>
        <v>Non-Revenue</v>
      </c>
      <c r="C13" s="176" t="str">
        <f>DataIn!C25</f>
        <v>Other Non-Revenue</v>
      </c>
      <c r="D13" s="326">
        <f>DataIn!D25</f>
        <v>9.0999999999999998E-2</v>
      </c>
      <c r="E13" s="326">
        <f>DataIn!E25</f>
        <v>0.16999999999999998</v>
      </c>
      <c r="F13" s="326">
        <f>DataIn!F25</f>
        <v>0.249</v>
      </c>
      <c r="G13" s="326">
        <f>DataIn!G25</f>
        <v>0.34199999999999997</v>
      </c>
      <c r="H13" s="326">
        <f>DataIn!H25</f>
        <v>0.435</v>
      </c>
      <c r="I13" s="326">
        <f>DataIn!I25</f>
        <v>0.50549999999999995</v>
      </c>
      <c r="J13" s="326">
        <f>DataIn!J25</f>
        <v>0.57599999999999996</v>
      </c>
      <c r="K13" s="326">
        <f>DataIn!K25</f>
        <v>0.59650000000000003</v>
      </c>
      <c r="L13" s="326">
        <f>DataIn!L25</f>
        <v>0.61699999999999999</v>
      </c>
      <c r="M13" s="326">
        <f>DataIn!M25</f>
        <v>0.64450000000000007</v>
      </c>
      <c r="N13" s="326">
        <f>DataIn!N25</f>
        <v>0.67200000000000004</v>
      </c>
    </row>
    <row r="14" spans="2:16" ht="17.25" thickBot="1" x14ac:dyDescent="0.25">
      <c r="B14" s="175" t="str">
        <f>DataIn!B26</f>
        <v>Bulk Sales</v>
      </c>
      <c r="C14" s="176" t="str">
        <f>DataIn!C26</f>
        <v>Sales</v>
      </c>
      <c r="D14" s="327">
        <f>DataIn!D26</f>
        <v>6.0999999999999999E-2</v>
      </c>
      <c r="E14" s="327">
        <f>DataIn!E26</f>
        <v>0.17699999999999999</v>
      </c>
      <c r="F14" s="327">
        <f>DataIn!F26</f>
        <v>0.29299999999999998</v>
      </c>
      <c r="G14" s="327">
        <f>DataIn!G26</f>
        <v>0.40700000000000003</v>
      </c>
      <c r="H14" s="327">
        <f>DataIn!H26</f>
        <v>0.52100000000000002</v>
      </c>
      <c r="I14" s="327">
        <f>DataIn!I26</f>
        <v>0.52100000000000002</v>
      </c>
      <c r="J14" s="327">
        <f>DataIn!J26</f>
        <v>0.52100000000000002</v>
      </c>
      <c r="K14" s="327">
        <f>DataIn!K26</f>
        <v>0.52100000000000002</v>
      </c>
      <c r="L14" s="327">
        <f>DataIn!L26</f>
        <v>0.52100000000000002</v>
      </c>
      <c r="M14" s="327">
        <f>DataIn!M26</f>
        <v>0.52100000000000002</v>
      </c>
      <c r="N14" s="327">
        <f>DataIn!N26</f>
        <v>0.52100000000000002</v>
      </c>
      <c r="P14" s="207"/>
    </row>
    <row r="15" spans="2:16" ht="18" thickTop="1" thickBot="1" x14ac:dyDescent="0.25">
      <c r="B15" s="152" t="s">
        <v>129</v>
      </c>
      <c r="C15" s="153"/>
      <c r="D15" s="174">
        <f>SUM(D7:D14)</f>
        <v>0.62400000000000011</v>
      </c>
      <c r="E15" s="174">
        <f>SUM(E7:E14)</f>
        <v>1.9794999999999998</v>
      </c>
      <c r="F15" s="174">
        <f t="shared" ref="F15:N15" si="0">SUM(F7:F14)</f>
        <v>3.335</v>
      </c>
      <c r="G15" s="174">
        <f t="shared" si="0"/>
        <v>5.551499999999999</v>
      </c>
      <c r="H15" s="174">
        <f t="shared" si="0"/>
        <v>7.7679999999999998</v>
      </c>
      <c r="I15" s="174">
        <f t="shared" si="0"/>
        <v>8.9280000000000008</v>
      </c>
      <c r="J15" s="174">
        <f t="shared" si="0"/>
        <v>10.088000000000001</v>
      </c>
      <c r="K15" s="174">
        <f t="shared" si="0"/>
        <v>10.4445</v>
      </c>
      <c r="L15" s="174">
        <f t="shared" si="0"/>
        <v>10.800999999999998</v>
      </c>
      <c r="M15" s="174">
        <f t="shared" si="0"/>
        <v>11.281000000000001</v>
      </c>
      <c r="N15" s="174">
        <f t="shared" si="0"/>
        <v>11.761000000000001</v>
      </c>
    </row>
    <row r="16" spans="2:16" ht="13.5" thickTop="1" x14ac:dyDescent="0.2"/>
    <row r="19" spans="1:10" x14ac:dyDescent="0.2">
      <c r="B19" s="148" t="s">
        <v>174</v>
      </c>
    </row>
    <row r="22" spans="1:10" ht="15.75" x14ac:dyDescent="0.25">
      <c r="A22" s="158"/>
      <c r="B22" s="419"/>
      <c r="C22" s="420"/>
      <c r="D22" s="447" t="s">
        <v>134</v>
      </c>
      <c r="E22" s="159"/>
      <c r="F22" s="159"/>
      <c r="G22" s="159"/>
      <c r="H22" s="159"/>
      <c r="I22" s="159"/>
      <c r="J22" s="160"/>
    </row>
    <row r="23" spans="1:10" ht="15.75" x14ac:dyDescent="0.25">
      <c r="A23" s="158"/>
      <c r="B23" s="430" t="s">
        <v>121</v>
      </c>
      <c r="C23" s="430" t="s">
        <v>122</v>
      </c>
      <c r="D23" s="443" t="s">
        <v>135</v>
      </c>
      <c r="E23" s="444" t="s">
        <v>136</v>
      </c>
      <c r="F23" s="444" t="s">
        <v>137</v>
      </c>
      <c r="G23" s="444" t="s">
        <v>138</v>
      </c>
      <c r="H23" s="445" t="s">
        <v>139</v>
      </c>
      <c r="I23" s="444" t="s">
        <v>140</v>
      </c>
      <c r="J23" s="446" t="s">
        <v>141</v>
      </c>
    </row>
    <row r="24" spans="1:10" ht="16.5" x14ac:dyDescent="0.3">
      <c r="A24" s="158"/>
      <c r="B24" s="423" t="s">
        <v>114</v>
      </c>
      <c r="C24" s="426" t="s">
        <v>114</v>
      </c>
      <c r="D24" s="431">
        <v>0.16800000000000001</v>
      </c>
      <c r="E24" s="432">
        <v>1.7749999999999999</v>
      </c>
      <c r="F24" s="432">
        <v>4.4930000000000003</v>
      </c>
      <c r="G24" s="432">
        <v>6.109</v>
      </c>
      <c r="H24" s="440">
        <v>6.3384999999999998</v>
      </c>
      <c r="I24" s="432">
        <v>6.5679999999999996</v>
      </c>
      <c r="J24" s="437">
        <v>7.1870000000000003</v>
      </c>
    </row>
    <row r="25" spans="1:10" ht="16.5" x14ac:dyDescent="0.3">
      <c r="A25" s="158"/>
      <c r="B25" s="424" t="s">
        <v>115</v>
      </c>
      <c r="C25" s="426" t="s">
        <v>115</v>
      </c>
      <c r="D25" s="431">
        <v>0.13200000000000001</v>
      </c>
      <c r="E25" s="432">
        <v>0.57299999999999995</v>
      </c>
      <c r="F25" s="432">
        <v>1.319</v>
      </c>
      <c r="G25" s="432">
        <v>1.794</v>
      </c>
      <c r="H25" s="440">
        <v>1.8835000000000002</v>
      </c>
      <c r="I25" s="432">
        <v>1.9730000000000001</v>
      </c>
      <c r="J25" s="437">
        <v>2.2130000000000001</v>
      </c>
    </row>
    <row r="26" spans="1:10" ht="16.5" x14ac:dyDescent="0.3">
      <c r="A26" s="158"/>
      <c r="B26" s="424" t="s">
        <v>116</v>
      </c>
      <c r="C26" s="426" t="s">
        <v>116</v>
      </c>
      <c r="D26" s="431">
        <v>7.0000000000000007E-2</v>
      </c>
      <c r="E26" s="432">
        <v>0.223</v>
      </c>
      <c r="F26" s="432">
        <v>0.48</v>
      </c>
      <c r="G26" s="432">
        <v>0.60699999999999998</v>
      </c>
      <c r="H26" s="440">
        <v>0.60699999999999998</v>
      </c>
      <c r="I26" s="432">
        <v>0.60699999999999998</v>
      </c>
      <c r="J26" s="437">
        <v>0.60699999999999998</v>
      </c>
    </row>
    <row r="27" spans="1:10" ht="16.5" x14ac:dyDescent="0.3">
      <c r="A27" s="158"/>
      <c r="B27" s="424" t="s">
        <v>117</v>
      </c>
      <c r="C27" s="426" t="s">
        <v>117</v>
      </c>
      <c r="D27" s="431">
        <v>0</v>
      </c>
      <c r="E27" s="432">
        <v>0</v>
      </c>
      <c r="F27" s="432">
        <v>0</v>
      </c>
      <c r="G27" s="432">
        <v>0</v>
      </c>
      <c r="H27" s="440">
        <v>0</v>
      </c>
      <c r="I27" s="432">
        <v>0</v>
      </c>
      <c r="J27" s="437">
        <v>0</v>
      </c>
    </row>
    <row r="28" spans="1:10" ht="16.5" x14ac:dyDescent="0.3">
      <c r="A28" s="158"/>
      <c r="B28" s="424" t="s">
        <v>124</v>
      </c>
      <c r="C28" s="426" t="s">
        <v>126</v>
      </c>
      <c r="D28" s="431">
        <v>9.0999999999999998E-2</v>
      </c>
      <c r="E28" s="432">
        <v>0.249</v>
      </c>
      <c r="F28" s="432">
        <v>0.435</v>
      </c>
      <c r="G28" s="432">
        <v>0.57599999999999996</v>
      </c>
      <c r="H28" s="440">
        <v>0.59650000000000003</v>
      </c>
      <c r="I28" s="432">
        <v>0.61699999999999999</v>
      </c>
      <c r="J28" s="437">
        <v>0.67200000000000004</v>
      </c>
    </row>
    <row r="29" spans="1:10" ht="16.5" x14ac:dyDescent="0.3">
      <c r="A29" s="158"/>
      <c r="B29" s="425" t="s">
        <v>123</v>
      </c>
      <c r="C29" s="429" t="s">
        <v>123</v>
      </c>
      <c r="D29" s="431">
        <v>0</v>
      </c>
      <c r="E29" s="432">
        <v>5.8000000000000003E-2</v>
      </c>
      <c r="F29" s="432">
        <v>0.13900000000000001</v>
      </c>
      <c r="G29" s="432">
        <v>0.184</v>
      </c>
      <c r="H29" s="440">
        <v>0.1905</v>
      </c>
      <c r="I29" s="432">
        <v>0.19700000000000001</v>
      </c>
      <c r="J29" s="437">
        <v>0.215</v>
      </c>
    </row>
    <row r="30" spans="1:10" ht="17.25" thickBot="1" x14ac:dyDescent="0.35">
      <c r="A30" s="158"/>
      <c r="B30" s="428"/>
      <c r="C30" s="427" t="s">
        <v>125</v>
      </c>
      <c r="D30" s="433">
        <v>0.10199999999999999</v>
      </c>
      <c r="E30" s="434">
        <v>0.16400000000000001</v>
      </c>
      <c r="F30" s="434">
        <v>0.38100000000000001</v>
      </c>
      <c r="G30" s="434">
        <v>0.29699999999999999</v>
      </c>
      <c r="H30" s="441">
        <v>0.3075</v>
      </c>
      <c r="I30" s="434">
        <v>0.318</v>
      </c>
      <c r="J30" s="438">
        <v>0.34599999999999997</v>
      </c>
    </row>
    <row r="31" spans="1:10" ht="17.25" thickTop="1" x14ac:dyDescent="0.3">
      <c r="A31" s="158"/>
      <c r="B31" s="421" t="s">
        <v>129</v>
      </c>
      <c r="C31" s="422"/>
      <c r="D31" s="435">
        <v>0.56300000000000006</v>
      </c>
      <c r="E31" s="436">
        <v>3.0419999999999998</v>
      </c>
      <c r="F31" s="436">
        <v>7.2469999999999999</v>
      </c>
      <c r="G31" s="436">
        <v>9.5670000000000002</v>
      </c>
      <c r="H31" s="442">
        <v>9.9234999999999989</v>
      </c>
      <c r="I31" s="436">
        <v>10.28</v>
      </c>
      <c r="J31" s="439">
        <v>11.24</v>
      </c>
    </row>
    <row r="36" ht="13.5" thickBot="1" x14ac:dyDescent="0.25"/>
    <row r="37" ht="13.5" thickTop="1" x14ac:dyDescent="0.2"/>
  </sheetData>
  <pageMargins left="0.7" right="0.7" top="0.75" bottom="0.75" header="0.3" footer="0.3"/>
  <pageSetup paperSize="175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2:D48"/>
  <sheetViews>
    <sheetView workbookViewId="0">
      <selection activeCell="B40" sqref="B40"/>
    </sheetView>
  </sheetViews>
  <sheetFormatPr defaultRowHeight="12.75" x14ac:dyDescent="0.2"/>
  <cols>
    <col min="2" max="2" width="23.85546875" customWidth="1"/>
    <col min="3" max="3" width="25.85546875" customWidth="1"/>
    <col min="4" max="4" width="70" customWidth="1"/>
  </cols>
  <sheetData>
    <row r="2" spans="2:4" ht="15.75" x14ac:dyDescent="0.25">
      <c r="B2" s="46" t="s">
        <v>232</v>
      </c>
      <c r="C2" s="155"/>
    </row>
    <row r="3" spans="2:4" x14ac:dyDescent="0.2">
      <c r="B3" s="243" t="s">
        <v>233</v>
      </c>
      <c r="C3" s="244" t="s">
        <v>337</v>
      </c>
    </row>
    <row r="4" spans="2:4" x14ac:dyDescent="0.2">
      <c r="B4" s="243" t="s">
        <v>234</v>
      </c>
      <c r="C4" s="244" t="s">
        <v>338</v>
      </c>
    </row>
    <row r="5" spans="2:4" x14ac:dyDescent="0.2">
      <c r="B5" s="243" t="s">
        <v>235</v>
      </c>
      <c r="C5" s="244" t="s">
        <v>365</v>
      </c>
    </row>
    <row r="6" spans="2:4" x14ac:dyDescent="0.2">
      <c r="B6" s="243" t="s">
        <v>236</v>
      </c>
      <c r="C6" s="244" t="s">
        <v>366</v>
      </c>
    </row>
    <row r="7" spans="2:4" x14ac:dyDescent="0.2">
      <c r="B7" s="243" t="s">
        <v>237</v>
      </c>
      <c r="C7" s="409" t="s">
        <v>369</v>
      </c>
    </row>
    <row r="8" spans="2:4" x14ac:dyDescent="0.2">
      <c r="B8" s="243" t="s">
        <v>238</v>
      </c>
      <c r="C8" s="244" t="s">
        <v>367</v>
      </c>
    </row>
    <row r="9" spans="2:4" x14ac:dyDescent="0.2">
      <c r="B9" s="243" t="s">
        <v>239</v>
      </c>
      <c r="C9" s="244" t="s">
        <v>368</v>
      </c>
    </row>
    <row r="10" spans="2:4" x14ac:dyDescent="0.2">
      <c r="B10" s="243"/>
      <c r="C10" s="244"/>
    </row>
    <row r="11" spans="2:4" x14ac:dyDescent="0.2">
      <c r="B11" s="243"/>
      <c r="C11" s="244"/>
    </row>
    <row r="16" spans="2:4" ht="15.75" x14ac:dyDescent="0.25">
      <c r="B16" s="133" t="s">
        <v>118</v>
      </c>
      <c r="C16" s="131"/>
      <c r="D16" s="131"/>
    </row>
    <row r="17" spans="2:4" ht="13.5" thickBot="1" x14ac:dyDescent="0.25">
      <c r="B17" s="131"/>
      <c r="C17" s="131"/>
      <c r="D17" s="131"/>
    </row>
    <row r="18" spans="2:4" ht="17.25" thickTop="1" thickBot="1" x14ac:dyDescent="0.25">
      <c r="B18" s="149" t="s">
        <v>111</v>
      </c>
      <c r="C18" s="150" t="s">
        <v>112</v>
      </c>
      <c r="D18" s="150" t="s">
        <v>113</v>
      </c>
    </row>
    <row r="19" spans="2:4" ht="20.25" customHeight="1" thickTop="1" x14ac:dyDescent="0.2">
      <c r="B19" s="403" t="s">
        <v>114</v>
      </c>
      <c r="C19" s="404"/>
      <c r="D19" s="383" t="s">
        <v>347</v>
      </c>
    </row>
    <row r="20" spans="2:4" ht="18.75" x14ac:dyDescent="0.2">
      <c r="B20" s="378"/>
      <c r="C20" s="405"/>
      <c r="D20" s="384" t="s">
        <v>370</v>
      </c>
    </row>
    <row r="21" spans="2:4" ht="19.5" thickBot="1" x14ac:dyDescent="0.25">
      <c r="B21" s="378"/>
      <c r="C21" s="405"/>
      <c r="D21" s="384"/>
    </row>
    <row r="22" spans="2:4" ht="31.5" x14ac:dyDescent="0.2">
      <c r="B22" s="394" t="s">
        <v>115</v>
      </c>
      <c r="C22" s="387" t="s">
        <v>364</v>
      </c>
      <c r="D22" s="385" t="s">
        <v>371</v>
      </c>
    </row>
    <row r="23" spans="2:4" ht="18.75" x14ac:dyDescent="0.2">
      <c r="B23" s="379"/>
      <c r="C23" s="388"/>
      <c r="D23" s="385" t="s">
        <v>372</v>
      </c>
    </row>
    <row r="24" spans="2:4" ht="19.5" thickBot="1" x14ac:dyDescent="0.25">
      <c r="B24" s="379"/>
      <c r="C24" s="388"/>
      <c r="D24" s="385" t="s">
        <v>373</v>
      </c>
    </row>
    <row r="25" spans="2:4" ht="19.5" thickBot="1" x14ac:dyDescent="0.25">
      <c r="B25" s="379"/>
      <c r="C25" s="389"/>
      <c r="D25" s="385"/>
    </row>
    <row r="26" spans="2:4" ht="18.75" x14ac:dyDescent="0.2">
      <c r="B26" s="395" t="s">
        <v>116</v>
      </c>
      <c r="C26" s="401" t="s">
        <v>346</v>
      </c>
      <c r="D26" s="384" t="s">
        <v>348</v>
      </c>
    </row>
    <row r="27" spans="2:4" ht="19.5" thickBot="1" x14ac:dyDescent="0.25">
      <c r="B27" s="380"/>
      <c r="C27" s="402"/>
      <c r="D27" s="384"/>
    </row>
    <row r="28" spans="2:4" ht="18.75" x14ac:dyDescent="0.2">
      <c r="B28" s="396" t="s">
        <v>117</v>
      </c>
      <c r="C28" s="390" t="s">
        <v>345</v>
      </c>
      <c r="D28" s="385" t="s">
        <v>374</v>
      </c>
    </row>
    <row r="29" spans="2:4" ht="19.5" thickBot="1" x14ac:dyDescent="0.25">
      <c r="B29" s="381"/>
      <c r="C29" s="391"/>
      <c r="D29" s="385"/>
    </row>
    <row r="30" spans="2:4" ht="21" customHeight="1" x14ac:dyDescent="0.2">
      <c r="B30" s="397" t="s">
        <v>363</v>
      </c>
      <c r="C30" s="392"/>
      <c r="D30" s="384" t="s">
        <v>375</v>
      </c>
    </row>
    <row r="31" spans="2:4" ht="18.75" x14ac:dyDescent="0.2">
      <c r="B31" s="382"/>
      <c r="C31" s="393"/>
      <c r="D31" s="384" t="s">
        <v>376</v>
      </c>
    </row>
    <row r="32" spans="2:4" ht="19.5" thickBot="1" x14ac:dyDescent="0.25">
      <c r="B32" s="382"/>
      <c r="C32" s="393"/>
      <c r="D32" s="384"/>
    </row>
    <row r="33" spans="2:4" ht="18.75" x14ac:dyDescent="0.3">
      <c r="B33" s="398" t="s">
        <v>124</v>
      </c>
      <c r="C33" s="406" t="s">
        <v>330</v>
      </c>
      <c r="D33" s="411" t="s">
        <v>377</v>
      </c>
    </row>
    <row r="34" spans="2:4" ht="32.25" x14ac:dyDescent="0.3">
      <c r="B34" s="399"/>
      <c r="C34" s="407" t="s">
        <v>331</v>
      </c>
      <c r="D34" s="411" t="s">
        <v>378</v>
      </c>
    </row>
    <row r="35" spans="2:4" ht="19.5" customHeight="1" x14ac:dyDescent="0.3">
      <c r="B35" s="400"/>
      <c r="C35" s="407" t="s">
        <v>126</v>
      </c>
      <c r="D35" s="411" t="s">
        <v>379</v>
      </c>
    </row>
    <row r="36" spans="2:4" ht="18.75" x14ac:dyDescent="0.3">
      <c r="B36" s="399"/>
      <c r="C36" s="407"/>
      <c r="D36" s="386"/>
    </row>
    <row r="37" spans="2:4" x14ac:dyDescent="0.2">
      <c r="B37" s="131"/>
      <c r="C37" s="131"/>
      <c r="D37" s="131"/>
    </row>
    <row r="38" spans="2:4" x14ac:dyDescent="0.2">
      <c r="B38" s="131"/>
      <c r="C38" s="131"/>
      <c r="D38" s="131"/>
    </row>
    <row r="39" spans="2:4" x14ac:dyDescent="0.2">
      <c r="B39" s="131"/>
      <c r="C39" s="131"/>
      <c r="D39" s="131"/>
    </row>
    <row r="40" spans="2:4" ht="15.75" x14ac:dyDescent="0.25">
      <c r="B40" s="132"/>
      <c r="C40" s="131"/>
      <c r="D40" s="131"/>
    </row>
    <row r="41" spans="2:4" x14ac:dyDescent="0.2">
      <c r="B41" s="131"/>
      <c r="C41" s="131"/>
      <c r="D41" s="131"/>
    </row>
    <row r="42" spans="2:4" x14ac:dyDescent="0.2">
      <c r="B42" s="131"/>
      <c r="C42" s="131"/>
      <c r="D42" s="131"/>
    </row>
    <row r="43" spans="2:4" x14ac:dyDescent="0.2">
      <c r="B43" s="131"/>
      <c r="C43" s="131"/>
      <c r="D43" s="131"/>
    </row>
    <row r="44" spans="2:4" x14ac:dyDescent="0.2">
      <c r="B44" s="131"/>
      <c r="C44" s="131"/>
      <c r="D44" s="131"/>
    </row>
    <row r="45" spans="2:4" x14ac:dyDescent="0.2">
      <c r="B45" s="131"/>
      <c r="C45" s="131"/>
      <c r="D45" s="131"/>
    </row>
    <row r="46" spans="2:4" x14ac:dyDescent="0.2">
      <c r="B46" s="131"/>
      <c r="C46" s="131"/>
      <c r="D46" s="131"/>
    </row>
    <row r="47" spans="2:4" x14ac:dyDescent="0.2">
      <c r="B47" s="131"/>
      <c r="C47" s="131"/>
      <c r="D47" s="131"/>
    </row>
    <row r="48" spans="2:4" x14ac:dyDescent="0.2">
      <c r="B48" s="131"/>
      <c r="C48" s="131"/>
      <c r="D48" s="131"/>
    </row>
  </sheetData>
  <hyperlinks>
    <hyperlink ref="C7" r:id="rId1"/>
  </hyperlinks>
  <pageMargins left="0.7" right="0.7" top="0.75" bottom="0.75" header="0.3" footer="0.3"/>
  <pageSetup paperSize="17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66"/>
    <pageSetUpPr fitToPage="1"/>
  </sheetPr>
  <dimension ref="B2:N111"/>
  <sheetViews>
    <sheetView zoomScale="80" zoomScaleNormal="80" workbookViewId="0">
      <selection activeCell="A84" sqref="A84:XFD86"/>
    </sheetView>
  </sheetViews>
  <sheetFormatPr defaultColWidth="9.140625" defaultRowHeight="15.95" customHeight="1" x14ac:dyDescent="0.2"/>
  <cols>
    <col min="1" max="1" width="1.85546875" style="27" customWidth="1"/>
    <col min="2" max="2" width="54.140625" style="27" customWidth="1"/>
    <col min="3" max="3" width="17.28515625" style="31" customWidth="1"/>
    <col min="4" max="14" width="16.7109375" style="31" customWidth="1"/>
    <col min="15" max="16384" width="9.140625" style="27"/>
  </cols>
  <sheetData>
    <row r="2" spans="2:14" ht="15.95" customHeight="1" x14ac:dyDescent="0.25">
      <c r="B2" s="46" t="s">
        <v>73</v>
      </c>
    </row>
    <row r="3" spans="2:14" ht="15.95" customHeight="1" x14ac:dyDescent="0.25">
      <c r="B3" s="93" t="s">
        <v>43</v>
      </c>
      <c r="C3" s="88" t="str">
        <f>DataIn!C1</f>
        <v>Pittsboro</v>
      </c>
      <c r="D3" s="89"/>
      <c r="E3" s="90"/>
    </row>
    <row r="4" spans="2:14" ht="15.95" customHeight="1" x14ac:dyDescent="0.25">
      <c r="B4" s="93" t="s">
        <v>44</v>
      </c>
      <c r="C4" s="91">
        <f>DataIn!F1</f>
        <v>41654</v>
      </c>
      <c r="D4" s="89"/>
      <c r="E4" s="90"/>
    </row>
    <row r="5" spans="2:14" ht="15.95" customHeight="1" x14ac:dyDescent="0.25">
      <c r="B5" s="93"/>
      <c r="C5" s="105"/>
      <c r="D5" s="32"/>
      <c r="E5" s="32"/>
    </row>
    <row r="6" spans="2:14" s="106" customFormat="1" ht="24" customHeight="1" x14ac:dyDescent="0.2">
      <c r="B6" s="107" t="s">
        <v>68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</row>
    <row r="7" spans="2:14" ht="15.95" customHeight="1" x14ac:dyDescent="0.25">
      <c r="B7" s="141" t="s">
        <v>69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2:14" ht="15.95" customHeight="1" x14ac:dyDescent="0.25">
      <c r="B8" s="144"/>
      <c r="C8" s="145"/>
      <c r="D8" s="146">
        <v>2010</v>
      </c>
      <c r="E8" s="147">
        <v>2015</v>
      </c>
      <c r="F8" s="147">
        <v>2020</v>
      </c>
      <c r="G8" s="147">
        <v>2025</v>
      </c>
      <c r="H8" s="147">
        <v>2030</v>
      </c>
      <c r="I8" s="147">
        <v>2035</v>
      </c>
      <c r="J8" s="147">
        <v>2040</v>
      </c>
      <c r="K8" s="147">
        <v>2045</v>
      </c>
      <c r="L8" s="147">
        <v>2050</v>
      </c>
      <c r="M8" s="147">
        <v>2055</v>
      </c>
      <c r="N8" s="147">
        <v>2060</v>
      </c>
    </row>
    <row r="9" spans="2:14" ht="15.95" customHeight="1" x14ac:dyDescent="0.25">
      <c r="B9" s="136" t="s">
        <v>119</v>
      </c>
      <c r="C9" s="137"/>
      <c r="D9" s="137">
        <f>DataIn!D36</f>
        <v>3700</v>
      </c>
      <c r="E9" s="137">
        <f>DataIn!E36</f>
        <v>13850</v>
      </c>
      <c r="F9" s="137">
        <f>DataIn!F36</f>
        <v>24000</v>
      </c>
      <c r="G9" s="137">
        <f>DataIn!G36</f>
        <v>41300</v>
      </c>
      <c r="H9" s="137">
        <f>DataIn!H36</f>
        <v>58600</v>
      </c>
      <c r="I9" s="137">
        <f>DataIn!I36</f>
        <v>69250</v>
      </c>
      <c r="J9" s="137">
        <f>DataIn!J36</f>
        <v>79900</v>
      </c>
      <c r="K9" s="137">
        <f>DataIn!K36</f>
        <v>83500</v>
      </c>
      <c r="L9" s="137">
        <f>DataIn!L36</f>
        <v>87100</v>
      </c>
      <c r="M9" s="137">
        <f>DataIn!M36</f>
        <v>91950</v>
      </c>
      <c r="N9" s="137">
        <f>DataIn!N36</f>
        <v>96800</v>
      </c>
    </row>
    <row r="10" spans="2:14" ht="15.95" customHeight="1" x14ac:dyDescent="0.25">
      <c r="B10" s="138" t="s">
        <v>120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2:14" ht="15.95" customHeight="1" x14ac:dyDescent="0.25">
      <c r="B11" s="139" t="s">
        <v>54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2:14" s="28" customFormat="1" ht="15.95" customHeight="1" x14ac:dyDescent="0.25">
      <c r="B12" s="134"/>
      <c r="C12" s="135" t="s">
        <v>55</v>
      </c>
      <c r="D12" s="135" t="s">
        <v>56</v>
      </c>
      <c r="E12" s="135" t="s">
        <v>66</v>
      </c>
      <c r="F12" s="135" t="s">
        <v>65</v>
      </c>
      <c r="G12" s="135" t="s">
        <v>64</v>
      </c>
      <c r="H12" s="135" t="s">
        <v>63</v>
      </c>
      <c r="I12" s="135" t="s">
        <v>62</v>
      </c>
      <c r="J12" s="135" t="s">
        <v>61</v>
      </c>
      <c r="K12" s="135" t="s">
        <v>60</v>
      </c>
      <c r="L12" s="135" t="s">
        <v>59</v>
      </c>
      <c r="M12" s="135" t="s">
        <v>58</v>
      </c>
      <c r="N12" s="135" t="s">
        <v>57</v>
      </c>
    </row>
    <row r="14" spans="2:14" ht="15.95" customHeight="1" x14ac:dyDescent="0.25">
      <c r="B14" s="34" t="s">
        <v>70</v>
      </c>
      <c r="C14" s="35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</row>
    <row r="15" spans="2:14" ht="15.95" customHeight="1" x14ac:dyDescent="0.25">
      <c r="B15" s="36"/>
      <c r="C15" s="37"/>
      <c r="D15" s="65">
        <v>2010</v>
      </c>
      <c r="E15" s="66">
        <v>2015</v>
      </c>
      <c r="F15" s="66">
        <v>2020</v>
      </c>
      <c r="G15" s="66">
        <v>2025</v>
      </c>
      <c r="H15" s="66">
        <v>2030</v>
      </c>
      <c r="I15" s="66">
        <v>2035</v>
      </c>
      <c r="J15" s="66">
        <v>2040</v>
      </c>
      <c r="K15" s="66">
        <v>2045</v>
      </c>
      <c r="L15" s="66">
        <v>2050</v>
      </c>
      <c r="M15" s="66">
        <v>2055</v>
      </c>
      <c r="N15" s="66">
        <v>2060</v>
      </c>
    </row>
    <row r="16" spans="2:14" ht="15.95" customHeight="1" x14ac:dyDescent="0.25">
      <c r="B16" s="33" t="s">
        <v>0</v>
      </c>
      <c r="C16" s="38"/>
      <c r="D16" s="82">
        <f>DataIn!D19</f>
        <v>0.16800000000000001</v>
      </c>
      <c r="E16" s="82">
        <f>DataIn!E19</f>
        <v>0.97149999999999992</v>
      </c>
      <c r="F16" s="82">
        <f>DataIn!F19</f>
        <v>1.7749999999999999</v>
      </c>
      <c r="G16" s="82">
        <f>DataIn!G19</f>
        <v>3.1340000000000003</v>
      </c>
      <c r="H16" s="82">
        <f>DataIn!H19</f>
        <v>4.4930000000000003</v>
      </c>
      <c r="I16" s="82">
        <f>DataIn!I19</f>
        <v>5.3010000000000002</v>
      </c>
      <c r="J16" s="82">
        <f>DataIn!J19</f>
        <v>6.109</v>
      </c>
      <c r="K16" s="82">
        <f>DataIn!K19</f>
        <v>6.3384999999999998</v>
      </c>
      <c r="L16" s="82">
        <f>DataIn!L19</f>
        <v>6.5679999999999996</v>
      </c>
      <c r="M16" s="82">
        <f>DataIn!M19</f>
        <v>6.8774999999999995</v>
      </c>
      <c r="N16" s="82">
        <f>DataIn!N19</f>
        <v>7.1870000000000003</v>
      </c>
    </row>
    <row r="17" spans="2:14" ht="15.95" customHeight="1" x14ac:dyDescent="0.25">
      <c r="B17" s="62"/>
      <c r="C17" s="38"/>
      <c r="D17" s="82"/>
      <c r="E17" s="39"/>
      <c r="F17" s="39"/>
      <c r="G17" s="39"/>
      <c r="H17" s="39"/>
      <c r="I17" s="39"/>
      <c r="J17" s="39"/>
      <c r="K17" s="39"/>
      <c r="L17" s="39"/>
      <c r="M17" s="67"/>
      <c r="N17" s="67"/>
    </row>
    <row r="18" spans="2:14" ht="15.95" customHeight="1" x14ac:dyDescent="0.25">
      <c r="B18" s="62"/>
      <c r="C18" s="38"/>
      <c r="D18" s="82"/>
      <c r="E18" s="39"/>
      <c r="F18" s="39"/>
      <c r="G18" s="39"/>
      <c r="H18" s="39"/>
      <c r="I18" s="39"/>
      <c r="J18" s="39"/>
      <c r="K18" s="39"/>
      <c r="L18" s="39"/>
      <c r="M18" s="67"/>
      <c r="N18" s="67"/>
    </row>
    <row r="19" spans="2:14" ht="15.95" customHeight="1" x14ac:dyDescent="0.25">
      <c r="B19" s="62"/>
      <c r="C19" s="38"/>
      <c r="D19" s="82"/>
      <c r="E19" s="39"/>
      <c r="F19" s="39"/>
      <c r="G19" s="39"/>
      <c r="H19" s="39"/>
      <c r="I19" s="39"/>
      <c r="J19" s="39"/>
      <c r="K19" s="39"/>
      <c r="L19" s="39"/>
      <c r="M19" s="67"/>
      <c r="N19" s="67"/>
    </row>
    <row r="20" spans="2:14" ht="15.95" customHeight="1" x14ac:dyDescent="0.25">
      <c r="B20" s="36"/>
      <c r="C20" s="38"/>
      <c r="D20" s="82"/>
      <c r="E20" s="39"/>
      <c r="F20" s="39"/>
      <c r="G20" s="39"/>
      <c r="H20" s="39"/>
      <c r="I20" s="39"/>
      <c r="J20" s="39"/>
      <c r="K20" s="39"/>
      <c r="L20" s="39"/>
      <c r="M20" s="67"/>
      <c r="N20" s="67"/>
    </row>
    <row r="21" spans="2:14" ht="15.95" customHeight="1" x14ac:dyDescent="0.25">
      <c r="B21" s="36" t="s">
        <v>1</v>
      </c>
      <c r="C21" s="38"/>
      <c r="D21" s="82">
        <f>DataIn!D20</f>
        <v>0.13200000000000001</v>
      </c>
      <c r="E21" s="82">
        <f>DataIn!E20</f>
        <v>0.35249999999999998</v>
      </c>
      <c r="F21" s="82">
        <f>DataIn!F20</f>
        <v>0.57299999999999995</v>
      </c>
      <c r="G21" s="82">
        <f>DataIn!G20</f>
        <v>0.94599999999999995</v>
      </c>
      <c r="H21" s="82">
        <f>DataIn!H20</f>
        <v>1.319</v>
      </c>
      <c r="I21" s="82">
        <f>DataIn!I20</f>
        <v>1.5565</v>
      </c>
      <c r="J21" s="82">
        <f>DataIn!J20</f>
        <v>1.794</v>
      </c>
      <c r="K21" s="82">
        <f>DataIn!K20</f>
        <v>1.8835000000000002</v>
      </c>
      <c r="L21" s="82">
        <f>DataIn!L20</f>
        <v>1.9730000000000001</v>
      </c>
      <c r="M21" s="82">
        <f>DataIn!M20</f>
        <v>2.093</v>
      </c>
      <c r="N21" s="82">
        <f>DataIn!N20</f>
        <v>2.2130000000000001</v>
      </c>
    </row>
    <row r="22" spans="2:14" ht="15.95" customHeight="1" x14ac:dyDescent="0.25">
      <c r="B22" s="62"/>
      <c r="C22" s="38"/>
      <c r="D22" s="82"/>
      <c r="E22" s="39"/>
      <c r="F22" s="39"/>
      <c r="G22" s="39"/>
      <c r="H22" s="39"/>
      <c r="I22" s="39"/>
      <c r="J22" s="39"/>
      <c r="K22" s="39"/>
      <c r="L22" s="39"/>
      <c r="M22" s="67"/>
      <c r="N22" s="67"/>
    </row>
    <row r="23" spans="2:14" ht="15.95" customHeight="1" x14ac:dyDescent="0.25">
      <c r="B23" s="62"/>
      <c r="C23" s="38"/>
      <c r="D23" s="82"/>
      <c r="E23" s="39"/>
      <c r="F23" s="39"/>
      <c r="G23" s="39"/>
      <c r="H23" s="39"/>
      <c r="I23" s="39"/>
      <c r="J23" s="39"/>
      <c r="K23" s="39"/>
      <c r="L23" s="39"/>
      <c r="M23" s="67"/>
      <c r="N23" s="67"/>
    </row>
    <row r="24" spans="2:14" ht="15.95" customHeight="1" x14ac:dyDescent="0.25">
      <c r="B24" s="62"/>
      <c r="C24" s="38"/>
      <c r="D24" s="82"/>
      <c r="E24" s="39"/>
      <c r="F24" s="39"/>
      <c r="G24" s="39"/>
      <c r="H24" s="39"/>
      <c r="I24" s="39"/>
      <c r="J24" s="39"/>
      <c r="K24" s="39"/>
      <c r="L24" s="39"/>
      <c r="M24" s="67"/>
      <c r="N24" s="67"/>
    </row>
    <row r="25" spans="2:14" ht="15.95" customHeight="1" x14ac:dyDescent="0.25">
      <c r="B25" s="36"/>
      <c r="C25" s="38"/>
      <c r="D25" s="82"/>
      <c r="E25" s="39"/>
      <c r="F25" s="39"/>
      <c r="G25" s="39"/>
      <c r="H25" s="39"/>
      <c r="I25" s="39"/>
      <c r="J25" s="39"/>
      <c r="K25" s="39"/>
      <c r="L25" s="39"/>
      <c r="M25" s="67"/>
      <c r="N25" s="67"/>
    </row>
    <row r="26" spans="2:14" ht="15.95" customHeight="1" x14ac:dyDescent="0.25">
      <c r="B26" s="36" t="s">
        <v>2</v>
      </c>
      <c r="C26" s="38"/>
      <c r="D26" s="82">
        <f>DataIn!D21</f>
        <v>7.0000000000000007E-2</v>
      </c>
      <c r="E26" s="82">
        <f>DataIn!E21</f>
        <v>0.14650000000000002</v>
      </c>
      <c r="F26" s="82">
        <f>DataIn!F21</f>
        <v>0.223</v>
      </c>
      <c r="G26" s="82">
        <f>DataIn!G21</f>
        <v>0.35149999999999998</v>
      </c>
      <c r="H26" s="82">
        <f>DataIn!H21</f>
        <v>0.48</v>
      </c>
      <c r="I26" s="82">
        <f>DataIn!I21</f>
        <v>0.54349999999999998</v>
      </c>
      <c r="J26" s="82">
        <f>DataIn!J21</f>
        <v>0.60699999999999998</v>
      </c>
      <c r="K26" s="82">
        <f>DataIn!K21</f>
        <v>0.60699999999999998</v>
      </c>
      <c r="L26" s="82">
        <f>DataIn!L21</f>
        <v>0.60699999999999998</v>
      </c>
      <c r="M26" s="82">
        <f>DataIn!M21</f>
        <v>0.60699999999999998</v>
      </c>
      <c r="N26" s="82">
        <f>DataIn!N21</f>
        <v>0.60699999999999998</v>
      </c>
    </row>
    <row r="27" spans="2:14" ht="15.95" customHeight="1" x14ac:dyDescent="0.25">
      <c r="B27" s="62"/>
      <c r="C27" s="38"/>
      <c r="D27" s="82"/>
      <c r="E27" s="39"/>
      <c r="F27" s="39"/>
      <c r="G27" s="39"/>
      <c r="H27" s="39"/>
      <c r="I27" s="39"/>
      <c r="J27" s="39"/>
      <c r="K27" s="39"/>
      <c r="L27" s="39"/>
      <c r="M27" s="67"/>
      <c r="N27" s="67"/>
    </row>
    <row r="28" spans="2:14" ht="15.95" customHeight="1" x14ac:dyDescent="0.25">
      <c r="B28" s="62"/>
      <c r="C28" s="38"/>
      <c r="D28" s="82"/>
      <c r="E28" s="39"/>
      <c r="F28" s="39"/>
      <c r="G28" s="39"/>
      <c r="H28" s="39"/>
      <c r="I28" s="39"/>
      <c r="J28" s="39"/>
      <c r="K28" s="39"/>
      <c r="L28" s="39"/>
      <c r="M28" s="67"/>
      <c r="N28" s="67"/>
    </row>
    <row r="29" spans="2:14" ht="15.95" customHeight="1" x14ac:dyDescent="0.25">
      <c r="B29" s="62"/>
      <c r="C29" s="38"/>
      <c r="D29" s="82"/>
      <c r="E29" s="39"/>
      <c r="F29" s="39"/>
      <c r="G29" s="39"/>
      <c r="H29" s="39"/>
      <c r="I29" s="39"/>
      <c r="J29" s="39"/>
      <c r="K29" s="39"/>
      <c r="L29" s="39"/>
      <c r="M29" s="67"/>
      <c r="N29" s="67"/>
    </row>
    <row r="30" spans="2:14" ht="15.95" customHeight="1" x14ac:dyDescent="0.25">
      <c r="B30" s="36"/>
      <c r="C30" s="38"/>
      <c r="D30" s="82"/>
      <c r="E30" s="39"/>
      <c r="F30" s="39"/>
      <c r="G30" s="39"/>
      <c r="H30" s="39"/>
      <c r="I30" s="39"/>
      <c r="J30" s="39"/>
      <c r="K30" s="39"/>
      <c r="L30" s="39"/>
      <c r="M30" s="67"/>
      <c r="N30" s="67"/>
    </row>
    <row r="31" spans="2:14" ht="15.95" customHeight="1" x14ac:dyDescent="0.25">
      <c r="B31" s="36" t="s">
        <v>3</v>
      </c>
      <c r="C31" s="38"/>
      <c r="D31" s="82">
        <f>DataIn!D22</f>
        <v>0</v>
      </c>
      <c r="E31" s="82">
        <f>DataIn!E22</f>
        <v>0</v>
      </c>
      <c r="F31" s="82">
        <f>DataIn!F22</f>
        <v>0</v>
      </c>
      <c r="G31" s="82">
        <f>DataIn!G22</f>
        <v>0</v>
      </c>
      <c r="H31" s="82">
        <f>DataIn!H22</f>
        <v>0</v>
      </c>
      <c r="I31" s="82">
        <f>DataIn!I22</f>
        <v>0</v>
      </c>
      <c r="J31" s="82">
        <f>DataIn!J22</f>
        <v>0</v>
      </c>
      <c r="K31" s="82">
        <f>DataIn!K22</f>
        <v>0</v>
      </c>
      <c r="L31" s="82">
        <f>DataIn!L22</f>
        <v>0</v>
      </c>
      <c r="M31" s="82">
        <f>DataIn!M22</f>
        <v>0</v>
      </c>
      <c r="N31" s="82">
        <f>DataIn!N22</f>
        <v>0</v>
      </c>
    </row>
    <row r="32" spans="2:14" ht="15.95" customHeight="1" x14ac:dyDescent="0.25">
      <c r="B32" s="62"/>
      <c r="C32" s="38"/>
      <c r="D32" s="82"/>
      <c r="E32" s="39"/>
      <c r="F32" s="39"/>
      <c r="G32" s="39"/>
      <c r="H32" s="39"/>
      <c r="I32" s="39"/>
      <c r="J32" s="39"/>
      <c r="K32" s="39"/>
      <c r="L32" s="39"/>
      <c r="M32" s="67"/>
      <c r="N32" s="67"/>
    </row>
    <row r="33" spans="2:14" ht="15.95" customHeight="1" x14ac:dyDescent="0.25">
      <c r="B33" s="62"/>
      <c r="C33" s="38"/>
      <c r="D33" s="82"/>
      <c r="E33" s="39"/>
      <c r="F33" s="39"/>
      <c r="G33" s="39"/>
      <c r="H33" s="39"/>
      <c r="I33" s="39"/>
      <c r="J33" s="39"/>
      <c r="K33" s="39"/>
      <c r="L33" s="39"/>
      <c r="M33" s="67"/>
      <c r="N33" s="67"/>
    </row>
    <row r="34" spans="2:14" ht="15.95" customHeight="1" x14ac:dyDescent="0.25">
      <c r="B34" s="62"/>
      <c r="C34" s="38"/>
      <c r="D34" s="82"/>
      <c r="E34" s="39"/>
      <c r="F34" s="39"/>
      <c r="G34" s="39"/>
      <c r="H34" s="39"/>
      <c r="I34" s="39"/>
      <c r="J34" s="39"/>
      <c r="K34" s="39"/>
      <c r="L34" s="39"/>
      <c r="M34" s="67"/>
      <c r="N34" s="67"/>
    </row>
    <row r="35" spans="2:14" ht="15.95" customHeight="1" x14ac:dyDescent="0.25">
      <c r="B35" s="36"/>
      <c r="C35" s="38"/>
      <c r="D35" s="83"/>
      <c r="E35" s="75"/>
      <c r="F35" s="75"/>
      <c r="G35" s="75"/>
      <c r="H35" s="75"/>
      <c r="I35" s="75"/>
      <c r="J35" s="75"/>
      <c r="K35" s="75"/>
      <c r="L35" s="75"/>
      <c r="M35" s="76"/>
      <c r="N35" s="76"/>
    </row>
    <row r="36" spans="2:14" ht="15.95" customHeight="1" x14ac:dyDescent="0.2">
      <c r="B36" s="238" t="s">
        <v>47</v>
      </c>
      <c r="C36" s="239"/>
      <c r="D36" s="240">
        <f>SUM(D16:D35)</f>
        <v>0.37000000000000005</v>
      </c>
      <c r="E36" s="240">
        <f t="shared" ref="E36:N36" si="0">SUM(E16:E35)</f>
        <v>1.4704999999999999</v>
      </c>
      <c r="F36" s="240">
        <f t="shared" si="0"/>
        <v>2.5709999999999997</v>
      </c>
      <c r="G36" s="240">
        <f t="shared" si="0"/>
        <v>4.4314999999999998</v>
      </c>
      <c r="H36" s="240">
        <f t="shared" si="0"/>
        <v>6.2919999999999998</v>
      </c>
      <c r="I36" s="240">
        <f t="shared" si="0"/>
        <v>7.4009999999999998</v>
      </c>
      <c r="J36" s="240">
        <f t="shared" si="0"/>
        <v>8.51</v>
      </c>
      <c r="K36" s="240">
        <f t="shared" si="0"/>
        <v>8.8289999999999988</v>
      </c>
      <c r="L36" s="240">
        <f>SUM(L16:L35)</f>
        <v>9.1479999999999997</v>
      </c>
      <c r="M36" s="240">
        <f t="shared" si="0"/>
        <v>9.5774999999999988</v>
      </c>
      <c r="N36" s="240">
        <f t="shared" si="0"/>
        <v>10.007</v>
      </c>
    </row>
    <row r="37" spans="2:14" ht="15.95" customHeight="1" x14ac:dyDescent="0.25">
      <c r="B37" s="36" t="s">
        <v>164</v>
      </c>
      <c r="C37" s="80">
        <v>0.03</v>
      </c>
      <c r="D37" s="359">
        <f>DataIn!D23</f>
        <v>0</v>
      </c>
      <c r="E37" s="359">
        <f>DataIn!E23</f>
        <v>2.9000000000000001E-2</v>
      </c>
      <c r="F37" s="359">
        <f>DataIn!F23</f>
        <v>5.8000000000000003E-2</v>
      </c>
      <c r="G37" s="359">
        <f>DataIn!G23</f>
        <v>9.8500000000000004E-2</v>
      </c>
      <c r="H37" s="359">
        <f>DataIn!H23</f>
        <v>0.13900000000000001</v>
      </c>
      <c r="I37" s="359">
        <f>DataIn!I23</f>
        <v>0.1615</v>
      </c>
      <c r="J37" s="359">
        <f>DataIn!J23</f>
        <v>0.184</v>
      </c>
      <c r="K37" s="359">
        <f>DataIn!K23</f>
        <v>0.1905</v>
      </c>
      <c r="L37" s="359">
        <f>DataIn!L23</f>
        <v>0.19700000000000001</v>
      </c>
      <c r="M37" s="359">
        <f>DataIn!M23</f>
        <v>0.20600000000000002</v>
      </c>
      <c r="N37" s="359">
        <f>DataIn!N23</f>
        <v>0.215</v>
      </c>
    </row>
    <row r="38" spans="2:14" ht="15.95" customHeight="1" x14ac:dyDescent="0.25">
      <c r="B38" s="36" t="s">
        <v>165</v>
      </c>
      <c r="C38" s="80"/>
      <c r="D38" s="359">
        <f>DataIn!D24</f>
        <v>0.10199999999999999</v>
      </c>
      <c r="E38" s="359">
        <f>DataIn!E24</f>
        <v>0.13300000000000001</v>
      </c>
      <c r="F38" s="359">
        <f>DataIn!F24</f>
        <v>0.16400000000000001</v>
      </c>
      <c r="G38" s="359">
        <f>DataIn!G24</f>
        <v>0.27250000000000002</v>
      </c>
      <c r="H38" s="359">
        <f>DataIn!H24</f>
        <v>0.38100000000000001</v>
      </c>
      <c r="I38" s="359">
        <f>DataIn!I24</f>
        <v>0.33899999999999997</v>
      </c>
      <c r="J38" s="359">
        <f>DataIn!J24</f>
        <v>0.29699999999999999</v>
      </c>
      <c r="K38" s="359">
        <f>DataIn!K24</f>
        <v>0.3075</v>
      </c>
      <c r="L38" s="359">
        <f>DataIn!L24</f>
        <v>0.318</v>
      </c>
      <c r="M38" s="359">
        <f>DataIn!M24</f>
        <v>0.33199999999999996</v>
      </c>
      <c r="N38" s="359">
        <f>DataIn!N24</f>
        <v>0.34599999999999997</v>
      </c>
    </row>
    <row r="39" spans="2:14" ht="15.95" customHeight="1" x14ac:dyDescent="0.25">
      <c r="B39" s="36" t="s">
        <v>166</v>
      </c>
      <c r="C39" s="80">
        <v>0.05</v>
      </c>
      <c r="D39" s="359">
        <f>DataIn!D25</f>
        <v>9.0999999999999998E-2</v>
      </c>
      <c r="E39" s="359">
        <f>DataIn!E25</f>
        <v>0.16999999999999998</v>
      </c>
      <c r="F39" s="359">
        <f>DataIn!F25</f>
        <v>0.249</v>
      </c>
      <c r="G39" s="359">
        <f>DataIn!G25</f>
        <v>0.34199999999999997</v>
      </c>
      <c r="H39" s="359">
        <f>DataIn!H25</f>
        <v>0.435</v>
      </c>
      <c r="I39" s="359">
        <f>DataIn!I25</f>
        <v>0.50549999999999995</v>
      </c>
      <c r="J39" s="359">
        <f>DataIn!J25</f>
        <v>0.57599999999999996</v>
      </c>
      <c r="K39" s="359">
        <f>DataIn!K25</f>
        <v>0.59650000000000003</v>
      </c>
      <c r="L39" s="359">
        <f>DataIn!L25</f>
        <v>0.61699999999999999</v>
      </c>
      <c r="M39" s="359">
        <f>DataIn!M25</f>
        <v>0.64450000000000007</v>
      </c>
      <c r="N39" s="359">
        <f>DataIn!N25</f>
        <v>0.67200000000000004</v>
      </c>
    </row>
    <row r="40" spans="2:14" ht="15.95" customHeight="1" x14ac:dyDescent="0.25">
      <c r="B40" s="36"/>
      <c r="C40" s="80"/>
      <c r="D40" s="359"/>
      <c r="E40" s="80"/>
      <c r="F40" s="80"/>
      <c r="G40" s="80"/>
      <c r="H40" s="80"/>
      <c r="I40" s="80"/>
      <c r="J40" s="80"/>
      <c r="K40" s="80"/>
      <c r="L40" s="80"/>
      <c r="M40" s="360"/>
      <c r="N40" s="360"/>
    </row>
    <row r="41" spans="2:14" s="28" customFormat="1" ht="15.95" customHeight="1" x14ac:dyDescent="0.25">
      <c r="B41" s="36" t="s">
        <v>4</v>
      </c>
      <c r="C41" s="38"/>
      <c r="D41" s="359">
        <f>SUM(D36:D39)</f>
        <v>0.56300000000000006</v>
      </c>
      <c r="E41" s="361">
        <f t="shared" ref="E41:N41" si="1">SUM(E36:E39)</f>
        <v>1.8024999999999998</v>
      </c>
      <c r="F41" s="361">
        <f t="shared" si="1"/>
        <v>3.0419999999999998</v>
      </c>
      <c r="G41" s="361">
        <f t="shared" si="1"/>
        <v>5.144499999999999</v>
      </c>
      <c r="H41" s="361">
        <f t="shared" si="1"/>
        <v>7.2469999999999999</v>
      </c>
      <c r="I41" s="361">
        <f t="shared" si="1"/>
        <v>8.407</v>
      </c>
      <c r="J41" s="361">
        <f t="shared" si="1"/>
        <v>9.5670000000000002</v>
      </c>
      <c r="K41" s="361">
        <f t="shared" si="1"/>
        <v>9.9234999999999989</v>
      </c>
      <c r="L41" s="361">
        <f t="shared" si="1"/>
        <v>10.279999999999998</v>
      </c>
      <c r="M41" s="361">
        <f t="shared" si="1"/>
        <v>10.76</v>
      </c>
      <c r="N41" s="361">
        <f t="shared" si="1"/>
        <v>11.24</v>
      </c>
    </row>
    <row r="42" spans="2:14" s="28" customFormat="1" ht="15.95" customHeight="1" x14ac:dyDescent="0.25">
      <c r="B42" s="109"/>
      <c r="C42" s="110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</row>
    <row r="43" spans="2:14" ht="15.95" customHeight="1" x14ac:dyDescent="0.25">
      <c r="B43" s="40" t="s">
        <v>49</v>
      </c>
      <c r="C43" s="41"/>
      <c r="D43" s="48">
        <v>2010</v>
      </c>
      <c r="E43" s="48">
        <v>2015</v>
      </c>
      <c r="F43" s="48">
        <v>2020</v>
      </c>
      <c r="G43" s="48">
        <v>2025</v>
      </c>
      <c r="H43" s="48">
        <v>2030</v>
      </c>
      <c r="I43" s="48">
        <v>2035</v>
      </c>
      <c r="J43" s="48">
        <v>2040</v>
      </c>
      <c r="K43" s="48">
        <v>2045</v>
      </c>
      <c r="L43" s="48">
        <v>2050</v>
      </c>
      <c r="M43" s="48">
        <v>2055</v>
      </c>
      <c r="N43" s="48">
        <v>2060</v>
      </c>
    </row>
    <row r="44" spans="2:14" ht="15.95" customHeight="1" x14ac:dyDescent="0.25">
      <c r="B44" s="42" t="s">
        <v>67</v>
      </c>
      <c r="C44" s="68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68"/>
    </row>
    <row r="45" spans="2:14" ht="15.95" customHeight="1" x14ac:dyDescent="0.25">
      <c r="B45" s="42" t="str">
        <f>DataIn!B40</f>
        <v>Chatham County North</v>
      </c>
      <c r="C45" s="68">
        <f>DataIn!D40</f>
        <v>0.5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68">
        <v>0</v>
      </c>
    </row>
    <row r="46" spans="2:14" ht="15.95" customHeight="1" x14ac:dyDescent="0.25">
      <c r="B46" s="42" t="str">
        <f>DataIn!B41</f>
        <v>Chapel Ridge S/D</v>
      </c>
      <c r="C46" s="68">
        <f>DataIn!D41</f>
        <v>0.52</v>
      </c>
      <c r="D46" s="412">
        <f>DataIn!D26</f>
        <v>6.0999999999999999E-2</v>
      </c>
      <c r="E46" s="412">
        <f>DataIn!E26</f>
        <v>0.17699999999999999</v>
      </c>
      <c r="F46" s="412">
        <f>DataIn!F26</f>
        <v>0.29299999999999998</v>
      </c>
      <c r="G46" s="412">
        <f>DataIn!G26</f>
        <v>0.40700000000000003</v>
      </c>
      <c r="H46" s="412">
        <f>DataIn!H26</f>
        <v>0.52100000000000002</v>
      </c>
      <c r="I46" s="412">
        <f>DataIn!I26</f>
        <v>0.52100000000000002</v>
      </c>
      <c r="J46" s="412">
        <f>DataIn!J26</f>
        <v>0.52100000000000002</v>
      </c>
      <c r="K46" s="412">
        <f>DataIn!K26</f>
        <v>0.52100000000000002</v>
      </c>
      <c r="L46" s="412">
        <f>DataIn!L26</f>
        <v>0.52100000000000002</v>
      </c>
      <c r="M46" s="412">
        <f>DataIn!M26</f>
        <v>0.52100000000000002</v>
      </c>
      <c r="N46" s="413">
        <f>DataIn!N26</f>
        <v>0.52100000000000002</v>
      </c>
    </row>
    <row r="47" spans="2:14" ht="15.95" customHeight="1" x14ac:dyDescent="0.25">
      <c r="B47" s="42"/>
      <c r="C47" s="6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68"/>
    </row>
    <row r="48" spans="2:14" ht="15.95" customHeight="1" x14ac:dyDescent="0.25">
      <c r="B48" s="42"/>
      <c r="C48" s="68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68"/>
    </row>
    <row r="49" spans="2:14" ht="15.95" customHeight="1" x14ac:dyDescent="0.25">
      <c r="B49" s="42" t="s">
        <v>51</v>
      </c>
      <c r="C49" s="68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68"/>
    </row>
    <row r="50" spans="2:14" ht="15.95" customHeight="1" x14ac:dyDescent="0.25">
      <c r="B50" s="42"/>
      <c r="C50" s="68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68"/>
    </row>
    <row r="51" spans="2:14" ht="15.95" customHeight="1" x14ac:dyDescent="0.25">
      <c r="B51" s="42"/>
      <c r="C51" s="68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68"/>
    </row>
    <row r="52" spans="2:14" ht="15.95" customHeight="1" x14ac:dyDescent="0.25">
      <c r="B52" s="42"/>
      <c r="C52" s="6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68"/>
    </row>
    <row r="53" spans="2:14" ht="15.95" customHeight="1" x14ac:dyDescent="0.25">
      <c r="B53" s="42"/>
      <c r="C53" s="68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68"/>
    </row>
    <row r="54" spans="2:14" ht="15.95" customHeight="1" x14ac:dyDescent="0.25">
      <c r="B54" s="42" t="s">
        <v>48</v>
      </c>
      <c r="C54" s="43"/>
      <c r="D54" s="77">
        <f>SUM(D44:D53)</f>
        <v>6.0999999999999999E-2</v>
      </c>
      <c r="E54" s="77">
        <f t="shared" ref="E54:N54" si="2">SUM(E44:E53)</f>
        <v>0.17699999999999999</v>
      </c>
      <c r="F54" s="77">
        <f t="shared" si="2"/>
        <v>0.29299999999999998</v>
      </c>
      <c r="G54" s="77">
        <f t="shared" si="2"/>
        <v>0.40700000000000003</v>
      </c>
      <c r="H54" s="77">
        <f t="shared" si="2"/>
        <v>0.52100000000000002</v>
      </c>
      <c r="I54" s="77">
        <f t="shared" si="2"/>
        <v>0.52100000000000002</v>
      </c>
      <c r="J54" s="77">
        <f t="shared" si="2"/>
        <v>0.52100000000000002</v>
      </c>
      <c r="K54" s="77">
        <f t="shared" si="2"/>
        <v>0.52100000000000002</v>
      </c>
      <c r="L54" s="77">
        <f>SUM(L44:L53)</f>
        <v>0.52100000000000002</v>
      </c>
      <c r="M54" s="77">
        <f t="shared" si="2"/>
        <v>0.52100000000000002</v>
      </c>
      <c r="N54" s="77">
        <f t="shared" si="2"/>
        <v>0.52100000000000002</v>
      </c>
    </row>
    <row r="55" spans="2:14" s="28" customFormat="1" ht="15.95" customHeight="1" x14ac:dyDescent="0.25">
      <c r="B55" s="42" t="s">
        <v>50</v>
      </c>
      <c r="C55" s="45"/>
      <c r="D55" s="81">
        <f>D41+D54</f>
        <v>0.62400000000000011</v>
      </c>
      <c r="E55" s="81">
        <f t="shared" ref="E55:N55" si="3">E41+E54</f>
        <v>1.9794999999999998</v>
      </c>
      <c r="F55" s="81">
        <f t="shared" si="3"/>
        <v>3.335</v>
      </c>
      <c r="G55" s="81">
        <f t="shared" si="3"/>
        <v>5.551499999999999</v>
      </c>
      <c r="H55" s="81">
        <f t="shared" si="3"/>
        <v>7.7679999999999998</v>
      </c>
      <c r="I55" s="81">
        <f t="shared" si="3"/>
        <v>8.9280000000000008</v>
      </c>
      <c r="J55" s="81">
        <f t="shared" si="3"/>
        <v>10.088000000000001</v>
      </c>
      <c r="K55" s="81">
        <f t="shared" si="3"/>
        <v>10.4445</v>
      </c>
      <c r="L55" s="81">
        <f>L41+L54</f>
        <v>10.800999999999998</v>
      </c>
      <c r="M55" s="81">
        <f t="shared" si="3"/>
        <v>11.281000000000001</v>
      </c>
      <c r="N55" s="81">
        <f t="shared" si="3"/>
        <v>11.761000000000001</v>
      </c>
    </row>
    <row r="56" spans="2:14" ht="15.95" customHeight="1" x14ac:dyDescent="0.25">
      <c r="B56" s="46"/>
      <c r="C56" s="47"/>
      <c r="D56" s="53">
        <v>2010</v>
      </c>
      <c r="E56" s="54">
        <v>2015</v>
      </c>
      <c r="F56" s="54">
        <v>2020</v>
      </c>
      <c r="G56" s="54">
        <v>2025</v>
      </c>
      <c r="H56" s="54">
        <v>2030</v>
      </c>
      <c r="I56" s="54">
        <v>2035</v>
      </c>
      <c r="J56" s="54">
        <v>2040</v>
      </c>
      <c r="K56" s="54">
        <v>2045</v>
      </c>
      <c r="L56" s="54">
        <v>2050</v>
      </c>
      <c r="M56" s="54">
        <v>2055</v>
      </c>
      <c r="N56" s="54">
        <v>2060</v>
      </c>
    </row>
    <row r="58" spans="2:14" ht="15.95" customHeight="1" x14ac:dyDescent="0.2">
      <c r="B58" s="487"/>
      <c r="C58" s="70"/>
      <c r="D58" s="488"/>
      <c r="H58" s="32"/>
    </row>
    <row r="59" spans="2:14" ht="15.95" customHeight="1" x14ac:dyDescent="0.25">
      <c r="B59" s="28"/>
      <c r="H59" s="32"/>
      <c r="I59" s="84"/>
    </row>
    <row r="60" spans="2:14" ht="15.95" customHeight="1" x14ac:dyDescent="0.25">
      <c r="B60" s="28"/>
      <c r="H60" s="32"/>
      <c r="I60" s="32"/>
      <c r="J60" s="32"/>
    </row>
    <row r="61" spans="2:14" ht="15.95" customHeight="1" x14ac:dyDescent="0.25">
      <c r="B61" s="28"/>
      <c r="I61" s="32"/>
      <c r="J61" s="32"/>
    </row>
    <row r="62" spans="2:14" ht="15.95" customHeight="1" x14ac:dyDescent="0.25">
      <c r="B62" s="28"/>
      <c r="I62" s="32"/>
      <c r="J62" s="32"/>
    </row>
    <row r="63" spans="2:14" ht="15.95" customHeight="1" x14ac:dyDescent="0.25">
      <c r="B63" s="28"/>
      <c r="I63" s="32"/>
      <c r="J63" s="32"/>
    </row>
    <row r="64" spans="2:14" ht="15.95" customHeight="1" x14ac:dyDescent="0.25">
      <c r="B64" s="28"/>
      <c r="I64" s="32"/>
      <c r="J64" s="32"/>
    </row>
    <row r="65" spans="2:14" ht="15.95" customHeight="1" x14ac:dyDescent="0.25">
      <c r="B65" s="28"/>
      <c r="I65" s="32"/>
      <c r="J65" s="32"/>
    </row>
    <row r="66" spans="2:14" ht="15.95" customHeight="1" x14ac:dyDescent="0.25">
      <c r="B66" s="28"/>
      <c r="I66" s="32"/>
      <c r="J66" s="32"/>
    </row>
    <row r="67" spans="2:14" ht="15.95" customHeight="1" x14ac:dyDescent="0.25">
      <c r="B67" s="28"/>
      <c r="I67" s="32"/>
      <c r="J67" s="32"/>
    </row>
    <row r="68" spans="2:14" ht="15.95" customHeight="1" x14ac:dyDescent="0.25">
      <c r="B68" s="28"/>
      <c r="I68" s="32"/>
      <c r="J68" s="32"/>
    </row>
    <row r="69" spans="2:14" ht="15.95" customHeight="1" x14ac:dyDescent="0.25">
      <c r="B69" s="28"/>
      <c r="I69" s="32"/>
      <c r="J69" s="32"/>
    </row>
    <row r="70" spans="2:14" ht="15.95" customHeight="1" x14ac:dyDescent="0.25">
      <c r="B70" s="28"/>
      <c r="I70" s="32"/>
      <c r="J70" s="32"/>
    </row>
    <row r="71" spans="2:14" ht="15.95" customHeight="1" x14ac:dyDescent="0.25">
      <c r="B71" s="28"/>
      <c r="I71" s="32"/>
      <c r="J71" s="32"/>
    </row>
    <row r="72" spans="2:14" ht="15.95" customHeight="1" x14ac:dyDescent="0.25">
      <c r="B72" s="28"/>
      <c r="I72" s="32"/>
      <c r="J72" s="32"/>
    </row>
    <row r="77" spans="2:14" s="46" customFormat="1" ht="15.95" customHeight="1" x14ac:dyDescent="0.25">
      <c r="B77" s="40" t="s">
        <v>71</v>
      </c>
      <c r="C77" s="41"/>
      <c r="D77" s="41"/>
      <c r="E77" s="41"/>
      <c r="F77" s="41"/>
      <c r="G77" s="41"/>
      <c r="H77" s="52"/>
      <c r="I77" s="85"/>
      <c r="J77" s="85"/>
      <c r="K77" s="85"/>
      <c r="L77" s="85"/>
      <c r="M77" s="85"/>
      <c r="N77" s="85"/>
    </row>
    <row r="78" spans="2:14" s="46" customFormat="1" ht="15.95" customHeight="1" x14ac:dyDescent="0.25">
      <c r="B78" s="478" t="s">
        <v>26</v>
      </c>
      <c r="C78" s="479"/>
      <c r="D78" s="478" t="s">
        <v>27</v>
      </c>
      <c r="E78" s="480"/>
      <c r="F78" s="480"/>
      <c r="G78" s="86" t="s">
        <v>31</v>
      </c>
      <c r="H78" s="86" t="s">
        <v>33</v>
      </c>
      <c r="I78" s="85"/>
      <c r="J78" s="85"/>
      <c r="K78" s="85"/>
      <c r="L78" s="85"/>
      <c r="M78" s="85"/>
      <c r="N78" s="85"/>
    </row>
    <row r="79" spans="2:14" s="46" customFormat="1" ht="15.95" customHeight="1" x14ac:dyDescent="0.25">
      <c r="B79" s="47" t="s">
        <v>28</v>
      </c>
      <c r="C79" s="47" t="s">
        <v>15</v>
      </c>
      <c r="D79" s="47" t="s">
        <v>25</v>
      </c>
      <c r="E79" s="47" t="s">
        <v>29</v>
      </c>
      <c r="F79" s="47" t="s">
        <v>30</v>
      </c>
      <c r="G79" s="87" t="s">
        <v>32</v>
      </c>
      <c r="H79" s="87" t="s">
        <v>34</v>
      </c>
      <c r="I79" s="85"/>
      <c r="J79" s="85"/>
      <c r="K79" s="85"/>
      <c r="L79" s="85"/>
      <c r="M79" s="85"/>
      <c r="N79" s="85"/>
    </row>
    <row r="80" spans="2:14" ht="15.95" customHeight="1" x14ac:dyDescent="0.2">
      <c r="B80" s="29" t="s">
        <v>343</v>
      </c>
      <c r="C80" s="30"/>
      <c r="D80" s="30"/>
      <c r="E80" s="30"/>
      <c r="F80" s="30"/>
      <c r="G80" s="30"/>
      <c r="H80" s="30"/>
    </row>
    <row r="81" spans="2:14" ht="15.95" customHeight="1" x14ac:dyDescent="0.2">
      <c r="B81" s="29"/>
      <c r="C81" s="30"/>
      <c r="D81" s="30"/>
      <c r="E81" s="30"/>
      <c r="F81" s="30"/>
      <c r="G81" s="30"/>
      <c r="H81" s="30"/>
    </row>
    <row r="82" spans="2:14" ht="15.95" customHeight="1" x14ac:dyDescent="0.2">
      <c r="B82" s="29"/>
      <c r="C82" s="30"/>
      <c r="D82" s="30"/>
      <c r="E82" s="30"/>
      <c r="F82" s="30"/>
      <c r="G82" s="30"/>
      <c r="H82" s="30"/>
    </row>
    <row r="83" spans="2:14" ht="15.95" customHeight="1" x14ac:dyDescent="0.2">
      <c r="B83" s="29"/>
      <c r="C83" s="30"/>
      <c r="D83" s="30"/>
      <c r="E83" s="30"/>
      <c r="F83" s="30"/>
      <c r="G83" s="30"/>
      <c r="H83" s="30"/>
    </row>
    <row r="84" spans="2:14" ht="15.95" customHeight="1" x14ac:dyDescent="0.2">
      <c r="B84" s="104"/>
      <c r="C84" s="70"/>
      <c r="D84" s="70"/>
      <c r="E84" s="70"/>
      <c r="F84" s="70"/>
      <c r="G84" s="70"/>
      <c r="H84" s="70"/>
    </row>
    <row r="86" spans="2:14" s="46" customFormat="1" ht="15.95" customHeight="1" x14ac:dyDescent="0.25">
      <c r="B86" s="94" t="s">
        <v>72</v>
      </c>
      <c r="C86" s="95"/>
      <c r="D86" s="95"/>
      <c r="E86" s="95"/>
      <c r="F86" s="95"/>
      <c r="G86" s="95"/>
      <c r="H86" s="95"/>
      <c r="I86" s="96"/>
      <c r="J86" s="85"/>
      <c r="K86" s="85"/>
      <c r="L86" s="85"/>
      <c r="M86" s="85"/>
      <c r="N86" s="85"/>
    </row>
    <row r="87" spans="2:14" s="46" customFormat="1" ht="15.95" customHeight="1" x14ac:dyDescent="0.25">
      <c r="B87" s="97" t="s">
        <v>14</v>
      </c>
      <c r="C87" s="98" t="s">
        <v>15</v>
      </c>
      <c r="D87" s="99" t="s">
        <v>16</v>
      </c>
      <c r="E87" s="98" t="s">
        <v>17</v>
      </c>
      <c r="F87" s="99" t="s">
        <v>18</v>
      </c>
      <c r="G87" s="98" t="s">
        <v>81</v>
      </c>
      <c r="H87" s="99" t="s">
        <v>21</v>
      </c>
      <c r="I87" s="98" t="s">
        <v>23</v>
      </c>
      <c r="J87" s="85"/>
      <c r="K87" s="85"/>
      <c r="L87" s="85"/>
      <c r="M87" s="85"/>
      <c r="N87" s="85"/>
    </row>
    <row r="88" spans="2:14" s="46" customFormat="1" ht="15.95" customHeight="1" x14ac:dyDescent="0.25">
      <c r="B88" s="100"/>
      <c r="C88" s="101"/>
      <c r="D88" s="99"/>
      <c r="E88" s="101"/>
      <c r="F88" s="99" t="s">
        <v>19</v>
      </c>
      <c r="G88" s="101" t="s">
        <v>20</v>
      </c>
      <c r="H88" s="99" t="s">
        <v>22</v>
      </c>
      <c r="I88" s="101" t="s">
        <v>24</v>
      </c>
      <c r="J88" s="85"/>
      <c r="K88" s="85"/>
      <c r="L88" s="85"/>
      <c r="M88" s="85"/>
      <c r="N88" s="85"/>
    </row>
    <row r="89" spans="2:14" ht="15.95" customHeight="1" x14ac:dyDescent="0.25">
      <c r="B89" s="102"/>
      <c r="C89" s="103"/>
      <c r="D89" s="103"/>
      <c r="E89" s="103"/>
      <c r="F89" s="103"/>
      <c r="G89" s="320"/>
      <c r="H89" s="103"/>
      <c r="I89" s="320"/>
    </row>
    <row r="90" spans="2:14" ht="15.95" customHeight="1" x14ac:dyDescent="0.25">
      <c r="B90" s="102"/>
      <c r="C90" s="103"/>
      <c r="D90" s="103"/>
      <c r="E90" s="103"/>
      <c r="F90" s="103"/>
      <c r="G90" s="320"/>
      <c r="H90" s="103"/>
      <c r="I90" s="320"/>
    </row>
    <row r="92" spans="2:14" ht="15.95" customHeight="1" x14ac:dyDescent="0.2">
      <c r="N92" s="70"/>
    </row>
    <row r="93" spans="2:14" s="28" customFormat="1" ht="27" customHeight="1" x14ac:dyDescent="0.25">
      <c r="B93" s="112" t="s">
        <v>74</v>
      </c>
      <c r="C93" s="52"/>
      <c r="D93" s="41"/>
      <c r="E93" s="41"/>
      <c r="F93" s="41"/>
      <c r="G93" s="41"/>
      <c r="H93" s="41"/>
      <c r="I93" s="41"/>
      <c r="J93" s="41"/>
      <c r="K93" s="41"/>
      <c r="L93" s="41"/>
      <c r="M93" s="52"/>
      <c r="N93" s="71"/>
    </row>
    <row r="94" spans="2:14" s="28" customFormat="1" ht="15.95" customHeight="1" x14ac:dyDescent="0.25">
      <c r="B94" s="49" t="s">
        <v>6</v>
      </c>
      <c r="C94" s="48">
        <v>2010</v>
      </c>
      <c r="D94" s="54">
        <v>2015</v>
      </c>
      <c r="E94" s="54">
        <v>2020</v>
      </c>
      <c r="F94" s="54">
        <v>2025</v>
      </c>
      <c r="G94" s="54">
        <v>2030</v>
      </c>
      <c r="H94" s="54">
        <v>2035</v>
      </c>
      <c r="I94" s="54">
        <v>2040</v>
      </c>
      <c r="J94" s="54">
        <v>2045</v>
      </c>
      <c r="K94" s="54">
        <v>2050</v>
      </c>
      <c r="L94" s="61">
        <v>2055</v>
      </c>
      <c r="M94" s="48">
        <v>2060</v>
      </c>
      <c r="N94" s="71"/>
    </row>
    <row r="95" spans="2:14" s="28" customFormat="1" ht="15.95" customHeight="1" x14ac:dyDescent="0.25">
      <c r="B95" s="55" t="s">
        <v>75</v>
      </c>
      <c r="C95" s="356">
        <f>ReportTables!$G$51</f>
        <v>2</v>
      </c>
      <c r="D95" s="356">
        <f>ReportTables!$G$51</f>
        <v>2</v>
      </c>
      <c r="E95" s="356">
        <f>ReportTables!$G$51</f>
        <v>2</v>
      </c>
      <c r="F95" s="356">
        <f>ReportTables!$G$51</f>
        <v>2</v>
      </c>
      <c r="G95" s="356">
        <f>ReportTables!$G$51</f>
        <v>2</v>
      </c>
      <c r="H95" s="356">
        <f>ReportTables!$G$51</f>
        <v>2</v>
      </c>
      <c r="I95" s="356">
        <f>ReportTables!$G$51</f>
        <v>2</v>
      </c>
      <c r="J95" s="356">
        <f>ReportTables!$G$51</f>
        <v>2</v>
      </c>
      <c r="K95" s="356">
        <f>ReportTables!$G$51</f>
        <v>2</v>
      </c>
      <c r="L95" s="356">
        <f>ReportTables!$G$51</f>
        <v>2</v>
      </c>
      <c r="M95" s="356">
        <f>ReportTables!$G$51</f>
        <v>2</v>
      </c>
      <c r="N95" s="72"/>
    </row>
    <row r="96" spans="2:14" s="28" customFormat="1" ht="15.95" customHeight="1" x14ac:dyDescent="0.25">
      <c r="B96" s="55" t="s">
        <v>76</v>
      </c>
      <c r="C96" s="356"/>
      <c r="D96" s="356"/>
      <c r="E96" s="356"/>
      <c r="F96" s="356"/>
      <c r="G96" s="356"/>
      <c r="H96" s="356"/>
      <c r="I96" s="356"/>
      <c r="J96" s="356"/>
      <c r="K96" s="356"/>
      <c r="L96" s="357"/>
      <c r="M96" s="356"/>
      <c r="N96" s="72"/>
    </row>
    <row r="97" spans="2:14" s="28" customFormat="1" ht="15.95" customHeight="1" x14ac:dyDescent="0.25">
      <c r="B97" s="55" t="s">
        <v>77</v>
      </c>
      <c r="C97" s="356">
        <f>ReportTables!$I$41</f>
        <v>0</v>
      </c>
      <c r="D97" s="356">
        <f>ReportTables!$I$41</f>
        <v>0</v>
      </c>
      <c r="E97" s="356">
        <f>ReportTables!$I$41</f>
        <v>0</v>
      </c>
      <c r="F97" s="356">
        <f>ReportTables!$I$41</f>
        <v>0</v>
      </c>
      <c r="G97" s="356">
        <f>ReportTables!$I$41</f>
        <v>0</v>
      </c>
      <c r="H97" s="356">
        <f>ReportTables!$I$41</f>
        <v>0</v>
      </c>
      <c r="I97" s="356">
        <f>ReportTables!$I$41</f>
        <v>0</v>
      </c>
      <c r="J97" s="356">
        <f>ReportTables!$I$41</f>
        <v>0</v>
      </c>
      <c r="K97" s="356">
        <f>ReportTables!$I$41</f>
        <v>0</v>
      </c>
      <c r="L97" s="356">
        <f>ReportTables!$I$41</f>
        <v>0</v>
      </c>
      <c r="M97" s="356">
        <f>ReportTables!$I$41</f>
        <v>0</v>
      </c>
      <c r="N97" s="72"/>
    </row>
    <row r="98" spans="2:14" s="28" customFormat="1" ht="15.95" customHeight="1" x14ac:dyDescent="0.25">
      <c r="B98" s="55" t="s">
        <v>78</v>
      </c>
      <c r="C98" s="356">
        <v>0</v>
      </c>
      <c r="D98" s="356">
        <v>0</v>
      </c>
      <c r="E98" s="356">
        <v>0</v>
      </c>
      <c r="F98" s="356">
        <v>0</v>
      </c>
      <c r="G98" s="356">
        <v>0</v>
      </c>
      <c r="H98" s="356">
        <v>0</v>
      </c>
      <c r="I98" s="356">
        <v>0</v>
      </c>
      <c r="J98" s="356">
        <v>0</v>
      </c>
      <c r="K98" s="356">
        <v>0</v>
      </c>
      <c r="L98" s="356">
        <v>0</v>
      </c>
      <c r="M98" s="356">
        <v>0</v>
      </c>
      <c r="N98" s="72"/>
    </row>
    <row r="99" spans="2:14" s="28" customFormat="1" ht="15.95" customHeight="1" x14ac:dyDescent="0.25">
      <c r="B99" s="50" t="s">
        <v>5</v>
      </c>
      <c r="C99" s="358">
        <f>SUM(C95:C98)</f>
        <v>2</v>
      </c>
      <c r="D99" s="358">
        <f>SUM(D95:D98)</f>
        <v>2</v>
      </c>
      <c r="E99" s="358">
        <f t="shared" ref="E99:M99" si="4">SUM(E95:E98)</f>
        <v>2</v>
      </c>
      <c r="F99" s="358">
        <f t="shared" si="4"/>
        <v>2</v>
      </c>
      <c r="G99" s="358">
        <f t="shared" si="4"/>
        <v>2</v>
      </c>
      <c r="H99" s="358">
        <f t="shared" si="4"/>
        <v>2</v>
      </c>
      <c r="I99" s="358">
        <f t="shared" si="4"/>
        <v>2</v>
      </c>
      <c r="J99" s="358">
        <f t="shared" si="4"/>
        <v>2</v>
      </c>
      <c r="K99" s="358">
        <f t="shared" si="4"/>
        <v>2</v>
      </c>
      <c r="L99" s="358">
        <f t="shared" si="4"/>
        <v>2</v>
      </c>
      <c r="M99" s="358">
        <f t="shared" si="4"/>
        <v>2</v>
      </c>
      <c r="N99" s="72"/>
    </row>
    <row r="100" spans="2:14" s="28" customFormat="1" ht="15.95" customHeight="1" x14ac:dyDescent="0.25">
      <c r="B100" s="55" t="s">
        <v>7</v>
      </c>
      <c r="C100" s="356">
        <f>D41</f>
        <v>0.56300000000000006</v>
      </c>
      <c r="D100" s="356">
        <f>E41</f>
        <v>1.8024999999999998</v>
      </c>
      <c r="E100" s="356">
        <f>F41</f>
        <v>3.0419999999999998</v>
      </c>
      <c r="F100" s="356">
        <f>G41</f>
        <v>5.144499999999999</v>
      </c>
      <c r="G100" s="356">
        <f>H41</f>
        <v>7.2469999999999999</v>
      </c>
      <c r="H100" s="356">
        <f>I41</f>
        <v>8.407</v>
      </c>
      <c r="I100" s="356">
        <f>J41</f>
        <v>9.5670000000000002</v>
      </c>
      <c r="J100" s="356">
        <f>K41</f>
        <v>9.9234999999999989</v>
      </c>
      <c r="K100" s="356">
        <f>L41</f>
        <v>10.279999999999998</v>
      </c>
      <c r="L100" s="356">
        <f>M41</f>
        <v>10.76</v>
      </c>
      <c r="M100" s="356">
        <f>N41</f>
        <v>11.24</v>
      </c>
      <c r="N100" s="72"/>
    </row>
    <row r="101" spans="2:14" s="28" customFormat="1" ht="15.95" customHeight="1" x14ac:dyDescent="0.25">
      <c r="B101" s="55" t="s">
        <v>79</v>
      </c>
      <c r="C101" s="356">
        <f>SUM(D45:D48)</f>
        <v>6.0999999999999999E-2</v>
      </c>
      <c r="D101" s="356">
        <f>SUM(E45:E48)</f>
        <v>0.17699999999999999</v>
      </c>
      <c r="E101" s="356">
        <f>SUM(F45:F48)</f>
        <v>0.29299999999999998</v>
      </c>
      <c r="F101" s="356">
        <f>SUM(G45:G48)</f>
        <v>0.40700000000000003</v>
      </c>
      <c r="G101" s="356">
        <f>SUM(H45:H48)</f>
        <v>0.52100000000000002</v>
      </c>
      <c r="H101" s="356">
        <f>SUM(I45:I48)</f>
        <v>0.52100000000000002</v>
      </c>
      <c r="I101" s="356">
        <f>SUM(J45:J48)</f>
        <v>0.52100000000000002</v>
      </c>
      <c r="J101" s="356">
        <f>SUM(K45:K48)</f>
        <v>0.52100000000000002</v>
      </c>
      <c r="K101" s="356">
        <f>SUM(L45:L48)</f>
        <v>0.52100000000000002</v>
      </c>
      <c r="L101" s="356">
        <f>SUM(M45:M48)</f>
        <v>0.52100000000000002</v>
      </c>
      <c r="M101" s="356">
        <f>SUM(N45:N48)</f>
        <v>0.52100000000000002</v>
      </c>
      <c r="N101" s="72"/>
    </row>
    <row r="102" spans="2:14" s="28" customFormat="1" ht="15.95" customHeight="1" x14ac:dyDescent="0.25">
      <c r="B102" s="55" t="s">
        <v>80</v>
      </c>
      <c r="C102" s="356">
        <f>SUM(D50:D53)</f>
        <v>0</v>
      </c>
      <c r="D102" s="356">
        <f>SUM(E50:E53)</f>
        <v>0</v>
      </c>
      <c r="E102" s="356">
        <f>SUM(F50:F53)</f>
        <v>0</v>
      </c>
      <c r="F102" s="356">
        <f>SUM(G50:G53)</f>
        <v>0</v>
      </c>
      <c r="G102" s="356">
        <f>SUM(H50:H53)</f>
        <v>0</v>
      </c>
      <c r="H102" s="356">
        <f>SUM(I50:I53)</f>
        <v>0</v>
      </c>
      <c r="I102" s="356">
        <f>SUM(J50:J53)</f>
        <v>0</v>
      </c>
      <c r="J102" s="356">
        <f>SUM(K50:K53)</f>
        <v>0</v>
      </c>
      <c r="K102" s="356">
        <f>SUM(L50:L53)</f>
        <v>0</v>
      </c>
      <c r="L102" s="356">
        <f>SUM(M50:M53)</f>
        <v>0</v>
      </c>
      <c r="M102" s="356">
        <f>SUM(N50:N53)</f>
        <v>0</v>
      </c>
      <c r="N102" s="72"/>
    </row>
    <row r="103" spans="2:14" s="28" customFormat="1" ht="15.95" customHeight="1" x14ac:dyDescent="0.25">
      <c r="B103" s="50" t="s">
        <v>8</v>
      </c>
      <c r="C103" s="358">
        <f>SUM(C100:C102)</f>
        <v>0.62400000000000011</v>
      </c>
      <c r="D103" s="358">
        <f>SUM(D100:D102)</f>
        <v>1.9794999999999998</v>
      </c>
      <c r="E103" s="358">
        <f t="shared" ref="E103:M103" si="5">SUM(E100:E102)</f>
        <v>3.335</v>
      </c>
      <c r="F103" s="358">
        <f t="shared" si="5"/>
        <v>5.551499999999999</v>
      </c>
      <c r="G103" s="358">
        <f t="shared" si="5"/>
        <v>7.7679999999999998</v>
      </c>
      <c r="H103" s="358">
        <f t="shared" si="5"/>
        <v>8.9280000000000008</v>
      </c>
      <c r="I103" s="358">
        <f t="shared" si="5"/>
        <v>10.088000000000001</v>
      </c>
      <c r="J103" s="358">
        <f t="shared" si="5"/>
        <v>10.4445</v>
      </c>
      <c r="K103" s="358">
        <f t="shared" si="5"/>
        <v>10.800999999999998</v>
      </c>
      <c r="L103" s="358">
        <f>SUM(L100:L102)</f>
        <v>11.281000000000001</v>
      </c>
      <c r="M103" s="358">
        <f t="shared" si="5"/>
        <v>11.761000000000001</v>
      </c>
      <c r="N103" s="72"/>
    </row>
    <row r="104" spans="2:14" s="28" customFormat="1" ht="18" x14ac:dyDescent="0.25">
      <c r="B104" s="55" t="s">
        <v>9</v>
      </c>
      <c r="C104" s="237">
        <f>(C103/C99)</f>
        <v>0.31200000000000006</v>
      </c>
      <c r="D104" s="237">
        <f>(D103/D99)</f>
        <v>0.98974999999999991</v>
      </c>
      <c r="E104" s="237">
        <f t="shared" ref="E104:M104" si="6">(E103/E99)</f>
        <v>1.6675</v>
      </c>
      <c r="F104" s="237">
        <f t="shared" si="6"/>
        <v>2.7757499999999995</v>
      </c>
      <c r="G104" s="237">
        <f t="shared" si="6"/>
        <v>3.8839999999999999</v>
      </c>
      <c r="H104" s="237">
        <f t="shared" si="6"/>
        <v>4.4640000000000004</v>
      </c>
      <c r="I104" s="237">
        <f t="shared" si="6"/>
        <v>5.0440000000000005</v>
      </c>
      <c r="J104" s="237">
        <f t="shared" si="6"/>
        <v>5.2222499999999998</v>
      </c>
      <c r="K104" s="237">
        <f t="shared" si="6"/>
        <v>5.4004999999999992</v>
      </c>
      <c r="L104" s="237">
        <f>(L103/L99)</f>
        <v>5.6405000000000003</v>
      </c>
      <c r="M104" s="237">
        <f t="shared" si="6"/>
        <v>5.8805000000000005</v>
      </c>
      <c r="N104" s="73"/>
    </row>
    <row r="105" spans="2:14" s="28" customFormat="1" ht="7.5" customHeight="1" x14ac:dyDescent="0.25"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44"/>
      <c r="N105" s="71"/>
    </row>
    <row r="106" spans="2:14" s="28" customFormat="1" ht="15.95" customHeight="1" x14ac:dyDescent="0.25">
      <c r="B106" s="51" t="s">
        <v>10</v>
      </c>
      <c r="C106" s="57"/>
      <c r="D106" s="58"/>
      <c r="E106" s="58"/>
      <c r="F106" s="58"/>
      <c r="G106" s="58"/>
      <c r="H106" s="58"/>
      <c r="I106" s="58"/>
      <c r="J106" s="58"/>
      <c r="K106" s="58"/>
      <c r="L106" s="58"/>
      <c r="M106" s="74"/>
      <c r="N106" s="71"/>
    </row>
    <row r="107" spans="2:14" s="28" customFormat="1" ht="15.95" customHeight="1" x14ac:dyDescent="0.25">
      <c r="B107" s="59" t="s">
        <v>11</v>
      </c>
      <c r="C107" s="355">
        <f>C101</f>
        <v>6.0999999999999999E-2</v>
      </c>
      <c r="D107" s="355">
        <f t="shared" ref="D107:M107" si="7">D101</f>
        <v>0.17699999999999999</v>
      </c>
      <c r="E107" s="355">
        <f t="shared" si="7"/>
        <v>0.29299999999999998</v>
      </c>
      <c r="F107" s="355">
        <f t="shared" si="7"/>
        <v>0.40700000000000003</v>
      </c>
      <c r="G107" s="355">
        <f t="shared" si="7"/>
        <v>0.52100000000000002</v>
      </c>
      <c r="H107" s="355">
        <f t="shared" si="7"/>
        <v>0.52100000000000002</v>
      </c>
      <c r="I107" s="355">
        <f t="shared" si="7"/>
        <v>0.52100000000000002</v>
      </c>
      <c r="J107" s="355">
        <f t="shared" si="7"/>
        <v>0.52100000000000002</v>
      </c>
      <c r="K107" s="355">
        <f t="shared" si="7"/>
        <v>0.52100000000000002</v>
      </c>
      <c r="L107" s="355">
        <f t="shared" si="7"/>
        <v>0.52100000000000002</v>
      </c>
      <c r="M107" s="355">
        <f t="shared" si="7"/>
        <v>0.52100000000000002</v>
      </c>
      <c r="N107" s="71"/>
    </row>
    <row r="108" spans="2:14" s="28" customFormat="1" ht="15.95" customHeight="1" x14ac:dyDescent="0.25">
      <c r="B108" s="60" t="s">
        <v>12</v>
      </c>
      <c r="C108" s="355">
        <f>C102</f>
        <v>0</v>
      </c>
      <c r="D108" s="355">
        <f t="shared" ref="D108:M108" si="8">D102</f>
        <v>0</v>
      </c>
      <c r="E108" s="355">
        <f t="shared" si="8"/>
        <v>0</v>
      </c>
      <c r="F108" s="355">
        <f t="shared" si="8"/>
        <v>0</v>
      </c>
      <c r="G108" s="355">
        <f t="shared" si="8"/>
        <v>0</v>
      </c>
      <c r="H108" s="355">
        <f t="shared" si="8"/>
        <v>0</v>
      </c>
      <c r="I108" s="355">
        <f t="shared" si="8"/>
        <v>0</v>
      </c>
      <c r="J108" s="355">
        <f t="shared" si="8"/>
        <v>0</v>
      </c>
      <c r="K108" s="355">
        <f t="shared" si="8"/>
        <v>0</v>
      </c>
      <c r="L108" s="355">
        <f t="shared" si="8"/>
        <v>0</v>
      </c>
      <c r="M108" s="355">
        <f t="shared" si="8"/>
        <v>0</v>
      </c>
      <c r="N108" s="71"/>
    </row>
    <row r="109" spans="2:14" s="28" customFormat="1" ht="15.95" customHeight="1" x14ac:dyDescent="0.25">
      <c r="B109" s="60" t="s">
        <v>13</v>
      </c>
      <c r="C109" s="355">
        <f>(C100+C107+C108)</f>
        <v>0.62400000000000011</v>
      </c>
      <c r="D109" s="355">
        <f>(D100+D107+D108)</f>
        <v>1.9794999999999998</v>
      </c>
      <c r="E109" s="355">
        <f t="shared" ref="E109:M109" si="9">(E100+E107+E108)</f>
        <v>3.335</v>
      </c>
      <c r="F109" s="355">
        <f t="shared" si="9"/>
        <v>5.551499999999999</v>
      </c>
      <c r="G109" s="355">
        <f t="shared" si="9"/>
        <v>7.7679999999999998</v>
      </c>
      <c r="H109" s="355">
        <f t="shared" si="9"/>
        <v>8.9280000000000008</v>
      </c>
      <c r="I109" s="355">
        <f t="shared" si="9"/>
        <v>10.088000000000001</v>
      </c>
      <c r="J109" s="355">
        <f t="shared" si="9"/>
        <v>10.4445</v>
      </c>
      <c r="K109" s="355">
        <f t="shared" si="9"/>
        <v>10.800999999999998</v>
      </c>
      <c r="L109" s="355">
        <f>(L100+L107+L108)</f>
        <v>11.281000000000001</v>
      </c>
      <c r="M109" s="355">
        <f t="shared" si="9"/>
        <v>11.761000000000001</v>
      </c>
      <c r="N109" s="71"/>
    </row>
    <row r="110" spans="2:14" s="28" customFormat="1" ht="15.95" customHeight="1" x14ac:dyDescent="0.25">
      <c r="B110" s="113" t="s">
        <v>90</v>
      </c>
      <c r="C110" s="79">
        <f>(C109-C99)</f>
        <v>-1.3759999999999999</v>
      </c>
      <c r="D110" s="79">
        <f t="shared" ref="D110:M110" si="10">(D109-D99)</f>
        <v>-2.0500000000000185E-2</v>
      </c>
      <c r="E110" s="79">
        <f t="shared" si="10"/>
        <v>1.335</v>
      </c>
      <c r="F110" s="79">
        <f t="shared" si="10"/>
        <v>3.551499999999999</v>
      </c>
      <c r="G110" s="79">
        <f t="shared" si="10"/>
        <v>5.7679999999999998</v>
      </c>
      <c r="H110" s="79">
        <f t="shared" si="10"/>
        <v>6.9280000000000008</v>
      </c>
      <c r="I110" s="79">
        <f t="shared" si="10"/>
        <v>8.088000000000001</v>
      </c>
      <c r="J110" s="79">
        <f t="shared" si="10"/>
        <v>8.4444999999999997</v>
      </c>
      <c r="K110" s="79">
        <f t="shared" si="10"/>
        <v>8.8009999999999984</v>
      </c>
      <c r="L110" s="79">
        <f t="shared" si="10"/>
        <v>9.2810000000000006</v>
      </c>
      <c r="M110" s="79">
        <f t="shared" si="10"/>
        <v>9.761000000000001</v>
      </c>
      <c r="N110" s="72"/>
    </row>
    <row r="111" spans="2:14" ht="15.95" customHeight="1" x14ac:dyDescent="0.2">
      <c r="N111" s="69"/>
    </row>
  </sheetData>
  <mergeCells count="2">
    <mergeCell ref="B78:C78"/>
    <mergeCell ref="D78:F78"/>
  </mergeCells>
  <phoneticPr fontId="6" type="noConversion"/>
  <conditionalFormatting sqref="C95:M98">
    <cfRule type="cellIs" dxfId="7" priority="2" operator="equal">
      <formula>0</formula>
    </cfRule>
  </conditionalFormatting>
  <conditionalFormatting sqref="C100:M102">
    <cfRule type="cellIs" dxfId="6" priority="1" operator="equal">
      <formula>0</formula>
    </cfRule>
  </conditionalFormatting>
  <pageMargins left="0.7" right="0.7" top="0.75" bottom="0.75" header="0.3" footer="0.3"/>
  <pageSetup paperSize="175" scale="77" fitToHeight="0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M36"/>
  <sheetViews>
    <sheetView workbookViewId="0">
      <selection activeCell="A32" sqref="A32:XFD34"/>
    </sheetView>
  </sheetViews>
  <sheetFormatPr defaultColWidth="9.140625" defaultRowHeight="12" x14ac:dyDescent="0.2"/>
  <cols>
    <col min="1" max="1" width="4.140625" style="1" customWidth="1"/>
    <col min="2" max="2" width="47.140625" style="1" customWidth="1"/>
    <col min="3" max="13" width="10.7109375" style="1" customWidth="1"/>
    <col min="14" max="16384" width="9.140625" style="1"/>
  </cols>
  <sheetData>
    <row r="1" spans="2:13" ht="12.75" thickBot="1" x14ac:dyDescent="0.25">
      <c r="B1" s="414" t="str">
        <f>'Population&amp;Demand Projections'!C3</f>
        <v>Pittsboro</v>
      </c>
      <c r="C1" s="1" t="s">
        <v>43</v>
      </c>
    </row>
    <row r="2" spans="2:13" ht="12.75" thickBot="1" x14ac:dyDescent="0.25">
      <c r="B2" s="92">
        <f>'Population&amp;Demand Projections'!$C$4</f>
        <v>41654</v>
      </c>
      <c r="C2" s="305" t="s">
        <v>44</v>
      </c>
    </row>
    <row r="3" spans="2:13" x14ac:dyDescent="0.2">
      <c r="B3" s="306" t="s">
        <v>302</v>
      </c>
      <c r="C3" s="307"/>
      <c r="D3" s="308"/>
      <c r="E3" s="308"/>
      <c r="F3" s="308"/>
      <c r="G3" s="308"/>
      <c r="H3" s="308"/>
      <c r="I3" s="308"/>
      <c r="J3" s="308"/>
      <c r="K3" s="308"/>
      <c r="L3" s="308"/>
      <c r="M3" s="309"/>
    </row>
    <row r="4" spans="2:13" ht="12.75" thickBot="1" x14ac:dyDescent="0.25">
      <c r="B4" s="310" t="s">
        <v>83</v>
      </c>
      <c r="C4" s="311"/>
      <c r="D4" s="311"/>
      <c r="E4" s="311"/>
      <c r="F4" s="311"/>
      <c r="G4" s="311"/>
      <c r="H4" s="311"/>
      <c r="I4" s="311" t="s">
        <v>53</v>
      </c>
      <c r="J4" s="311"/>
      <c r="K4" s="311"/>
      <c r="L4" s="311"/>
      <c r="M4" s="312"/>
    </row>
    <row r="5" spans="2:13" ht="13.5" customHeight="1" x14ac:dyDescent="0.2">
      <c r="B5" s="323" t="s">
        <v>322</v>
      </c>
      <c r="C5" s="9" t="s">
        <v>35</v>
      </c>
      <c r="D5" s="9"/>
      <c r="E5" s="9"/>
      <c r="F5" s="9"/>
      <c r="G5" s="9"/>
      <c r="H5" s="9"/>
      <c r="I5" s="9"/>
      <c r="J5" s="9"/>
      <c r="K5" s="9"/>
      <c r="L5" s="9"/>
      <c r="M5" s="10"/>
    </row>
    <row r="6" spans="2:13" ht="12.75" thickBot="1" x14ac:dyDescent="0.25">
      <c r="B6" s="11"/>
      <c r="C6" s="24">
        <v>2010</v>
      </c>
      <c r="D6" s="12">
        <v>2015</v>
      </c>
      <c r="E6" s="12">
        <v>2020</v>
      </c>
      <c r="F6" s="12">
        <v>2025</v>
      </c>
      <c r="G6" s="12">
        <v>2030</v>
      </c>
      <c r="H6" s="12">
        <v>2035</v>
      </c>
      <c r="I6" s="12">
        <v>2040</v>
      </c>
      <c r="J6" s="12">
        <v>2045</v>
      </c>
      <c r="K6" s="12">
        <v>2050</v>
      </c>
      <c r="L6" s="5">
        <v>2055</v>
      </c>
      <c r="M6" s="12">
        <v>2060</v>
      </c>
    </row>
    <row r="7" spans="2:13" x14ac:dyDescent="0.2">
      <c r="B7" s="78" t="s">
        <v>82</v>
      </c>
      <c r="C7" s="352">
        <f>'Population&amp;Demand Projections'!C110</f>
        <v>-1.3759999999999999</v>
      </c>
      <c r="D7" s="352">
        <f>'Population&amp;Demand Projections'!D110</f>
        <v>-2.0500000000000185E-2</v>
      </c>
      <c r="E7" s="352">
        <f>'Population&amp;Demand Projections'!E110</f>
        <v>1.335</v>
      </c>
      <c r="F7" s="352">
        <f>'Population&amp;Demand Projections'!F110</f>
        <v>3.551499999999999</v>
      </c>
      <c r="G7" s="352">
        <f>'Population&amp;Demand Projections'!G110</f>
        <v>5.7679999999999998</v>
      </c>
      <c r="H7" s="352">
        <f>'Population&amp;Demand Projections'!H110</f>
        <v>6.9280000000000008</v>
      </c>
      <c r="I7" s="352">
        <f>'Population&amp;Demand Projections'!I110</f>
        <v>8.088000000000001</v>
      </c>
      <c r="J7" s="352">
        <f>'Population&amp;Demand Projections'!J110</f>
        <v>8.4444999999999997</v>
      </c>
      <c r="K7" s="352">
        <f>'Population&amp;Demand Projections'!K110</f>
        <v>8.8009999999999984</v>
      </c>
      <c r="L7" s="352">
        <f>'Population&amp;Demand Projections'!L110</f>
        <v>9.2810000000000006</v>
      </c>
      <c r="M7" s="352">
        <f>'Population&amp;Demand Projections'!M110</f>
        <v>9.761000000000001</v>
      </c>
    </row>
    <row r="8" spans="2:13" x14ac:dyDescent="0.2">
      <c r="B8" s="20" t="str">
        <f>"(2)        Available supply from "&amp;IF(ISNA(VLOOKUP(1,$A$23:$I$30,2,FALSE))," project 1",VLOOKUP(1,$A$23:$I$30,2,FALSE))</f>
        <v>(2)        Available supply from Expand Haw River</v>
      </c>
      <c r="C8" s="353">
        <f>SUMIFS($G$23:$G$30,$A$23:$A$30,1,$I$23:$I$30,"&lt;="&amp;C6,$I$23:$I$30,"&gt;0")</f>
        <v>0</v>
      </c>
      <c r="D8" s="353">
        <f t="shared" ref="D8:M8" si="0">SUMIFS($G$23:$G$30,$A$23:$A$30,1,$I$23:$I$30,"&lt;="&amp;D6,$I$23:$I$30,"&gt;0")</f>
        <v>0</v>
      </c>
      <c r="E8" s="353">
        <f t="shared" si="0"/>
        <v>2</v>
      </c>
      <c r="F8" s="353">
        <f t="shared" si="0"/>
        <v>2</v>
      </c>
      <c r="G8" s="353">
        <f t="shared" si="0"/>
        <v>2</v>
      </c>
      <c r="H8" s="353">
        <f t="shared" si="0"/>
        <v>2</v>
      </c>
      <c r="I8" s="353">
        <f t="shared" si="0"/>
        <v>2</v>
      </c>
      <c r="J8" s="353">
        <f t="shared" si="0"/>
        <v>2</v>
      </c>
      <c r="K8" s="353">
        <f t="shared" si="0"/>
        <v>2</v>
      </c>
      <c r="L8" s="353">
        <f t="shared" si="0"/>
        <v>2</v>
      </c>
      <c r="M8" s="353">
        <f t="shared" si="0"/>
        <v>2</v>
      </c>
    </row>
    <row r="9" spans="2:13" x14ac:dyDescent="0.2">
      <c r="B9" s="20" t="str">
        <f>"           Available supply from "&amp;IF(ISNA(VLOOKUP(2,$A$23:$I$30,2,FALSE)),"project 2",VLOOKUP(2,$A$23:$I$30,2,FALSE))</f>
        <v xml:space="preserve">           Available supply from Expand Haw River</v>
      </c>
      <c r="C9" s="353">
        <f>SUMIFS($G$23:$G$30,$A$23:$A$30,2,$I$23:$I$30,"&lt;="&amp;C$6,$I$23:$I$30,"&gt;0")</f>
        <v>0</v>
      </c>
      <c r="D9" s="353">
        <f t="shared" ref="D9:M9" si="1">SUMIFS($G$23:$G$30,$A$23:$A$30,2,$I$23:$I$30,"&lt;="&amp;D$6,$I$23:$I$30,"&gt;0")</f>
        <v>0</v>
      </c>
      <c r="E9" s="353">
        <f t="shared" si="1"/>
        <v>0</v>
      </c>
      <c r="F9" s="353">
        <f t="shared" si="1"/>
        <v>2</v>
      </c>
      <c r="G9" s="353">
        <f t="shared" si="1"/>
        <v>2</v>
      </c>
      <c r="H9" s="353">
        <f t="shared" si="1"/>
        <v>2</v>
      </c>
      <c r="I9" s="353">
        <f t="shared" si="1"/>
        <v>2</v>
      </c>
      <c r="J9" s="353">
        <f t="shared" si="1"/>
        <v>2</v>
      </c>
      <c r="K9" s="353">
        <f t="shared" si="1"/>
        <v>2</v>
      </c>
      <c r="L9" s="353">
        <f t="shared" si="1"/>
        <v>2</v>
      </c>
      <c r="M9" s="353">
        <f t="shared" si="1"/>
        <v>2</v>
      </c>
    </row>
    <row r="10" spans="2:13" x14ac:dyDescent="0.2">
      <c r="B10" s="20" t="str">
        <f>"           Available supply from "&amp;IF(ISNA(VLOOKUP(3,$A$23:$I$30,2,FALSE)),"project 3",VLOOKUP(3,$A$23:$I$30,2,FALSE))</f>
        <v xml:space="preserve">           Available supply from Jordan Lake Allocation </v>
      </c>
      <c r="C10" s="353">
        <f>SUMIFS($G$23:$G$30,$A$23:$A$30,3,$I$23:$I$30,"&lt;="&amp;C$6,$I$23:$I$30,"&gt;0")</f>
        <v>0</v>
      </c>
      <c r="D10" s="353">
        <f>SUMIFS($G$23:$G$30,$A$23:$A$30,3,$I$23:$I$30,"&lt;="&amp;D$6,$I$23:$I$30,"&gt;0")</f>
        <v>0</v>
      </c>
      <c r="E10" s="353">
        <f>SUMIFS($G$23:$G$30,$A$23:$A$30,3,$I$23:$I$30,"&lt;="&amp;E$6,$I$23:$I$30,"&gt;0")</f>
        <v>0</v>
      </c>
      <c r="F10" s="353">
        <f>SUMIFS($G$23:$G$30,$A$23:$A$30,3,$I$23:$I$30,"&lt;="&amp;F$6,$I$23:$I$30,"&gt;0")</f>
        <v>0</v>
      </c>
      <c r="G10" s="353">
        <v>3</v>
      </c>
      <c r="H10" s="353">
        <v>3</v>
      </c>
      <c r="I10" s="353">
        <v>6</v>
      </c>
      <c r="J10" s="353">
        <v>6</v>
      </c>
      <c r="K10" s="353">
        <v>6</v>
      </c>
      <c r="L10" s="353">
        <v>6</v>
      </c>
      <c r="M10" s="353">
        <f>SUMIFS($G$23:$G$30,$A$23:$A$30,3,$I$23:$I$30,"&lt;="&amp;M$6,$I$23:$I$30,"&gt;0")</f>
        <v>3</v>
      </c>
    </row>
    <row r="11" spans="2:13" s="2" customFormat="1" x14ac:dyDescent="0.2">
      <c r="B11" s="4" t="s">
        <v>88</v>
      </c>
      <c r="C11" s="354">
        <f>SUM(C8:C10)-C7</f>
        <v>1.3759999999999999</v>
      </c>
      <c r="D11" s="354">
        <f t="shared" ref="D11:M11" si="2">SUM(D8:D10)-D7</f>
        <v>2.0500000000000185E-2</v>
      </c>
      <c r="E11" s="354">
        <f t="shared" si="2"/>
        <v>0.66500000000000004</v>
      </c>
      <c r="F11" s="354">
        <f t="shared" si="2"/>
        <v>0.44850000000000101</v>
      </c>
      <c r="G11" s="354">
        <f t="shared" si="2"/>
        <v>1.2320000000000002</v>
      </c>
      <c r="H11" s="354">
        <f t="shared" si="2"/>
        <v>7.1999999999999176E-2</v>
      </c>
      <c r="I11" s="354">
        <f t="shared" si="2"/>
        <v>1.911999999999999</v>
      </c>
      <c r="J11" s="354">
        <f t="shared" si="2"/>
        <v>1.5555000000000003</v>
      </c>
      <c r="K11" s="354">
        <f t="shared" si="2"/>
        <v>1.1990000000000016</v>
      </c>
      <c r="L11" s="354">
        <f t="shared" si="2"/>
        <v>0.71899999999999942</v>
      </c>
      <c r="M11" s="354">
        <f t="shared" si="2"/>
        <v>-2.761000000000001</v>
      </c>
    </row>
    <row r="12" spans="2:13" x14ac:dyDescent="0.2">
      <c r="B12" s="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2:13" x14ac:dyDescent="0.2">
      <c r="B13" s="20" t="s">
        <v>87</v>
      </c>
      <c r="C13" s="7">
        <v>0.39</v>
      </c>
      <c r="D13" s="7">
        <v>0.75</v>
      </c>
      <c r="E13" s="7">
        <v>1.25</v>
      </c>
      <c r="F13" s="7">
        <v>1.25</v>
      </c>
      <c r="G13" s="7">
        <v>3.22</v>
      </c>
      <c r="H13" s="7">
        <v>3.22</v>
      </c>
      <c r="I13" s="7">
        <v>3.22</v>
      </c>
      <c r="J13" s="7">
        <v>3.22</v>
      </c>
      <c r="K13" s="7">
        <v>3.22</v>
      </c>
      <c r="L13" s="7">
        <v>3.22</v>
      </c>
      <c r="M13" s="7">
        <v>3.22</v>
      </c>
    </row>
    <row r="14" spans="2:13" x14ac:dyDescent="0.2">
      <c r="B14" s="20" t="s">
        <v>86</v>
      </c>
      <c r="C14" s="418">
        <f>DemandTables!D15-'Supply Alternative 1'!C13</f>
        <v>0.2340000000000001</v>
      </c>
      <c r="D14" s="418">
        <f>DemandTables!E15-'Supply Alternative 1'!D13</f>
        <v>1.2294999999999998</v>
      </c>
      <c r="E14" s="418">
        <f>DemandTables!F15-'Supply Alternative 1'!E13</f>
        <v>2.085</v>
      </c>
      <c r="F14" s="418">
        <f>DemandTables!G15-'Supply Alternative 1'!F13</f>
        <v>4.301499999999999</v>
      </c>
      <c r="G14" s="418">
        <f>DemandTables!H15-'Supply Alternative 1'!G13</f>
        <v>4.548</v>
      </c>
      <c r="H14" s="418">
        <f>DemandTables!I15-'Supply Alternative 1'!H13</f>
        <v>5.7080000000000002</v>
      </c>
      <c r="I14" s="418">
        <f>DemandTables!J15-'Supply Alternative 1'!I13</f>
        <v>6.8680000000000003</v>
      </c>
      <c r="J14" s="418">
        <f>DemandTables!K15-'Supply Alternative 1'!J13</f>
        <v>7.224499999999999</v>
      </c>
      <c r="K14" s="418">
        <f>DemandTables!L15-'Supply Alternative 1'!K13</f>
        <v>7.5809999999999977</v>
      </c>
      <c r="L14" s="418">
        <f>DemandTables!M15-'Supply Alternative 1'!L13</f>
        <v>8.0609999999999999</v>
      </c>
      <c r="M14" s="418">
        <f>DemandTables!N15-'Supply Alternative 1'!M13</f>
        <v>8.5410000000000004</v>
      </c>
    </row>
    <row r="15" spans="2:13" x14ac:dyDescent="0.2">
      <c r="B15" s="20" t="s">
        <v>85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2:13" x14ac:dyDescent="0.2">
      <c r="B16" s="20" t="s">
        <v>84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s="2" customFormat="1" x14ac:dyDescent="0.2">
      <c r="B17" s="4" t="s">
        <v>36</v>
      </c>
      <c r="C17" s="21">
        <f>SUM(C15:C16)</f>
        <v>0</v>
      </c>
      <c r="D17" s="21">
        <f t="shared" ref="D17:M17" si="3">SUM(D15:D16)</f>
        <v>0</v>
      </c>
      <c r="E17" s="21">
        <f t="shared" si="3"/>
        <v>0</v>
      </c>
      <c r="F17" s="21">
        <f t="shared" si="3"/>
        <v>0</v>
      </c>
      <c r="G17" s="21">
        <f t="shared" si="3"/>
        <v>0</v>
      </c>
      <c r="H17" s="21">
        <f t="shared" si="3"/>
        <v>0</v>
      </c>
      <c r="I17" s="21">
        <f t="shared" si="3"/>
        <v>0</v>
      </c>
      <c r="J17" s="21">
        <f t="shared" si="3"/>
        <v>0</v>
      </c>
      <c r="K17" s="21">
        <f t="shared" si="3"/>
        <v>0</v>
      </c>
      <c r="L17" s="21">
        <f t="shared" si="3"/>
        <v>0</v>
      </c>
      <c r="M17" s="21">
        <f t="shared" si="3"/>
        <v>0</v>
      </c>
    </row>
    <row r="20" spans="1:13" x14ac:dyDescent="0.2">
      <c r="B20" s="13" t="s">
        <v>37</v>
      </c>
      <c r="C20" s="14"/>
      <c r="D20" s="14"/>
      <c r="E20" s="14"/>
      <c r="F20" s="14"/>
      <c r="G20" s="14"/>
      <c r="H20" s="14"/>
      <c r="I20" s="15"/>
    </row>
    <row r="21" spans="1:13" ht="24" x14ac:dyDescent="0.2">
      <c r="B21" s="16" t="s">
        <v>38</v>
      </c>
      <c r="C21" s="17" t="s">
        <v>15</v>
      </c>
      <c r="D21" s="18" t="s">
        <v>16</v>
      </c>
      <c r="E21" s="26" t="s">
        <v>46</v>
      </c>
      <c r="F21" s="18" t="s">
        <v>39</v>
      </c>
      <c r="G21" s="303" t="s">
        <v>40</v>
      </c>
      <c r="H21" s="18" t="s">
        <v>21</v>
      </c>
      <c r="I21" s="303" t="s">
        <v>42</v>
      </c>
    </row>
    <row r="22" spans="1:13" x14ac:dyDescent="0.2">
      <c r="A22" s="302" t="s">
        <v>221</v>
      </c>
      <c r="B22" s="19"/>
      <c r="C22" s="6"/>
      <c r="D22" s="18"/>
      <c r="E22" s="6" t="s">
        <v>45</v>
      </c>
      <c r="F22" s="18" t="s">
        <v>19</v>
      </c>
      <c r="G22" s="304" t="s">
        <v>52</v>
      </c>
      <c r="H22" s="18" t="s">
        <v>41</v>
      </c>
      <c r="I22" s="304" t="s">
        <v>24</v>
      </c>
    </row>
    <row r="23" spans="1:13" x14ac:dyDescent="0.2">
      <c r="A23" s="301">
        <v>3</v>
      </c>
      <c r="B23" s="462" t="str">
        <f>DataIn!B64</f>
        <v xml:space="preserve">Jordan Lake Allocation </v>
      </c>
      <c r="C23" s="7" t="str">
        <f>DataIn!$C$2</f>
        <v>03-19-015</v>
      </c>
      <c r="D23" s="7" t="str">
        <f>DataIn!D64</f>
        <v>SW</v>
      </c>
      <c r="E23" s="7" t="str">
        <f>DataIn!E64</f>
        <v>Haw (2-1)</v>
      </c>
      <c r="F23" s="7" t="str">
        <f>DataIn!F64</f>
        <v>WS IV B NSW CA</v>
      </c>
      <c r="G23" s="7">
        <v>3</v>
      </c>
      <c r="H23" s="7">
        <f>DataIn!G64</f>
        <v>15</v>
      </c>
      <c r="I23" s="7">
        <f>DataIn!H64</f>
        <v>2030</v>
      </c>
    </row>
    <row r="24" spans="1:13" x14ac:dyDescent="0.2">
      <c r="A24" s="301">
        <v>4</v>
      </c>
      <c r="B24" s="463" t="s">
        <v>383</v>
      </c>
      <c r="C24" s="463" t="str">
        <f>DataIn!$C$2</f>
        <v>03-19-015</v>
      </c>
      <c r="D24" s="463" t="str">
        <f>DataIn!D65</f>
        <v>SW</v>
      </c>
      <c r="E24" s="463" t="str">
        <f>DataIn!E65</f>
        <v>Haw (2-1)</v>
      </c>
      <c r="F24" s="463" t="str">
        <f>DataIn!F65</f>
        <v>WS IV NSW</v>
      </c>
      <c r="G24" s="463">
        <v>3</v>
      </c>
      <c r="H24" s="463">
        <v>25</v>
      </c>
      <c r="I24" s="463">
        <v>2040</v>
      </c>
    </row>
    <row r="25" spans="1:13" x14ac:dyDescent="0.2">
      <c r="A25" s="301">
        <v>1</v>
      </c>
      <c r="B25" s="7" t="str">
        <f>DataIn!B65</f>
        <v>Expand Haw River</v>
      </c>
      <c r="C25" s="7" t="str">
        <f>DataIn!$C$2</f>
        <v>03-19-015</v>
      </c>
      <c r="D25" s="7" t="str">
        <f>DataIn!D65</f>
        <v>SW</v>
      </c>
      <c r="E25" s="7" t="str">
        <f>DataIn!E65</f>
        <v>Haw (2-1)</v>
      </c>
      <c r="F25" s="7" t="str">
        <f>DataIn!F65</f>
        <v>WS IV NSW</v>
      </c>
      <c r="G25" s="7">
        <f>DataIn!I65</f>
        <v>2</v>
      </c>
      <c r="H25" s="7">
        <f>DataIn!G65</f>
        <v>5</v>
      </c>
      <c r="I25" s="7">
        <f>DataIn!H65</f>
        <v>2020</v>
      </c>
    </row>
    <row r="26" spans="1:13" x14ac:dyDescent="0.2">
      <c r="A26" s="301">
        <v>2</v>
      </c>
      <c r="B26" s="7" t="str">
        <f>DataIn!B66</f>
        <v>Expand Haw River</v>
      </c>
      <c r="C26" s="7" t="str">
        <f>DataIn!$C$2</f>
        <v>03-19-015</v>
      </c>
      <c r="D26" s="7" t="str">
        <f>DataIn!D66</f>
        <v>SW</v>
      </c>
      <c r="E26" s="7" t="str">
        <f>DataIn!E66</f>
        <v>Haw (2-1)</v>
      </c>
      <c r="F26" s="7" t="str">
        <f>DataIn!F66</f>
        <v>WS IV NSW</v>
      </c>
      <c r="G26" s="7">
        <f>DataIn!I66</f>
        <v>2</v>
      </c>
      <c r="H26" s="7">
        <f>DataIn!G66</f>
        <v>10</v>
      </c>
      <c r="I26" s="7">
        <f>DataIn!H66</f>
        <v>2025</v>
      </c>
    </row>
    <row r="27" spans="1:13" x14ac:dyDescent="0.2">
      <c r="A27" s="301"/>
      <c r="B27" s="7">
        <f>DataIn!B67</f>
        <v>0</v>
      </c>
      <c r="C27" s="7" t="str">
        <f>DataIn!$C$2</f>
        <v>03-19-015</v>
      </c>
      <c r="D27" s="7">
        <f>DataIn!D67</f>
        <v>0</v>
      </c>
      <c r="E27" s="7">
        <f>DataIn!E67</f>
        <v>0</v>
      </c>
      <c r="F27" s="7">
        <f>DataIn!F67</f>
        <v>0</v>
      </c>
      <c r="G27" s="7">
        <f>DataIn!I67</f>
        <v>0</v>
      </c>
      <c r="H27" s="7">
        <f>DataIn!G67</f>
        <v>0</v>
      </c>
      <c r="I27" s="7">
        <f>DataIn!H67</f>
        <v>0</v>
      </c>
    </row>
    <row r="28" spans="1:13" x14ac:dyDescent="0.2">
      <c r="A28" s="301"/>
      <c r="B28" s="7">
        <f>DataIn!B68</f>
        <v>0</v>
      </c>
      <c r="C28" s="7" t="str">
        <f>DataIn!$C$2</f>
        <v>03-19-015</v>
      </c>
      <c r="D28" s="7">
        <f>DataIn!D68</f>
        <v>0</v>
      </c>
      <c r="E28" s="7">
        <f>DataIn!E68</f>
        <v>0</v>
      </c>
      <c r="F28" s="7">
        <f>DataIn!F68</f>
        <v>0</v>
      </c>
      <c r="G28" s="7">
        <f>DataIn!I68</f>
        <v>0</v>
      </c>
      <c r="H28" s="7">
        <f>DataIn!G68</f>
        <v>0</v>
      </c>
      <c r="I28" s="7">
        <f>DataIn!H68</f>
        <v>0</v>
      </c>
    </row>
    <row r="29" spans="1:13" x14ac:dyDescent="0.2">
      <c r="A29" s="301"/>
      <c r="B29" s="7">
        <f>DataIn!B69</f>
        <v>0</v>
      </c>
      <c r="C29" s="7" t="str">
        <f>DataIn!$C$2</f>
        <v>03-19-015</v>
      </c>
      <c r="D29" s="7">
        <f>DataIn!D69</f>
        <v>0</v>
      </c>
      <c r="E29" s="7">
        <f>DataIn!E69</f>
        <v>0</v>
      </c>
      <c r="F29" s="7">
        <f>DataIn!F69</f>
        <v>0</v>
      </c>
      <c r="G29" s="7">
        <f>DataIn!I69</f>
        <v>0</v>
      </c>
      <c r="H29" s="7">
        <f>DataIn!G69</f>
        <v>0</v>
      </c>
      <c r="I29" s="7">
        <f>DataIn!H69</f>
        <v>0</v>
      </c>
    </row>
    <row r="30" spans="1:13" x14ac:dyDescent="0.2">
      <c r="A30" s="301"/>
      <c r="B30" s="7">
        <f>DataIn!B70</f>
        <v>0</v>
      </c>
      <c r="C30" s="7" t="str">
        <f>DataIn!$C$2</f>
        <v>03-19-015</v>
      </c>
      <c r="D30" s="7">
        <f>DataIn!D70</f>
        <v>0</v>
      </c>
      <c r="E30" s="7">
        <f>DataIn!E70</f>
        <v>0</v>
      </c>
      <c r="F30" s="7">
        <f>DataIn!F70</f>
        <v>0</v>
      </c>
      <c r="G30" s="7">
        <f>DataIn!I70</f>
        <v>0</v>
      </c>
      <c r="H30" s="7">
        <f>DataIn!G70</f>
        <v>0</v>
      </c>
      <c r="I30" s="7">
        <f>DataIn!H70</f>
        <v>0</v>
      </c>
    </row>
    <row r="34" spans="2:13" ht="15.75" x14ac:dyDescent="0.25">
      <c r="B34" s="42" t="s">
        <v>50</v>
      </c>
      <c r="C34" s="1">
        <v>0.62400000000000011</v>
      </c>
      <c r="D34" s="1">
        <v>1.9794999999999998</v>
      </c>
      <c r="E34" s="1">
        <v>3.335</v>
      </c>
      <c r="F34" s="1">
        <v>5.551499999999999</v>
      </c>
      <c r="G34" s="1">
        <v>7.7679999999999998</v>
      </c>
      <c r="H34" s="1">
        <v>8.9280000000000008</v>
      </c>
      <c r="I34" s="1">
        <v>10.088000000000001</v>
      </c>
      <c r="J34" s="1">
        <v>10.4445</v>
      </c>
      <c r="K34" s="1">
        <v>10.800999999999998</v>
      </c>
      <c r="L34" s="1">
        <v>11.281000000000001</v>
      </c>
      <c r="M34" s="1">
        <v>11.761000000000001</v>
      </c>
    </row>
    <row r="35" spans="2:13" x14ac:dyDescent="0.2">
      <c r="B35" s="1" t="s">
        <v>357</v>
      </c>
      <c r="C35" s="1">
        <v>0.152</v>
      </c>
      <c r="D35" s="1">
        <v>0.376</v>
      </c>
      <c r="E35" s="1">
        <v>0.6</v>
      </c>
      <c r="F35" s="1">
        <v>0.84750000000000003</v>
      </c>
      <c r="G35" s="1">
        <v>1.0950000000000002</v>
      </c>
      <c r="H35" s="1">
        <v>1.1879999999999999</v>
      </c>
      <c r="I35" s="1">
        <v>1.2810000000000001</v>
      </c>
      <c r="J35" s="1">
        <v>1.3080000000000001</v>
      </c>
      <c r="K35" s="1">
        <v>1.335</v>
      </c>
      <c r="L35" s="1">
        <v>1.3715000000000002</v>
      </c>
      <c r="M35" s="1">
        <v>1.4079999999999999</v>
      </c>
    </row>
    <row r="36" spans="2:13" x14ac:dyDescent="0.2">
      <c r="B36" s="1" t="s">
        <v>358</v>
      </c>
    </row>
  </sheetData>
  <phoneticPr fontId="6" type="noConversion"/>
  <conditionalFormatting sqref="B23:I30">
    <cfRule type="expression" dxfId="5" priority="3">
      <formula>VALUE($A23)=0</formula>
    </cfRule>
  </conditionalFormatting>
  <conditionalFormatting sqref="C11:M11">
    <cfRule type="cellIs" dxfId="4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175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M29"/>
  <sheetViews>
    <sheetView zoomScaleNormal="100" workbookViewId="0">
      <selection activeCell="O18" sqref="O18"/>
    </sheetView>
  </sheetViews>
  <sheetFormatPr defaultColWidth="9.140625" defaultRowHeight="12" x14ac:dyDescent="0.2"/>
  <cols>
    <col min="1" max="1" width="4.28515625" style="1" customWidth="1"/>
    <col min="2" max="2" width="47.140625" style="1" customWidth="1"/>
    <col min="3" max="13" width="10.7109375" style="1" customWidth="1"/>
    <col min="14" max="16384" width="9.140625" style="1"/>
  </cols>
  <sheetData>
    <row r="1" spans="2:13" ht="12.75" thickBot="1" x14ac:dyDescent="0.25">
      <c r="B1" s="25" t="str">
        <f>'Population&amp;Demand Projections'!C3</f>
        <v>Pittsboro</v>
      </c>
      <c r="C1" s="1" t="s">
        <v>43</v>
      </c>
    </row>
    <row r="2" spans="2:13" x14ac:dyDescent="0.2">
      <c r="B2" s="317">
        <f>'Population&amp;Demand Projections'!$C$4</f>
        <v>41654</v>
      </c>
      <c r="C2" s="8" t="s">
        <v>44</v>
      </c>
    </row>
    <row r="3" spans="2:13" x14ac:dyDescent="0.2">
      <c r="B3" s="318" t="s">
        <v>89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4"/>
    </row>
    <row r="4" spans="2:13" ht="12.75" thickBot="1" x14ac:dyDescent="0.25">
      <c r="B4" s="319" t="s">
        <v>83</v>
      </c>
      <c r="C4" s="315"/>
      <c r="D4" s="315"/>
      <c r="E4" s="315"/>
      <c r="F4" s="315"/>
      <c r="G4" s="315"/>
      <c r="H4" s="315"/>
      <c r="I4" s="315" t="s">
        <v>53</v>
      </c>
      <c r="J4" s="315"/>
      <c r="K4" s="315"/>
      <c r="L4" s="315"/>
      <c r="M4" s="316"/>
    </row>
    <row r="5" spans="2:13" ht="13.5" customHeight="1" x14ac:dyDescent="0.2">
      <c r="B5" s="323" t="s">
        <v>322</v>
      </c>
      <c r="C5" s="9" t="s">
        <v>35</v>
      </c>
      <c r="D5" s="9"/>
      <c r="E5" s="9"/>
      <c r="F5" s="9"/>
      <c r="G5" s="9"/>
      <c r="H5" s="9"/>
      <c r="I5" s="9"/>
      <c r="J5" s="9"/>
      <c r="K5" s="9"/>
      <c r="L5" s="9"/>
      <c r="M5" s="10"/>
    </row>
    <row r="6" spans="2:13" ht="12.75" thickBot="1" x14ac:dyDescent="0.25">
      <c r="B6" s="11"/>
      <c r="C6" s="24">
        <v>2010</v>
      </c>
      <c r="D6" s="12">
        <v>2015</v>
      </c>
      <c r="E6" s="12">
        <v>2020</v>
      </c>
      <c r="F6" s="12">
        <v>2025</v>
      </c>
      <c r="G6" s="12">
        <v>2030</v>
      </c>
      <c r="H6" s="12">
        <v>2035</v>
      </c>
      <c r="I6" s="12">
        <v>2040</v>
      </c>
      <c r="J6" s="12">
        <v>2045</v>
      </c>
      <c r="K6" s="12">
        <v>2050</v>
      </c>
      <c r="L6" s="5">
        <v>2055</v>
      </c>
      <c r="M6" s="12">
        <v>2060</v>
      </c>
    </row>
    <row r="7" spans="2:13" x14ac:dyDescent="0.2">
      <c r="B7" s="78" t="s">
        <v>82</v>
      </c>
      <c r="C7" s="352">
        <f>'Population&amp;Demand Projections'!C110</f>
        <v>-1.3759999999999999</v>
      </c>
      <c r="D7" s="352">
        <f>'Population&amp;Demand Projections'!D110</f>
        <v>-2.0500000000000185E-2</v>
      </c>
      <c r="E7" s="352">
        <f>'Population&amp;Demand Projections'!E110</f>
        <v>1.335</v>
      </c>
      <c r="F7" s="352">
        <f>'Population&amp;Demand Projections'!F110</f>
        <v>3.551499999999999</v>
      </c>
      <c r="G7" s="352">
        <f>'Population&amp;Demand Projections'!G110</f>
        <v>5.7679999999999998</v>
      </c>
      <c r="H7" s="352">
        <f>'Population&amp;Demand Projections'!H110</f>
        <v>6.9280000000000008</v>
      </c>
      <c r="I7" s="352">
        <f>'Population&amp;Demand Projections'!I110</f>
        <v>8.088000000000001</v>
      </c>
      <c r="J7" s="352">
        <f>'Population&amp;Demand Projections'!J110</f>
        <v>8.4444999999999997</v>
      </c>
      <c r="K7" s="352">
        <f>'Population&amp;Demand Projections'!K110</f>
        <v>8.8009999999999984</v>
      </c>
      <c r="L7" s="352">
        <f>'Population&amp;Demand Projections'!L110</f>
        <v>9.2810000000000006</v>
      </c>
      <c r="M7" s="352">
        <f>'Population&amp;Demand Projections'!M110</f>
        <v>9.761000000000001</v>
      </c>
    </row>
    <row r="8" spans="2:13" x14ac:dyDescent="0.2">
      <c r="B8" s="20" t="str">
        <f>"(2)        Available supply from "&amp;IF(ISNA(VLOOKUP(1,$A$23:$I$29,2,FALSE))," project 1",VLOOKUP(1,$A$23:$I$29,2,FALSE))</f>
        <v xml:space="preserve">(2)        Available supply from Jordan Lake Allocation </v>
      </c>
      <c r="C8" s="353">
        <f>SUMIFS($G$23:$G$29,$A$23:$A$29,1,$I$23:$I$29,"&lt;="&amp;C$6,$I$23:$I$29,"&gt;0")</f>
        <v>0</v>
      </c>
      <c r="D8" s="353">
        <f t="shared" ref="D8:M8" si="0">SUMIFS($G$23:$G$29,$A$23:$A$29,1,$I$23:$I$29,"&lt;="&amp;D$6,$I$23:$I$29,"&gt;0")</f>
        <v>0</v>
      </c>
      <c r="E8" s="353">
        <f t="shared" si="0"/>
        <v>10</v>
      </c>
      <c r="F8" s="353">
        <f t="shared" si="0"/>
        <v>10</v>
      </c>
      <c r="G8" s="353">
        <f t="shared" si="0"/>
        <v>10</v>
      </c>
      <c r="H8" s="353">
        <f t="shared" si="0"/>
        <v>10</v>
      </c>
      <c r="I8" s="353">
        <f t="shared" si="0"/>
        <v>10</v>
      </c>
      <c r="J8" s="353">
        <f t="shared" si="0"/>
        <v>10</v>
      </c>
      <c r="K8" s="353">
        <f t="shared" si="0"/>
        <v>10</v>
      </c>
      <c r="L8" s="353">
        <f t="shared" si="0"/>
        <v>10</v>
      </c>
      <c r="M8" s="353">
        <f t="shared" si="0"/>
        <v>10</v>
      </c>
    </row>
    <row r="9" spans="2:13" x14ac:dyDescent="0.2">
      <c r="B9" s="20" t="str">
        <f>"           Available supply from "&amp;IF(ISNA(VLOOKUP(2,$A$23:$I$29,2,FALSE)),"project 2",VLOOKUP(2,$A$23:$I$29,2,FALSE))</f>
        <v xml:space="preserve">           Available supply from project 2</v>
      </c>
      <c r="C9" s="353">
        <f>SUMIFS($G$23:$G$29,$A$23:$A$29,2,$I$23:$I$29,"&lt;="&amp;C$6,$I$23:$I$29,"&gt;0")</f>
        <v>0</v>
      </c>
      <c r="D9" s="353">
        <f t="shared" ref="D9:M9" si="1">SUMIFS($G$23:$G$29,$A$23:$A$29,2,$I$23:$I$29,"&lt;="&amp;D$6,$I$23:$I$29,"&gt;0")</f>
        <v>0</v>
      </c>
      <c r="E9" s="353">
        <f t="shared" si="1"/>
        <v>0</v>
      </c>
      <c r="F9" s="353">
        <f t="shared" si="1"/>
        <v>0</v>
      </c>
      <c r="G9" s="353">
        <f t="shared" si="1"/>
        <v>0</v>
      </c>
      <c r="H9" s="353">
        <f t="shared" si="1"/>
        <v>0</v>
      </c>
      <c r="I9" s="353">
        <f t="shared" si="1"/>
        <v>0</v>
      </c>
      <c r="J9" s="353">
        <f t="shared" si="1"/>
        <v>0</v>
      </c>
      <c r="K9" s="353">
        <f t="shared" si="1"/>
        <v>0</v>
      </c>
      <c r="L9" s="353">
        <f t="shared" si="1"/>
        <v>0</v>
      </c>
      <c r="M9" s="353">
        <f t="shared" si="1"/>
        <v>0</v>
      </c>
    </row>
    <row r="10" spans="2:13" x14ac:dyDescent="0.2">
      <c r="B10" s="20" t="str">
        <f>"           Available supply from "&amp;IF(ISNA(VLOOKUP(3,$A$23:$I$29,2,FALSE)),"project 3",VLOOKUP(3,$A$23:$I$29,2,FALSE))</f>
        <v xml:space="preserve">           Available supply from project 3</v>
      </c>
      <c r="C10" s="353">
        <f>SUMIFS($G$23:$G$29,$A$23:$A$29,3,$I$23:$I$29,"&lt;="&amp;C$6,$I$23:$I$29,"&gt;0")</f>
        <v>0</v>
      </c>
      <c r="D10" s="353">
        <f t="shared" ref="D10:M10" si="2">SUMIFS($G$23:$G$29,$A$23:$A$29,3,$I$23:$I$29,"&lt;="&amp;D$6,$I$23:$I$29,"&gt;0")</f>
        <v>0</v>
      </c>
      <c r="E10" s="353">
        <f t="shared" si="2"/>
        <v>0</v>
      </c>
      <c r="F10" s="353">
        <f t="shared" si="2"/>
        <v>0</v>
      </c>
      <c r="G10" s="353">
        <f t="shared" si="2"/>
        <v>0</v>
      </c>
      <c r="H10" s="353">
        <f t="shared" si="2"/>
        <v>0</v>
      </c>
      <c r="I10" s="353">
        <f t="shared" si="2"/>
        <v>0</v>
      </c>
      <c r="J10" s="353">
        <f t="shared" si="2"/>
        <v>0</v>
      </c>
      <c r="K10" s="353">
        <f t="shared" si="2"/>
        <v>0</v>
      </c>
      <c r="L10" s="353">
        <f t="shared" si="2"/>
        <v>0</v>
      </c>
      <c r="M10" s="353">
        <f t="shared" si="2"/>
        <v>0</v>
      </c>
    </row>
    <row r="11" spans="2:13" s="2" customFormat="1" x14ac:dyDescent="0.2">
      <c r="B11" s="4" t="s">
        <v>88</v>
      </c>
      <c r="C11" s="354">
        <f>SUM(C8:C10)-C7</f>
        <v>1.3759999999999999</v>
      </c>
      <c r="D11" s="354">
        <f t="shared" ref="D11:M11" si="3">SUM(D8:D10)-D7</f>
        <v>2.0500000000000185E-2</v>
      </c>
      <c r="E11" s="354">
        <f t="shared" si="3"/>
        <v>8.6649999999999991</v>
      </c>
      <c r="F11" s="354">
        <f t="shared" si="3"/>
        <v>6.448500000000001</v>
      </c>
      <c r="G11" s="354">
        <f t="shared" si="3"/>
        <v>4.2320000000000002</v>
      </c>
      <c r="H11" s="354">
        <f t="shared" si="3"/>
        <v>3.0719999999999992</v>
      </c>
      <c r="I11" s="354">
        <f t="shared" si="3"/>
        <v>1.911999999999999</v>
      </c>
      <c r="J11" s="354">
        <f t="shared" si="3"/>
        <v>1.5555000000000003</v>
      </c>
      <c r="K11" s="354">
        <f t="shared" si="3"/>
        <v>1.1990000000000016</v>
      </c>
      <c r="L11" s="354">
        <f t="shared" si="3"/>
        <v>0.71899999999999942</v>
      </c>
      <c r="M11" s="354">
        <f t="shared" si="3"/>
        <v>0.23899999999999899</v>
      </c>
    </row>
    <row r="12" spans="2:13" x14ac:dyDescent="0.2">
      <c r="B12" s="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2:13" x14ac:dyDescent="0.2">
      <c r="B13" s="20" t="s">
        <v>87</v>
      </c>
      <c r="C13" s="7">
        <v>0.39</v>
      </c>
      <c r="D13" s="7">
        <v>0.75</v>
      </c>
      <c r="E13" s="7">
        <v>1.25</v>
      </c>
      <c r="F13" s="7">
        <v>1.25</v>
      </c>
      <c r="G13" s="7">
        <v>3.22</v>
      </c>
      <c r="H13" s="7">
        <v>3.22</v>
      </c>
      <c r="I13" s="7">
        <v>3.22</v>
      </c>
      <c r="J13" s="7">
        <v>3.22</v>
      </c>
      <c r="K13" s="7">
        <v>3.22</v>
      </c>
      <c r="L13" s="7">
        <v>3.22</v>
      </c>
      <c r="M13" s="7">
        <v>3.22</v>
      </c>
    </row>
    <row r="14" spans="2:13" x14ac:dyDescent="0.2">
      <c r="B14" s="20" t="s">
        <v>86</v>
      </c>
      <c r="C14" s="7">
        <v>0.2340000000000001</v>
      </c>
      <c r="D14" s="7">
        <v>1.2294999999999998</v>
      </c>
      <c r="E14" s="7">
        <v>2.085</v>
      </c>
      <c r="F14" s="7">
        <v>4.301499999999999</v>
      </c>
      <c r="G14" s="7">
        <v>4.548</v>
      </c>
      <c r="H14" s="7">
        <v>5.7080000000000002</v>
      </c>
      <c r="I14" s="7">
        <v>6.8680000000000003</v>
      </c>
      <c r="J14" s="7">
        <v>7.224499999999999</v>
      </c>
      <c r="K14" s="7">
        <v>7.5809999999999977</v>
      </c>
      <c r="L14" s="7">
        <v>8.0609999999999999</v>
      </c>
      <c r="M14" s="7">
        <v>8.5410000000000004</v>
      </c>
    </row>
    <row r="15" spans="2:13" x14ac:dyDescent="0.2">
      <c r="B15" s="20" t="s">
        <v>85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2:13" x14ac:dyDescent="0.2">
      <c r="B16" s="20" t="s">
        <v>84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2" customFormat="1" x14ac:dyDescent="0.2">
      <c r="B17" s="4" t="s">
        <v>36</v>
      </c>
      <c r="C17" s="21">
        <f>SUM(C15:C16)</f>
        <v>0</v>
      </c>
      <c r="D17" s="21">
        <f t="shared" ref="D17:M17" si="4">SUM(D15:D16)</f>
        <v>0</v>
      </c>
      <c r="E17" s="21">
        <f t="shared" si="4"/>
        <v>0</v>
      </c>
      <c r="F17" s="21">
        <f t="shared" si="4"/>
        <v>0</v>
      </c>
      <c r="G17" s="21">
        <f t="shared" si="4"/>
        <v>0</v>
      </c>
      <c r="H17" s="21">
        <f t="shared" si="4"/>
        <v>0</v>
      </c>
      <c r="I17" s="21">
        <f t="shared" si="4"/>
        <v>0</v>
      </c>
      <c r="J17" s="21">
        <f t="shared" si="4"/>
        <v>0</v>
      </c>
      <c r="K17" s="21">
        <f t="shared" si="4"/>
        <v>0</v>
      </c>
      <c r="L17" s="21">
        <f t="shared" si="4"/>
        <v>0</v>
      </c>
      <c r="M17" s="21">
        <f t="shared" si="4"/>
        <v>0</v>
      </c>
    </row>
    <row r="20" spans="1:13" x14ac:dyDescent="0.2">
      <c r="B20" s="13" t="s">
        <v>37</v>
      </c>
      <c r="C20" s="14"/>
      <c r="D20" s="14"/>
      <c r="E20" s="14"/>
      <c r="F20" s="14"/>
      <c r="G20" s="14"/>
      <c r="H20" s="14"/>
      <c r="I20" s="15"/>
    </row>
    <row r="21" spans="1:13" ht="24" x14ac:dyDescent="0.2">
      <c r="B21" s="16" t="s">
        <v>38</v>
      </c>
      <c r="C21" s="17" t="s">
        <v>15</v>
      </c>
      <c r="D21" s="18" t="s">
        <v>16</v>
      </c>
      <c r="E21" s="26" t="s">
        <v>46</v>
      </c>
      <c r="F21" s="18" t="s">
        <v>39</v>
      </c>
      <c r="G21" s="17" t="s">
        <v>40</v>
      </c>
      <c r="H21" s="18" t="s">
        <v>21</v>
      </c>
      <c r="I21" s="17" t="s">
        <v>42</v>
      </c>
    </row>
    <row r="22" spans="1:13" x14ac:dyDescent="0.2">
      <c r="A22" s="302" t="s">
        <v>221</v>
      </c>
      <c r="B22" s="19"/>
      <c r="C22" s="6"/>
      <c r="D22" s="18"/>
      <c r="E22" s="6" t="s">
        <v>45</v>
      </c>
      <c r="F22" s="18" t="s">
        <v>19</v>
      </c>
      <c r="G22" s="6" t="s">
        <v>52</v>
      </c>
      <c r="H22" s="18" t="s">
        <v>41</v>
      </c>
      <c r="I22" s="6" t="s">
        <v>24</v>
      </c>
    </row>
    <row r="23" spans="1:13" x14ac:dyDescent="0.2">
      <c r="A23" s="301">
        <v>1</v>
      </c>
      <c r="B23" s="7" t="str">
        <f>DataIn!B64</f>
        <v xml:space="preserve">Jordan Lake Allocation </v>
      </c>
      <c r="C23" s="7" t="str">
        <f>DataIn!$C$2</f>
        <v>03-19-015</v>
      </c>
      <c r="D23" s="7" t="str">
        <f>DataIn!C64</f>
        <v>Jordan Lake</v>
      </c>
      <c r="E23" s="7" t="str">
        <f>DataIn!E64</f>
        <v>Haw (2-1)</v>
      </c>
      <c r="F23" s="7" t="str">
        <f>DataIn!F64</f>
        <v>WS IV B NSW CA</v>
      </c>
      <c r="G23" s="7">
        <v>10</v>
      </c>
      <c r="H23" s="7">
        <v>5</v>
      </c>
      <c r="I23" s="7">
        <v>2020</v>
      </c>
    </row>
    <row r="24" spans="1:13" x14ac:dyDescent="0.2">
      <c r="A24" s="301"/>
      <c r="B24" s="7" t="str">
        <f>DataIn!B65</f>
        <v>Expand Haw River</v>
      </c>
      <c r="C24" s="7" t="str">
        <f>DataIn!$C$2</f>
        <v>03-19-015</v>
      </c>
      <c r="D24" s="7" t="str">
        <f>DataIn!C65</f>
        <v>Additional River Withdrawal</v>
      </c>
      <c r="E24" s="7" t="str">
        <f>DataIn!E65</f>
        <v>Haw (2-1)</v>
      </c>
      <c r="F24" s="7" t="str">
        <f>DataIn!F65</f>
        <v>WS IV NSW</v>
      </c>
      <c r="G24" s="7">
        <f>DataIn!I65</f>
        <v>2</v>
      </c>
      <c r="H24" s="7">
        <f>DataIn!G65</f>
        <v>5</v>
      </c>
      <c r="I24" s="7">
        <f>DataIn!H65</f>
        <v>2020</v>
      </c>
    </row>
    <row r="25" spans="1:13" x14ac:dyDescent="0.2">
      <c r="A25" s="301"/>
      <c r="B25" s="7" t="str">
        <f>DataIn!B66</f>
        <v>Expand Haw River</v>
      </c>
      <c r="C25" s="7" t="str">
        <f>DataIn!$C$2</f>
        <v>03-19-015</v>
      </c>
      <c r="D25" s="7" t="str">
        <f>DataIn!C66</f>
        <v>Additional River Withdrawal</v>
      </c>
      <c r="E25" s="7" t="str">
        <f>DataIn!E66</f>
        <v>Haw (2-1)</v>
      </c>
      <c r="F25" s="7" t="str">
        <f>DataIn!F66</f>
        <v>WS IV NSW</v>
      </c>
      <c r="G25" s="7">
        <f>DataIn!I66</f>
        <v>2</v>
      </c>
      <c r="H25" s="7">
        <f>DataIn!G66</f>
        <v>10</v>
      </c>
      <c r="I25" s="7">
        <f>DataIn!H66</f>
        <v>2025</v>
      </c>
    </row>
    <row r="26" spans="1:13" x14ac:dyDescent="0.2">
      <c r="A26" s="301"/>
      <c r="B26" s="7">
        <f>DataIn!B67</f>
        <v>0</v>
      </c>
      <c r="C26" s="7" t="str">
        <f>DataIn!$C$2</f>
        <v>03-19-015</v>
      </c>
      <c r="D26" s="7">
        <f>DataIn!C67</f>
        <v>0</v>
      </c>
      <c r="E26" s="7">
        <f>DataIn!E67</f>
        <v>0</v>
      </c>
      <c r="F26" s="7">
        <f>DataIn!F67</f>
        <v>0</v>
      </c>
      <c r="G26" s="7">
        <f>DataIn!I67</f>
        <v>0</v>
      </c>
      <c r="H26" s="7">
        <f>DataIn!G67</f>
        <v>0</v>
      </c>
      <c r="I26" s="7">
        <f>DataIn!H67</f>
        <v>0</v>
      </c>
    </row>
    <row r="27" spans="1:13" x14ac:dyDescent="0.2">
      <c r="A27" s="301"/>
      <c r="B27" s="7">
        <f>DataIn!B68</f>
        <v>0</v>
      </c>
      <c r="C27" s="7" t="str">
        <f>DataIn!$C$2</f>
        <v>03-19-015</v>
      </c>
      <c r="D27" s="7">
        <f>DataIn!C68</f>
        <v>0</v>
      </c>
      <c r="E27" s="7">
        <f>DataIn!E68</f>
        <v>0</v>
      </c>
      <c r="F27" s="7">
        <f>DataIn!F68</f>
        <v>0</v>
      </c>
      <c r="G27" s="7">
        <f>DataIn!I68</f>
        <v>0</v>
      </c>
      <c r="H27" s="7">
        <f>DataIn!G68</f>
        <v>0</v>
      </c>
      <c r="I27" s="7">
        <f>DataIn!H68</f>
        <v>0</v>
      </c>
    </row>
    <row r="28" spans="1:13" x14ac:dyDescent="0.2">
      <c r="A28" s="301"/>
      <c r="B28" s="7">
        <f>DataIn!B69</f>
        <v>0</v>
      </c>
      <c r="C28" s="7" t="str">
        <f>DataIn!$C$2</f>
        <v>03-19-015</v>
      </c>
      <c r="D28" s="7">
        <f>DataIn!C69</f>
        <v>0</v>
      </c>
      <c r="E28" s="7">
        <f>DataIn!E69</f>
        <v>0</v>
      </c>
      <c r="F28" s="7">
        <f>DataIn!F69</f>
        <v>0</v>
      </c>
      <c r="G28" s="7">
        <f>DataIn!I69</f>
        <v>0</v>
      </c>
      <c r="H28" s="7">
        <f>DataIn!G69</f>
        <v>0</v>
      </c>
      <c r="I28" s="7">
        <f>DataIn!H69</f>
        <v>0</v>
      </c>
    </row>
    <row r="29" spans="1:13" x14ac:dyDescent="0.2">
      <c r="A29" s="301"/>
      <c r="B29" s="7">
        <f>DataIn!B70</f>
        <v>0</v>
      </c>
      <c r="C29" s="7" t="str">
        <f>DataIn!$C$2</f>
        <v>03-19-015</v>
      </c>
      <c r="D29" s="7">
        <f>DataIn!C70</f>
        <v>0</v>
      </c>
      <c r="E29" s="7">
        <f>DataIn!E70</f>
        <v>0</v>
      </c>
      <c r="F29" s="7">
        <f>DataIn!F70</f>
        <v>0</v>
      </c>
      <c r="G29" s="7">
        <f>DataIn!I70</f>
        <v>0</v>
      </c>
      <c r="H29" s="7">
        <f>DataIn!G70</f>
        <v>0</v>
      </c>
      <c r="I29" s="7">
        <f>DataIn!H70</f>
        <v>0</v>
      </c>
    </row>
  </sheetData>
  <phoneticPr fontId="6" type="noConversion"/>
  <conditionalFormatting sqref="B23:I29">
    <cfRule type="expression" dxfId="2" priority="3">
      <formula>VALUE($A23)=0</formula>
    </cfRule>
  </conditionalFormatting>
  <conditionalFormatting sqref="C11:M1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17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JLPData</vt:lpstr>
      <vt:lpstr>DataIn</vt:lpstr>
      <vt:lpstr>ReportTables</vt:lpstr>
      <vt:lpstr>ReportFigures</vt:lpstr>
      <vt:lpstr>DemandTables</vt:lpstr>
      <vt:lpstr>ContactInfo_Use Sector Desc</vt:lpstr>
      <vt:lpstr>Population&amp;Demand Projections</vt:lpstr>
      <vt:lpstr>Supply Alternative 1</vt:lpstr>
      <vt:lpstr>Supply Alternative 2</vt:lpstr>
      <vt:lpstr>Supply Alternatives Summary</vt:lpstr>
    </vt:vector>
  </TitlesOfParts>
  <Company>NC Division of Water Resources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J. Rayno</dc:creator>
  <cp:lastModifiedBy>Becky Smith</cp:lastModifiedBy>
  <cp:lastPrinted>2014-11-13T19:32:59Z</cp:lastPrinted>
  <dcterms:created xsi:type="dcterms:W3CDTF">2000-10-23T21:54:55Z</dcterms:created>
  <dcterms:modified xsi:type="dcterms:W3CDTF">2014-11-13T19:39:27Z</dcterms:modified>
</cp:coreProperties>
</file>